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GAPP_Grants_Desktop\K-12\"/>
    </mc:Choice>
  </mc:AlternateContent>
  <xr:revisionPtr revIDLastSave="0" documentId="8_{0DCAFB10-06F3-47E2-8A44-F9EBF1548606}" xr6:coauthVersionLast="45" xr6:coauthVersionMax="45" xr10:uidLastSave="{00000000-0000-0000-0000-000000000000}"/>
  <bookViews>
    <workbookView xWindow="3090" yWindow="0" windowWidth="24375" windowHeight="15555" firstSheet="1" activeTab="1" xr2:uid="{14F1BDDB-90B5-406A-B253-F7864974D158}"/>
  </bookViews>
  <sheets>
    <sheet name="0-5 Master List" sheetId="4" state="hidden" r:id="rId1"/>
    <sheet name="0-5 Resort" sheetId="5" r:id="rId2"/>
    <sheet name="K-8 Elem List" sheetId="2" state="hidden" r:id="rId3"/>
    <sheet name="K-8 Resort" sheetId="6" state="hidden" r:id="rId4"/>
    <sheet name="9-12 HS List" sheetId="3" state="hidden" r:id="rId5"/>
    <sheet name="9-12 Resort" sheetId="7" state="hidden" r:id="rId6"/>
    <sheet name="SchoolInfo (3)" sheetId="8" state="hidden" r:id="rId7"/>
    <sheet name="ADE EOS CC list" sheetId="9" state="hidden" r:id="rId8"/>
    <sheet name="childcare entity IDs" sheetId="10" state="hidden" r:id="rId9"/>
    <sheet name="HS Centers" sheetId="12" state="hidden" r:id="rId10"/>
    <sheet name="Cut Score = 40" sheetId="13" state="hidden" r:id="rId11"/>
  </sheets>
  <externalReferences>
    <externalReference r:id="rId12"/>
  </externalReferences>
  <definedNames>
    <definedName name="_xlnm._FilterDatabase" localSheetId="0" hidden="1">'0-5 Master List'!$A$1:$J$209</definedName>
    <definedName name="_xlnm._FilterDatabase" localSheetId="1" hidden="1">'0-5 Resort'!$F$1:$F$195</definedName>
    <definedName name="_xlnm._FilterDatabase" localSheetId="5" hidden="1">'9-12 Resort'!$G$1:$G$296</definedName>
    <definedName name="_xlnm._FilterDatabase" localSheetId="7" hidden="1">'ADE EOS CC list'!$A$1:$H$2161</definedName>
    <definedName name="_xlnm._FilterDatabase" localSheetId="8" hidden="1">'childcare entity IDs'!$A$1:$O$2130</definedName>
    <definedName name="_xlnm._FilterDatabase" localSheetId="9" hidden="1">'HS Centers'!$A$1:$Z$470</definedName>
    <definedName name="_xlnm._FilterDatabase" localSheetId="3" hidden="1">'K-8 Resort'!$G$1:$G$300</definedName>
    <definedName name="_xlnm._FilterDatabase" localSheetId="6" hidden="1">'SchoolInfo (3)'!$A$1:$M$6073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7" i="5" l="1"/>
  <c r="D208" i="5"/>
  <c r="D116" i="5"/>
  <c r="D85" i="5"/>
  <c r="D68" i="5"/>
  <c r="D60" i="5"/>
  <c r="D51" i="5"/>
  <c r="D129" i="5"/>
  <c r="D98" i="5"/>
  <c r="D95" i="5"/>
  <c r="D87" i="5"/>
  <c r="D78" i="5"/>
  <c r="D77" i="5"/>
  <c r="D76" i="5"/>
  <c r="D61" i="5"/>
  <c r="D53" i="5"/>
  <c r="D48" i="5"/>
  <c r="D46" i="5"/>
  <c r="D45" i="5"/>
  <c r="D20" i="5"/>
  <c r="D42" i="5" l="1"/>
  <c r="A18" i="5" l="1"/>
  <c r="A17" i="5"/>
  <c r="A16" i="5"/>
  <c r="A75" i="5"/>
  <c r="E51" i="5" l="1"/>
  <c r="E183" i="5"/>
  <c r="Q470" i="12"/>
  <c r="P470" i="12"/>
  <c r="G470" i="12"/>
  <c r="H470" i="12" s="1"/>
  <c r="C470" i="12"/>
  <c r="Q469" i="12"/>
  <c r="P469" i="12"/>
  <c r="G469" i="12"/>
  <c r="I469" i="12" s="1"/>
  <c r="J469" i="12" s="1"/>
  <c r="C469" i="12"/>
  <c r="Q468" i="12"/>
  <c r="P468" i="12"/>
  <c r="I468" i="12"/>
  <c r="J468" i="12" s="1"/>
  <c r="G468" i="12"/>
  <c r="H468" i="12" s="1"/>
  <c r="C468" i="12"/>
  <c r="Q467" i="12"/>
  <c r="P467" i="12"/>
  <c r="I467" i="12"/>
  <c r="J467" i="12" s="1"/>
  <c r="G467" i="12"/>
  <c r="H467" i="12" s="1"/>
  <c r="C467" i="12"/>
  <c r="Q466" i="12"/>
  <c r="P466" i="12"/>
  <c r="J466" i="12"/>
  <c r="G466" i="12"/>
  <c r="H466" i="12" s="1"/>
  <c r="C466" i="12"/>
  <c r="Q465" i="12"/>
  <c r="P465" i="12"/>
  <c r="G465" i="12"/>
  <c r="I465" i="12" s="1"/>
  <c r="J465" i="12" s="1"/>
  <c r="C465" i="12"/>
  <c r="Q464" i="12"/>
  <c r="P464" i="12"/>
  <c r="G464" i="12"/>
  <c r="I464" i="12" s="1"/>
  <c r="J464" i="12" s="1"/>
  <c r="C464" i="12"/>
  <c r="Q463" i="12"/>
  <c r="P463" i="12"/>
  <c r="G463" i="12"/>
  <c r="I463" i="12" s="1"/>
  <c r="J463" i="12" s="1"/>
  <c r="C463" i="12"/>
  <c r="Q462" i="12"/>
  <c r="P462" i="12"/>
  <c r="G462" i="12"/>
  <c r="H462" i="12" s="1"/>
  <c r="C462" i="12"/>
  <c r="Q461" i="12"/>
  <c r="P461" i="12"/>
  <c r="G461" i="12"/>
  <c r="I461" i="12" s="1"/>
  <c r="J461" i="12" s="1"/>
  <c r="C461" i="12"/>
  <c r="Q460" i="12"/>
  <c r="P460" i="12"/>
  <c r="I460" i="12"/>
  <c r="J460" i="12" s="1"/>
  <c r="G460" i="12"/>
  <c r="H460" i="12" s="1"/>
  <c r="C460" i="12"/>
  <c r="Q459" i="12"/>
  <c r="P459" i="12"/>
  <c r="G459" i="12"/>
  <c r="I459" i="12" s="1"/>
  <c r="J459" i="12" s="1"/>
  <c r="C459" i="12"/>
  <c r="Q458" i="12"/>
  <c r="P458" i="12"/>
  <c r="G458" i="12"/>
  <c r="H458" i="12" s="1"/>
  <c r="C458" i="12"/>
  <c r="Q457" i="12"/>
  <c r="P457" i="12"/>
  <c r="G457" i="12"/>
  <c r="H457" i="12" s="1"/>
  <c r="C457" i="12"/>
  <c r="Q456" i="12"/>
  <c r="P456" i="12"/>
  <c r="G456" i="12"/>
  <c r="I456" i="12" s="1"/>
  <c r="J456" i="12" s="1"/>
  <c r="C456" i="12"/>
  <c r="Q455" i="12"/>
  <c r="P455" i="12"/>
  <c r="G455" i="12"/>
  <c r="I455" i="12" s="1"/>
  <c r="J455" i="12" s="1"/>
  <c r="C455" i="12"/>
  <c r="Q454" i="12"/>
  <c r="P454" i="12"/>
  <c r="G454" i="12"/>
  <c r="H454" i="12" s="1"/>
  <c r="C454" i="12"/>
  <c r="Q453" i="12"/>
  <c r="P453" i="12"/>
  <c r="I453" i="12"/>
  <c r="J453" i="12" s="1"/>
  <c r="G453" i="12"/>
  <c r="H453" i="12" s="1"/>
  <c r="C453" i="12"/>
  <c r="Q452" i="12"/>
  <c r="P452" i="12"/>
  <c r="G452" i="12"/>
  <c r="I452" i="12" s="1"/>
  <c r="J452" i="12" s="1"/>
  <c r="C452" i="12"/>
  <c r="Q451" i="12"/>
  <c r="P451" i="12"/>
  <c r="G451" i="12"/>
  <c r="I451" i="12" s="1"/>
  <c r="J451" i="12" s="1"/>
  <c r="C451" i="12"/>
  <c r="Q450" i="12"/>
  <c r="P450" i="12"/>
  <c r="G450" i="12"/>
  <c r="H450" i="12" s="1"/>
  <c r="C450" i="12"/>
  <c r="Q449" i="12"/>
  <c r="P449" i="12"/>
  <c r="G449" i="12"/>
  <c r="H449" i="12" s="1"/>
  <c r="C449" i="12"/>
  <c r="Q448" i="12"/>
  <c r="P448" i="12"/>
  <c r="G448" i="12"/>
  <c r="H448" i="12" s="1"/>
  <c r="C448" i="12"/>
  <c r="Q447" i="12"/>
  <c r="P447" i="12"/>
  <c r="G447" i="12"/>
  <c r="I447" i="12" s="1"/>
  <c r="J447" i="12" s="1"/>
  <c r="C447" i="12"/>
  <c r="Q446" i="12"/>
  <c r="P446" i="12"/>
  <c r="G446" i="12"/>
  <c r="H446" i="12" s="1"/>
  <c r="C446" i="12"/>
  <c r="Q445" i="12"/>
  <c r="P445" i="12"/>
  <c r="G445" i="12"/>
  <c r="H445" i="12" s="1"/>
  <c r="C445" i="12"/>
  <c r="Q444" i="12"/>
  <c r="P444" i="12"/>
  <c r="G444" i="12"/>
  <c r="H444" i="12" s="1"/>
  <c r="C444" i="12"/>
  <c r="Q443" i="12"/>
  <c r="P443" i="12"/>
  <c r="G443" i="12"/>
  <c r="I443" i="12" s="1"/>
  <c r="J443" i="12" s="1"/>
  <c r="C443" i="12"/>
  <c r="Q442" i="12"/>
  <c r="P442" i="12"/>
  <c r="G442" i="12"/>
  <c r="H442" i="12" s="1"/>
  <c r="C442" i="12"/>
  <c r="Q441" i="12"/>
  <c r="P441" i="12"/>
  <c r="I441" i="12"/>
  <c r="J441" i="12" s="1"/>
  <c r="G441" i="12"/>
  <c r="H441" i="12" s="1"/>
  <c r="C441" i="12"/>
  <c r="Q440" i="12"/>
  <c r="P440" i="12"/>
  <c r="G440" i="12"/>
  <c r="I440" i="12" s="1"/>
  <c r="J440" i="12" s="1"/>
  <c r="C440" i="12"/>
  <c r="Q439" i="12"/>
  <c r="P439" i="12"/>
  <c r="G439" i="12"/>
  <c r="I439" i="12" s="1"/>
  <c r="J439" i="12" s="1"/>
  <c r="C439" i="12"/>
  <c r="Q438" i="12"/>
  <c r="P438" i="12"/>
  <c r="G438" i="12"/>
  <c r="H438" i="12" s="1"/>
  <c r="C438" i="12"/>
  <c r="Q437" i="12"/>
  <c r="P437" i="12"/>
  <c r="G437" i="12"/>
  <c r="H437" i="12" s="1"/>
  <c r="C437" i="12"/>
  <c r="Q436" i="12"/>
  <c r="P436" i="12"/>
  <c r="G436" i="12"/>
  <c r="I436" i="12" s="1"/>
  <c r="J436" i="12" s="1"/>
  <c r="C436" i="12"/>
  <c r="Q435" i="12"/>
  <c r="P435" i="12"/>
  <c r="J435" i="12"/>
  <c r="G435" i="12"/>
  <c r="I435" i="12" s="1"/>
  <c r="C435" i="12"/>
  <c r="Q434" i="12"/>
  <c r="P434" i="12"/>
  <c r="I434" i="12"/>
  <c r="J434" i="12" s="1"/>
  <c r="H434" i="12"/>
  <c r="C434" i="12"/>
  <c r="Q433" i="12"/>
  <c r="P433" i="12"/>
  <c r="I433" i="12"/>
  <c r="J433" i="12" s="1"/>
  <c r="H433" i="12"/>
  <c r="C433" i="12"/>
  <c r="Q432" i="12"/>
  <c r="P432" i="12"/>
  <c r="J432" i="12"/>
  <c r="G432" i="12"/>
  <c r="H432" i="12" s="1"/>
  <c r="C432" i="12"/>
  <c r="Q431" i="12"/>
  <c r="P431" i="12"/>
  <c r="I431" i="12"/>
  <c r="J431" i="12" s="1"/>
  <c r="H431" i="12"/>
  <c r="C431" i="12"/>
  <c r="Q430" i="12"/>
  <c r="P430" i="12"/>
  <c r="I430" i="12"/>
  <c r="J430" i="12" s="1"/>
  <c r="H430" i="12"/>
  <c r="C430" i="12"/>
  <c r="Q429" i="12"/>
  <c r="P429" i="12"/>
  <c r="I429" i="12"/>
  <c r="J429" i="12" s="1"/>
  <c r="H429" i="12"/>
  <c r="C429" i="12"/>
  <c r="Q428" i="12"/>
  <c r="P428" i="12"/>
  <c r="G428" i="12"/>
  <c r="I428" i="12" s="1"/>
  <c r="J428" i="12" s="1"/>
  <c r="C428" i="12"/>
  <c r="Q427" i="12"/>
  <c r="P427" i="12"/>
  <c r="J427" i="12"/>
  <c r="I427" i="12"/>
  <c r="H427" i="12"/>
  <c r="C427" i="12"/>
  <c r="Q426" i="12"/>
  <c r="P426" i="12"/>
  <c r="I426" i="12"/>
  <c r="J426" i="12" s="1"/>
  <c r="H426" i="12"/>
  <c r="C426" i="12"/>
  <c r="Q425" i="12"/>
  <c r="P425" i="12"/>
  <c r="J425" i="12"/>
  <c r="G425" i="12"/>
  <c r="H425" i="12" s="1"/>
  <c r="C425" i="12"/>
  <c r="Q424" i="12"/>
  <c r="P424" i="12"/>
  <c r="I424" i="12"/>
  <c r="J424" i="12" s="1"/>
  <c r="G424" i="12"/>
  <c r="H424" i="12" s="1"/>
  <c r="C424" i="12"/>
  <c r="Q423" i="12"/>
  <c r="P423" i="12"/>
  <c r="J423" i="12"/>
  <c r="G423" i="12"/>
  <c r="I423" i="12" s="1"/>
  <c r="C423" i="12"/>
  <c r="Q422" i="12"/>
  <c r="P422" i="12"/>
  <c r="J422" i="12"/>
  <c r="G422" i="12"/>
  <c r="I422" i="12" s="1"/>
  <c r="C422" i="12"/>
  <c r="Q421" i="12"/>
  <c r="P421" i="12"/>
  <c r="G421" i="12"/>
  <c r="H421" i="12" s="1"/>
  <c r="C421" i="12"/>
  <c r="Q420" i="12"/>
  <c r="P420" i="12"/>
  <c r="G420" i="12"/>
  <c r="H420" i="12" s="1"/>
  <c r="C420" i="12"/>
  <c r="Q419" i="12"/>
  <c r="P419" i="12"/>
  <c r="G419" i="12"/>
  <c r="I419" i="12" s="1"/>
  <c r="J419" i="12" s="1"/>
  <c r="C419" i="12"/>
  <c r="Q418" i="12"/>
  <c r="P418" i="12"/>
  <c r="G418" i="12"/>
  <c r="I418" i="12" s="1"/>
  <c r="J418" i="12" s="1"/>
  <c r="C418" i="12"/>
  <c r="Q417" i="12"/>
  <c r="P417" i="12"/>
  <c r="G417" i="12"/>
  <c r="I417" i="12" s="1"/>
  <c r="J417" i="12" s="1"/>
  <c r="C417" i="12"/>
  <c r="Q416" i="12"/>
  <c r="P416" i="12"/>
  <c r="G416" i="12"/>
  <c r="H416" i="12" s="1"/>
  <c r="C416" i="12"/>
  <c r="Q415" i="12"/>
  <c r="P415" i="12"/>
  <c r="G415" i="12"/>
  <c r="I415" i="12" s="1"/>
  <c r="J415" i="12" s="1"/>
  <c r="C415" i="12"/>
  <c r="Q414" i="12"/>
  <c r="P414" i="12"/>
  <c r="G414" i="12"/>
  <c r="I414" i="12" s="1"/>
  <c r="J414" i="12" s="1"/>
  <c r="C414" i="12"/>
  <c r="Q413" i="12"/>
  <c r="P413" i="12"/>
  <c r="G413" i="12"/>
  <c r="I413" i="12" s="1"/>
  <c r="J413" i="12" s="1"/>
  <c r="C413" i="12"/>
  <c r="Q412" i="12"/>
  <c r="P412" i="12"/>
  <c r="G412" i="12"/>
  <c r="H412" i="12" s="1"/>
  <c r="C412" i="12"/>
  <c r="Q411" i="12"/>
  <c r="P411" i="12"/>
  <c r="G411" i="12"/>
  <c r="I411" i="12" s="1"/>
  <c r="J411" i="12" s="1"/>
  <c r="C411" i="12"/>
  <c r="Q410" i="12"/>
  <c r="P410" i="12"/>
  <c r="G410" i="12"/>
  <c r="I410" i="12" s="1"/>
  <c r="J410" i="12" s="1"/>
  <c r="C410" i="12"/>
  <c r="Q409" i="12"/>
  <c r="P409" i="12"/>
  <c r="G409" i="12"/>
  <c r="I409" i="12" s="1"/>
  <c r="J409" i="12" s="1"/>
  <c r="C409" i="12"/>
  <c r="Q408" i="12"/>
  <c r="P408" i="12"/>
  <c r="G408" i="12"/>
  <c r="H408" i="12" s="1"/>
  <c r="C408" i="12"/>
  <c r="Q407" i="12"/>
  <c r="P407" i="12"/>
  <c r="G407" i="12"/>
  <c r="I407" i="12" s="1"/>
  <c r="J407" i="12" s="1"/>
  <c r="C407" i="12"/>
  <c r="Q406" i="12"/>
  <c r="P406" i="12"/>
  <c r="G406" i="12"/>
  <c r="I406" i="12" s="1"/>
  <c r="J406" i="12" s="1"/>
  <c r="C406" i="12"/>
  <c r="Q405" i="12"/>
  <c r="P405" i="12"/>
  <c r="G405" i="12"/>
  <c r="H405" i="12" s="1"/>
  <c r="C405" i="12"/>
  <c r="Q404" i="12"/>
  <c r="P404" i="12"/>
  <c r="G404" i="12"/>
  <c r="H404" i="12" s="1"/>
  <c r="C404" i="12"/>
  <c r="Q403" i="12"/>
  <c r="P403" i="12"/>
  <c r="G403" i="12"/>
  <c r="I403" i="12" s="1"/>
  <c r="J403" i="12" s="1"/>
  <c r="C403" i="12"/>
  <c r="Q402" i="12"/>
  <c r="P402" i="12"/>
  <c r="G402" i="12"/>
  <c r="I402" i="12" s="1"/>
  <c r="J402" i="12" s="1"/>
  <c r="C402" i="12"/>
  <c r="Q401" i="12"/>
  <c r="P401" i="12"/>
  <c r="G401" i="12"/>
  <c r="H401" i="12" s="1"/>
  <c r="C401" i="12"/>
  <c r="Q400" i="12"/>
  <c r="P400" i="12"/>
  <c r="G400" i="12"/>
  <c r="H400" i="12" s="1"/>
  <c r="C400" i="12"/>
  <c r="Q399" i="12"/>
  <c r="P399" i="12"/>
  <c r="G399" i="12"/>
  <c r="I399" i="12" s="1"/>
  <c r="J399" i="12" s="1"/>
  <c r="C399" i="12"/>
  <c r="Q398" i="12"/>
  <c r="P398" i="12"/>
  <c r="G398" i="12"/>
  <c r="H398" i="12" s="1"/>
  <c r="C398" i="12"/>
  <c r="Q397" i="12"/>
  <c r="P397" i="12"/>
  <c r="H397" i="12"/>
  <c r="G397" i="12"/>
  <c r="I397" i="12" s="1"/>
  <c r="J397" i="12" s="1"/>
  <c r="C397" i="12"/>
  <c r="Q396" i="12"/>
  <c r="P396" i="12"/>
  <c r="G396" i="12"/>
  <c r="I396" i="12" s="1"/>
  <c r="J396" i="12" s="1"/>
  <c r="C396" i="12"/>
  <c r="Q395" i="12"/>
  <c r="P395" i="12"/>
  <c r="G395" i="12"/>
  <c r="I395" i="12" s="1"/>
  <c r="J395" i="12" s="1"/>
  <c r="C395" i="12"/>
  <c r="Q394" i="12"/>
  <c r="P394" i="12"/>
  <c r="G394" i="12"/>
  <c r="H394" i="12" s="1"/>
  <c r="C394" i="12"/>
  <c r="Q393" i="12"/>
  <c r="P393" i="12"/>
  <c r="I393" i="12"/>
  <c r="J393" i="12" s="1"/>
  <c r="G393" i="12"/>
  <c r="H393" i="12" s="1"/>
  <c r="C393" i="12"/>
  <c r="Q392" i="12"/>
  <c r="P392" i="12"/>
  <c r="G392" i="12"/>
  <c r="I392" i="12" s="1"/>
  <c r="J392" i="12" s="1"/>
  <c r="C392" i="12"/>
  <c r="Q391" i="12"/>
  <c r="P391" i="12"/>
  <c r="G391" i="12"/>
  <c r="I391" i="12" s="1"/>
  <c r="J391" i="12" s="1"/>
  <c r="C391" i="12"/>
  <c r="Q390" i="12"/>
  <c r="P390" i="12"/>
  <c r="G390" i="12"/>
  <c r="H390" i="12" s="1"/>
  <c r="C390" i="12"/>
  <c r="Q389" i="12"/>
  <c r="P389" i="12"/>
  <c r="G389" i="12"/>
  <c r="H389" i="12" s="1"/>
  <c r="C389" i="12"/>
  <c r="Q388" i="12"/>
  <c r="P388" i="12"/>
  <c r="G388" i="12"/>
  <c r="I388" i="12" s="1"/>
  <c r="J388" i="12" s="1"/>
  <c r="C388" i="12"/>
  <c r="Q387" i="12"/>
  <c r="P387" i="12"/>
  <c r="G387" i="12"/>
  <c r="I387" i="12" s="1"/>
  <c r="J387" i="12" s="1"/>
  <c r="C387" i="12"/>
  <c r="Q386" i="12"/>
  <c r="P386" i="12"/>
  <c r="G386" i="12"/>
  <c r="H386" i="12" s="1"/>
  <c r="C386" i="12"/>
  <c r="Q385" i="12"/>
  <c r="P385" i="12"/>
  <c r="H385" i="12"/>
  <c r="G385" i="12"/>
  <c r="I385" i="12" s="1"/>
  <c r="J385" i="12" s="1"/>
  <c r="C385" i="12"/>
  <c r="Q384" i="12"/>
  <c r="P384" i="12"/>
  <c r="G384" i="12"/>
  <c r="I384" i="12" s="1"/>
  <c r="J384" i="12" s="1"/>
  <c r="C384" i="12"/>
  <c r="Q383" i="12"/>
  <c r="P383" i="12"/>
  <c r="G383" i="12"/>
  <c r="I383" i="12" s="1"/>
  <c r="J383" i="12" s="1"/>
  <c r="C383" i="12"/>
  <c r="Q382" i="12"/>
  <c r="P382" i="12"/>
  <c r="G382" i="12"/>
  <c r="H382" i="12" s="1"/>
  <c r="C382" i="12"/>
  <c r="Q381" i="12"/>
  <c r="P381" i="12"/>
  <c r="G381" i="12"/>
  <c r="I381" i="12" s="1"/>
  <c r="J381" i="12" s="1"/>
  <c r="C381" i="12"/>
  <c r="Q380" i="12"/>
  <c r="P380" i="12"/>
  <c r="G380" i="12"/>
  <c r="H380" i="12" s="1"/>
  <c r="C380" i="12"/>
  <c r="Q379" i="12"/>
  <c r="P379" i="12"/>
  <c r="G379" i="12"/>
  <c r="I379" i="12" s="1"/>
  <c r="J379" i="12" s="1"/>
  <c r="C379" i="12"/>
  <c r="Q378" i="12"/>
  <c r="P378" i="12"/>
  <c r="G378" i="12"/>
  <c r="H378" i="12" s="1"/>
  <c r="C378" i="12"/>
  <c r="Q377" i="12"/>
  <c r="P377" i="12"/>
  <c r="G377" i="12"/>
  <c r="H377" i="12" s="1"/>
  <c r="C377" i="12"/>
  <c r="Q376" i="12"/>
  <c r="P376" i="12"/>
  <c r="G376" i="12"/>
  <c r="H376" i="12" s="1"/>
  <c r="C376" i="12"/>
  <c r="Q375" i="12"/>
  <c r="P375" i="12"/>
  <c r="G375" i="12"/>
  <c r="I375" i="12" s="1"/>
  <c r="J375" i="12" s="1"/>
  <c r="C375" i="12"/>
  <c r="Q374" i="12"/>
  <c r="P374" i="12"/>
  <c r="G374" i="12"/>
  <c r="H374" i="12" s="1"/>
  <c r="C374" i="12"/>
  <c r="Q373" i="12"/>
  <c r="P373" i="12"/>
  <c r="H373" i="12"/>
  <c r="G373" i="12"/>
  <c r="I373" i="12" s="1"/>
  <c r="J373" i="12" s="1"/>
  <c r="C373" i="12"/>
  <c r="Q372" i="12"/>
  <c r="P372" i="12"/>
  <c r="G372" i="12"/>
  <c r="I372" i="12" s="1"/>
  <c r="J372" i="12" s="1"/>
  <c r="C372" i="12"/>
  <c r="Q371" i="12"/>
  <c r="P371" i="12"/>
  <c r="G371" i="12"/>
  <c r="I371" i="12" s="1"/>
  <c r="J371" i="12" s="1"/>
  <c r="C371" i="12"/>
  <c r="Q370" i="12"/>
  <c r="P370" i="12"/>
  <c r="G370" i="12"/>
  <c r="H370" i="12" s="1"/>
  <c r="C370" i="12"/>
  <c r="Q369" i="12"/>
  <c r="P369" i="12"/>
  <c r="G369" i="12"/>
  <c r="I369" i="12" s="1"/>
  <c r="J369" i="12" s="1"/>
  <c r="C369" i="12"/>
  <c r="Q368" i="12"/>
  <c r="P368" i="12"/>
  <c r="G368" i="12"/>
  <c r="H368" i="12" s="1"/>
  <c r="C368" i="12"/>
  <c r="Q367" i="12"/>
  <c r="P367" i="12"/>
  <c r="G367" i="12"/>
  <c r="C367" i="12"/>
  <c r="Q366" i="12"/>
  <c r="P366" i="12"/>
  <c r="G366" i="12"/>
  <c r="H366" i="12" s="1"/>
  <c r="C366" i="12"/>
  <c r="Q365" i="12"/>
  <c r="P365" i="12"/>
  <c r="G365" i="12"/>
  <c r="I365" i="12" s="1"/>
  <c r="J365" i="12" s="1"/>
  <c r="C365" i="12"/>
  <c r="Q364" i="12"/>
  <c r="P364" i="12"/>
  <c r="G364" i="12"/>
  <c r="H364" i="12" s="1"/>
  <c r="C364" i="12"/>
  <c r="Q363" i="12"/>
  <c r="P363" i="12"/>
  <c r="G363" i="12"/>
  <c r="I363" i="12" s="1"/>
  <c r="J363" i="12" s="1"/>
  <c r="C363" i="12"/>
  <c r="Q362" i="12"/>
  <c r="P362" i="12"/>
  <c r="G362" i="12"/>
  <c r="H362" i="12" s="1"/>
  <c r="C362" i="12"/>
  <c r="Q361" i="12"/>
  <c r="P361" i="12"/>
  <c r="I361" i="12"/>
  <c r="J361" i="12" s="1"/>
  <c r="G361" i="12"/>
  <c r="H361" i="12" s="1"/>
  <c r="C361" i="12"/>
  <c r="Q360" i="12"/>
  <c r="P360" i="12"/>
  <c r="G360" i="12"/>
  <c r="C360" i="12"/>
  <c r="Q359" i="12"/>
  <c r="P359" i="12"/>
  <c r="G359" i="12"/>
  <c r="I359" i="12" s="1"/>
  <c r="J359" i="12" s="1"/>
  <c r="C359" i="12"/>
  <c r="Q358" i="12"/>
  <c r="P358" i="12"/>
  <c r="G358" i="12"/>
  <c r="C358" i="12"/>
  <c r="Q357" i="12"/>
  <c r="P357" i="12"/>
  <c r="G357" i="12"/>
  <c r="I357" i="12" s="1"/>
  <c r="J357" i="12" s="1"/>
  <c r="C357" i="12"/>
  <c r="Q356" i="12"/>
  <c r="P356" i="12"/>
  <c r="G356" i="12"/>
  <c r="I356" i="12" s="1"/>
  <c r="J356" i="12" s="1"/>
  <c r="C356" i="12"/>
  <c r="Q355" i="12"/>
  <c r="P355" i="12"/>
  <c r="G355" i="12"/>
  <c r="I355" i="12" s="1"/>
  <c r="J355" i="12" s="1"/>
  <c r="C355" i="12"/>
  <c r="Q354" i="12"/>
  <c r="P354" i="12"/>
  <c r="G354" i="12"/>
  <c r="H354" i="12" s="1"/>
  <c r="C354" i="12"/>
  <c r="Q353" i="12"/>
  <c r="P353" i="12"/>
  <c r="G353" i="12"/>
  <c r="I353" i="12" s="1"/>
  <c r="J353" i="12" s="1"/>
  <c r="C353" i="12"/>
  <c r="Q352" i="12"/>
  <c r="P352" i="12"/>
  <c r="G352" i="12"/>
  <c r="H352" i="12" s="1"/>
  <c r="C352" i="12"/>
  <c r="Q351" i="12"/>
  <c r="P351" i="12"/>
  <c r="G351" i="12"/>
  <c r="C351" i="12"/>
  <c r="Q350" i="12"/>
  <c r="P350" i="12"/>
  <c r="G350" i="12"/>
  <c r="H350" i="12" s="1"/>
  <c r="C350" i="12"/>
  <c r="Q349" i="12"/>
  <c r="P349" i="12"/>
  <c r="G349" i="12"/>
  <c r="I349" i="12" s="1"/>
  <c r="J349" i="12" s="1"/>
  <c r="C349" i="12"/>
  <c r="Q348" i="12"/>
  <c r="P348" i="12"/>
  <c r="G348" i="12"/>
  <c r="H348" i="12" s="1"/>
  <c r="C348" i="12"/>
  <c r="Q347" i="12"/>
  <c r="P347" i="12"/>
  <c r="G347" i="12"/>
  <c r="I347" i="12" s="1"/>
  <c r="J347" i="12" s="1"/>
  <c r="C347" i="12"/>
  <c r="Q346" i="12"/>
  <c r="P346" i="12"/>
  <c r="G346" i="12"/>
  <c r="H346" i="12" s="1"/>
  <c r="C346" i="12"/>
  <c r="Q345" i="12"/>
  <c r="P345" i="12"/>
  <c r="G345" i="12"/>
  <c r="H345" i="12" s="1"/>
  <c r="C345" i="12"/>
  <c r="Q344" i="12"/>
  <c r="P344" i="12"/>
  <c r="G344" i="12"/>
  <c r="H344" i="12" s="1"/>
  <c r="C344" i="12"/>
  <c r="Q343" i="12"/>
  <c r="P343" i="12"/>
  <c r="G343" i="12"/>
  <c r="C343" i="12"/>
  <c r="Q342" i="12"/>
  <c r="P342" i="12"/>
  <c r="G342" i="12"/>
  <c r="C342" i="12"/>
  <c r="Q341" i="12"/>
  <c r="P341" i="12"/>
  <c r="G341" i="12"/>
  <c r="I341" i="12" s="1"/>
  <c r="J341" i="12" s="1"/>
  <c r="C341" i="12"/>
  <c r="Q340" i="12"/>
  <c r="P340" i="12"/>
  <c r="J340" i="12"/>
  <c r="G340" i="12"/>
  <c r="C340" i="12"/>
  <c r="Q339" i="12"/>
  <c r="P339" i="12"/>
  <c r="G339" i="12"/>
  <c r="C339" i="12"/>
  <c r="Q338" i="12"/>
  <c r="P338" i="12"/>
  <c r="J338" i="12"/>
  <c r="G338" i="12"/>
  <c r="H338" i="12" s="1"/>
  <c r="C338" i="12"/>
  <c r="Q337" i="12"/>
  <c r="P337" i="12"/>
  <c r="J337" i="12"/>
  <c r="G337" i="12"/>
  <c r="I337" i="12" s="1"/>
  <c r="C337" i="12"/>
  <c r="Q336" i="12"/>
  <c r="P336" i="12"/>
  <c r="G336" i="12"/>
  <c r="I336" i="12" s="1"/>
  <c r="J336" i="12" s="1"/>
  <c r="C336" i="12"/>
  <c r="Q335" i="12"/>
  <c r="P335" i="12"/>
  <c r="G335" i="12"/>
  <c r="I335" i="12" s="1"/>
  <c r="J335" i="12" s="1"/>
  <c r="C335" i="12"/>
  <c r="Q334" i="12"/>
  <c r="P334" i="12"/>
  <c r="G334" i="12"/>
  <c r="H334" i="12" s="1"/>
  <c r="C334" i="12"/>
  <c r="Q333" i="12"/>
  <c r="P333" i="12"/>
  <c r="G333" i="12"/>
  <c r="I333" i="12" s="1"/>
  <c r="J333" i="12" s="1"/>
  <c r="C333" i="12"/>
  <c r="Q332" i="12"/>
  <c r="P332" i="12"/>
  <c r="G332" i="12"/>
  <c r="H332" i="12" s="1"/>
  <c r="C332" i="12"/>
  <c r="Q331" i="12"/>
  <c r="P331" i="12"/>
  <c r="G331" i="12"/>
  <c r="C331" i="12"/>
  <c r="Q330" i="12"/>
  <c r="P330" i="12"/>
  <c r="G330" i="12"/>
  <c r="C330" i="12"/>
  <c r="Q329" i="12"/>
  <c r="P329" i="12"/>
  <c r="H329" i="12"/>
  <c r="G329" i="12"/>
  <c r="I329" i="12" s="1"/>
  <c r="J329" i="12" s="1"/>
  <c r="C329" i="12"/>
  <c r="Q328" i="12"/>
  <c r="P328" i="12"/>
  <c r="G328" i="12"/>
  <c r="I328" i="12" s="1"/>
  <c r="J328" i="12" s="1"/>
  <c r="C328" i="12"/>
  <c r="Q327" i="12"/>
  <c r="P327" i="12"/>
  <c r="G327" i="12"/>
  <c r="I327" i="12" s="1"/>
  <c r="J327" i="12" s="1"/>
  <c r="C327" i="12"/>
  <c r="Q326" i="12"/>
  <c r="P326" i="12"/>
  <c r="G326" i="12"/>
  <c r="I326" i="12" s="1"/>
  <c r="J326" i="12" s="1"/>
  <c r="C326" i="12"/>
  <c r="Q325" i="12"/>
  <c r="P325" i="12"/>
  <c r="G325" i="12"/>
  <c r="I325" i="12" s="1"/>
  <c r="J325" i="12" s="1"/>
  <c r="C325" i="12"/>
  <c r="Q324" i="12"/>
  <c r="P324" i="12"/>
  <c r="I324" i="12"/>
  <c r="J324" i="12" s="1"/>
  <c r="G324" i="12"/>
  <c r="H324" i="12" s="1"/>
  <c r="C324" i="12"/>
  <c r="Q323" i="12"/>
  <c r="P323" i="12"/>
  <c r="G323" i="12"/>
  <c r="I323" i="12" s="1"/>
  <c r="J323" i="12" s="1"/>
  <c r="C323" i="12"/>
  <c r="Q322" i="12"/>
  <c r="P322" i="12"/>
  <c r="G322" i="12"/>
  <c r="H322" i="12" s="1"/>
  <c r="C322" i="12"/>
  <c r="Q321" i="12"/>
  <c r="P321" i="12"/>
  <c r="G321" i="12"/>
  <c r="C321" i="12"/>
  <c r="Q320" i="12"/>
  <c r="P320" i="12"/>
  <c r="G320" i="12"/>
  <c r="H320" i="12" s="1"/>
  <c r="C320" i="12"/>
  <c r="Q319" i="12"/>
  <c r="P319" i="12"/>
  <c r="G319" i="12"/>
  <c r="I319" i="12" s="1"/>
  <c r="J319" i="12" s="1"/>
  <c r="C319" i="12"/>
  <c r="Q318" i="12"/>
  <c r="P318" i="12"/>
  <c r="G318" i="12"/>
  <c r="I318" i="12" s="1"/>
  <c r="J318" i="12" s="1"/>
  <c r="C318" i="12"/>
  <c r="Q317" i="12"/>
  <c r="P317" i="12"/>
  <c r="G317" i="12"/>
  <c r="I317" i="12" s="1"/>
  <c r="J317" i="12" s="1"/>
  <c r="C317" i="12"/>
  <c r="Q316" i="12"/>
  <c r="P316" i="12"/>
  <c r="G316" i="12"/>
  <c r="C316" i="12"/>
  <c r="Q315" i="12"/>
  <c r="P315" i="12"/>
  <c r="G315" i="12"/>
  <c r="I315" i="12" s="1"/>
  <c r="J315" i="12" s="1"/>
  <c r="C315" i="12"/>
  <c r="Q314" i="12"/>
  <c r="P314" i="12"/>
  <c r="G314" i="12"/>
  <c r="C314" i="12"/>
  <c r="Q313" i="12"/>
  <c r="P313" i="12"/>
  <c r="G313" i="12"/>
  <c r="I313" i="12" s="1"/>
  <c r="J313" i="12" s="1"/>
  <c r="C313" i="12"/>
  <c r="Q312" i="12"/>
  <c r="P312" i="12"/>
  <c r="G312" i="12"/>
  <c r="C312" i="12"/>
  <c r="Q311" i="12"/>
  <c r="P311" i="12"/>
  <c r="G311" i="12"/>
  <c r="H311" i="12" s="1"/>
  <c r="C311" i="12"/>
  <c r="Q310" i="12"/>
  <c r="P310" i="12"/>
  <c r="G310" i="12"/>
  <c r="C310" i="12"/>
  <c r="Q309" i="12"/>
  <c r="P309" i="12"/>
  <c r="G309" i="12"/>
  <c r="I309" i="12" s="1"/>
  <c r="J309" i="12" s="1"/>
  <c r="C309" i="12"/>
  <c r="Q308" i="12"/>
  <c r="P308" i="12"/>
  <c r="G308" i="12"/>
  <c r="H308" i="12" s="1"/>
  <c r="C308" i="12"/>
  <c r="Q307" i="12"/>
  <c r="P307" i="12"/>
  <c r="G307" i="12"/>
  <c r="H307" i="12" s="1"/>
  <c r="C307" i="12"/>
  <c r="Q306" i="12"/>
  <c r="P306" i="12"/>
  <c r="G306" i="12"/>
  <c r="C306" i="12"/>
  <c r="Q305" i="12"/>
  <c r="P305" i="12"/>
  <c r="G305" i="12"/>
  <c r="C305" i="12"/>
  <c r="Q304" i="12"/>
  <c r="P304" i="12"/>
  <c r="G304" i="12"/>
  <c r="H304" i="12" s="1"/>
  <c r="C304" i="12"/>
  <c r="Q303" i="12"/>
  <c r="P303" i="12"/>
  <c r="G303" i="12"/>
  <c r="I303" i="12" s="1"/>
  <c r="J303" i="12" s="1"/>
  <c r="C303" i="12"/>
  <c r="Q302" i="12"/>
  <c r="P302" i="12"/>
  <c r="G302" i="12"/>
  <c r="I302" i="12" s="1"/>
  <c r="J302" i="12" s="1"/>
  <c r="C302" i="12"/>
  <c r="Q301" i="12"/>
  <c r="P301" i="12"/>
  <c r="G301" i="12"/>
  <c r="I301" i="12" s="1"/>
  <c r="J301" i="12" s="1"/>
  <c r="C301" i="12"/>
  <c r="Q300" i="12"/>
  <c r="P300" i="12"/>
  <c r="G300" i="12"/>
  <c r="H300" i="12" s="1"/>
  <c r="C300" i="12"/>
  <c r="Q299" i="12"/>
  <c r="P299" i="12"/>
  <c r="G299" i="12"/>
  <c r="I299" i="12" s="1"/>
  <c r="J299" i="12" s="1"/>
  <c r="C299" i="12"/>
  <c r="Q298" i="12"/>
  <c r="P298" i="12"/>
  <c r="G298" i="12"/>
  <c r="C298" i="12"/>
  <c r="Q297" i="12"/>
  <c r="P297" i="12"/>
  <c r="G297" i="12"/>
  <c r="I297" i="12" s="1"/>
  <c r="J297" i="12" s="1"/>
  <c r="C297" i="12"/>
  <c r="Q296" i="12"/>
  <c r="P296" i="12"/>
  <c r="G296" i="12"/>
  <c r="C296" i="12"/>
  <c r="Q295" i="12"/>
  <c r="P295" i="12"/>
  <c r="G295" i="12"/>
  <c r="H295" i="12" s="1"/>
  <c r="C295" i="12"/>
  <c r="Q294" i="12"/>
  <c r="P294" i="12"/>
  <c r="G294" i="12"/>
  <c r="I294" i="12" s="1"/>
  <c r="J294" i="12" s="1"/>
  <c r="C294" i="12"/>
  <c r="Q293" i="12"/>
  <c r="P293" i="12"/>
  <c r="G293" i="12"/>
  <c r="I293" i="12" s="1"/>
  <c r="J293" i="12" s="1"/>
  <c r="C293" i="12"/>
  <c r="Q292" i="12"/>
  <c r="P292" i="12"/>
  <c r="G292" i="12"/>
  <c r="H292" i="12" s="1"/>
  <c r="C292" i="12"/>
  <c r="Q291" i="12"/>
  <c r="P291" i="12"/>
  <c r="G291" i="12"/>
  <c r="H291" i="12" s="1"/>
  <c r="C291" i="12"/>
  <c r="Q290" i="12"/>
  <c r="P290" i="12"/>
  <c r="G290" i="12"/>
  <c r="I290" i="12" s="1"/>
  <c r="J290" i="12" s="1"/>
  <c r="C290" i="12"/>
  <c r="Q289" i="12"/>
  <c r="P289" i="12"/>
  <c r="G289" i="12"/>
  <c r="C289" i="12"/>
  <c r="Q288" i="12"/>
  <c r="P288" i="12"/>
  <c r="G288" i="12"/>
  <c r="H288" i="12" s="1"/>
  <c r="C288" i="12"/>
  <c r="Q287" i="12"/>
  <c r="P287" i="12"/>
  <c r="G287" i="12"/>
  <c r="C287" i="12"/>
  <c r="Q286" i="12"/>
  <c r="P286" i="12"/>
  <c r="G286" i="12"/>
  <c r="H286" i="12" s="1"/>
  <c r="C286" i="12"/>
  <c r="Q285" i="12"/>
  <c r="P285" i="12"/>
  <c r="G285" i="12"/>
  <c r="I285" i="12" s="1"/>
  <c r="J285" i="12" s="1"/>
  <c r="C285" i="12"/>
  <c r="Q284" i="12"/>
  <c r="P284" i="12"/>
  <c r="G284" i="12"/>
  <c r="H284" i="12" s="1"/>
  <c r="C284" i="12"/>
  <c r="Q283" i="12"/>
  <c r="P283" i="12"/>
  <c r="G283" i="12"/>
  <c r="C283" i="12"/>
  <c r="Q282" i="12"/>
  <c r="P282" i="12"/>
  <c r="G282" i="12"/>
  <c r="C282" i="12"/>
  <c r="Q281" i="12"/>
  <c r="P281" i="12"/>
  <c r="G281" i="12"/>
  <c r="I281" i="12" s="1"/>
  <c r="J281" i="12" s="1"/>
  <c r="C281" i="12"/>
  <c r="Q280" i="12"/>
  <c r="P280" i="12"/>
  <c r="G280" i="12"/>
  <c r="C280" i="12"/>
  <c r="Q279" i="12"/>
  <c r="P279" i="12"/>
  <c r="G279" i="12"/>
  <c r="I279" i="12" s="1"/>
  <c r="J279" i="12" s="1"/>
  <c r="C279" i="12"/>
  <c r="Q278" i="12"/>
  <c r="P278" i="12"/>
  <c r="G278" i="12"/>
  <c r="I278" i="12" s="1"/>
  <c r="J278" i="12" s="1"/>
  <c r="C278" i="12"/>
  <c r="Q277" i="12"/>
  <c r="P277" i="12"/>
  <c r="G277" i="12"/>
  <c r="I277" i="12" s="1"/>
  <c r="J277" i="12" s="1"/>
  <c r="C277" i="12"/>
  <c r="Q276" i="12"/>
  <c r="P276" i="12"/>
  <c r="G276" i="12"/>
  <c r="H276" i="12" s="1"/>
  <c r="C276" i="12"/>
  <c r="Q275" i="12"/>
  <c r="P275" i="12"/>
  <c r="G275" i="12"/>
  <c r="I275" i="12" s="1"/>
  <c r="J275" i="12" s="1"/>
  <c r="C275" i="12"/>
  <c r="Q274" i="12"/>
  <c r="P274" i="12"/>
  <c r="G274" i="12"/>
  <c r="I274" i="12" s="1"/>
  <c r="J274" i="12" s="1"/>
  <c r="C274" i="12"/>
  <c r="Q273" i="12"/>
  <c r="P273" i="12"/>
  <c r="G273" i="12"/>
  <c r="C273" i="12"/>
  <c r="Q272" i="12"/>
  <c r="P272" i="12"/>
  <c r="G272" i="12"/>
  <c r="C272" i="12"/>
  <c r="Q271" i="12"/>
  <c r="P271" i="12"/>
  <c r="G271" i="12"/>
  <c r="H271" i="12" s="1"/>
  <c r="C271" i="12"/>
  <c r="Q270" i="12"/>
  <c r="P270" i="12"/>
  <c r="G270" i="12"/>
  <c r="H270" i="12" s="1"/>
  <c r="C270" i="12"/>
  <c r="Q269" i="12"/>
  <c r="P269" i="12"/>
  <c r="G269" i="12"/>
  <c r="C269" i="12"/>
  <c r="Q268" i="12"/>
  <c r="P268" i="12"/>
  <c r="I268" i="12"/>
  <c r="J268" i="12" s="1"/>
  <c r="H268" i="12"/>
  <c r="C268" i="12"/>
  <c r="Q267" i="12"/>
  <c r="P267" i="12"/>
  <c r="I267" i="12"/>
  <c r="J267" i="12" s="1"/>
  <c r="H267" i="12"/>
  <c r="C267" i="12"/>
  <c r="Q266" i="12"/>
  <c r="P266" i="12"/>
  <c r="G266" i="12"/>
  <c r="C266" i="12"/>
  <c r="Q265" i="12"/>
  <c r="P265" i="12"/>
  <c r="G265" i="12"/>
  <c r="I265" i="12" s="1"/>
  <c r="J265" i="12" s="1"/>
  <c r="C265" i="12"/>
  <c r="Q264" i="12"/>
  <c r="P264" i="12"/>
  <c r="G264" i="12"/>
  <c r="C264" i="12"/>
  <c r="Q263" i="12"/>
  <c r="P263" i="12"/>
  <c r="G263" i="12"/>
  <c r="I263" i="12" s="1"/>
  <c r="J263" i="12" s="1"/>
  <c r="C263" i="12"/>
  <c r="Q262" i="12"/>
  <c r="P262" i="12"/>
  <c r="G262" i="12"/>
  <c r="H262" i="12" s="1"/>
  <c r="C262" i="12"/>
  <c r="Q261" i="12"/>
  <c r="P261" i="12"/>
  <c r="G261" i="12"/>
  <c r="I261" i="12" s="1"/>
  <c r="J261" i="12" s="1"/>
  <c r="C261" i="12"/>
  <c r="Q260" i="12"/>
  <c r="P260" i="12"/>
  <c r="G260" i="12"/>
  <c r="C260" i="12"/>
  <c r="Q259" i="12"/>
  <c r="P259" i="12"/>
  <c r="G259" i="12"/>
  <c r="C259" i="12"/>
  <c r="Q258" i="12"/>
  <c r="P258" i="12"/>
  <c r="G258" i="12"/>
  <c r="C258" i="12"/>
  <c r="Q257" i="12"/>
  <c r="P257" i="12"/>
  <c r="G257" i="12"/>
  <c r="I257" i="12" s="1"/>
  <c r="J257" i="12" s="1"/>
  <c r="C257" i="12"/>
  <c r="Q256" i="12"/>
  <c r="P256" i="12"/>
  <c r="G256" i="12"/>
  <c r="I256" i="12" s="1"/>
  <c r="J256" i="12" s="1"/>
  <c r="C256" i="12"/>
  <c r="Q255" i="12"/>
  <c r="P255" i="12"/>
  <c r="G255" i="12"/>
  <c r="I255" i="12" s="1"/>
  <c r="J255" i="12" s="1"/>
  <c r="C255" i="12"/>
  <c r="Q254" i="12"/>
  <c r="P254" i="12"/>
  <c r="G254" i="12"/>
  <c r="C254" i="12"/>
  <c r="Q253" i="12"/>
  <c r="P253" i="12"/>
  <c r="G253" i="12"/>
  <c r="C253" i="12"/>
  <c r="Q252" i="12"/>
  <c r="P252" i="12"/>
  <c r="G252" i="12"/>
  <c r="H252" i="12" s="1"/>
  <c r="C252" i="12"/>
  <c r="Q251" i="12"/>
  <c r="P251" i="12"/>
  <c r="G251" i="12"/>
  <c r="C251" i="12"/>
  <c r="Q250" i="12"/>
  <c r="P250" i="12"/>
  <c r="G250" i="12"/>
  <c r="C250" i="12"/>
  <c r="Q249" i="12"/>
  <c r="P249" i="12"/>
  <c r="G249" i="12"/>
  <c r="H249" i="12" s="1"/>
  <c r="C249" i="12"/>
  <c r="Q248" i="12"/>
  <c r="P248" i="12"/>
  <c r="G248" i="12"/>
  <c r="H248" i="12" s="1"/>
  <c r="C248" i="12"/>
  <c r="Q247" i="12"/>
  <c r="P247" i="12"/>
  <c r="G247" i="12"/>
  <c r="C247" i="12"/>
  <c r="Q246" i="12"/>
  <c r="P246" i="12"/>
  <c r="G246" i="12"/>
  <c r="H246" i="12" s="1"/>
  <c r="C246" i="12"/>
  <c r="Q245" i="12"/>
  <c r="P245" i="12"/>
  <c r="G245" i="12"/>
  <c r="I245" i="12" s="1"/>
  <c r="J245" i="12" s="1"/>
  <c r="C245" i="12"/>
  <c r="Q244" i="12"/>
  <c r="P244" i="12"/>
  <c r="G244" i="12"/>
  <c r="C244" i="12"/>
  <c r="Q243" i="12"/>
  <c r="P243" i="12"/>
  <c r="G243" i="12"/>
  <c r="I243" i="12" s="1"/>
  <c r="J243" i="12" s="1"/>
  <c r="C243" i="12"/>
  <c r="Q242" i="12"/>
  <c r="P242" i="12"/>
  <c r="G242" i="12"/>
  <c r="C242" i="12"/>
  <c r="Q241" i="12"/>
  <c r="P241" i="12"/>
  <c r="G241" i="12"/>
  <c r="I241" i="12" s="1"/>
  <c r="J241" i="12" s="1"/>
  <c r="C241" i="12"/>
  <c r="Q240" i="12"/>
  <c r="P240" i="12"/>
  <c r="G240" i="12"/>
  <c r="I240" i="12" s="1"/>
  <c r="J240" i="12" s="1"/>
  <c r="C240" i="12"/>
  <c r="Q239" i="12"/>
  <c r="P239" i="12"/>
  <c r="G239" i="12"/>
  <c r="I239" i="12" s="1"/>
  <c r="J239" i="12" s="1"/>
  <c r="C239" i="12"/>
  <c r="Q238" i="12"/>
  <c r="P238" i="12"/>
  <c r="G238" i="12"/>
  <c r="C238" i="12"/>
  <c r="Q237" i="12"/>
  <c r="P237" i="12"/>
  <c r="G237" i="12"/>
  <c r="H237" i="12" s="1"/>
  <c r="C237" i="12"/>
  <c r="Q236" i="12"/>
  <c r="P236" i="12"/>
  <c r="G236" i="12"/>
  <c r="C236" i="12"/>
  <c r="Q235" i="12"/>
  <c r="P235" i="12"/>
  <c r="G235" i="12"/>
  <c r="C235" i="12"/>
  <c r="Q234" i="12"/>
  <c r="P234" i="12"/>
  <c r="G234" i="12"/>
  <c r="H234" i="12" s="1"/>
  <c r="C234" i="12"/>
  <c r="Q233" i="12"/>
  <c r="P233" i="12"/>
  <c r="G233" i="12"/>
  <c r="I233" i="12" s="1"/>
  <c r="J233" i="12" s="1"/>
  <c r="C233" i="12"/>
  <c r="Q232" i="12"/>
  <c r="P232" i="12"/>
  <c r="G232" i="12"/>
  <c r="C232" i="12"/>
  <c r="Q231" i="12"/>
  <c r="P231" i="12"/>
  <c r="G231" i="12"/>
  <c r="I231" i="12" s="1"/>
  <c r="J231" i="12" s="1"/>
  <c r="C231" i="12"/>
  <c r="Q230" i="12"/>
  <c r="P230" i="12"/>
  <c r="G230" i="12"/>
  <c r="H230" i="12" s="1"/>
  <c r="C230" i="12"/>
  <c r="Q229" i="12"/>
  <c r="P229" i="12"/>
  <c r="G229" i="12"/>
  <c r="H229" i="12" s="1"/>
  <c r="C229" i="12"/>
  <c r="Q228" i="12"/>
  <c r="P228" i="12"/>
  <c r="G228" i="12"/>
  <c r="C228" i="12"/>
  <c r="Q227" i="12"/>
  <c r="P227" i="12"/>
  <c r="G227" i="12"/>
  <c r="I227" i="12" s="1"/>
  <c r="J227" i="12" s="1"/>
  <c r="C227" i="12"/>
  <c r="Q226" i="12"/>
  <c r="P226" i="12"/>
  <c r="G226" i="12"/>
  <c r="C226" i="12"/>
  <c r="Q225" i="12"/>
  <c r="P225" i="12"/>
  <c r="G225" i="12"/>
  <c r="C225" i="12"/>
  <c r="Q224" i="12"/>
  <c r="P224" i="12"/>
  <c r="G224" i="12"/>
  <c r="I224" i="12" s="1"/>
  <c r="J224" i="12" s="1"/>
  <c r="C224" i="12"/>
  <c r="Q223" i="12"/>
  <c r="P223" i="12"/>
  <c r="G223" i="12"/>
  <c r="I223" i="12" s="1"/>
  <c r="J223" i="12" s="1"/>
  <c r="C223" i="12"/>
  <c r="Q222" i="12"/>
  <c r="P222" i="12"/>
  <c r="J222" i="12"/>
  <c r="G222" i="12"/>
  <c r="H222" i="12" s="1"/>
  <c r="C222" i="12"/>
  <c r="Q221" i="12"/>
  <c r="P221" i="12"/>
  <c r="G221" i="12"/>
  <c r="I221" i="12" s="1"/>
  <c r="J221" i="12" s="1"/>
  <c r="C221" i="12"/>
  <c r="Q220" i="12"/>
  <c r="P220" i="12"/>
  <c r="G220" i="12"/>
  <c r="H220" i="12" s="1"/>
  <c r="C220" i="12"/>
  <c r="Q219" i="12"/>
  <c r="P219" i="12"/>
  <c r="G219" i="12"/>
  <c r="C219" i="12"/>
  <c r="Q218" i="12"/>
  <c r="P218" i="12"/>
  <c r="G218" i="12"/>
  <c r="H218" i="12" s="1"/>
  <c r="C218" i="12"/>
  <c r="Q217" i="12"/>
  <c r="P217" i="12"/>
  <c r="G217" i="12"/>
  <c r="H217" i="12" s="1"/>
  <c r="C217" i="12"/>
  <c r="Q216" i="12"/>
  <c r="P216" i="12"/>
  <c r="G216" i="12"/>
  <c r="C216" i="12"/>
  <c r="Q215" i="12"/>
  <c r="P215" i="12"/>
  <c r="G215" i="12"/>
  <c r="I215" i="12" s="1"/>
  <c r="J215" i="12" s="1"/>
  <c r="C215" i="12"/>
  <c r="Q214" i="12"/>
  <c r="P214" i="12"/>
  <c r="J214" i="12"/>
  <c r="G214" i="12"/>
  <c r="H214" i="12" s="1"/>
  <c r="C214" i="12"/>
  <c r="Q213" i="12"/>
  <c r="P213" i="12"/>
  <c r="G213" i="12"/>
  <c r="C213" i="12"/>
  <c r="Q212" i="12"/>
  <c r="P212" i="12"/>
  <c r="G212" i="12"/>
  <c r="C212" i="12"/>
  <c r="Q211" i="12"/>
  <c r="P211" i="12"/>
  <c r="G211" i="12"/>
  <c r="I211" i="12" s="1"/>
  <c r="J211" i="12" s="1"/>
  <c r="C211" i="12"/>
  <c r="Q210" i="12"/>
  <c r="P210" i="12"/>
  <c r="G210" i="12"/>
  <c r="C210" i="12"/>
  <c r="Q209" i="12"/>
  <c r="P209" i="12"/>
  <c r="J209" i="12"/>
  <c r="G209" i="12"/>
  <c r="C209" i="12"/>
  <c r="Q208" i="12"/>
  <c r="P208" i="12"/>
  <c r="J208" i="12"/>
  <c r="G208" i="12"/>
  <c r="H208" i="12" s="1"/>
  <c r="C208" i="12"/>
  <c r="Q207" i="12"/>
  <c r="P207" i="12"/>
  <c r="G207" i="12"/>
  <c r="C207" i="12"/>
  <c r="Q206" i="12"/>
  <c r="P206" i="12"/>
  <c r="G206" i="12"/>
  <c r="C206" i="12"/>
  <c r="Q205" i="12"/>
  <c r="P205" i="12"/>
  <c r="G205" i="12"/>
  <c r="H205" i="12" s="1"/>
  <c r="C205" i="12"/>
  <c r="Q204" i="12"/>
  <c r="P204" i="12"/>
  <c r="G204" i="12"/>
  <c r="H204" i="12" s="1"/>
  <c r="C204" i="12"/>
  <c r="Q203" i="12"/>
  <c r="P203" i="12"/>
  <c r="G203" i="12"/>
  <c r="I203" i="12" s="1"/>
  <c r="J203" i="12" s="1"/>
  <c r="C203" i="12"/>
  <c r="Q202" i="12"/>
  <c r="P202" i="12"/>
  <c r="G202" i="12"/>
  <c r="H202" i="12" s="1"/>
  <c r="C202" i="12"/>
  <c r="Q201" i="12"/>
  <c r="P201" i="12"/>
  <c r="G201" i="12"/>
  <c r="I201" i="12" s="1"/>
  <c r="J201" i="12" s="1"/>
  <c r="C201" i="12"/>
  <c r="Q200" i="12"/>
  <c r="P200" i="12"/>
  <c r="G200" i="12"/>
  <c r="C200" i="12"/>
  <c r="Q199" i="12"/>
  <c r="P199" i="12"/>
  <c r="G199" i="12"/>
  <c r="I199" i="12" s="1"/>
  <c r="J199" i="12" s="1"/>
  <c r="C199" i="12"/>
  <c r="Q198" i="12"/>
  <c r="P198" i="12"/>
  <c r="G198" i="12"/>
  <c r="C198" i="12"/>
  <c r="Q197" i="12"/>
  <c r="P197" i="12"/>
  <c r="G197" i="12"/>
  <c r="H197" i="12" s="1"/>
  <c r="C197" i="12"/>
  <c r="Q196" i="12"/>
  <c r="P196" i="12"/>
  <c r="G196" i="12"/>
  <c r="C196" i="12"/>
  <c r="Q195" i="12"/>
  <c r="P195" i="12"/>
  <c r="G195" i="12"/>
  <c r="I195" i="12" s="1"/>
  <c r="J195" i="12" s="1"/>
  <c r="C195" i="12"/>
  <c r="Q194" i="12"/>
  <c r="P194" i="12"/>
  <c r="G194" i="12"/>
  <c r="H194" i="12" s="1"/>
  <c r="C194" i="12"/>
  <c r="Q193" i="12"/>
  <c r="P193" i="12"/>
  <c r="G193" i="12"/>
  <c r="I193" i="12" s="1"/>
  <c r="J193" i="12" s="1"/>
  <c r="C193" i="12"/>
  <c r="Q192" i="12"/>
  <c r="P192" i="12"/>
  <c r="G192" i="12"/>
  <c r="I192" i="12" s="1"/>
  <c r="J192" i="12" s="1"/>
  <c r="C192" i="12"/>
  <c r="Q191" i="12"/>
  <c r="P191" i="12"/>
  <c r="G191" i="12"/>
  <c r="C191" i="12"/>
  <c r="Q190" i="12"/>
  <c r="P190" i="12"/>
  <c r="G190" i="12"/>
  <c r="C190" i="12"/>
  <c r="Q189" i="12"/>
  <c r="P189" i="12"/>
  <c r="G189" i="12"/>
  <c r="H189" i="12" s="1"/>
  <c r="C189" i="12"/>
  <c r="Q188" i="12"/>
  <c r="P188" i="12"/>
  <c r="G188" i="12"/>
  <c r="H188" i="12" s="1"/>
  <c r="C188" i="12"/>
  <c r="Q187" i="12"/>
  <c r="P187" i="12"/>
  <c r="G187" i="12"/>
  <c r="I187" i="12" s="1"/>
  <c r="J187" i="12" s="1"/>
  <c r="C187" i="12"/>
  <c r="Q186" i="12"/>
  <c r="P186" i="12"/>
  <c r="G186" i="12"/>
  <c r="H186" i="12" s="1"/>
  <c r="C186" i="12"/>
  <c r="Q185" i="12"/>
  <c r="P185" i="12"/>
  <c r="G185" i="12"/>
  <c r="I185" i="12" s="1"/>
  <c r="J185" i="12" s="1"/>
  <c r="C185" i="12"/>
  <c r="Q184" i="12"/>
  <c r="P184" i="12"/>
  <c r="G184" i="12"/>
  <c r="C184" i="12"/>
  <c r="Q183" i="12"/>
  <c r="P183" i="12"/>
  <c r="G183" i="12"/>
  <c r="I183" i="12" s="1"/>
  <c r="J183" i="12" s="1"/>
  <c r="C183" i="12"/>
  <c r="Q182" i="12"/>
  <c r="P182" i="12"/>
  <c r="G182" i="12"/>
  <c r="C182" i="12"/>
  <c r="Q181" i="12"/>
  <c r="P181" i="12"/>
  <c r="G181" i="12"/>
  <c r="C181" i="12"/>
  <c r="Q180" i="12"/>
  <c r="P180" i="12"/>
  <c r="G180" i="12"/>
  <c r="I180" i="12" s="1"/>
  <c r="J180" i="12" s="1"/>
  <c r="C180" i="12"/>
  <c r="Q179" i="12"/>
  <c r="P179" i="12"/>
  <c r="G179" i="12"/>
  <c r="I179" i="12" s="1"/>
  <c r="J179" i="12" s="1"/>
  <c r="C179" i="12"/>
  <c r="Q178" i="12"/>
  <c r="P178" i="12"/>
  <c r="G178" i="12"/>
  <c r="C178" i="12"/>
  <c r="Q177" i="12"/>
  <c r="P177" i="12"/>
  <c r="G177" i="12"/>
  <c r="C177" i="12"/>
  <c r="Q176" i="12"/>
  <c r="P176" i="12"/>
  <c r="G176" i="12"/>
  <c r="H176" i="12" s="1"/>
  <c r="C176" i="12"/>
  <c r="Q175" i="12"/>
  <c r="P175" i="12"/>
  <c r="G175" i="12"/>
  <c r="C175" i="12"/>
  <c r="Q174" i="12"/>
  <c r="P174" i="12"/>
  <c r="G174" i="12"/>
  <c r="H174" i="12" s="1"/>
  <c r="C174" i="12"/>
  <c r="Q173" i="12"/>
  <c r="P173" i="12"/>
  <c r="G173" i="12"/>
  <c r="C173" i="12"/>
  <c r="Q172" i="12"/>
  <c r="P172" i="12"/>
  <c r="G172" i="12"/>
  <c r="H172" i="12" s="1"/>
  <c r="C172" i="12"/>
  <c r="Q171" i="12"/>
  <c r="P171" i="12"/>
  <c r="G171" i="12"/>
  <c r="I171" i="12" s="1"/>
  <c r="J171" i="12" s="1"/>
  <c r="C171" i="12"/>
  <c r="Q170" i="12"/>
  <c r="P170" i="12"/>
  <c r="G170" i="12"/>
  <c r="H170" i="12" s="1"/>
  <c r="C170" i="12"/>
  <c r="Q169" i="12"/>
  <c r="P169" i="12"/>
  <c r="G169" i="12"/>
  <c r="H169" i="12" s="1"/>
  <c r="C169" i="12"/>
  <c r="Q168" i="12"/>
  <c r="P168" i="12"/>
  <c r="G168" i="12"/>
  <c r="C168" i="12"/>
  <c r="Q167" i="12"/>
  <c r="P167" i="12"/>
  <c r="G167" i="12"/>
  <c r="C167" i="12"/>
  <c r="Q166" i="12"/>
  <c r="P166" i="12"/>
  <c r="G166" i="12"/>
  <c r="C166" i="12"/>
  <c r="Q165" i="12"/>
  <c r="P165" i="12"/>
  <c r="G165" i="12"/>
  <c r="I165" i="12" s="1"/>
  <c r="J165" i="12" s="1"/>
  <c r="C165" i="12"/>
  <c r="Q164" i="12"/>
  <c r="P164" i="12"/>
  <c r="G164" i="12"/>
  <c r="C164" i="12"/>
  <c r="Q163" i="12"/>
  <c r="P163" i="12"/>
  <c r="G163" i="12"/>
  <c r="I163" i="12" s="1"/>
  <c r="J163" i="12" s="1"/>
  <c r="C163" i="12"/>
  <c r="Q162" i="12"/>
  <c r="P162" i="12"/>
  <c r="G162" i="12"/>
  <c r="H162" i="12" s="1"/>
  <c r="C162" i="12"/>
  <c r="Q161" i="12"/>
  <c r="P161" i="12"/>
  <c r="G161" i="12"/>
  <c r="H161" i="12" s="1"/>
  <c r="C161" i="12"/>
  <c r="Q160" i="12"/>
  <c r="P160" i="12"/>
  <c r="G160" i="12"/>
  <c r="H160" i="12" s="1"/>
  <c r="C160" i="12"/>
  <c r="Q159" i="12"/>
  <c r="P159" i="12"/>
  <c r="G159" i="12"/>
  <c r="C159" i="12"/>
  <c r="Q158" i="12"/>
  <c r="P158" i="12"/>
  <c r="G158" i="12"/>
  <c r="H158" i="12" s="1"/>
  <c r="C158" i="12"/>
  <c r="Q157" i="12"/>
  <c r="P157" i="12"/>
  <c r="G157" i="12"/>
  <c r="I157" i="12" s="1"/>
  <c r="J157" i="12" s="1"/>
  <c r="C157" i="12"/>
  <c r="Q156" i="12"/>
  <c r="P156" i="12"/>
  <c r="G156" i="12"/>
  <c r="H156" i="12" s="1"/>
  <c r="C156" i="12"/>
  <c r="Q155" i="12"/>
  <c r="P155" i="12"/>
  <c r="G155" i="12"/>
  <c r="I155" i="12" s="1"/>
  <c r="J155" i="12" s="1"/>
  <c r="C155" i="12"/>
  <c r="Q154" i="12"/>
  <c r="P154" i="12"/>
  <c r="G154" i="12"/>
  <c r="H154" i="12" s="1"/>
  <c r="C154" i="12"/>
  <c r="Q153" i="12"/>
  <c r="P153" i="12"/>
  <c r="G153" i="12"/>
  <c r="C153" i="12"/>
  <c r="Q152" i="12"/>
  <c r="P152" i="12"/>
  <c r="G152" i="12"/>
  <c r="C152" i="12"/>
  <c r="Q151" i="12"/>
  <c r="P151" i="12"/>
  <c r="G151" i="12"/>
  <c r="I151" i="12" s="1"/>
  <c r="J151" i="12" s="1"/>
  <c r="C151" i="12"/>
  <c r="Q150" i="12"/>
  <c r="P150" i="12"/>
  <c r="G150" i="12"/>
  <c r="C150" i="12"/>
  <c r="Q149" i="12"/>
  <c r="P149" i="12"/>
  <c r="G149" i="12"/>
  <c r="C149" i="12"/>
  <c r="Q148" i="12"/>
  <c r="P148" i="12"/>
  <c r="G148" i="12"/>
  <c r="I148" i="12" s="1"/>
  <c r="J148" i="12" s="1"/>
  <c r="C148" i="12"/>
  <c r="Q147" i="12"/>
  <c r="P147" i="12"/>
  <c r="G147" i="12"/>
  <c r="I147" i="12" s="1"/>
  <c r="J147" i="12" s="1"/>
  <c r="C147" i="12"/>
  <c r="Q146" i="12"/>
  <c r="P146" i="12"/>
  <c r="G146" i="12"/>
  <c r="C146" i="12"/>
  <c r="Q145" i="12"/>
  <c r="P145" i="12"/>
  <c r="G145" i="12"/>
  <c r="I145" i="12" s="1"/>
  <c r="J145" i="12" s="1"/>
  <c r="C145" i="12"/>
  <c r="Q144" i="12"/>
  <c r="P144" i="12"/>
  <c r="G144" i="12"/>
  <c r="H144" i="12" s="1"/>
  <c r="C144" i="12"/>
  <c r="Q143" i="12"/>
  <c r="P143" i="12"/>
  <c r="G143" i="12"/>
  <c r="C143" i="12"/>
  <c r="Q142" i="12"/>
  <c r="P142" i="12"/>
  <c r="G142" i="12"/>
  <c r="H142" i="12" s="1"/>
  <c r="C142" i="12"/>
  <c r="Q141" i="12"/>
  <c r="P141" i="12"/>
  <c r="G141" i="12"/>
  <c r="H141" i="12" s="1"/>
  <c r="C141" i="12"/>
  <c r="Q140" i="12"/>
  <c r="P140" i="12"/>
  <c r="G140" i="12"/>
  <c r="C140" i="12"/>
  <c r="Q139" i="12"/>
  <c r="P139" i="12"/>
  <c r="G139" i="12"/>
  <c r="I139" i="12" s="1"/>
  <c r="J139" i="12" s="1"/>
  <c r="C139" i="12"/>
  <c r="Q138" i="12"/>
  <c r="P138" i="12"/>
  <c r="G138" i="12"/>
  <c r="I138" i="12" s="1"/>
  <c r="J138" i="12" s="1"/>
  <c r="C138" i="12"/>
  <c r="Q137" i="12"/>
  <c r="P137" i="12"/>
  <c r="G137" i="12"/>
  <c r="C137" i="12"/>
  <c r="Q136" i="12"/>
  <c r="P136" i="12"/>
  <c r="G136" i="12"/>
  <c r="H136" i="12" s="1"/>
  <c r="C136" i="12"/>
  <c r="Q135" i="12"/>
  <c r="P135" i="12"/>
  <c r="G135" i="12"/>
  <c r="I135" i="12" s="1"/>
  <c r="J135" i="12" s="1"/>
  <c r="C135" i="12"/>
  <c r="Q134" i="12"/>
  <c r="P134" i="12"/>
  <c r="G134" i="12"/>
  <c r="I134" i="12" s="1"/>
  <c r="J134" i="12" s="1"/>
  <c r="C134" i="12"/>
  <c r="Q133" i="12"/>
  <c r="P133" i="12"/>
  <c r="G133" i="12"/>
  <c r="C133" i="12"/>
  <c r="Q132" i="12"/>
  <c r="P132" i="12"/>
  <c r="G132" i="12"/>
  <c r="H132" i="12" s="1"/>
  <c r="C132" i="12"/>
  <c r="Q131" i="12"/>
  <c r="P131" i="12"/>
  <c r="G131" i="12"/>
  <c r="I131" i="12" s="1"/>
  <c r="J131" i="12" s="1"/>
  <c r="C131" i="12"/>
  <c r="Q130" i="12"/>
  <c r="P130" i="12"/>
  <c r="G130" i="12"/>
  <c r="I130" i="12" s="1"/>
  <c r="J130" i="12" s="1"/>
  <c r="C130" i="12"/>
  <c r="Q129" i="12"/>
  <c r="P129" i="12"/>
  <c r="G129" i="12"/>
  <c r="C129" i="12"/>
  <c r="Q128" i="12"/>
  <c r="P128" i="12"/>
  <c r="G128" i="12"/>
  <c r="H128" i="12" s="1"/>
  <c r="C128" i="12"/>
  <c r="Q127" i="12"/>
  <c r="P127" i="12"/>
  <c r="G127" i="12"/>
  <c r="I127" i="12" s="1"/>
  <c r="J127" i="12" s="1"/>
  <c r="C127" i="12"/>
  <c r="Q126" i="12"/>
  <c r="P126" i="12"/>
  <c r="G126" i="12"/>
  <c r="I126" i="12" s="1"/>
  <c r="J126" i="12" s="1"/>
  <c r="C126" i="12"/>
  <c r="Q125" i="12"/>
  <c r="P125" i="12"/>
  <c r="G125" i="12"/>
  <c r="C125" i="12"/>
  <c r="Q124" i="12"/>
  <c r="P124" i="12"/>
  <c r="G124" i="12"/>
  <c r="H124" i="12" s="1"/>
  <c r="C124" i="12"/>
  <c r="Q123" i="12"/>
  <c r="P123" i="12"/>
  <c r="G123" i="12"/>
  <c r="I123" i="12" s="1"/>
  <c r="J123" i="12" s="1"/>
  <c r="C123" i="12"/>
  <c r="Q122" i="12"/>
  <c r="P122" i="12"/>
  <c r="G122" i="12"/>
  <c r="I122" i="12" s="1"/>
  <c r="J122" i="12" s="1"/>
  <c r="C122" i="12"/>
  <c r="Q121" i="12"/>
  <c r="P121" i="12"/>
  <c r="G121" i="12"/>
  <c r="C121" i="12"/>
  <c r="Q120" i="12"/>
  <c r="P120" i="12"/>
  <c r="G120" i="12"/>
  <c r="H120" i="12" s="1"/>
  <c r="C120" i="12"/>
  <c r="Q119" i="12"/>
  <c r="P119" i="12"/>
  <c r="G119" i="12"/>
  <c r="I119" i="12" s="1"/>
  <c r="J119" i="12" s="1"/>
  <c r="C119" i="12"/>
  <c r="Q118" i="12"/>
  <c r="P118" i="12"/>
  <c r="G118" i="12"/>
  <c r="I118" i="12" s="1"/>
  <c r="J118" i="12" s="1"/>
  <c r="C118" i="12"/>
  <c r="Q117" i="12"/>
  <c r="P117" i="12"/>
  <c r="G117" i="12"/>
  <c r="C117" i="12"/>
  <c r="Q116" i="12"/>
  <c r="P116" i="12"/>
  <c r="G116" i="12"/>
  <c r="H116" i="12" s="1"/>
  <c r="C116" i="12"/>
  <c r="Q115" i="12"/>
  <c r="P115" i="12"/>
  <c r="G115" i="12"/>
  <c r="I115" i="12" s="1"/>
  <c r="J115" i="12" s="1"/>
  <c r="C115" i="12"/>
  <c r="Q114" i="12"/>
  <c r="P114" i="12"/>
  <c r="G114" i="12"/>
  <c r="I114" i="12" s="1"/>
  <c r="J114" i="12" s="1"/>
  <c r="C114" i="12"/>
  <c r="Q113" i="12"/>
  <c r="P113" i="12"/>
  <c r="G113" i="12"/>
  <c r="C113" i="12"/>
  <c r="Q112" i="12"/>
  <c r="P112" i="12"/>
  <c r="G112" i="12"/>
  <c r="H112" i="12" s="1"/>
  <c r="C112" i="12"/>
  <c r="Q111" i="12"/>
  <c r="P111" i="12"/>
  <c r="G111" i="12"/>
  <c r="I111" i="12" s="1"/>
  <c r="J111" i="12" s="1"/>
  <c r="C111" i="12"/>
  <c r="Q110" i="12"/>
  <c r="P110" i="12"/>
  <c r="G110" i="12"/>
  <c r="I110" i="12" s="1"/>
  <c r="J110" i="12" s="1"/>
  <c r="C110" i="12"/>
  <c r="Q109" i="12"/>
  <c r="P109" i="12"/>
  <c r="G109" i="12"/>
  <c r="C109" i="12"/>
  <c r="Q108" i="12"/>
  <c r="P108" i="12"/>
  <c r="G108" i="12"/>
  <c r="H108" i="12" s="1"/>
  <c r="C108" i="12"/>
  <c r="Q107" i="12"/>
  <c r="P107" i="12"/>
  <c r="G107" i="12"/>
  <c r="C107" i="12"/>
  <c r="Q106" i="12"/>
  <c r="P106" i="12"/>
  <c r="G106" i="12"/>
  <c r="I106" i="12" s="1"/>
  <c r="J106" i="12" s="1"/>
  <c r="C106" i="12"/>
  <c r="Q105" i="12"/>
  <c r="P105" i="12"/>
  <c r="G105" i="12"/>
  <c r="C105" i="12"/>
  <c r="Q104" i="12"/>
  <c r="P104" i="12"/>
  <c r="G104" i="12"/>
  <c r="H104" i="12" s="1"/>
  <c r="C104" i="12"/>
  <c r="Q103" i="12"/>
  <c r="P103" i="12"/>
  <c r="G103" i="12"/>
  <c r="H103" i="12" s="1"/>
  <c r="C103" i="12"/>
  <c r="Q102" i="12"/>
  <c r="P102" i="12"/>
  <c r="G102" i="12"/>
  <c r="I102" i="12" s="1"/>
  <c r="J102" i="12" s="1"/>
  <c r="C102" i="12"/>
  <c r="Q101" i="12"/>
  <c r="P101" i="12"/>
  <c r="G101" i="12"/>
  <c r="C101" i="12"/>
  <c r="Q100" i="12"/>
  <c r="P100" i="12"/>
  <c r="G100" i="12"/>
  <c r="H100" i="12" s="1"/>
  <c r="C100" i="12"/>
  <c r="Q99" i="12"/>
  <c r="P99" i="12"/>
  <c r="G99" i="12"/>
  <c r="H99" i="12" s="1"/>
  <c r="C99" i="12"/>
  <c r="Q98" i="12"/>
  <c r="P98" i="12"/>
  <c r="G98" i="12"/>
  <c r="C98" i="12"/>
  <c r="Q97" i="12"/>
  <c r="P97" i="12"/>
  <c r="G97" i="12"/>
  <c r="C97" i="12"/>
  <c r="Q96" i="12"/>
  <c r="P96" i="12"/>
  <c r="G96" i="12"/>
  <c r="H96" i="12" s="1"/>
  <c r="C96" i="12"/>
  <c r="Q95" i="12"/>
  <c r="P95" i="12"/>
  <c r="G95" i="12"/>
  <c r="H95" i="12" s="1"/>
  <c r="C95" i="12"/>
  <c r="Q94" i="12"/>
  <c r="P94" i="12"/>
  <c r="G94" i="12"/>
  <c r="I94" i="12" s="1"/>
  <c r="J94" i="12" s="1"/>
  <c r="C94" i="12"/>
  <c r="Q93" i="12"/>
  <c r="P93" i="12"/>
  <c r="J93" i="12"/>
  <c r="G93" i="12"/>
  <c r="C93" i="12"/>
  <c r="Q92" i="12"/>
  <c r="P92" i="12"/>
  <c r="G92" i="12"/>
  <c r="H92" i="12" s="1"/>
  <c r="C92" i="12"/>
  <c r="Q91" i="12"/>
  <c r="P91" i="12"/>
  <c r="G91" i="12"/>
  <c r="C91" i="12"/>
  <c r="Q90" i="12"/>
  <c r="P90" i="12"/>
  <c r="G90" i="12"/>
  <c r="I90" i="12" s="1"/>
  <c r="J90" i="12" s="1"/>
  <c r="C90" i="12"/>
  <c r="Q89" i="12"/>
  <c r="P89" i="12"/>
  <c r="G89" i="12"/>
  <c r="C89" i="12"/>
  <c r="Q88" i="12"/>
  <c r="P88" i="12"/>
  <c r="G88" i="12"/>
  <c r="H88" i="12" s="1"/>
  <c r="C88" i="12"/>
  <c r="Q87" i="12"/>
  <c r="P87" i="12"/>
  <c r="G87" i="12"/>
  <c r="H87" i="12" s="1"/>
  <c r="C87" i="12"/>
  <c r="Q86" i="12"/>
  <c r="P86" i="12"/>
  <c r="G86" i="12"/>
  <c r="I86" i="12" s="1"/>
  <c r="J86" i="12" s="1"/>
  <c r="C86" i="12"/>
  <c r="Q85" i="12"/>
  <c r="P85" i="12"/>
  <c r="G85" i="12"/>
  <c r="C85" i="12"/>
  <c r="Q84" i="12"/>
  <c r="P84" i="12"/>
  <c r="G84" i="12"/>
  <c r="C84" i="12"/>
  <c r="Q83" i="12"/>
  <c r="P83" i="12"/>
  <c r="G83" i="12"/>
  <c r="I83" i="12" s="1"/>
  <c r="J83" i="12" s="1"/>
  <c r="C83" i="12"/>
  <c r="Q82" i="12"/>
  <c r="P82" i="12"/>
  <c r="G82" i="12"/>
  <c r="I82" i="12" s="1"/>
  <c r="J82" i="12" s="1"/>
  <c r="C82" i="12"/>
  <c r="Q81" i="12"/>
  <c r="P81" i="12"/>
  <c r="G81" i="12"/>
  <c r="C81" i="12"/>
  <c r="Q80" i="12"/>
  <c r="P80" i="12"/>
  <c r="G80" i="12"/>
  <c r="H80" i="12" s="1"/>
  <c r="C80" i="12"/>
  <c r="Q79" i="12"/>
  <c r="P79" i="12"/>
  <c r="G79" i="12"/>
  <c r="I79" i="12" s="1"/>
  <c r="J79" i="12" s="1"/>
  <c r="C79" i="12"/>
  <c r="Q78" i="12"/>
  <c r="P78" i="12"/>
  <c r="G78" i="12"/>
  <c r="I78" i="12" s="1"/>
  <c r="J78" i="12" s="1"/>
  <c r="C78" i="12"/>
  <c r="Q77" i="12"/>
  <c r="P77" i="12"/>
  <c r="G77" i="12"/>
  <c r="C77" i="12"/>
  <c r="Q76" i="12"/>
  <c r="P76" i="12"/>
  <c r="G76" i="12"/>
  <c r="H76" i="12" s="1"/>
  <c r="C76" i="12"/>
  <c r="Q75" i="12"/>
  <c r="P75" i="12"/>
  <c r="G75" i="12"/>
  <c r="I75" i="12" s="1"/>
  <c r="J75" i="12" s="1"/>
  <c r="C75" i="12"/>
  <c r="Q74" i="12"/>
  <c r="P74" i="12"/>
  <c r="G74" i="12"/>
  <c r="I74" i="12" s="1"/>
  <c r="J74" i="12" s="1"/>
  <c r="C74" i="12"/>
  <c r="Q73" i="12"/>
  <c r="P73" i="12"/>
  <c r="G73" i="12"/>
  <c r="C73" i="12"/>
  <c r="Q72" i="12"/>
  <c r="P72" i="12"/>
  <c r="G72" i="12"/>
  <c r="H72" i="12" s="1"/>
  <c r="C72" i="12"/>
  <c r="Q71" i="12"/>
  <c r="P71" i="12"/>
  <c r="G71" i="12"/>
  <c r="I71" i="12" s="1"/>
  <c r="J71" i="12" s="1"/>
  <c r="C71" i="12"/>
  <c r="Q70" i="12"/>
  <c r="P70" i="12"/>
  <c r="G70" i="12"/>
  <c r="I70" i="12" s="1"/>
  <c r="J70" i="12" s="1"/>
  <c r="C70" i="12"/>
  <c r="Q69" i="12"/>
  <c r="P69" i="12"/>
  <c r="G69" i="12"/>
  <c r="C69" i="12"/>
  <c r="Q68" i="12"/>
  <c r="P68" i="12"/>
  <c r="G68" i="12"/>
  <c r="H68" i="12" s="1"/>
  <c r="C68" i="12"/>
  <c r="Q67" i="12"/>
  <c r="P67" i="12"/>
  <c r="G67" i="12"/>
  <c r="I67" i="12" s="1"/>
  <c r="J67" i="12" s="1"/>
  <c r="C67" i="12"/>
  <c r="Q66" i="12"/>
  <c r="P66" i="12"/>
  <c r="G66" i="12"/>
  <c r="I66" i="12" s="1"/>
  <c r="J66" i="12" s="1"/>
  <c r="C66" i="12"/>
  <c r="Q65" i="12"/>
  <c r="P65" i="12"/>
  <c r="G65" i="12"/>
  <c r="C65" i="12"/>
  <c r="Q64" i="12"/>
  <c r="P64" i="12"/>
  <c r="G64" i="12"/>
  <c r="H64" i="12" s="1"/>
  <c r="C64" i="12"/>
  <c r="Q63" i="12"/>
  <c r="P63" i="12"/>
  <c r="G63" i="12"/>
  <c r="I63" i="12" s="1"/>
  <c r="J63" i="12" s="1"/>
  <c r="C63" i="12"/>
  <c r="Q62" i="12"/>
  <c r="P62" i="12"/>
  <c r="G62" i="12"/>
  <c r="I62" i="12" s="1"/>
  <c r="J62" i="12" s="1"/>
  <c r="C62" i="12"/>
  <c r="Q61" i="12"/>
  <c r="P61" i="12"/>
  <c r="G61" i="12"/>
  <c r="C61" i="12"/>
  <c r="Q60" i="12"/>
  <c r="P60" i="12"/>
  <c r="G60" i="12"/>
  <c r="H60" i="12" s="1"/>
  <c r="C60" i="12"/>
  <c r="Q59" i="12"/>
  <c r="P59" i="12"/>
  <c r="G59" i="12"/>
  <c r="I59" i="12" s="1"/>
  <c r="J59" i="12" s="1"/>
  <c r="C59" i="12"/>
  <c r="Q58" i="12"/>
  <c r="P58" i="12"/>
  <c r="G58" i="12"/>
  <c r="I58" i="12" s="1"/>
  <c r="J58" i="12" s="1"/>
  <c r="C58" i="12"/>
  <c r="Q57" i="12"/>
  <c r="P57" i="12"/>
  <c r="G57" i="12"/>
  <c r="C57" i="12"/>
  <c r="Q56" i="12"/>
  <c r="P56" i="12"/>
  <c r="G56" i="12"/>
  <c r="H56" i="12" s="1"/>
  <c r="C56" i="12"/>
  <c r="Q55" i="12"/>
  <c r="P55" i="12"/>
  <c r="G55" i="12"/>
  <c r="I55" i="12" s="1"/>
  <c r="J55" i="12" s="1"/>
  <c r="C55" i="12"/>
  <c r="Q54" i="12"/>
  <c r="P54" i="12"/>
  <c r="G54" i="12"/>
  <c r="I54" i="12" s="1"/>
  <c r="J54" i="12" s="1"/>
  <c r="C54" i="12"/>
  <c r="Q53" i="12"/>
  <c r="P53" i="12"/>
  <c r="G53" i="12"/>
  <c r="C53" i="12"/>
  <c r="Q52" i="12"/>
  <c r="P52" i="12"/>
  <c r="G52" i="12"/>
  <c r="H52" i="12" s="1"/>
  <c r="C52" i="12"/>
  <c r="Q51" i="12"/>
  <c r="P51" i="12"/>
  <c r="G51" i="12"/>
  <c r="C51" i="12"/>
  <c r="Q50" i="12"/>
  <c r="P50" i="12"/>
  <c r="G50" i="12"/>
  <c r="I50" i="12" s="1"/>
  <c r="J50" i="12" s="1"/>
  <c r="C50" i="12"/>
  <c r="Q49" i="12"/>
  <c r="P49" i="12"/>
  <c r="G49" i="12"/>
  <c r="C49" i="12"/>
  <c r="Q48" i="12"/>
  <c r="P48" i="12"/>
  <c r="G48" i="12"/>
  <c r="H48" i="12" s="1"/>
  <c r="C48" i="12"/>
  <c r="Q47" i="12"/>
  <c r="P47" i="12"/>
  <c r="G47" i="12"/>
  <c r="H47" i="12" s="1"/>
  <c r="C47" i="12"/>
  <c r="Q46" i="12"/>
  <c r="P46" i="12"/>
  <c r="G46" i="12"/>
  <c r="I46" i="12" s="1"/>
  <c r="J46" i="12" s="1"/>
  <c r="C46" i="12"/>
  <c r="Q45" i="12"/>
  <c r="P45" i="12"/>
  <c r="G45" i="12"/>
  <c r="C45" i="12"/>
  <c r="Q44" i="12"/>
  <c r="P44" i="12"/>
  <c r="G44" i="12"/>
  <c r="H44" i="12" s="1"/>
  <c r="C44" i="12"/>
  <c r="Q43" i="12"/>
  <c r="P43" i="12"/>
  <c r="G43" i="12"/>
  <c r="H43" i="12" s="1"/>
  <c r="C43" i="12"/>
  <c r="Q42" i="12"/>
  <c r="P42" i="12"/>
  <c r="G42" i="12"/>
  <c r="C42" i="12"/>
  <c r="Q41" i="12"/>
  <c r="P41" i="12"/>
  <c r="G41" i="12"/>
  <c r="C41" i="12"/>
  <c r="Q40" i="12"/>
  <c r="P40" i="12"/>
  <c r="G40" i="12"/>
  <c r="H40" i="12" s="1"/>
  <c r="C40" i="12"/>
  <c r="Q39" i="12"/>
  <c r="P39" i="12"/>
  <c r="G39" i="12"/>
  <c r="H39" i="12" s="1"/>
  <c r="C39" i="12"/>
  <c r="Q38" i="12"/>
  <c r="P38" i="12"/>
  <c r="G38" i="12"/>
  <c r="I38" i="12" s="1"/>
  <c r="J38" i="12" s="1"/>
  <c r="C38" i="12"/>
  <c r="Q37" i="12"/>
  <c r="P37" i="12"/>
  <c r="G37" i="12"/>
  <c r="C37" i="12"/>
  <c r="Q36" i="12"/>
  <c r="P36" i="12"/>
  <c r="G36" i="12"/>
  <c r="H36" i="12" s="1"/>
  <c r="C36" i="12"/>
  <c r="Q35" i="12"/>
  <c r="P35" i="12"/>
  <c r="G35" i="12"/>
  <c r="H35" i="12" s="1"/>
  <c r="C35" i="12"/>
  <c r="Q34" i="12"/>
  <c r="P34" i="12"/>
  <c r="G34" i="12"/>
  <c r="C34" i="12"/>
  <c r="Q33" i="12"/>
  <c r="P33" i="12"/>
  <c r="G33" i="12"/>
  <c r="C33" i="12"/>
  <c r="Q32" i="12"/>
  <c r="P32" i="12"/>
  <c r="G32" i="12"/>
  <c r="H32" i="12" s="1"/>
  <c r="C32" i="12"/>
  <c r="Q31" i="12"/>
  <c r="P31" i="12"/>
  <c r="G31" i="12"/>
  <c r="H31" i="12" s="1"/>
  <c r="C31" i="12"/>
  <c r="Q30" i="12"/>
  <c r="P30" i="12"/>
  <c r="G30" i="12"/>
  <c r="C30" i="12"/>
  <c r="Q29" i="12"/>
  <c r="P29" i="12"/>
  <c r="G29" i="12"/>
  <c r="C29" i="12"/>
  <c r="Q28" i="12"/>
  <c r="P28" i="12"/>
  <c r="G28" i="12"/>
  <c r="C28" i="12"/>
  <c r="Q27" i="12"/>
  <c r="P27" i="12"/>
  <c r="G27" i="12"/>
  <c r="I27" i="12" s="1"/>
  <c r="J27" i="12" s="1"/>
  <c r="C27" i="12"/>
  <c r="Q26" i="12"/>
  <c r="P26" i="12"/>
  <c r="G26" i="12"/>
  <c r="H26" i="12" s="1"/>
  <c r="C26" i="12"/>
  <c r="Q25" i="12"/>
  <c r="P25" i="12"/>
  <c r="G25" i="12"/>
  <c r="C25" i="12"/>
  <c r="Q24" i="12"/>
  <c r="P24" i="12"/>
  <c r="G24" i="12"/>
  <c r="C24" i="12"/>
  <c r="Q23" i="12"/>
  <c r="P23" i="12"/>
  <c r="G23" i="12"/>
  <c r="I23" i="12" s="1"/>
  <c r="J23" i="12" s="1"/>
  <c r="C23" i="12"/>
  <c r="Q22" i="12"/>
  <c r="P22" i="12"/>
  <c r="G22" i="12"/>
  <c r="I22" i="12" s="1"/>
  <c r="J22" i="12" s="1"/>
  <c r="C22" i="12"/>
  <c r="Q21" i="12"/>
  <c r="P21" i="12"/>
  <c r="G21" i="12"/>
  <c r="I21" i="12" s="1"/>
  <c r="J21" i="12" s="1"/>
  <c r="C21" i="12"/>
  <c r="Q20" i="12"/>
  <c r="P20" i="12"/>
  <c r="G20" i="12"/>
  <c r="H20" i="12" s="1"/>
  <c r="C20" i="12"/>
  <c r="Q19" i="12"/>
  <c r="P19" i="12"/>
  <c r="G19" i="12"/>
  <c r="I19" i="12" s="1"/>
  <c r="J19" i="12" s="1"/>
  <c r="C19" i="12"/>
  <c r="Q18" i="12"/>
  <c r="P18" i="12"/>
  <c r="G18" i="12"/>
  <c r="H18" i="12" s="1"/>
  <c r="C18" i="12"/>
  <c r="Q17" i="12"/>
  <c r="P17" i="12"/>
  <c r="G17" i="12"/>
  <c r="C17" i="12"/>
  <c r="Q16" i="12"/>
  <c r="P16" i="12"/>
  <c r="G16" i="12"/>
  <c r="H16" i="12" s="1"/>
  <c r="C16" i="12"/>
  <c r="Q15" i="12"/>
  <c r="P15" i="12"/>
  <c r="G15" i="12"/>
  <c r="I15" i="12" s="1"/>
  <c r="J15" i="12" s="1"/>
  <c r="C15" i="12"/>
  <c r="Q14" i="12"/>
  <c r="P14" i="12"/>
  <c r="G14" i="12"/>
  <c r="I14" i="12" s="1"/>
  <c r="J14" i="12" s="1"/>
  <c r="C14" i="12"/>
  <c r="Q13" i="12"/>
  <c r="P13" i="12"/>
  <c r="G13" i="12"/>
  <c r="I13" i="12" s="1"/>
  <c r="J13" i="12" s="1"/>
  <c r="C13" i="12"/>
  <c r="Q12" i="12"/>
  <c r="P12" i="12"/>
  <c r="G12" i="12"/>
  <c r="H12" i="12" s="1"/>
  <c r="C12" i="12"/>
  <c r="Q11" i="12"/>
  <c r="P11" i="12"/>
  <c r="G11" i="12"/>
  <c r="H11" i="12" s="1"/>
  <c r="C11" i="12"/>
  <c r="Q10" i="12"/>
  <c r="P10" i="12"/>
  <c r="G10" i="12"/>
  <c r="C10" i="12"/>
  <c r="Q9" i="12"/>
  <c r="P9" i="12"/>
  <c r="G9" i="12"/>
  <c r="I9" i="12" s="1"/>
  <c r="J9" i="12" s="1"/>
  <c r="C9" i="12"/>
  <c r="Q8" i="12"/>
  <c r="P8" i="12"/>
  <c r="G8" i="12"/>
  <c r="C8" i="12"/>
  <c r="Q7" i="12"/>
  <c r="P7" i="12"/>
  <c r="G7" i="12"/>
  <c r="I7" i="12" s="1"/>
  <c r="J7" i="12" s="1"/>
  <c r="C7" i="12"/>
  <c r="Q6" i="12"/>
  <c r="P6" i="12"/>
  <c r="G6" i="12"/>
  <c r="I6" i="12" s="1"/>
  <c r="J6" i="12" s="1"/>
  <c r="C6" i="12"/>
  <c r="Q5" i="12"/>
  <c r="P5" i="12"/>
  <c r="G5" i="12"/>
  <c r="I5" i="12" s="1"/>
  <c r="J5" i="12" s="1"/>
  <c r="C5" i="12"/>
  <c r="Q4" i="12"/>
  <c r="P4" i="12"/>
  <c r="G4" i="12"/>
  <c r="C4" i="12"/>
  <c r="Q3" i="12"/>
  <c r="P3" i="12"/>
  <c r="G3" i="12"/>
  <c r="H3" i="12" s="1"/>
  <c r="C3" i="12"/>
  <c r="Q2" i="12"/>
  <c r="P2" i="12"/>
  <c r="G2" i="12"/>
  <c r="I2" i="12" s="1"/>
  <c r="J2" i="12" s="1"/>
  <c r="C2" i="12"/>
  <c r="I197" i="12" l="1"/>
  <c r="J197" i="12" s="1"/>
  <c r="I248" i="12"/>
  <c r="J248" i="12" s="1"/>
  <c r="H317" i="12"/>
  <c r="I252" i="12"/>
  <c r="J252" i="12" s="1"/>
  <c r="I295" i="12"/>
  <c r="J295" i="12" s="1"/>
  <c r="I311" i="12"/>
  <c r="J311" i="12" s="1"/>
  <c r="H357" i="12"/>
  <c r="H464" i="12"/>
  <c r="I307" i="12"/>
  <c r="J307" i="12" s="1"/>
  <c r="I380" i="12"/>
  <c r="J380" i="12" s="1"/>
  <c r="I16" i="12"/>
  <c r="J16" i="12" s="1"/>
  <c r="H114" i="12"/>
  <c r="I169" i="12"/>
  <c r="J169" i="12" s="1"/>
  <c r="I237" i="12"/>
  <c r="J237" i="12" s="1"/>
  <c r="I39" i="12"/>
  <c r="J39" i="12" s="1"/>
  <c r="H139" i="12"/>
  <c r="H192" i="12"/>
  <c r="H79" i="12"/>
  <c r="I271" i="12"/>
  <c r="J271" i="12" s="1"/>
  <c r="H335" i="12"/>
  <c r="I352" i="12"/>
  <c r="J352" i="12" s="1"/>
  <c r="I416" i="12"/>
  <c r="J416" i="12" s="1"/>
  <c r="I368" i="12"/>
  <c r="J368" i="12" s="1"/>
  <c r="I291" i="12"/>
  <c r="J291" i="12" s="1"/>
  <c r="I345" i="12"/>
  <c r="J345" i="12" s="1"/>
  <c r="I377" i="12"/>
  <c r="J377" i="12" s="1"/>
  <c r="I389" i="12"/>
  <c r="J389" i="12" s="1"/>
  <c r="H415" i="12"/>
  <c r="I348" i="12"/>
  <c r="J348" i="12" s="1"/>
  <c r="H372" i="12"/>
  <c r="I457" i="12"/>
  <c r="J457" i="12" s="1"/>
  <c r="H5" i="12"/>
  <c r="H23" i="12"/>
  <c r="I47" i="12"/>
  <c r="J47" i="12" s="1"/>
  <c r="I88" i="12"/>
  <c r="J88" i="12" s="1"/>
  <c r="H58" i="12"/>
  <c r="I158" i="12"/>
  <c r="J158" i="12" s="1"/>
  <c r="H183" i="12"/>
  <c r="I204" i="12"/>
  <c r="J204" i="12" s="1"/>
  <c r="H215" i="12"/>
  <c r="H224" i="12"/>
  <c r="I11" i="12"/>
  <c r="J11" i="12" s="1"/>
  <c r="I31" i="12"/>
  <c r="J31" i="12" s="1"/>
  <c r="H67" i="12"/>
  <c r="I95" i="12"/>
  <c r="J95" i="12" s="1"/>
  <c r="I160" i="12"/>
  <c r="J160" i="12" s="1"/>
  <c r="I194" i="12"/>
  <c r="J194" i="12" s="1"/>
  <c r="I220" i="12"/>
  <c r="J220" i="12" s="1"/>
  <c r="H240" i="12"/>
  <c r="H261" i="12"/>
  <c r="I270" i="12"/>
  <c r="J270" i="12" s="1"/>
  <c r="H285" i="12"/>
  <c r="H151" i="12"/>
  <c r="I189" i="12"/>
  <c r="J189" i="12" s="1"/>
  <c r="H221" i="12"/>
  <c r="H299" i="12"/>
  <c r="H325" i="12"/>
  <c r="H336" i="12"/>
  <c r="H356" i="12"/>
  <c r="I364" i="12"/>
  <c r="J364" i="12" s="1"/>
  <c r="H411" i="12"/>
  <c r="H419" i="12"/>
  <c r="I444" i="12"/>
  <c r="J444" i="12" s="1"/>
  <c r="I448" i="12"/>
  <c r="J448" i="12" s="1"/>
  <c r="I144" i="12"/>
  <c r="J144" i="12" s="1"/>
  <c r="I156" i="12"/>
  <c r="J156" i="12" s="1"/>
  <c r="H165" i="12"/>
  <c r="I188" i="12"/>
  <c r="J188" i="12" s="1"/>
  <c r="H201" i="12"/>
  <c r="I208" i="12"/>
  <c r="I217" i="12"/>
  <c r="J217" i="12" s="1"/>
  <c r="I234" i="12"/>
  <c r="J234" i="12" s="1"/>
  <c r="H243" i="12"/>
  <c r="I249" i="12"/>
  <c r="J249" i="12" s="1"/>
  <c r="H257" i="12"/>
  <c r="H265" i="12"/>
  <c r="H274" i="12"/>
  <c r="H281" i="12"/>
  <c r="I288" i="12"/>
  <c r="J288" i="12" s="1"/>
  <c r="H297" i="12"/>
  <c r="H303" i="12"/>
  <c r="I308" i="12"/>
  <c r="J308" i="12" s="1"/>
  <c r="H315" i="12"/>
  <c r="H318" i="12"/>
  <c r="H327" i="12"/>
  <c r="H333" i="12"/>
  <c r="H337" i="12"/>
  <c r="H347" i="12"/>
  <c r="I354" i="12"/>
  <c r="J354" i="12" s="1"/>
  <c r="H363" i="12"/>
  <c r="I370" i="12"/>
  <c r="J370" i="12" s="1"/>
  <c r="H379" i="12"/>
  <c r="I386" i="12"/>
  <c r="J386" i="12" s="1"/>
  <c r="I394" i="12"/>
  <c r="J394" i="12" s="1"/>
  <c r="H399" i="12"/>
  <c r="I408" i="12"/>
  <c r="J408" i="12" s="1"/>
  <c r="H413" i="12"/>
  <c r="H417" i="12"/>
  <c r="I449" i="12"/>
  <c r="J449" i="12" s="1"/>
  <c r="H14" i="12"/>
  <c r="I18" i="12"/>
  <c r="J18" i="12" s="1"/>
  <c r="I32" i="12"/>
  <c r="J32" i="12" s="1"/>
  <c r="I40" i="12"/>
  <c r="J40" i="12" s="1"/>
  <c r="I48" i="12"/>
  <c r="J48" i="12" s="1"/>
  <c r="H59" i="12"/>
  <c r="H71" i="12"/>
  <c r="H83" i="12"/>
  <c r="I92" i="12"/>
  <c r="J92" i="12" s="1"/>
  <c r="I99" i="12"/>
  <c r="J99" i="12" s="1"/>
  <c r="H122" i="12"/>
  <c r="I141" i="12"/>
  <c r="J141" i="12" s="1"/>
  <c r="I161" i="12"/>
  <c r="J161" i="12" s="1"/>
  <c r="H185" i="12"/>
  <c r="I205" i="12"/>
  <c r="J205" i="12" s="1"/>
  <c r="H211" i="12"/>
  <c r="I229" i="12"/>
  <c r="J229" i="12" s="1"/>
  <c r="H241" i="12"/>
  <c r="H256" i="12"/>
  <c r="H279" i="12"/>
  <c r="I286" i="12"/>
  <c r="J286" i="12" s="1"/>
  <c r="H301" i="12"/>
  <c r="I20" i="12"/>
  <c r="J20" i="12" s="1"/>
  <c r="H27" i="12"/>
  <c r="I35" i="12"/>
  <c r="J35" i="12" s="1"/>
  <c r="I43" i="12"/>
  <c r="J43" i="12" s="1"/>
  <c r="I52" i="12"/>
  <c r="J52" i="12" s="1"/>
  <c r="H63" i="12"/>
  <c r="H74" i="12"/>
  <c r="I103" i="12"/>
  <c r="J103" i="12" s="1"/>
  <c r="H130" i="12"/>
  <c r="I3" i="12"/>
  <c r="J3" i="12" s="1"/>
  <c r="H15" i="12"/>
  <c r="H21" i="12"/>
  <c r="I36" i="12"/>
  <c r="J36" i="12" s="1"/>
  <c r="I44" i="12"/>
  <c r="J44" i="12" s="1"/>
  <c r="H55" i="12"/>
  <c r="H66" i="12"/>
  <c r="H75" i="12"/>
  <c r="I87" i="12"/>
  <c r="J87" i="12" s="1"/>
  <c r="I108" i="12"/>
  <c r="J108" i="12" s="1"/>
  <c r="H290" i="12"/>
  <c r="H294" i="12"/>
  <c r="I322" i="12"/>
  <c r="J322" i="12" s="1"/>
  <c r="I334" i="12"/>
  <c r="J334" i="12" s="1"/>
  <c r="H341" i="12"/>
  <c r="H355" i="12"/>
  <c r="H371" i="12"/>
  <c r="I376" i="12"/>
  <c r="J376" i="12" s="1"/>
  <c r="H387" i="12"/>
  <c r="H396" i="12"/>
  <c r="I400" i="12"/>
  <c r="J400" i="12" s="1"/>
  <c r="I404" i="12"/>
  <c r="J404" i="12" s="1"/>
  <c r="I420" i="12"/>
  <c r="J420" i="12" s="1"/>
  <c r="H440" i="12"/>
  <c r="H456" i="12"/>
  <c r="I167" i="12"/>
  <c r="J167" i="12" s="1"/>
  <c r="H167" i="12"/>
  <c r="H190" i="12"/>
  <c r="I190" i="12"/>
  <c r="J190" i="12" s="1"/>
  <c r="H213" i="12"/>
  <c r="I213" i="12"/>
  <c r="J213" i="12" s="1"/>
  <c r="H238" i="12"/>
  <c r="I238" i="12"/>
  <c r="J238" i="12" s="1"/>
  <c r="I287" i="12"/>
  <c r="J287" i="12" s="1"/>
  <c r="H287" i="12"/>
  <c r="H9" i="12"/>
  <c r="I12" i="12"/>
  <c r="J12" i="12" s="1"/>
  <c r="H19" i="12"/>
  <c r="I96" i="12"/>
  <c r="J96" i="12" s="1"/>
  <c r="I98" i="12"/>
  <c r="J98" i="12" s="1"/>
  <c r="H98" i="12"/>
  <c r="I104" i="12"/>
  <c r="J104" i="12" s="1"/>
  <c r="I107" i="12"/>
  <c r="J107" i="12" s="1"/>
  <c r="H107" i="12"/>
  <c r="H115" i="12"/>
  <c r="H123" i="12"/>
  <c r="H131" i="12"/>
  <c r="H140" i="12"/>
  <c r="I140" i="12"/>
  <c r="J140" i="12" s="1"/>
  <c r="H145" i="12"/>
  <c r="I153" i="12"/>
  <c r="J153" i="12" s="1"/>
  <c r="H153" i="12"/>
  <c r="I176" i="12"/>
  <c r="J176" i="12" s="1"/>
  <c r="I177" i="12"/>
  <c r="J177" i="12" s="1"/>
  <c r="H177" i="12"/>
  <c r="I209" i="12"/>
  <c r="H209" i="12"/>
  <c r="H225" i="12"/>
  <c r="I225" i="12"/>
  <c r="J225" i="12" s="1"/>
  <c r="I236" i="12"/>
  <c r="J236" i="12" s="1"/>
  <c r="H236" i="12"/>
  <c r="I269" i="12"/>
  <c r="J269" i="12" s="1"/>
  <c r="H269" i="12"/>
  <c r="H4" i="12"/>
  <c r="I4" i="12"/>
  <c r="J4" i="12" s="1"/>
  <c r="I91" i="12"/>
  <c r="J91" i="12" s="1"/>
  <c r="H91" i="12"/>
  <c r="I25" i="12"/>
  <c r="J25" i="12" s="1"/>
  <c r="H25" i="12"/>
  <c r="H84" i="12"/>
  <c r="I84" i="12"/>
  <c r="J84" i="12" s="1"/>
  <c r="I259" i="12"/>
  <c r="J259" i="12" s="1"/>
  <c r="H259" i="12"/>
  <c r="H266" i="12"/>
  <c r="I266" i="12"/>
  <c r="J266" i="12" s="1"/>
  <c r="H28" i="12"/>
  <c r="I28" i="12"/>
  <c r="J28" i="12" s="1"/>
  <c r="H10" i="12"/>
  <c r="I10" i="12"/>
  <c r="J10" i="12" s="1"/>
  <c r="I34" i="12"/>
  <c r="J34" i="12" s="1"/>
  <c r="H34" i="12"/>
  <c r="I42" i="12"/>
  <c r="J42" i="12" s="1"/>
  <c r="H42" i="12"/>
  <c r="I51" i="12"/>
  <c r="J51" i="12" s="1"/>
  <c r="H51" i="12"/>
  <c r="H7" i="12"/>
  <c r="I100" i="12"/>
  <c r="J100" i="12" s="1"/>
  <c r="H111" i="12"/>
  <c r="H119" i="12"/>
  <c r="H127" i="12"/>
  <c r="H135" i="12"/>
  <c r="I142" i="12"/>
  <c r="J142" i="12" s="1"/>
  <c r="H148" i="12"/>
  <c r="I149" i="12"/>
  <c r="J149" i="12" s="1"/>
  <c r="H149" i="12"/>
  <c r="H157" i="12"/>
  <c r="I172" i="12"/>
  <c r="J172" i="12" s="1"/>
  <c r="H173" i="12"/>
  <c r="I173" i="12"/>
  <c r="J173" i="12" s="1"/>
  <c r="H180" i="12"/>
  <c r="I181" i="12"/>
  <c r="J181" i="12" s="1"/>
  <c r="H181" i="12"/>
  <c r="H199" i="12"/>
  <c r="H206" i="12"/>
  <c r="I206" i="12"/>
  <c r="J206" i="12" s="1"/>
  <c r="H232" i="12"/>
  <c r="I232" i="12"/>
  <c r="J232" i="12" s="1"/>
  <c r="H254" i="12"/>
  <c r="I254" i="12"/>
  <c r="J254" i="12" s="1"/>
  <c r="I196" i="12"/>
  <c r="J196" i="12" s="1"/>
  <c r="H196" i="12"/>
  <c r="H250" i="12"/>
  <c r="I250" i="12"/>
  <c r="J250" i="12" s="1"/>
  <c r="I310" i="12"/>
  <c r="J310" i="12" s="1"/>
  <c r="H310" i="12"/>
  <c r="H22" i="12"/>
  <c r="I56" i="12"/>
  <c r="J56" i="12" s="1"/>
  <c r="I60" i="12"/>
  <c r="J60" i="12" s="1"/>
  <c r="I64" i="12"/>
  <c r="J64" i="12" s="1"/>
  <c r="I68" i="12"/>
  <c r="J68" i="12" s="1"/>
  <c r="I72" i="12"/>
  <c r="J72" i="12" s="1"/>
  <c r="I76" i="12"/>
  <c r="J76" i="12" s="1"/>
  <c r="I80" i="12"/>
  <c r="J80" i="12" s="1"/>
  <c r="I112" i="12"/>
  <c r="J112" i="12" s="1"/>
  <c r="I116" i="12"/>
  <c r="J116" i="12" s="1"/>
  <c r="I120" i="12"/>
  <c r="J120" i="12" s="1"/>
  <c r="I124" i="12"/>
  <c r="J124" i="12" s="1"/>
  <c r="I128" i="12"/>
  <c r="J128" i="12" s="1"/>
  <c r="I132" i="12"/>
  <c r="J132" i="12" s="1"/>
  <c r="I136" i="12"/>
  <c r="J136" i="12" s="1"/>
  <c r="I162" i="12"/>
  <c r="J162" i="12" s="1"/>
  <c r="I174" i="12"/>
  <c r="J174" i="12" s="1"/>
  <c r="H193" i="12"/>
  <c r="I218" i="12"/>
  <c r="J218" i="12" s="1"/>
  <c r="H227" i="12"/>
  <c r="H233" i="12"/>
  <c r="H245" i="12"/>
  <c r="H264" i="12"/>
  <c r="I264" i="12"/>
  <c r="J264" i="12" s="1"/>
  <c r="H275" i="12"/>
  <c r="I283" i="12"/>
  <c r="J283" i="12" s="1"/>
  <c r="H283" i="12"/>
  <c r="H306" i="12"/>
  <c r="I306" i="12"/>
  <c r="J306" i="12" s="1"/>
  <c r="H316" i="12"/>
  <c r="I316" i="12"/>
  <c r="J316" i="12" s="1"/>
  <c r="H216" i="12"/>
  <c r="I216" i="12"/>
  <c r="J216" i="12" s="1"/>
  <c r="I253" i="12"/>
  <c r="J253" i="12" s="1"/>
  <c r="H253" i="12"/>
  <c r="H272" i="12"/>
  <c r="I272" i="12"/>
  <c r="J272" i="12" s="1"/>
  <c r="H319" i="12"/>
  <c r="H323" i="12"/>
  <c r="H326" i="12"/>
  <c r="H328" i="12"/>
  <c r="I338" i="12"/>
  <c r="I346" i="12"/>
  <c r="J346" i="12" s="1"/>
  <c r="H349" i="12"/>
  <c r="H353" i="12"/>
  <c r="I362" i="12"/>
  <c r="J362" i="12" s="1"/>
  <c r="H365" i="12"/>
  <c r="H369" i="12"/>
  <c r="I378" i="12"/>
  <c r="J378" i="12" s="1"/>
  <c r="H381" i="12"/>
  <c r="H388" i="12"/>
  <c r="H395" i="12"/>
  <c r="H403" i="12"/>
  <c r="H407" i="12"/>
  <c r="H409" i="12"/>
  <c r="I412" i="12"/>
  <c r="J412" i="12" s="1"/>
  <c r="H423" i="12"/>
  <c r="H436" i="12"/>
  <c r="I445" i="12"/>
  <c r="J445" i="12" s="1"/>
  <c r="H452" i="12"/>
  <c r="H463" i="12"/>
  <c r="I437" i="12"/>
  <c r="J437" i="12" s="1"/>
  <c r="I207" i="12"/>
  <c r="J207" i="12" s="1"/>
  <c r="H207" i="12"/>
  <c r="I212" i="12"/>
  <c r="J212" i="12" s="1"/>
  <c r="H212" i="12"/>
  <c r="I17" i="12"/>
  <c r="J17" i="12" s="1"/>
  <c r="H17" i="12"/>
  <c r="I45" i="12"/>
  <c r="J45" i="12" s="1"/>
  <c r="H45" i="12"/>
  <c r="I77" i="12"/>
  <c r="J77" i="12" s="1"/>
  <c r="H77" i="12"/>
  <c r="I143" i="12"/>
  <c r="J143" i="12" s="1"/>
  <c r="H143" i="12"/>
  <c r="H2" i="12"/>
  <c r="H6" i="12"/>
  <c r="H13" i="12"/>
  <c r="H24" i="12"/>
  <c r="I24" i="12"/>
  <c r="J24" i="12" s="1"/>
  <c r="I26" i="12"/>
  <c r="J26" i="12" s="1"/>
  <c r="I29" i="12"/>
  <c r="J29" i="12" s="1"/>
  <c r="H29" i="12"/>
  <c r="H50" i="12"/>
  <c r="I53" i="12"/>
  <c r="J53" i="12" s="1"/>
  <c r="H53" i="12"/>
  <c r="H82" i="12"/>
  <c r="I85" i="12"/>
  <c r="J85" i="12" s="1"/>
  <c r="H85" i="12"/>
  <c r="H106" i="12"/>
  <c r="I109" i="12"/>
  <c r="J109" i="12" s="1"/>
  <c r="H109" i="12"/>
  <c r="H138" i="12"/>
  <c r="H146" i="12"/>
  <c r="I146" i="12"/>
  <c r="J146" i="12" s="1"/>
  <c r="H166" i="12"/>
  <c r="I166" i="12"/>
  <c r="J166" i="12" s="1"/>
  <c r="I184" i="12"/>
  <c r="J184" i="12" s="1"/>
  <c r="H184" i="12"/>
  <c r="H187" i="12"/>
  <c r="I30" i="12"/>
  <c r="J30" i="12" s="1"/>
  <c r="H30" i="12"/>
  <c r="I61" i="12"/>
  <c r="J61" i="12" s="1"/>
  <c r="H61" i="12"/>
  <c r="H90" i="12"/>
  <c r="I93" i="12"/>
  <c r="H93" i="12"/>
  <c r="I117" i="12"/>
  <c r="J117" i="12" s="1"/>
  <c r="H117" i="12"/>
  <c r="I164" i="12"/>
  <c r="J164" i="12" s="1"/>
  <c r="H164" i="12"/>
  <c r="I175" i="12"/>
  <c r="J175" i="12" s="1"/>
  <c r="H175" i="12"/>
  <c r="I247" i="12"/>
  <c r="J247" i="12" s="1"/>
  <c r="H247" i="12"/>
  <c r="H8" i="12"/>
  <c r="I8" i="12"/>
  <c r="J8" i="12" s="1"/>
  <c r="I101" i="12"/>
  <c r="J101" i="12" s="1"/>
  <c r="H101" i="12"/>
  <c r="I133" i="12"/>
  <c r="J133" i="12" s="1"/>
  <c r="H133" i="12"/>
  <c r="I37" i="12"/>
  <c r="J37" i="12" s="1"/>
  <c r="H37" i="12"/>
  <c r="I69" i="12"/>
  <c r="J69" i="12" s="1"/>
  <c r="H69" i="12"/>
  <c r="I125" i="12"/>
  <c r="J125" i="12" s="1"/>
  <c r="H125" i="12"/>
  <c r="I152" i="12"/>
  <c r="J152" i="12" s="1"/>
  <c r="H152" i="12"/>
  <c r="H155" i="12"/>
  <c r="H178" i="12"/>
  <c r="I178" i="12"/>
  <c r="J178" i="12" s="1"/>
  <c r="I235" i="12"/>
  <c r="J235" i="12" s="1"/>
  <c r="H235" i="12"/>
  <c r="H280" i="12"/>
  <c r="I280" i="12"/>
  <c r="J280" i="12" s="1"/>
  <c r="I298" i="12"/>
  <c r="J298" i="12" s="1"/>
  <c r="H298" i="12"/>
  <c r="I314" i="12"/>
  <c r="J314" i="12" s="1"/>
  <c r="H314" i="12"/>
  <c r="H198" i="12"/>
  <c r="I198" i="12"/>
  <c r="J198" i="12" s="1"/>
  <c r="I219" i="12"/>
  <c r="J219" i="12" s="1"/>
  <c r="H219" i="12"/>
  <c r="H226" i="12"/>
  <c r="I226" i="12"/>
  <c r="J226" i="12" s="1"/>
  <c r="I244" i="12"/>
  <c r="J244" i="12" s="1"/>
  <c r="H244" i="12"/>
  <c r="H258" i="12"/>
  <c r="I258" i="12"/>
  <c r="J258" i="12" s="1"/>
  <c r="I273" i="12"/>
  <c r="J273" i="12" s="1"/>
  <c r="H273" i="12"/>
  <c r="H278" i="12"/>
  <c r="I292" i="12"/>
  <c r="J292" i="12" s="1"/>
  <c r="I321" i="12"/>
  <c r="J321" i="12" s="1"/>
  <c r="H321" i="12"/>
  <c r="I159" i="12"/>
  <c r="J159" i="12" s="1"/>
  <c r="H159" i="12"/>
  <c r="I191" i="12"/>
  <c r="J191" i="12" s="1"/>
  <c r="H191" i="12"/>
  <c r="H210" i="12"/>
  <c r="I210" i="12"/>
  <c r="J210" i="12" s="1"/>
  <c r="I251" i="12"/>
  <c r="J251" i="12" s="1"/>
  <c r="H251" i="12"/>
  <c r="I282" i="12"/>
  <c r="J282" i="12" s="1"/>
  <c r="H282" i="12"/>
  <c r="H296" i="12"/>
  <c r="I296" i="12"/>
  <c r="J296" i="12" s="1"/>
  <c r="I305" i="12"/>
  <c r="J305" i="12" s="1"/>
  <c r="H305" i="12"/>
  <c r="I33" i="12"/>
  <c r="J33" i="12" s="1"/>
  <c r="H33" i="12"/>
  <c r="H38" i="12"/>
  <c r="I41" i="12"/>
  <c r="J41" i="12" s="1"/>
  <c r="H41" i="12"/>
  <c r="H46" i="12"/>
  <c r="I49" i="12"/>
  <c r="J49" i="12" s="1"/>
  <c r="H49" i="12"/>
  <c r="H54" i="12"/>
  <c r="I57" i="12"/>
  <c r="J57" i="12" s="1"/>
  <c r="H57" i="12"/>
  <c r="H62" i="12"/>
  <c r="I65" i="12"/>
  <c r="J65" i="12" s="1"/>
  <c r="H65" i="12"/>
  <c r="H70" i="12"/>
  <c r="I73" i="12"/>
  <c r="J73" i="12" s="1"/>
  <c r="H73" i="12"/>
  <c r="H78" i="12"/>
  <c r="I81" i="12"/>
  <c r="J81" i="12" s="1"/>
  <c r="H81" i="12"/>
  <c r="H86" i="12"/>
  <c r="I89" i="12"/>
  <c r="J89" i="12" s="1"/>
  <c r="H89" i="12"/>
  <c r="H94" i="12"/>
  <c r="I97" i="12"/>
  <c r="J97" i="12" s="1"/>
  <c r="H97" i="12"/>
  <c r="H102" i="12"/>
  <c r="I105" i="12"/>
  <c r="J105" i="12" s="1"/>
  <c r="H105" i="12"/>
  <c r="H110" i="12"/>
  <c r="I113" i="12"/>
  <c r="J113" i="12" s="1"/>
  <c r="H113" i="12"/>
  <c r="H118" i="12"/>
  <c r="I121" i="12"/>
  <c r="J121" i="12" s="1"/>
  <c r="H121" i="12"/>
  <c r="H126" i="12"/>
  <c r="I129" i="12"/>
  <c r="J129" i="12" s="1"/>
  <c r="H129" i="12"/>
  <c r="H134" i="12"/>
  <c r="I137" i="12"/>
  <c r="J137" i="12" s="1"/>
  <c r="H137" i="12"/>
  <c r="H150" i="12"/>
  <c r="I150" i="12"/>
  <c r="J150" i="12" s="1"/>
  <c r="I168" i="12"/>
  <c r="J168" i="12" s="1"/>
  <c r="H168" i="12"/>
  <c r="H171" i="12"/>
  <c r="H182" i="12"/>
  <c r="I182" i="12"/>
  <c r="J182" i="12" s="1"/>
  <c r="I200" i="12"/>
  <c r="J200" i="12" s="1"/>
  <c r="H200" i="12"/>
  <c r="H203" i="12"/>
  <c r="I222" i="12"/>
  <c r="I228" i="12"/>
  <c r="J228" i="12" s="1"/>
  <c r="H228" i="12"/>
  <c r="H231" i="12"/>
  <c r="H242" i="12"/>
  <c r="I242" i="12"/>
  <c r="J242" i="12" s="1"/>
  <c r="I260" i="12"/>
  <c r="J260" i="12" s="1"/>
  <c r="H260" i="12"/>
  <c r="H263" i="12"/>
  <c r="I276" i="12"/>
  <c r="J276" i="12" s="1"/>
  <c r="I289" i="12"/>
  <c r="J289" i="12" s="1"/>
  <c r="H289" i="12"/>
  <c r="H312" i="12"/>
  <c r="I312" i="12"/>
  <c r="J312" i="12" s="1"/>
  <c r="I331" i="12"/>
  <c r="J331" i="12" s="1"/>
  <c r="H331" i="12"/>
  <c r="I340" i="12"/>
  <c r="H340" i="12"/>
  <c r="I367" i="12"/>
  <c r="J367" i="12" s="1"/>
  <c r="H367" i="12"/>
  <c r="I344" i="12"/>
  <c r="J344" i="12" s="1"/>
  <c r="H358" i="12"/>
  <c r="I358" i="12"/>
  <c r="J358" i="12" s="1"/>
  <c r="H147" i="12"/>
  <c r="I154" i="12"/>
  <c r="J154" i="12" s="1"/>
  <c r="H163" i="12"/>
  <c r="I170" i="12"/>
  <c r="J170" i="12" s="1"/>
  <c r="H179" i="12"/>
  <c r="I186" i="12"/>
  <c r="J186" i="12" s="1"/>
  <c r="H195" i="12"/>
  <c r="I202" i="12"/>
  <c r="J202" i="12" s="1"/>
  <c r="I214" i="12"/>
  <c r="H223" i="12"/>
  <c r="I230" i="12"/>
  <c r="J230" i="12" s="1"/>
  <c r="H239" i="12"/>
  <c r="I246" i="12"/>
  <c r="J246" i="12" s="1"/>
  <c r="H255" i="12"/>
  <c r="I262" i="12"/>
  <c r="J262" i="12" s="1"/>
  <c r="H277" i="12"/>
  <c r="I284" i="12"/>
  <c r="J284" i="12" s="1"/>
  <c r="H293" i="12"/>
  <c r="I300" i="12"/>
  <c r="J300" i="12" s="1"/>
  <c r="H302" i="12"/>
  <c r="H309" i="12"/>
  <c r="H342" i="12"/>
  <c r="I342" i="12"/>
  <c r="J342" i="12" s="1"/>
  <c r="I360" i="12"/>
  <c r="J360" i="12" s="1"/>
  <c r="H360" i="12"/>
  <c r="I304" i="12"/>
  <c r="J304" i="12" s="1"/>
  <c r="H313" i="12"/>
  <c r="I320" i="12"/>
  <c r="J320" i="12" s="1"/>
  <c r="H330" i="12"/>
  <c r="I330" i="12"/>
  <c r="J330" i="12" s="1"/>
  <c r="I332" i="12"/>
  <c r="J332" i="12" s="1"/>
  <c r="I339" i="12"/>
  <c r="J339" i="12" s="1"/>
  <c r="H339" i="12"/>
  <c r="I343" i="12"/>
  <c r="J343" i="12" s="1"/>
  <c r="H343" i="12"/>
  <c r="I351" i="12"/>
  <c r="J351" i="12" s="1"/>
  <c r="H351" i="12"/>
  <c r="I350" i="12"/>
  <c r="J350" i="12" s="1"/>
  <c r="H359" i="12"/>
  <c r="I366" i="12"/>
  <c r="J366" i="12" s="1"/>
  <c r="H375" i="12"/>
  <c r="I382" i="12"/>
  <c r="J382" i="12" s="1"/>
  <c r="H384" i="12"/>
  <c r="H391" i="12"/>
  <c r="I398" i="12"/>
  <c r="J398" i="12" s="1"/>
  <c r="I374" i="12"/>
  <c r="J374" i="12" s="1"/>
  <c r="H383" i="12"/>
  <c r="I390" i="12"/>
  <c r="J390" i="12" s="1"/>
  <c r="H392" i="12"/>
  <c r="I401" i="12"/>
  <c r="J401" i="12" s="1"/>
  <c r="I405" i="12"/>
  <c r="J405" i="12" s="1"/>
  <c r="I421" i="12"/>
  <c r="J421" i="12" s="1"/>
  <c r="I425" i="12"/>
  <c r="I432" i="12"/>
  <c r="I438" i="12"/>
  <c r="J438" i="12" s="1"/>
  <c r="I442" i="12"/>
  <c r="J442" i="12" s="1"/>
  <c r="I446" i="12"/>
  <c r="J446" i="12" s="1"/>
  <c r="I450" i="12"/>
  <c r="J450" i="12" s="1"/>
  <c r="I454" i="12"/>
  <c r="J454" i="12" s="1"/>
  <c r="I458" i="12"/>
  <c r="J458" i="12" s="1"/>
  <c r="H461" i="12"/>
  <c r="I462" i="12"/>
  <c r="J462" i="12" s="1"/>
  <c r="H465" i="12"/>
  <c r="I466" i="12"/>
  <c r="H469" i="12"/>
  <c r="I470" i="12"/>
  <c r="J470" i="12" s="1"/>
  <c r="H402" i="12"/>
  <c r="H406" i="12"/>
  <c r="H410" i="12"/>
  <c r="H414" i="12"/>
  <c r="H418" i="12"/>
  <c r="H422" i="12"/>
  <c r="H428" i="12"/>
  <c r="H435" i="12"/>
  <c r="H439" i="12"/>
  <c r="H443" i="12"/>
  <c r="H447" i="12"/>
  <c r="H451" i="12"/>
  <c r="H455" i="12"/>
  <c r="H459" i="12"/>
  <c r="D5" i="5"/>
  <c r="E5" i="5"/>
  <c r="E135" i="5"/>
  <c r="D2129" i="10"/>
  <c r="D2128" i="10"/>
  <c r="D2127" i="10"/>
  <c r="D2126" i="10"/>
  <c r="D2125" i="10"/>
  <c r="D2124" i="10"/>
  <c r="D2123" i="10"/>
  <c r="D2122" i="10"/>
  <c r="D2121" i="10"/>
  <c r="D2120" i="10"/>
  <c r="D2119" i="10"/>
  <c r="D2118" i="10"/>
  <c r="D2117" i="10"/>
  <c r="D2116" i="10"/>
  <c r="D2115" i="10"/>
  <c r="D2114" i="10"/>
  <c r="D2113" i="10"/>
  <c r="D2112" i="10"/>
  <c r="D2111" i="10"/>
  <c r="D2110" i="10"/>
  <c r="D2109" i="10"/>
  <c r="D2108" i="10"/>
  <c r="D2107" i="10"/>
  <c r="D2106" i="10"/>
  <c r="D2105" i="10"/>
  <c r="D2104" i="10"/>
  <c r="D2103" i="10"/>
  <c r="D2102" i="10"/>
  <c r="D2101" i="10"/>
  <c r="D2100" i="10"/>
  <c r="D2099" i="10"/>
  <c r="D2098" i="10"/>
  <c r="D2097" i="10"/>
  <c r="D2096" i="10"/>
  <c r="D2095" i="10"/>
  <c r="D2094" i="10"/>
  <c r="D2093" i="10"/>
  <c r="D2092" i="10"/>
  <c r="D2091" i="10"/>
  <c r="D2090" i="10"/>
  <c r="D2089" i="10"/>
  <c r="D2088" i="10"/>
  <c r="D2087" i="10"/>
  <c r="D2086" i="10"/>
  <c r="D2085" i="10"/>
  <c r="D2084" i="10"/>
  <c r="D2083" i="10"/>
  <c r="D2082" i="10"/>
  <c r="D2081" i="10"/>
  <c r="D2080" i="10"/>
  <c r="D2079" i="10"/>
  <c r="D2078" i="10"/>
  <c r="D2077" i="10"/>
  <c r="D2076" i="10"/>
  <c r="D2075" i="10"/>
  <c r="D2074" i="10"/>
  <c r="D2073" i="10"/>
  <c r="D2072" i="10"/>
  <c r="D2071" i="10"/>
  <c r="D2070" i="10"/>
  <c r="D2069" i="10"/>
  <c r="D2068" i="10"/>
  <c r="D2067" i="10"/>
  <c r="D2066" i="10"/>
  <c r="D2065" i="10"/>
  <c r="D2064" i="10"/>
  <c r="D2063" i="10"/>
  <c r="D2062" i="10"/>
  <c r="D2061" i="10"/>
  <c r="D2060" i="10"/>
  <c r="D2059" i="10"/>
  <c r="D2058" i="10"/>
  <c r="D2057" i="10"/>
  <c r="D2056" i="10"/>
  <c r="D2055" i="10"/>
  <c r="D2054" i="10"/>
  <c r="D2053" i="10"/>
  <c r="D2052" i="10"/>
  <c r="D2051" i="10"/>
  <c r="D2050" i="10"/>
  <c r="D2049" i="10"/>
  <c r="D2048" i="10"/>
  <c r="D2047" i="10"/>
  <c r="D2046" i="10"/>
  <c r="D2045" i="10"/>
  <c r="D2044" i="10"/>
  <c r="D2043" i="10"/>
  <c r="D2042" i="10"/>
  <c r="D2041" i="10"/>
  <c r="D2040" i="10"/>
  <c r="D2039" i="10"/>
  <c r="D2038" i="10"/>
  <c r="D2037" i="10"/>
  <c r="D2036" i="10"/>
  <c r="D2035" i="10"/>
  <c r="D2034" i="10"/>
  <c r="D2033" i="10"/>
  <c r="D2032" i="10"/>
  <c r="D2031" i="10"/>
  <c r="D2030" i="10"/>
  <c r="D2029" i="10"/>
  <c r="D2028" i="10"/>
  <c r="D2027" i="10"/>
  <c r="D2026" i="10"/>
  <c r="D2025" i="10"/>
  <c r="D2024" i="10"/>
  <c r="D2023" i="10"/>
  <c r="D2022" i="10"/>
  <c r="D2021" i="10"/>
  <c r="D2020" i="10"/>
  <c r="D2019" i="10"/>
  <c r="D2018" i="10"/>
  <c r="D2017" i="10"/>
  <c r="D2016" i="10"/>
  <c r="D2015" i="10"/>
  <c r="D2014" i="10"/>
  <c r="D2013" i="10"/>
  <c r="D2012" i="10"/>
  <c r="D2011" i="10"/>
  <c r="D2010" i="10"/>
  <c r="D2009" i="10"/>
  <c r="D2008" i="10"/>
  <c r="D2007" i="10"/>
  <c r="D2006" i="10"/>
  <c r="D2005" i="10"/>
  <c r="D2004" i="10"/>
  <c r="D2003" i="10"/>
  <c r="D2002" i="10"/>
  <c r="D2001" i="10"/>
  <c r="D2000" i="10"/>
  <c r="D1999" i="10"/>
  <c r="D1998" i="10"/>
  <c r="D1997" i="10"/>
  <c r="D1996" i="10"/>
  <c r="D1995" i="10"/>
  <c r="D1994" i="10"/>
  <c r="D1993" i="10"/>
  <c r="D1992" i="10"/>
  <c r="D1991" i="10"/>
  <c r="D1990" i="10"/>
  <c r="D1989" i="10"/>
  <c r="D1988" i="10"/>
  <c r="D1987" i="10"/>
  <c r="D1986" i="10"/>
  <c r="D1985" i="10"/>
  <c r="D1984" i="10"/>
  <c r="D1983" i="10"/>
  <c r="D1982" i="10"/>
  <c r="D1981" i="10"/>
  <c r="D1980" i="10"/>
  <c r="D1979" i="10"/>
  <c r="D1978" i="10"/>
  <c r="D1977" i="10"/>
  <c r="D1976" i="10"/>
  <c r="D1975" i="10"/>
  <c r="D1974" i="10"/>
  <c r="D1973" i="10"/>
  <c r="D1972" i="10"/>
  <c r="D1971" i="10"/>
  <c r="D1970" i="10"/>
  <c r="D1969" i="10"/>
  <c r="D1968" i="10"/>
  <c r="D1967" i="10"/>
  <c r="D1966" i="10"/>
  <c r="D1965" i="10"/>
  <c r="D1964" i="10"/>
  <c r="D1963" i="10"/>
  <c r="D1962" i="10"/>
  <c r="D1961" i="10"/>
  <c r="D1960" i="10"/>
  <c r="D1959" i="10"/>
  <c r="D1958" i="10"/>
  <c r="D1957" i="10"/>
  <c r="D1956" i="10"/>
  <c r="D1955" i="10"/>
  <c r="D1954" i="10"/>
  <c r="D1953" i="10"/>
  <c r="D1952" i="10"/>
  <c r="D1951" i="10"/>
  <c r="D1950" i="10"/>
  <c r="D1949" i="10"/>
  <c r="D1948" i="10"/>
  <c r="D1947" i="10"/>
  <c r="D1946" i="10"/>
  <c r="D1945" i="10"/>
  <c r="D1944" i="10"/>
  <c r="D1943" i="10"/>
  <c r="D1942" i="10"/>
  <c r="D1941" i="10"/>
  <c r="D1940" i="10"/>
  <c r="D1939" i="10"/>
  <c r="D1938" i="10"/>
  <c r="D1937" i="10"/>
  <c r="D1936" i="10"/>
  <c r="D1935" i="10"/>
  <c r="D1934" i="10"/>
  <c r="D1933" i="10"/>
  <c r="D1932" i="10"/>
  <c r="D1931" i="10"/>
  <c r="D1930" i="10"/>
  <c r="D1929" i="10"/>
  <c r="D1928" i="10"/>
  <c r="D1927" i="10"/>
  <c r="D1926" i="10"/>
  <c r="D1925" i="10"/>
  <c r="D1924" i="10"/>
  <c r="D1923" i="10"/>
  <c r="D1922" i="10"/>
  <c r="D1921" i="10"/>
  <c r="D1920" i="10"/>
  <c r="D1919" i="10"/>
  <c r="D1918" i="10"/>
  <c r="D1917" i="10"/>
  <c r="D1916" i="10"/>
  <c r="D1915" i="10"/>
  <c r="D1914" i="10"/>
  <c r="D1913" i="10"/>
  <c r="D1912" i="10"/>
  <c r="D1911" i="10"/>
  <c r="D1910" i="10"/>
  <c r="D1909" i="10"/>
  <c r="D1908" i="10"/>
  <c r="D1907" i="10"/>
  <c r="D1906" i="10"/>
  <c r="D1905" i="10"/>
  <c r="D1904" i="10"/>
  <c r="D1903" i="10"/>
  <c r="D1902" i="10"/>
  <c r="D1901" i="10"/>
  <c r="D1900" i="10"/>
  <c r="D1899" i="10"/>
  <c r="D1898" i="10"/>
  <c r="D1897" i="10"/>
  <c r="D1896" i="10"/>
  <c r="D1895" i="10"/>
  <c r="D1894" i="10"/>
  <c r="D1893" i="10"/>
  <c r="D1892" i="10"/>
  <c r="D1891" i="10"/>
  <c r="D1890" i="10"/>
  <c r="D1889" i="10"/>
  <c r="D1888" i="10"/>
  <c r="D1887" i="10"/>
  <c r="D1886" i="10"/>
  <c r="D1885" i="10"/>
  <c r="D1884" i="10"/>
  <c r="D1883" i="10"/>
  <c r="D1882" i="10"/>
  <c r="D1881" i="10"/>
  <c r="D1880" i="10"/>
  <c r="D1879" i="10"/>
  <c r="D1878" i="10"/>
  <c r="D1877" i="10"/>
  <c r="D1876" i="10"/>
  <c r="D1875" i="10"/>
  <c r="D1874" i="10"/>
  <c r="D1873" i="10"/>
  <c r="D1872" i="10"/>
  <c r="D1871" i="10"/>
  <c r="D1870" i="10"/>
  <c r="D1869" i="10"/>
  <c r="D1868" i="10"/>
  <c r="D1867" i="10"/>
  <c r="D1866" i="10"/>
  <c r="D1865" i="10"/>
  <c r="D1864" i="10"/>
  <c r="D1863" i="10"/>
  <c r="D1862" i="10"/>
  <c r="D1861" i="10"/>
  <c r="D1860" i="10"/>
  <c r="D1859" i="10"/>
  <c r="D1858" i="10"/>
  <c r="D1857" i="10"/>
  <c r="D1856" i="10"/>
  <c r="D1855" i="10"/>
  <c r="D1854" i="10"/>
  <c r="D1853" i="10"/>
  <c r="D1852" i="10"/>
  <c r="D1851" i="10"/>
  <c r="D1850" i="10"/>
  <c r="D1849" i="10"/>
  <c r="D1848" i="10"/>
  <c r="D1847" i="10"/>
  <c r="D1846" i="10"/>
  <c r="D1845" i="10"/>
  <c r="D1844" i="10"/>
  <c r="D1843" i="10"/>
  <c r="D1842" i="10"/>
  <c r="D1841" i="10"/>
  <c r="D1840" i="10"/>
  <c r="D1839" i="10"/>
  <c r="D1838" i="10"/>
  <c r="D1837" i="10"/>
  <c r="D1836" i="10"/>
  <c r="D1835" i="10"/>
  <c r="D1834" i="10"/>
  <c r="D1833" i="10"/>
  <c r="D1832" i="10"/>
  <c r="D1831" i="10"/>
  <c r="D1830" i="10"/>
  <c r="D1829" i="10"/>
  <c r="D1828" i="10"/>
  <c r="D1827" i="10"/>
  <c r="D1826" i="10"/>
  <c r="D1825" i="10"/>
  <c r="D1824" i="10"/>
  <c r="D1823" i="10"/>
  <c r="D1822" i="10"/>
  <c r="D1821" i="10"/>
  <c r="D1820" i="10"/>
  <c r="D1819" i="10"/>
  <c r="D1818" i="10"/>
  <c r="D1817" i="10"/>
  <c r="D1816" i="10"/>
  <c r="D1815" i="10"/>
  <c r="D1814" i="10"/>
  <c r="D1813" i="10"/>
  <c r="D1812" i="10"/>
  <c r="D1811" i="10"/>
  <c r="D1810" i="10"/>
  <c r="D1809" i="10"/>
  <c r="D1808" i="10"/>
  <c r="D1807" i="10"/>
  <c r="D1806" i="10"/>
  <c r="D1805" i="10"/>
  <c r="D1804" i="10"/>
  <c r="D1803" i="10"/>
  <c r="D1802" i="10"/>
  <c r="D1801" i="10"/>
  <c r="D1800" i="10"/>
  <c r="D1799" i="10"/>
  <c r="D1798" i="10"/>
  <c r="D1797" i="10"/>
  <c r="D1796" i="10"/>
  <c r="D1795" i="10"/>
  <c r="D1794" i="10"/>
  <c r="D1793" i="10"/>
  <c r="D1792" i="10"/>
  <c r="D1791" i="10"/>
  <c r="D1790" i="10"/>
  <c r="D1789" i="10"/>
  <c r="D1788" i="10"/>
  <c r="D1787" i="10"/>
  <c r="D1786" i="10"/>
  <c r="D1785" i="10"/>
  <c r="D1784" i="10"/>
  <c r="D1783" i="10"/>
  <c r="D1782" i="10"/>
  <c r="D1781" i="10"/>
  <c r="D1780" i="10"/>
  <c r="D1779" i="10"/>
  <c r="D1778" i="10"/>
  <c r="D1777" i="10"/>
  <c r="D1776" i="10"/>
  <c r="D1775" i="10"/>
  <c r="D1774" i="10"/>
  <c r="D1773" i="10"/>
  <c r="D1772" i="10"/>
  <c r="D1771" i="10"/>
  <c r="D1770" i="10"/>
  <c r="D1769" i="10"/>
  <c r="D1768" i="10"/>
  <c r="D1767" i="10"/>
  <c r="D1766" i="10"/>
  <c r="D1765" i="10"/>
  <c r="D1764" i="10"/>
  <c r="D1763" i="10"/>
  <c r="D1762" i="10"/>
  <c r="D1761" i="10"/>
  <c r="D1760" i="10"/>
  <c r="D1759" i="10"/>
  <c r="D1758" i="10"/>
  <c r="D1757" i="10"/>
  <c r="D1756" i="10"/>
  <c r="D1755" i="10"/>
  <c r="D1754" i="10"/>
  <c r="D1753" i="10"/>
  <c r="D1752" i="10"/>
  <c r="D1751" i="10"/>
  <c r="D1750" i="10"/>
  <c r="D1749" i="10"/>
  <c r="D1748" i="10"/>
  <c r="D1747" i="10"/>
  <c r="D1746" i="10"/>
  <c r="D1745" i="10"/>
  <c r="D1744" i="10"/>
  <c r="D1743" i="10"/>
  <c r="D1742" i="10"/>
  <c r="D1741" i="10"/>
  <c r="D1740" i="10"/>
  <c r="D1739" i="10"/>
  <c r="D1738" i="10"/>
  <c r="D1737" i="10"/>
  <c r="D1736" i="10"/>
  <c r="D1735" i="10"/>
  <c r="D1734" i="10"/>
  <c r="D1733" i="10"/>
  <c r="D1732" i="10"/>
  <c r="D1731" i="10"/>
  <c r="D1730" i="10"/>
  <c r="D1729" i="10"/>
  <c r="D1728" i="10"/>
  <c r="D1727" i="10"/>
  <c r="D1726" i="10"/>
  <c r="D1725" i="10"/>
  <c r="D1724" i="10"/>
  <c r="D1723" i="10"/>
  <c r="D1722" i="10"/>
  <c r="D1721" i="10"/>
  <c r="D1720" i="10"/>
  <c r="D1719" i="10"/>
  <c r="D1718" i="10"/>
  <c r="D1717" i="10"/>
  <c r="D1716" i="10"/>
  <c r="D1715" i="10"/>
  <c r="D1714" i="10"/>
  <c r="D1713" i="10"/>
  <c r="D1712" i="10"/>
  <c r="D1711" i="10"/>
  <c r="D1710" i="10"/>
  <c r="D1709" i="10"/>
  <c r="D1708" i="10"/>
  <c r="D1707" i="10"/>
  <c r="D1706" i="10"/>
  <c r="D1705" i="10"/>
  <c r="D1704" i="10"/>
  <c r="D1703" i="10"/>
  <c r="D1702" i="10"/>
  <c r="D1701" i="10"/>
  <c r="D1700" i="10"/>
  <c r="D1699" i="10"/>
  <c r="D1698" i="10"/>
  <c r="D1697" i="10"/>
  <c r="D1696" i="10"/>
  <c r="D1695" i="10"/>
  <c r="D1694" i="10"/>
  <c r="D1693" i="10"/>
  <c r="D1692" i="10"/>
  <c r="D1691" i="10"/>
  <c r="D1690" i="10"/>
  <c r="D1689" i="10"/>
  <c r="D1688" i="10"/>
  <c r="D1687" i="10"/>
  <c r="D1686" i="10"/>
  <c r="D1685" i="10"/>
  <c r="D1684" i="10"/>
  <c r="D1683" i="10"/>
  <c r="D1682" i="10"/>
  <c r="D1681" i="10"/>
  <c r="D1680" i="10"/>
  <c r="D1679" i="10"/>
  <c r="D1678" i="10"/>
  <c r="D1677" i="10"/>
  <c r="D1676" i="10"/>
  <c r="D1675" i="10"/>
  <c r="D1674" i="10"/>
  <c r="D1673" i="10"/>
  <c r="D1672" i="10"/>
  <c r="D1671" i="10"/>
  <c r="D1670" i="10"/>
  <c r="D1669" i="10"/>
  <c r="D1668" i="10"/>
  <c r="D1667" i="10"/>
  <c r="D1666" i="10"/>
  <c r="D1665" i="10"/>
  <c r="D1664" i="10"/>
  <c r="D1663" i="10"/>
  <c r="D1662" i="10"/>
  <c r="D1661" i="10"/>
  <c r="D1660" i="10"/>
  <c r="D1659" i="10"/>
  <c r="D1658" i="10"/>
  <c r="D1657" i="10"/>
  <c r="D1656" i="10"/>
  <c r="D1655" i="10"/>
  <c r="D1654" i="10"/>
  <c r="D1653" i="10"/>
  <c r="D1652" i="10"/>
  <c r="D1651" i="10"/>
  <c r="D1650" i="10"/>
  <c r="D1649" i="10"/>
  <c r="D1648" i="10"/>
  <c r="D1647" i="10"/>
  <c r="D1646" i="10"/>
  <c r="D1645" i="10"/>
  <c r="D1644" i="10"/>
  <c r="D1643" i="10"/>
  <c r="D1642" i="10"/>
  <c r="D1641" i="10"/>
  <c r="D1640" i="10"/>
  <c r="D1639" i="10"/>
  <c r="D1638" i="10"/>
  <c r="D1637" i="10"/>
  <c r="D1636" i="10"/>
  <c r="D1635" i="10"/>
  <c r="D1634" i="10"/>
  <c r="D1633" i="10"/>
  <c r="D1632" i="10"/>
  <c r="D1631" i="10"/>
  <c r="D1630" i="10"/>
  <c r="D1629" i="10"/>
  <c r="D1628" i="10"/>
  <c r="D1627" i="10"/>
  <c r="D1626" i="10"/>
  <c r="D1625" i="10"/>
  <c r="D1624" i="10"/>
  <c r="D1623" i="10"/>
  <c r="D1622" i="10"/>
  <c r="D1621" i="10"/>
  <c r="D1620" i="10"/>
  <c r="D1619" i="10"/>
  <c r="D1618" i="10"/>
  <c r="D1617" i="10"/>
  <c r="D1616" i="10"/>
  <c r="D1615" i="10"/>
  <c r="D1614" i="10"/>
  <c r="D1613" i="10"/>
  <c r="D1612" i="10"/>
  <c r="D1611" i="10"/>
  <c r="D1610" i="10"/>
  <c r="D1609" i="10"/>
  <c r="D1608" i="10"/>
  <c r="D1607" i="10"/>
  <c r="D1606" i="10"/>
  <c r="D1605" i="10"/>
  <c r="D1604" i="10"/>
  <c r="D1603" i="10"/>
  <c r="D1602" i="10"/>
  <c r="D1601" i="10"/>
  <c r="D1600" i="10"/>
  <c r="D1599" i="10"/>
  <c r="D1598" i="10"/>
  <c r="D1597" i="10"/>
  <c r="D1596" i="10"/>
  <c r="D1595" i="10"/>
  <c r="D1594" i="10"/>
  <c r="D1593" i="10"/>
  <c r="D1592" i="10"/>
  <c r="D1591" i="10"/>
  <c r="D1590" i="10"/>
  <c r="D1589" i="10"/>
  <c r="D1588" i="10"/>
  <c r="D1587" i="10"/>
  <c r="D1586" i="10"/>
  <c r="D1585" i="10"/>
  <c r="D1584" i="10"/>
  <c r="D1583" i="10"/>
  <c r="D1582" i="10"/>
  <c r="D1581" i="10"/>
  <c r="D1580" i="10"/>
  <c r="D1579" i="10"/>
  <c r="D1578" i="10"/>
  <c r="D1577" i="10"/>
  <c r="D1576" i="10"/>
  <c r="D1575" i="10"/>
  <c r="D1574" i="10"/>
  <c r="D1573" i="10"/>
  <c r="D1572" i="10"/>
  <c r="D1571" i="10"/>
  <c r="D1570" i="10"/>
  <c r="D1569" i="10"/>
  <c r="D1568" i="10"/>
  <c r="D1567" i="10"/>
  <c r="D1566" i="10"/>
  <c r="D1565" i="10"/>
  <c r="D1564" i="10"/>
  <c r="D1563" i="10"/>
  <c r="D1562" i="10"/>
  <c r="D1561" i="10"/>
  <c r="D1560" i="10"/>
  <c r="D1559" i="10"/>
  <c r="D1558" i="10"/>
  <c r="D1557" i="10"/>
  <c r="D1556" i="10"/>
  <c r="D1555" i="10"/>
  <c r="D1554" i="10"/>
  <c r="D1553" i="10"/>
  <c r="D1552" i="10"/>
  <c r="D1551" i="10"/>
  <c r="D1550" i="10"/>
  <c r="D1549" i="10"/>
  <c r="D1548" i="10"/>
  <c r="D1547" i="10"/>
  <c r="D1546" i="10"/>
  <c r="D1545" i="10"/>
  <c r="D1544" i="10"/>
  <c r="D1543" i="10"/>
  <c r="D1542" i="10"/>
  <c r="D1541" i="10"/>
  <c r="D1540" i="10"/>
  <c r="D1539" i="10"/>
  <c r="D1538" i="10"/>
  <c r="D1537" i="10"/>
  <c r="D1536" i="10"/>
  <c r="D1535" i="10"/>
  <c r="D1534" i="10"/>
  <c r="D1533" i="10"/>
  <c r="D1532" i="10"/>
  <c r="D1531" i="10"/>
  <c r="D1530" i="10"/>
  <c r="D1529" i="10"/>
  <c r="D1528" i="10"/>
  <c r="D1527" i="10"/>
  <c r="D1526" i="10"/>
  <c r="D1525" i="10"/>
  <c r="D1524" i="10"/>
  <c r="D1523" i="10"/>
  <c r="D1522" i="10"/>
  <c r="D1521" i="10"/>
  <c r="D1520" i="10"/>
  <c r="D1519" i="10"/>
  <c r="D1518" i="10"/>
  <c r="D1517" i="10"/>
  <c r="D1516" i="10"/>
  <c r="D1515" i="10"/>
  <c r="D1514" i="10"/>
  <c r="D1513" i="10"/>
  <c r="D1512" i="10"/>
  <c r="D1511" i="10"/>
  <c r="D1510" i="10"/>
  <c r="D1509" i="10"/>
  <c r="D1508" i="10"/>
  <c r="D1507" i="10"/>
  <c r="D1506" i="10"/>
  <c r="D1505" i="10"/>
  <c r="D1504" i="10"/>
  <c r="D1503" i="10"/>
  <c r="D1502" i="10"/>
  <c r="D1501" i="10"/>
  <c r="D1500" i="10"/>
  <c r="D1499" i="10"/>
  <c r="D1498" i="10"/>
  <c r="D1497" i="10"/>
  <c r="D1496" i="10"/>
  <c r="D1495" i="10"/>
  <c r="D1494" i="10"/>
  <c r="D1493" i="10"/>
  <c r="D1492" i="10"/>
  <c r="D1491" i="10"/>
  <c r="D1490" i="10"/>
  <c r="D1489" i="10"/>
  <c r="D1488" i="10"/>
  <c r="D1487" i="10"/>
  <c r="D1486" i="10"/>
  <c r="D1485" i="10"/>
  <c r="D1484" i="10"/>
  <c r="D1483" i="10"/>
  <c r="D1482" i="10"/>
  <c r="D1481" i="10"/>
  <c r="D1480" i="10"/>
  <c r="D1479" i="10"/>
  <c r="D1478" i="10"/>
  <c r="D1477" i="10"/>
  <c r="D1476" i="10"/>
  <c r="D1475" i="10"/>
  <c r="D1474" i="10"/>
  <c r="D1473" i="10"/>
  <c r="D1472" i="10"/>
  <c r="D1471" i="10"/>
  <c r="D1470" i="10"/>
  <c r="D1469" i="10"/>
  <c r="D1468" i="10"/>
  <c r="D1467" i="10"/>
  <c r="D1466" i="10"/>
  <c r="D1465" i="10"/>
  <c r="D1464" i="10"/>
  <c r="D1463" i="10"/>
  <c r="D1462" i="10"/>
  <c r="D1461" i="10"/>
  <c r="D1460" i="10"/>
  <c r="D1459" i="10"/>
  <c r="D1458" i="10"/>
  <c r="D1457" i="10"/>
  <c r="D1456" i="10"/>
  <c r="D1455" i="10"/>
  <c r="D1454" i="10"/>
  <c r="D1453" i="10"/>
  <c r="D1452" i="10"/>
  <c r="D1451" i="10"/>
  <c r="D1450" i="10"/>
  <c r="D1449" i="10"/>
  <c r="D1448" i="10"/>
  <c r="D1447" i="10"/>
  <c r="D1446" i="10"/>
  <c r="D1445" i="10"/>
  <c r="D1444" i="10"/>
  <c r="D1443" i="10"/>
  <c r="D1442" i="10"/>
  <c r="D1441" i="10"/>
  <c r="D1440" i="10"/>
  <c r="D1439" i="10"/>
  <c r="D1438" i="10"/>
  <c r="D1437" i="10"/>
  <c r="D1436" i="10"/>
  <c r="D1435" i="10"/>
  <c r="D1434" i="10"/>
  <c r="D1433" i="10"/>
  <c r="D1432" i="10"/>
  <c r="D1431" i="10"/>
  <c r="D1430" i="10"/>
  <c r="D1429" i="10"/>
  <c r="D1428" i="10"/>
  <c r="D1427" i="10"/>
  <c r="D1426" i="10"/>
  <c r="D1425" i="10"/>
  <c r="D1424" i="10"/>
  <c r="D1423" i="10"/>
  <c r="D1422" i="10"/>
  <c r="D1421" i="10"/>
  <c r="D1420" i="10"/>
  <c r="D1419" i="10"/>
  <c r="D1418" i="10"/>
  <c r="D1417" i="10"/>
  <c r="D1416" i="10"/>
  <c r="D1415" i="10"/>
  <c r="D1414" i="10"/>
  <c r="D1413" i="10"/>
  <c r="D1412" i="10"/>
  <c r="D1411" i="10"/>
  <c r="D1410" i="10"/>
  <c r="D1409" i="10"/>
  <c r="D1408" i="10"/>
  <c r="D1407" i="10"/>
  <c r="D1406" i="10"/>
  <c r="D1405" i="10"/>
  <c r="D1404" i="10"/>
  <c r="D1403" i="10"/>
  <c r="D1402" i="10"/>
  <c r="D1401" i="10"/>
  <c r="D1400" i="10"/>
  <c r="D1399" i="10"/>
  <c r="D1398" i="10"/>
  <c r="D1397" i="10"/>
  <c r="D1396" i="10"/>
  <c r="D1395" i="10"/>
  <c r="D1394" i="10"/>
  <c r="D1393" i="10"/>
  <c r="D1392" i="10"/>
  <c r="D1391" i="10"/>
  <c r="D1390" i="10"/>
  <c r="D1389" i="10"/>
  <c r="D1388" i="10"/>
  <c r="D1387" i="10"/>
  <c r="D1386" i="10"/>
  <c r="D1385" i="10"/>
  <c r="D1384" i="10"/>
  <c r="D1383" i="10"/>
  <c r="D1382" i="10"/>
  <c r="D1381" i="10"/>
  <c r="D1380" i="10"/>
  <c r="D1379" i="10"/>
  <c r="D1378" i="10"/>
  <c r="D1377" i="10"/>
  <c r="D1376" i="10"/>
  <c r="D1375" i="10"/>
  <c r="D1374" i="10"/>
  <c r="D1373" i="10"/>
  <c r="D1372" i="10"/>
  <c r="D1371" i="10"/>
  <c r="D1370" i="10"/>
  <c r="D1369" i="10"/>
  <c r="D1368" i="10"/>
  <c r="D1367" i="10"/>
  <c r="D1366" i="10"/>
  <c r="D1365" i="10"/>
  <c r="D1364" i="10"/>
  <c r="D1363" i="10"/>
  <c r="D1362" i="10"/>
  <c r="D1361" i="10"/>
  <c r="D1360" i="10"/>
  <c r="D1359" i="10"/>
  <c r="D1358" i="10"/>
  <c r="D1357" i="10"/>
  <c r="D1356" i="10"/>
  <c r="D1355" i="10"/>
  <c r="D1354" i="10"/>
  <c r="D1353" i="10"/>
  <c r="D1352" i="10"/>
  <c r="D1351" i="10"/>
  <c r="D1350" i="10"/>
  <c r="D1349" i="10"/>
  <c r="D1348" i="10"/>
  <c r="D1347" i="10"/>
  <c r="D1346" i="10"/>
  <c r="D1345" i="10"/>
  <c r="D1344" i="10"/>
  <c r="D1343" i="10"/>
  <c r="D1342" i="10"/>
  <c r="D1341" i="10"/>
  <c r="D1340" i="10"/>
  <c r="D1339" i="10"/>
  <c r="D1338" i="10"/>
  <c r="D1337" i="10"/>
  <c r="D1336" i="10"/>
  <c r="D1335" i="10"/>
  <c r="D1334" i="10"/>
  <c r="D1333" i="10"/>
  <c r="D1332" i="10"/>
  <c r="D1331" i="10"/>
  <c r="D1330" i="10"/>
  <c r="D1329" i="10"/>
  <c r="D1328" i="10"/>
  <c r="D1327" i="10"/>
  <c r="D1326" i="10"/>
  <c r="D1325" i="10"/>
  <c r="D1324" i="10"/>
  <c r="D1323" i="10"/>
  <c r="D1322" i="10"/>
  <c r="D1321" i="10"/>
  <c r="D1320" i="10"/>
  <c r="D1319" i="10"/>
  <c r="D1318" i="10"/>
  <c r="D1317" i="10"/>
  <c r="D1316" i="10"/>
  <c r="D1315" i="10"/>
  <c r="D1314" i="10"/>
  <c r="D1313" i="10"/>
  <c r="D1312" i="10"/>
  <c r="D1311" i="10"/>
  <c r="D1310" i="10"/>
  <c r="D1309" i="10"/>
  <c r="D1308" i="10"/>
  <c r="D1307" i="10"/>
  <c r="D1306" i="10"/>
  <c r="D1305" i="10"/>
  <c r="D1304" i="10"/>
  <c r="D1303" i="10"/>
  <c r="D1302" i="10"/>
  <c r="D1301" i="10"/>
  <c r="D1300" i="10"/>
  <c r="D1299" i="10"/>
  <c r="D1298" i="10"/>
  <c r="D1297" i="10"/>
  <c r="D1296" i="10"/>
  <c r="D1295" i="10"/>
  <c r="D1294" i="10"/>
  <c r="D1293" i="10"/>
  <c r="D1292" i="10"/>
  <c r="D1291" i="10"/>
  <c r="D1290" i="10"/>
  <c r="D1289" i="10"/>
  <c r="D1288" i="10"/>
  <c r="D1287" i="10"/>
  <c r="D1286" i="10"/>
  <c r="D1285" i="10"/>
  <c r="D1284" i="10"/>
  <c r="D1283" i="10"/>
  <c r="D1282" i="10"/>
  <c r="D1281" i="10"/>
  <c r="D1280" i="10"/>
  <c r="D1279" i="10"/>
  <c r="D1278" i="10"/>
  <c r="D1277" i="10"/>
  <c r="D1276" i="10"/>
  <c r="D1275" i="10"/>
  <c r="D1274" i="10"/>
  <c r="D1273" i="10"/>
  <c r="D1272" i="10"/>
  <c r="D1271" i="10"/>
  <c r="D1270" i="10"/>
  <c r="D1269" i="10"/>
  <c r="D1268" i="10"/>
  <c r="D1267" i="10"/>
  <c r="D1266" i="10"/>
  <c r="D1265" i="10"/>
  <c r="D1264" i="10"/>
  <c r="D1263" i="10"/>
  <c r="D1262" i="10"/>
  <c r="D1261" i="10"/>
  <c r="D1260" i="10"/>
  <c r="D1259" i="10"/>
  <c r="D1258" i="10"/>
  <c r="D1257" i="10"/>
  <c r="D1256" i="10"/>
  <c r="D1255" i="10"/>
  <c r="D1254" i="10"/>
  <c r="D1253" i="10"/>
  <c r="D1252" i="10"/>
  <c r="D1251" i="10"/>
  <c r="D1250" i="10"/>
  <c r="D1249" i="10"/>
  <c r="D1248" i="10"/>
  <c r="D1247" i="10"/>
  <c r="D1246" i="10"/>
  <c r="D1245" i="10"/>
  <c r="D1244" i="10"/>
  <c r="D1243" i="10"/>
  <c r="D1242" i="10"/>
  <c r="D1241" i="10"/>
  <c r="D1240" i="10"/>
  <c r="D1239" i="10"/>
  <c r="D1238" i="10"/>
  <c r="D1237" i="10"/>
  <c r="D1236" i="10"/>
  <c r="D1235" i="10"/>
  <c r="D1234" i="10"/>
  <c r="D1233" i="10"/>
  <c r="D1232" i="10"/>
  <c r="D1231" i="10"/>
  <c r="D1230" i="10"/>
  <c r="D1229" i="10"/>
  <c r="D1228" i="10"/>
  <c r="D1227" i="10"/>
  <c r="D1226" i="10"/>
  <c r="D1225" i="10"/>
  <c r="D1224" i="10"/>
  <c r="D1223" i="10"/>
  <c r="D1222" i="10"/>
  <c r="D1221" i="10"/>
  <c r="D1220" i="10"/>
  <c r="D1219" i="10"/>
  <c r="D1218" i="10"/>
  <c r="D1217" i="10"/>
  <c r="D1216" i="10"/>
  <c r="D1215" i="10"/>
  <c r="D1214" i="10"/>
  <c r="D1213" i="10"/>
  <c r="D1212" i="10"/>
  <c r="D1211" i="10"/>
  <c r="D1210" i="10"/>
  <c r="D1209" i="10"/>
  <c r="D1208" i="10"/>
  <c r="D1207" i="10"/>
  <c r="D1206" i="10"/>
  <c r="D1205" i="10"/>
  <c r="D1204" i="10"/>
  <c r="D1203" i="10"/>
  <c r="D1202" i="10"/>
  <c r="D1201" i="10"/>
  <c r="D1200" i="10"/>
  <c r="D1199" i="10"/>
  <c r="D1198" i="10"/>
  <c r="D1197" i="10"/>
  <c r="D1196" i="10"/>
  <c r="D1195" i="10"/>
  <c r="D1194" i="10"/>
  <c r="D1193" i="10"/>
  <c r="D1192" i="10"/>
  <c r="D1191" i="10"/>
  <c r="D1190" i="10"/>
  <c r="D1189" i="10"/>
  <c r="D1188" i="10"/>
  <c r="D1187" i="10"/>
  <c r="D1186" i="10"/>
  <c r="D1185" i="10"/>
  <c r="D1184" i="10"/>
  <c r="D1183" i="10"/>
  <c r="D1182" i="10"/>
  <c r="D1181" i="10"/>
  <c r="D1180" i="10"/>
  <c r="D1179" i="10"/>
  <c r="D1178" i="10"/>
  <c r="D1177" i="10"/>
  <c r="D1176" i="10"/>
  <c r="D1175" i="10"/>
  <c r="D1174" i="10"/>
  <c r="D1173" i="10"/>
  <c r="D1172" i="10"/>
  <c r="D1171" i="10"/>
  <c r="D1170" i="10"/>
  <c r="D1169" i="10"/>
  <c r="D1168" i="10"/>
  <c r="D1167" i="10"/>
  <c r="D1166" i="10"/>
  <c r="D1165" i="10"/>
  <c r="D1164" i="10"/>
  <c r="D1163" i="10"/>
  <c r="D1162" i="10"/>
  <c r="D1161" i="10"/>
  <c r="D1160" i="10"/>
  <c r="D1159" i="10"/>
  <c r="D1158" i="10"/>
  <c r="D1157" i="10"/>
  <c r="D1156" i="10"/>
  <c r="D1155" i="10"/>
  <c r="D1154" i="10"/>
  <c r="D1153" i="10"/>
  <c r="D1152" i="10"/>
  <c r="D1151" i="10"/>
  <c r="D1150" i="10"/>
  <c r="D1149" i="10"/>
  <c r="D1148" i="10"/>
  <c r="D1147" i="10"/>
  <c r="D1146" i="10"/>
  <c r="D1145" i="10"/>
  <c r="D1144" i="10"/>
  <c r="D1143" i="10"/>
  <c r="D1142" i="10"/>
  <c r="D1141" i="10"/>
  <c r="D1140" i="10"/>
  <c r="D1139" i="10"/>
  <c r="D1138" i="10"/>
  <c r="D1137" i="10"/>
  <c r="D1136" i="10"/>
  <c r="D1135" i="10"/>
  <c r="D1134" i="10"/>
  <c r="D1133" i="10"/>
  <c r="D1132" i="10"/>
  <c r="D1131" i="10"/>
  <c r="D1130" i="10"/>
  <c r="D1129" i="10"/>
  <c r="D1128" i="10"/>
  <c r="D1127" i="10"/>
  <c r="D1126" i="10"/>
  <c r="D1125" i="10"/>
  <c r="D1124" i="10"/>
  <c r="D1123" i="10"/>
  <c r="D1122" i="10"/>
  <c r="D1121" i="10"/>
  <c r="D1120" i="10"/>
  <c r="D1119" i="10"/>
  <c r="D1118" i="10"/>
  <c r="D1117" i="10"/>
  <c r="D1116" i="10"/>
  <c r="D1115" i="10"/>
  <c r="D1114" i="10"/>
  <c r="D1113" i="10"/>
  <c r="D1112" i="10"/>
  <c r="D1111" i="10"/>
  <c r="D1110" i="10"/>
  <c r="D1109" i="10"/>
  <c r="D1108" i="10"/>
  <c r="D1107" i="10"/>
  <c r="D1106" i="10"/>
  <c r="D1105" i="10"/>
  <c r="D1104" i="10"/>
  <c r="D1103" i="10"/>
  <c r="D1102" i="10"/>
  <c r="D1101" i="10"/>
  <c r="D1100" i="10"/>
  <c r="D1099" i="10"/>
  <c r="D1098" i="10"/>
  <c r="D1097" i="10"/>
  <c r="D1096" i="10"/>
  <c r="D1095" i="10"/>
  <c r="D1094" i="10"/>
  <c r="D1093" i="10"/>
  <c r="D1092" i="10"/>
  <c r="D1091" i="10"/>
  <c r="D1090" i="10"/>
  <c r="D1089" i="10"/>
  <c r="D1088" i="10"/>
  <c r="D1087" i="10"/>
  <c r="D1086" i="10"/>
  <c r="D1085" i="10"/>
  <c r="D1084" i="10"/>
  <c r="D1083" i="10"/>
  <c r="D1082" i="10"/>
  <c r="D1081" i="10"/>
  <c r="D1080" i="10"/>
  <c r="D1079" i="10"/>
  <c r="D1078" i="10"/>
  <c r="D1077" i="10"/>
  <c r="D1076" i="10"/>
  <c r="D1075" i="10"/>
  <c r="D1074" i="10"/>
  <c r="D1073" i="10"/>
  <c r="D1072" i="10"/>
  <c r="D1071" i="10"/>
  <c r="D1070" i="10"/>
  <c r="D1069" i="10"/>
  <c r="D1068" i="10"/>
  <c r="D1067" i="10"/>
  <c r="D1066" i="10"/>
  <c r="D1065" i="10"/>
  <c r="D1064" i="10"/>
  <c r="D1063" i="10"/>
  <c r="D1062" i="10"/>
  <c r="D1061" i="10"/>
  <c r="D1060" i="10"/>
  <c r="D1059" i="10"/>
  <c r="D1058" i="10"/>
  <c r="D1057" i="10"/>
  <c r="D1056" i="10"/>
  <c r="D1055" i="10"/>
  <c r="D1054" i="10"/>
  <c r="D1053" i="10"/>
  <c r="D1052" i="10"/>
  <c r="D1051" i="10"/>
  <c r="D1050" i="10"/>
  <c r="D1049" i="10"/>
  <c r="D1048" i="10"/>
  <c r="D1047" i="10"/>
  <c r="D1046" i="10"/>
  <c r="D1045" i="10"/>
  <c r="D1044" i="10"/>
  <c r="D1043" i="10"/>
  <c r="D1042" i="10"/>
  <c r="D1041" i="10"/>
  <c r="D1040" i="10"/>
  <c r="D1039" i="10"/>
  <c r="D1038" i="10"/>
  <c r="D1037" i="10"/>
  <c r="D1036" i="10"/>
  <c r="D1035" i="10"/>
  <c r="D1034" i="10"/>
  <c r="D1033" i="10"/>
  <c r="D1032" i="10"/>
  <c r="D1031" i="10"/>
  <c r="D1030" i="10"/>
  <c r="D1029" i="10"/>
  <c r="D1028" i="10"/>
  <c r="D1027" i="10"/>
  <c r="D1026" i="10"/>
  <c r="D1025" i="10"/>
  <c r="D1024" i="10"/>
  <c r="D1023" i="10"/>
  <c r="D1022" i="10"/>
  <c r="D1021" i="10"/>
  <c r="D1020" i="10"/>
  <c r="D1019" i="10"/>
  <c r="D1018" i="10"/>
  <c r="D1017" i="10"/>
  <c r="D1016" i="10"/>
  <c r="D1015" i="10"/>
  <c r="D1014" i="10"/>
  <c r="D1013" i="10"/>
  <c r="D1012" i="10"/>
  <c r="D1011" i="10"/>
  <c r="D1010" i="10"/>
  <c r="D1009" i="10"/>
  <c r="D1008" i="10"/>
  <c r="D1007" i="10"/>
  <c r="D1006" i="10"/>
  <c r="D1005" i="10"/>
  <c r="D1004" i="10"/>
  <c r="D1003" i="10"/>
  <c r="D1002" i="10"/>
  <c r="D1001" i="10"/>
  <c r="D1000" i="10"/>
  <c r="D999" i="10"/>
  <c r="D998" i="10"/>
  <c r="D997" i="10"/>
  <c r="D996" i="10"/>
  <c r="D995" i="10"/>
  <c r="D994" i="10"/>
  <c r="D993" i="10"/>
  <c r="D992" i="10"/>
  <c r="D991" i="10"/>
  <c r="D990" i="10"/>
  <c r="D989" i="10"/>
  <c r="D988" i="10"/>
  <c r="D987" i="10"/>
  <c r="D986" i="10"/>
  <c r="D985" i="10"/>
  <c r="D984" i="10"/>
  <c r="D983" i="10"/>
  <c r="D982" i="10"/>
  <c r="D981" i="10"/>
  <c r="D980" i="10"/>
  <c r="D979" i="10"/>
  <c r="D978" i="10"/>
  <c r="D977" i="10"/>
  <c r="D976" i="10"/>
  <c r="D975" i="10"/>
  <c r="D974" i="10"/>
  <c r="D973" i="10"/>
  <c r="D972" i="10"/>
  <c r="D971" i="10"/>
  <c r="D970" i="10"/>
  <c r="D969" i="10"/>
  <c r="D968" i="10"/>
  <c r="D967" i="10"/>
  <c r="D966" i="10"/>
  <c r="D965" i="10"/>
  <c r="D964" i="10"/>
  <c r="D963" i="10"/>
  <c r="D962" i="10"/>
  <c r="D961" i="10"/>
  <c r="D960" i="10"/>
  <c r="D959" i="10"/>
  <c r="D958" i="10"/>
  <c r="D957" i="10"/>
  <c r="D956" i="10"/>
  <c r="D955" i="10"/>
  <c r="D954" i="10"/>
  <c r="D953" i="10"/>
  <c r="D952" i="10"/>
  <c r="D951" i="10"/>
  <c r="D950" i="10"/>
  <c r="D949" i="10"/>
  <c r="D948" i="10"/>
  <c r="D947" i="10"/>
  <c r="D946" i="10"/>
  <c r="D945" i="10"/>
  <c r="D944" i="10"/>
  <c r="D943" i="10"/>
  <c r="D942" i="10"/>
  <c r="D941" i="10"/>
  <c r="D940" i="10"/>
  <c r="D939" i="10"/>
  <c r="D938" i="10"/>
  <c r="D937" i="10"/>
  <c r="D936" i="10"/>
  <c r="D935" i="10"/>
  <c r="D934" i="10"/>
  <c r="D933" i="10"/>
  <c r="D932" i="10"/>
  <c r="D931" i="10"/>
  <c r="D930" i="10"/>
  <c r="D929" i="10"/>
  <c r="D928" i="10"/>
  <c r="D927" i="10"/>
  <c r="D926" i="10"/>
  <c r="D925" i="10"/>
  <c r="D924" i="10"/>
  <c r="D923" i="10"/>
  <c r="D922" i="10"/>
  <c r="D921" i="10"/>
  <c r="D920" i="10"/>
  <c r="D919" i="10"/>
  <c r="D918" i="10"/>
  <c r="D917" i="10"/>
  <c r="D916" i="10"/>
  <c r="D915" i="10"/>
  <c r="D914" i="10"/>
  <c r="D913" i="10"/>
  <c r="D912" i="10"/>
  <c r="D911" i="10"/>
  <c r="D910" i="10"/>
  <c r="D909" i="10"/>
  <c r="D908" i="10"/>
  <c r="D907" i="10"/>
  <c r="D906" i="10"/>
  <c r="D905" i="10"/>
  <c r="D904" i="10"/>
  <c r="D903" i="10"/>
  <c r="D902" i="10"/>
  <c r="D901" i="10"/>
  <c r="D900" i="10"/>
  <c r="D899" i="10"/>
  <c r="D898" i="10"/>
  <c r="D897" i="10"/>
  <c r="D896" i="10"/>
  <c r="D895" i="10"/>
  <c r="D894" i="10"/>
  <c r="D893" i="10"/>
  <c r="D892" i="10"/>
  <c r="D891" i="10"/>
  <c r="D890" i="10"/>
  <c r="D889" i="10"/>
  <c r="D888" i="10"/>
  <c r="D887" i="10"/>
  <c r="D886" i="10"/>
  <c r="D885" i="10"/>
  <c r="D884" i="10"/>
  <c r="D883" i="10"/>
  <c r="D882" i="10"/>
  <c r="D881" i="10"/>
  <c r="D880" i="10"/>
  <c r="D879" i="10"/>
  <c r="D878" i="10"/>
  <c r="D877" i="10"/>
  <c r="D876" i="10"/>
  <c r="D875" i="10"/>
  <c r="D874" i="10"/>
  <c r="D873" i="10"/>
  <c r="D872" i="10"/>
  <c r="D871" i="10"/>
  <c r="D870" i="10"/>
  <c r="D869" i="10"/>
  <c r="D868" i="10"/>
  <c r="D867" i="10"/>
  <c r="D866" i="10"/>
  <c r="D865" i="10"/>
  <c r="D864" i="10"/>
  <c r="D863" i="10"/>
  <c r="D862" i="10"/>
  <c r="D861" i="10"/>
  <c r="D860" i="10"/>
  <c r="D859" i="10"/>
  <c r="D858" i="10"/>
  <c r="D857" i="10"/>
  <c r="D856" i="10"/>
  <c r="D855" i="10"/>
  <c r="D854" i="10"/>
  <c r="D853" i="10"/>
  <c r="D852" i="10"/>
  <c r="D851" i="10"/>
  <c r="D850" i="10"/>
  <c r="D849" i="10"/>
  <c r="D848" i="10"/>
  <c r="D847" i="10"/>
  <c r="D846" i="10"/>
  <c r="D845" i="10"/>
  <c r="D844" i="10"/>
  <c r="D843" i="10"/>
  <c r="D842" i="10"/>
  <c r="D841" i="10"/>
  <c r="D840" i="10"/>
  <c r="D839" i="10"/>
  <c r="D838" i="10"/>
  <c r="D837" i="10"/>
  <c r="D836" i="10"/>
  <c r="D835" i="10"/>
  <c r="D834" i="10"/>
  <c r="D833" i="10"/>
  <c r="D832" i="10"/>
  <c r="D831" i="10"/>
  <c r="D830" i="10"/>
  <c r="D829" i="10"/>
  <c r="D828" i="10"/>
  <c r="D827" i="10"/>
  <c r="D826" i="10"/>
  <c r="D825" i="10"/>
  <c r="D824" i="10"/>
  <c r="D823" i="10"/>
  <c r="D822" i="10"/>
  <c r="D821" i="10"/>
  <c r="D820" i="10"/>
  <c r="D819" i="10"/>
  <c r="D818" i="10"/>
  <c r="D817" i="10"/>
  <c r="D816" i="10"/>
  <c r="D815" i="10"/>
  <c r="D814" i="10"/>
  <c r="D813" i="10"/>
  <c r="D812" i="10"/>
  <c r="D811" i="10"/>
  <c r="D810" i="10"/>
  <c r="D809" i="10"/>
  <c r="D808" i="10"/>
  <c r="D807" i="10"/>
  <c r="D806" i="10"/>
  <c r="D805" i="10"/>
  <c r="D804" i="10"/>
  <c r="D803" i="10"/>
  <c r="D802" i="10"/>
  <c r="D801" i="10"/>
  <c r="D800" i="10"/>
  <c r="D799" i="10"/>
  <c r="D798" i="10"/>
  <c r="D797" i="10"/>
  <c r="D796" i="10"/>
  <c r="D795" i="10"/>
  <c r="D794" i="10"/>
  <c r="D793" i="10"/>
  <c r="D792" i="10"/>
  <c r="D791" i="10"/>
  <c r="D790" i="10"/>
  <c r="D789" i="10"/>
  <c r="D788" i="10"/>
  <c r="D787" i="10"/>
  <c r="D786" i="10"/>
  <c r="D785" i="10"/>
  <c r="D784" i="10"/>
  <c r="D783" i="10"/>
  <c r="D782" i="10"/>
  <c r="D781" i="10"/>
  <c r="D780" i="10"/>
  <c r="D779" i="10"/>
  <c r="D778" i="10"/>
  <c r="D777" i="10"/>
  <c r="D776" i="10"/>
  <c r="D775" i="10"/>
  <c r="D774" i="10"/>
  <c r="D773" i="10"/>
  <c r="D772" i="10"/>
  <c r="D771" i="10"/>
  <c r="D770" i="10"/>
  <c r="D769" i="10"/>
  <c r="D768" i="10"/>
  <c r="D767" i="10"/>
  <c r="D766" i="10"/>
  <c r="D765" i="10"/>
  <c r="D764" i="10"/>
  <c r="D763" i="10"/>
  <c r="D762" i="10"/>
  <c r="D761" i="10"/>
  <c r="D760" i="10"/>
  <c r="D759" i="10"/>
  <c r="D758" i="10"/>
  <c r="D757" i="10"/>
  <c r="D756" i="10"/>
  <c r="D755" i="10"/>
  <c r="D754" i="10"/>
  <c r="D753" i="10"/>
  <c r="D752" i="10"/>
  <c r="D751" i="10"/>
  <c r="D750" i="10"/>
  <c r="D749" i="10"/>
  <c r="D748" i="10"/>
  <c r="D747" i="10"/>
  <c r="D746" i="10"/>
  <c r="D745" i="10"/>
  <c r="D744" i="10"/>
  <c r="D743" i="10"/>
  <c r="D742" i="10"/>
  <c r="D741" i="10"/>
  <c r="D740" i="10"/>
  <c r="D739" i="10"/>
  <c r="D738" i="10"/>
  <c r="D737" i="10"/>
  <c r="D736" i="10"/>
  <c r="D735" i="10"/>
  <c r="D734" i="10"/>
  <c r="D733" i="10"/>
  <c r="D732" i="10"/>
  <c r="D731" i="10"/>
  <c r="D730" i="10"/>
  <c r="D729" i="10"/>
  <c r="D728" i="10"/>
  <c r="D727" i="10"/>
  <c r="D726" i="10"/>
  <c r="D725" i="10"/>
  <c r="D724" i="10"/>
  <c r="D723" i="10"/>
  <c r="D722" i="10"/>
  <c r="D721" i="10"/>
  <c r="D720" i="10"/>
  <c r="D719" i="10"/>
  <c r="D718" i="10"/>
  <c r="D717" i="10"/>
  <c r="D716" i="10"/>
  <c r="D715" i="10"/>
  <c r="D714" i="10"/>
  <c r="D713" i="10"/>
  <c r="D712" i="10"/>
  <c r="D711" i="10"/>
  <c r="D710" i="10"/>
  <c r="D709" i="10"/>
  <c r="D708" i="10"/>
  <c r="D707" i="10"/>
  <c r="D706" i="10"/>
  <c r="D705" i="10"/>
  <c r="D704" i="10"/>
  <c r="D703" i="10"/>
  <c r="D702" i="10"/>
  <c r="D701" i="10"/>
  <c r="D700" i="10"/>
  <c r="D699" i="10"/>
  <c r="D698" i="10"/>
  <c r="D697" i="10"/>
  <c r="D696" i="10"/>
  <c r="D695" i="10"/>
  <c r="D694" i="10"/>
  <c r="D693" i="10"/>
  <c r="D692" i="10"/>
  <c r="D691" i="10"/>
  <c r="D690" i="10"/>
  <c r="D689" i="10"/>
  <c r="D688" i="10"/>
  <c r="D687" i="10"/>
  <c r="D686" i="10"/>
  <c r="D685" i="10"/>
  <c r="D684" i="10"/>
  <c r="D683" i="10"/>
  <c r="D682" i="10"/>
  <c r="D681" i="10"/>
  <c r="D680" i="10"/>
  <c r="D679" i="10"/>
  <c r="D678" i="10"/>
  <c r="D677" i="10"/>
  <c r="D676" i="10"/>
  <c r="D675" i="10"/>
  <c r="D674" i="10"/>
  <c r="D673" i="10"/>
  <c r="D672" i="10"/>
  <c r="D671" i="10"/>
  <c r="D670" i="10"/>
  <c r="D669" i="10"/>
  <c r="D668" i="10"/>
  <c r="D667" i="10"/>
  <c r="D666" i="10"/>
  <c r="D665" i="10"/>
  <c r="D664" i="10"/>
  <c r="D663" i="10"/>
  <c r="D662" i="10"/>
  <c r="D661" i="10"/>
  <c r="D660" i="10"/>
  <c r="D659" i="10"/>
  <c r="D658" i="10"/>
  <c r="D657" i="10"/>
  <c r="D656" i="10"/>
  <c r="D655" i="10"/>
  <c r="D654" i="10"/>
  <c r="D653" i="10"/>
  <c r="D652" i="10"/>
  <c r="D651" i="10"/>
  <c r="D650" i="10"/>
  <c r="D649" i="10"/>
  <c r="D648" i="10"/>
  <c r="D647" i="10"/>
  <c r="D646" i="10"/>
  <c r="D645" i="10"/>
  <c r="D644" i="10"/>
  <c r="D643" i="10"/>
  <c r="D642" i="10"/>
  <c r="D641" i="10"/>
  <c r="D640" i="10"/>
  <c r="D639" i="10"/>
  <c r="D638" i="10"/>
  <c r="D637" i="10"/>
  <c r="D636" i="10"/>
  <c r="D635" i="10"/>
  <c r="D634" i="10"/>
  <c r="D633" i="10"/>
  <c r="D632" i="10"/>
  <c r="D631" i="10"/>
  <c r="D630" i="10"/>
  <c r="D629" i="10"/>
  <c r="D628" i="10"/>
  <c r="D627" i="10"/>
  <c r="D626" i="10"/>
  <c r="D625" i="10"/>
  <c r="D624" i="10"/>
  <c r="D623" i="10"/>
  <c r="D622" i="10"/>
  <c r="D621" i="10"/>
  <c r="D620" i="10"/>
  <c r="D619" i="10"/>
  <c r="D618" i="10"/>
  <c r="D617" i="10"/>
  <c r="D616" i="10"/>
  <c r="D615" i="10"/>
  <c r="D614" i="10"/>
  <c r="D613" i="10"/>
  <c r="D612" i="10"/>
  <c r="D611" i="10"/>
  <c r="D610" i="10"/>
  <c r="D609" i="10"/>
  <c r="D608" i="10"/>
  <c r="D607" i="10"/>
  <c r="D606" i="10"/>
  <c r="D605" i="10"/>
  <c r="D604" i="10"/>
  <c r="D603" i="10"/>
  <c r="D602" i="10"/>
  <c r="D601" i="10"/>
  <c r="D600" i="10"/>
  <c r="D599" i="10"/>
  <c r="D598" i="10"/>
  <c r="D597" i="10"/>
  <c r="D596" i="10"/>
  <c r="D595" i="10"/>
  <c r="D594" i="10"/>
  <c r="D593" i="10"/>
  <c r="D592" i="10"/>
  <c r="D591" i="10"/>
  <c r="D590" i="10"/>
  <c r="D589" i="10"/>
  <c r="D588" i="10"/>
  <c r="D587" i="10"/>
  <c r="D586" i="10"/>
  <c r="D585" i="10"/>
  <c r="D584" i="10"/>
  <c r="D583" i="10"/>
  <c r="D582" i="10"/>
  <c r="D581" i="10"/>
  <c r="D580" i="10"/>
  <c r="D579" i="10"/>
  <c r="D578" i="10"/>
  <c r="D577" i="10"/>
  <c r="D576" i="10"/>
  <c r="D575" i="10"/>
  <c r="D574" i="10"/>
  <c r="D573" i="10"/>
  <c r="D572" i="10"/>
  <c r="D571" i="10"/>
  <c r="D570" i="10"/>
  <c r="D569" i="10"/>
  <c r="D568" i="10"/>
  <c r="D567" i="10"/>
  <c r="D566" i="10"/>
  <c r="D565" i="10"/>
  <c r="D564" i="10"/>
  <c r="D563" i="10"/>
  <c r="D562" i="10"/>
  <c r="D561" i="10"/>
  <c r="D560" i="10"/>
  <c r="D559" i="10"/>
  <c r="D558" i="10"/>
  <c r="D557" i="10"/>
  <c r="D556" i="10"/>
  <c r="D555" i="10"/>
  <c r="D554" i="10"/>
  <c r="D553" i="10"/>
  <c r="D552" i="10"/>
  <c r="D551" i="10"/>
  <c r="D550" i="10"/>
  <c r="D549" i="10"/>
  <c r="D548" i="10"/>
  <c r="D547" i="10"/>
  <c r="D546" i="10"/>
  <c r="D545" i="10"/>
  <c r="D544" i="10"/>
  <c r="D543" i="10"/>
  <c r="D542" i="10"/>
  <c r="D541" i="10"/>
  <c r="D540" i="10"/>
  <c r="D539" i="10"/>
  <c r="D538" i="10"/>
  <c r="D537" i="10"/>
  <c r="D536" i="10"/>
  <c r="D535" i="10"/>
  <c r="D534" i="10"/>
  <c r="D533" i="10"/>
  <c r="D532" i="10"/>
  <c r="D531" i="10"/>
  <c r="D530" i="10"/>
  <c r="D529" i="10"/>
  <c r="D528" i="10"/>
  <c r="D527" i="10"/>
  <c r="D526" i="10"/>
  <c r="D525" i="10"/>
  <c r="D524" i="10"/>
  <c r="D523" i="10"/>
  <c r="D522" i="10"/>
  <c r="D521" i="10"/>
  <c r="D520" i="10"/>
  <c r="D519" i="10"/>
  <c r="D518" i="10"/>
  <c r="D517" i="10"/>
  <c r="D516" i="10"/>
  <c r="D515" i="10"/>
  <c r="D514" i="10"/>
  <c r="D513" i="10"/>
  <c r="D512" i="10"/>
  <c r="D511" i="10"/>
  <c r="D510" i="10"/>
  <c r="D509" i="10"/>
  <c r="D508" i="10"/>
  <c r="D507" i="10"/>
  <c r="D506" i="10"/>
  <c r="D505" i="10"/>
  <c r="D504" i="10"/>
  <c r="D503" i="10"/>
  <c r="D502" i="10"/>
  <c r="D501" i="10"/>
  <c r="D500" i="10"/>
  <c r="D499" i="10"/>
  <c r="D498" i="10"/>
  <c r="D497" i="10"/>
  <c r="D496" i="10"/>
  <c r="D495" i="10"/>
  <c r="D494" i="10"/>
  <c r="D493" i="10"/>
  <c r="D492" i="10"/>
  <c r="D491" i="10"/>
  <c r="D490" i="10"/>
  <c r="D489" i="10"/>
  <c r="D488" i="10"/>
  <c r="D487" i="10"/>
  <c r="D486" i="10"/>
  <c r="D485" i="10"/>
  <c r="D484" i="10"/>
  <c r="D483" i="10"/>
  <c r="D482" i="10"/>
  <c r="D481" i="10"/>
  <c r="D480" i="10"/>
  <c r="D479" i="10"/>
  <c r="D478" i="10"/>
  <c r="D477" i="10"/>
  <c r="D476" i="10"/>
  <c r="D475" i="10"/>
  <c r="D474" i="10"/>
  <c r="D473" i="10"/>
  <c r="D472" i="10"/>
  <c r="D471" i="10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237" i="10"/>
  <c r="D236" i="10"/>
  <c r="D235" i="10"/>
  <c r="D234" i="10"/>
  <c r="D233" i="10"/>
  <c r="D232" i="10"/>
  <c r="D231" i="10"/>
  <c r="D230" i="10"/>
  <c r="D229" i="10"/>
  <c r="D228" i="10"/>
  <c r="D227" i="10"/>
  <c r="D226" i="10"/>
  <c r="D225" i="10"/>
  <c r="D224" i="10"/>
  <c r="D223" i="10"/>
  <c r="D222" i="10"/>
  <c r="D221" i="10"/>
  <c r="D220" i="10"/>
  <c r="D219" i="10"/>
  <c r="D218" i="10"/>
  <c r="D217" i="10"/>
  <c r="D216" i="10"/>
  <c r="D215" i="10"/>
  <c r="D214" i="10"/>
  <c r="D213" i="10"/>
  <c r="D212" i="10"/>
  <c r="D211" i="10"/>
  <c r="D210" i="10"/>
  <c r="D209" i="10"/>
  <c r="D208" i="10"/>
  <c r="D207" i="10"/>
  <c r="D206" i="10"/>
  <c r="D205" i="10"/>
  <c r="D204" i="10"/>
  <c r="D203" i="10"/>
  <c r="D202" i="10"/>
  <c r="D201" i="10"/>
  <c r="D200" i="10"/>
  <c r="D199" i="10"/>
  <c r="D198" i="10"/>
  <c r="D197" i="10"/>
  <c r="D196" i="10"/>
  <c r="D195" i="10"/>
  <c r="D194" i="10"/>
  <c r="D193" i="10"/>
  <c r="D192" i="10"/>
  <c r="D191" i="10"/>
  <c r="D190" i="10"/>
  <c r="D189" i="10"/>
  <c r="D188" i="10"/>
  <c r="D187" i="10"/>
  <c r="D186" i="10"/>
  <c r="D185" i="10"/>
  <c r="D184" i="10"/>
  <c r="D183" i="10"/>
  <c r="D182" i="10"/>
  <c r="D181" i="10"/>
  <c r="D180" i="10"/>
  <c r="D179" i="10"/>
  <c r="D178" i="10"/>
  <c r="D177" i="10"/>
  <c r="D176" i="10"/>
  <c r="D175" i="10"/>
  <c r="D174" i="10"/>
  <c r="D173" i="10"/>
  <c r="D172" i="10"/>
  <c r="D171" i="10"/>
  <c r="D170" i="10"/>
  <c r="D169" i="10"/>
  <c r="D168" i="10"/>
  <c r="D167" i="10"/>
  <c r="D166" i="10"/>
  <c r="D165" i="10"/>
  <c r="D164" i="10"/>
  <c r="D163" i="10"/>
  <c r="D162" i="10"/>
  <c r="D161" i="10"/>
  <c r="D160" i="10"/>
  <c r="D159" i="10"/>
  <c r="D158" i="10"/>
  <c r="D157" i="10"/>
  <c r="D156" i="10"/>
  <c r="D155" i="10"/>
  <c r="D154" i="10"/>
  <c r="D153" i="10"/>
  <c r="D152" i="10"/>
  <c r="D151" i="10"/>
  <c r="D150" i="10"/>
  <c r="D149" i="10"/>
  <c r="D148" i="10"/>
  <c r="D147" i="10"/>
  <c r="D146" i="10"/>
  <c r="D145" i="10"/>
  <c r="D144" i="10"/>
  <c r="D143" i="10"/>
  <c r="D142" i="10"/>
  <c r="D141" i="10"/>
  <c r="D140" i="10"/>
  <c r="D139" i="10"/>
  <c r="D138" i="10"/>
  <c r="D137" i="10"/>
  <c r="D136" i="10"/>
  <c r="D135" i="10"/>
  <c r="D134" i="10"/>
  <c r="D133" i="10"/>
  <c r="D132" i="10"/>
  <c r="D131" i="10"/>
  <c r="D130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2" i="10"/>
  <c r="A5" i="5" l="1"/>
  <c r="A6" i="5"/>
  <c r="A8" i="5"/>
  <c r="A9" i="5"/>
  <c r="A11" i="5"/>
  <c r="A14" i="5"/>
  <c r="A15" i="5"/>
  <c r="A19" i="5"/>
  <c r="A20" i="5"/>
  <c r="A21" i="5"/>
  <c r="A32" i="5"/>
  <c r="A33" i="5"/>
  <c r="A34" i="5"/>
  <c r="A35" i="5"/>
  <c r="A37" i="5"/>
  <c r="A38" i="5"/>
  <c r="A42" i="5"/>
  <c r="A45" i="5"/>
  <c r="A46" i="5"/>
  <c r="A47" i="5"/>
  <c r="A48" i="5"/>
  <c r="A49" i="5"/>
  <c r="A53" i="5"/>
  <c r="A60" i="5"/>
  <c r="A61" i="5"/>
  <c r="A72" i="5"/>
  <c r="A76" i="5"/>
  <c r="A77" i="5"/>
  <c r="A78" i="5"/>
  <c r="A83" i="5"/>
  <c r="A85" i="5"/>
  <c r="A86" i="5"/>
  <c r="A87" i="5"/>
  <c r="A89" i="5"/>
  <c r="A90" i="5"/>
  <c r="A91" i="5"/>
  <c r="A92" i="5"/>
  <c r="A93" i="5"/>
  <c r="A95" i="5"/>
  <c r="A98" i="5"/>
  <c r="A101" i="5"/>
  <c r="A102" i="5"/>
  <c r="A108" i="5"/>
  <c r="A109" i="5"/>
  <c r="A110" i="5"/>
  <c r="A116" i="5"/>
  <c r="A120" i="5"/>
  <c r="A121" i="5"/>
  <c r="A122" i="5"/>
  <c r="A123" i="5"/>
  <c r="A124" i="5"/>
  <c r="A125" i="5"/>
  <c r="A126" i="5"/>
  <c r="A129" i="5"/>
  <c r="D193" i="5"/>
  <c r="D194" i="5"/>
  <c r="D195" i="5"/>
  <c r="D8" i="5"/>
  <c r="D137" i="5"/>
  <c r="D138" i="5"/>
  <c r="D139" i="5"/>
  <c r="D65" i="5"/>
  <c r="D209" i="5"/>
  <c r="D141" i="5"/>
  <c r="D11" i="5"/>
  <c r="D94" i="5"/>
  <c r="D144" i="5"/>
  <c r="D14" i="5"/>
  <c r="D16" i="5"/>
  <c r="D19" i="5"/>
  <c r="D17" i="5"/>
  <c r="D18" i="5"/>
  <c r="D206" i="5"/>
  <c r="D147" i="5"/>
  <c r="D148" i="5"/>
  <c r="D150" i="5"/>
  <c r="D4" i="5"/>
  <c r="D151" i="5"/>
  <c r="D152" i="5"/>
  <c r="D67" i="5"/>
  <c r="D153" i="5"/>
  <c r="D154" i="5"/>
  <c r="D37" i="5"/>
  <c r="D156" i="5"/>
  <c r="D203" i="5"/>
  <c r="D158" i="5"/>
  <c r="D159" i="5"/>
  <c r="D41" i="5"/>
  <c r="D161" i="5"/>
  <c r="D26" i="5"/>
  <c r="D162" i="5"/>
  <c r="D187" i="5"/>
  <c r="D202" i="5"/>
  <c r="D54" i="5"/>
  <c r="D55" i="5"/>
  <c r="D56" i="5"/>
  <c r="D57" i="5"/>
  <c r="D58" i="5"/>
  <c r="D200" i="5"/>
  <c r="D167" i="5"/>
  <c r="D72" i="5"/>
  <c r="D168" i="5"/>
  <c r="D169" i="5"/>
  <c r="D170" i="5"/>
  <c r="D171" i="5"/>
  <c r="D172" i="5"/>
  <c r="D199" i="5"/>
  <c r="D174" i="5"/>
  <c r="D196" i="5"/>
  <c r="D96" i="5"/>
  <c r="D197" i="5"/>
  <c r="D198" i="5"/>
  <c r="D179" i="5"/>
  <c r="D180" i="5"/>
  <c r="D190" i="5"/>
  <c r="D189" i="5"/>
  <c r="D132" i="5"/>
  <c r="D110" i="5"/>
  <c r="D175" i="5"/>
  <c r="D176" i="5"/>
  <c r="D177" i="5"/>
  <c r="D173" i="5"/>
  <c r="D166" i="5"/>
  <c r="D201" i="5"/>
  <c r="D191" i="5"/>
  <c r="D131" i="5"/>
  <c r="D39" i="5"/>
  <c r="D157" i="5"/>
  <c r="D63" i="5"/>
  <c r="D121" i="5"/>
  <c r="D122" i="5"/>
  <c r="D140" i="5"/>
  <c r="D123" i="5"/>
  <c r="D124" i="5"/>
  <c r="D125" i="5"/>
  <c r="D142" i="5"/>
  <c r="D143" i="5"/>
  <c r="D145" i="5"/>
  <c r="D146" i="5"/>
  <c r="D164" i="5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" i="7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tc={E84EF493-1DC8-4941-9E26-BE9157FC585F}</author>
    <author>tc={1C644626-25D1-4D1D-BFA3-615ECBD06A76}</author>
  </authors>
  <commentList>
    <comment ref="F1" authorId="0" shapeId="0" xr:uid="{E84EF493-1DC8-4941-9E26-BE9157FC585F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note names were updated to reflect legal name in DHS database</t>
      </text>
    </comment>
    <comment ref="F436" authorId="1" shapeId="0" xr:uid="{1C644626-25D1-4D1D-BFA3-615ECBD06A76}">
      <text>
        <t>[Threaded comment]
Your version of Excel allows you to read this threaded comment; however, any edits to it will get removed if the file is opened in a newer version of Excel. Learn more: https://go.microsoft.com/fwlink/?linkid=870924
Comment:
    Comes up as Katty's Kids at Neighborhood ministries
CDC-17979</t>
      </text>
    </comment>
  </commentList>
</comments>
</file>

<file path=xl/sharedStrings.xml><?xml version="1.0" encoding="utf-8"?>
<sst xmlns="http://schemas.openxmlformats.org/spreadsheetml/2006/main" count="91585" uniqueCount="21360">
  <si>
    <t>EntityID</t>
  </si>
  <si>
    <t>LEGALNAME</t>
  </si>
  <si>
    <t>F.U.S.D.#1 - DINE FAMILY LEARNING CENTER/LEUPP</t>
  </si>
  <si>
    <t>P.U.S.D.#4 - PINON ELEMENTARY SCHOOL</t>
  </si>
  <si>
    <t>LUCERO &amp; CYNTHIA'S CHILDCARE</t>
  </si>
  <si>
    <t>S.U.S.D.#18 - SANDERS ELEMENTARY SCHOOL PRESCHOOL</t>
  </si>
  <si>
    <t>COOLIDGE HEAD START</t>
  </si>
  <si>
    <t>HAPPY KIDS CHILD CARE CENTER I I</t>
  </si>
  <si>
    <t>STANFIELD HEAD START CENTER</t>
  </si>
  <si>
    <t>S.E.S.D.#24 - STANFIELD ELEMENTARY SCHOOL</t>
  </si>
  <si>
    <t>C.U.S.D.#24 - CHINLE ELEMENTARY SCHOOL PRE SCHOOL</t>
  </si>
  <si>
    <t>G.B.S.D.#24 - GILA BEND SCHOOL DISTRICT PRESCHOOL</t>
  </si>
  <si>
    <t>K.U.S.D.#27 - A B C PRESCHOOL</t>
  </si>
  <si>
    <t>CASA GRANDE HEAD START</t>
  </si>
  <si>
    <t>M.S.D.#21 - ARTHUR M. HAMILTON - MURPHY HEAD START</t>
  </si>
  <si>
    <t>C.U.S.D.#24 - TSAILE PUBLIC SCHOOL</t>
  </si>
  <si>
    <t>G.U.S.D.#20 - GANADO PRE-K ACADEMY</t>
  </si>
  <si>
    <t>K.U.S.D.#27 - C.O.P.E.</t>
  </si>
  <si>
    <t>P.U.S.D.#8 - PAGE UNIFIED PRESCHOOLL</t>
  </si>
  <si>
    <t>R.M.U.S.D.#27 - PRESCHOOL PROGRAM</t>
  </si>
  <si>
    <t>W.E.S.D.#19 - WENDEN ELEMENTARY SCHOOL</t>
  </si>
  <si>
    <t>W.R.U.S.D.#8 - TSEHOOTSOI INTEGRATED PRESCHOOL PROGRAM I &amp; II</t>
  </si>
  <si>
    <t>1ST STEP TO GREATNESS, LLC</t>
  </si>
  <si>
    <t>GEORGE WASHINGTON CARVER CENTER</t>
  </si>
  <si>
    <t>HOLSCLAW FAMILY CHILD CARE CENTER</t>
  </si>
  <si>
    <t>KIDS VILLAGE PRE-SCHOOL AND CHILD CARE</t>
  </si>
  <si>
    <t>RISE AND SHINE ACADEMY LLC</t>
  </si>
  <si>
    <t>SIGNAL PEAK EARLY LEARNING CENTER</t>
  </si>
  <si>
    <t>TUCSON BAPTIST TEMPLE CHILD DEVELOPMENT CENTER</t>
  </si>
  <si>
    <t>S.U.S.D.#12 - OCOTILLO PRESCHOOL</t>
  </si>
  <si>
    <t>T.C.U.S.D.#15 - TUBA CITY HIGH SCHOOL CHILD DEVELOPMENT LEARNING CENTER</t>
  </si>
  <si>
    <t>ACTIVE LEARNING CENTER #4</t>
  </si>
  <si>
    <t>AMIGO PRESCHOOLS #2</t>
  </si>
  <si>
    <t>CACTUS KIDS PRESCHOOL</t>
  </si>
  <si>
    <t>CHILDREN'S CAMPUS</t>
  </si>
  <si>
    <t>GREATER PHOENIX URBAN LEAGUE HEAD START - CARTWRIGHT</t>
  </si>
  <si>
    <t>KAIBAB LEARNING CENTER, INC.</t>
  </si>
  <si>
    <t>MARANATHA DAY CARE CENTER</t>
  </si>
  <si>
    <t>C.U.S.D.#24 - CANYON DE CHELLY</t>
  </si>
  <si>
    <t>C.U.S.D.#24 - MANY FARMS ELEMENTARY SCHOOL</t>
  </si>
  <si>
    <t>C.E.S.D.#83 - CARTWRIGHT EARLY CHILDHOOD CENTER</t>
  </si>
  <si>
    <t>I.E.S.D.#5 - ISAAC PRESCHOOL CAMPUS</t>
  </si>
  <si>
    <t>P.E.S.D.#94 - PALOMA PRESCHOOL</t>
  </si>
  <si>
    <t>ADVANCE U</t>
  </si>
  <si>
    <t>ESPERANZA MONTESSORI ACADEMY</t>
  </si>
  <si>
    <t>LIBERTY HEAD START</t>
  </si>
  <si>
    <t>LITTLE TOWN CHILD CARE</t>
  </si>
  <si>
    <t>RISE N SHINE PRESCHOOL</t>
  </si>
  <si>
    <t>SHELLIE'S EARLY START LEARNING CENTER #4</t>
  </si>
  <si>
    <t>ST. CATHERINE OF SIENA PRESCHOOL</t>
  </si>
  <si>
    <t>R.E.S.D.#66 - CESAR CHAVEZ HEAD START</t>
  </si>
  <si>
    <t>ELOY HEAD START</t>
  </si>
  <si>
    <t>GREATER PHOENIX URBAN LEAGUE - JB SUTTON</t>
  </si>
  <si>
    <t>GREATER PHOENIX URBAN LEAGUE HEAD START - ALTA E. BUTLER</t>
  </si>
  <si>
    <t>GREATER PHOENIX URBAN LEAGUE HEAD START - FRANK DAVIDSON</t>
  </si>
  <si>
    <t>GREATER PHOENIX URBAN LEAGUE HEAD START - MITCHELL</t>
  </si>
  <si>
    <t>LOS NINOS DAYCARE</t>
  </si>
  <si>
    <t>VICTORY PRESCHOOL CORPORATION</t>
  </si>
  <si>
    <t>C.E.S.D.#83 - CARTWRIGHT EMPLOYEE DAYCARE</t>
  </si>
  <si>
    <t>M.S.D.#21 - JACK L. KUBAN HEAD START</t>
  </si>
  <si>
    <t>M.S.D.#21 - W.R. SULLIVAN SCHOOL HEAD START</t>
  </si>
  <si>
    <t>M.S.M.U.S.D.#8 - MAMMOTH - SAN MANUEL PRESCHOOL</t>
  </si>
  <si>
    <t>PIONEER PREPARATORY SCHOOL</t>
  </si>
  <si>
    <t>CHICANOS POR LA CAUSA - DYSART MIGRANT &amp; SEASONAL HEAD START</t>
  </si>
  <si>
    <t>CHILDREN'S LEARNING ADVENTURE CHILDCARE CENTER</t>
  </si>
  <si>
    <t>HEARTWOOD MONTESSORI</t>
  </si>
  <si>
    <t>IMAGINE AVONDALE ELEMENTARY INC.</t>
  </si>
  <si>
    <t>LA PETITE ACADEMY</t>
  </si>
  <si>
    <t>LATTIE COOR HEAD START</t>
  </si>
  <si>
    <t>LINCOLN FAMILY Y.M.C.A.</t>
  </si>
  <si>
    <t>LOURDES CATHOLIC SCHOOL</t>
  </si>
  <si>
    <t>LOVING CARE DAY CARE CENTER</t>
  </si>
  <si>
    <t>N.A.C.O.G. - WINSLOW HEAD START</t>
  </si>
  <si>
    <t>SACRED HEART CATHOLIC SCHOOL</t>
  </si>
  <si>
    <t>SMART KIDS</t>
  </si>
  <si>
    <t>SOUTHWEST HEAD START @ EXCELENCIA SCHOOL</t>
  </si>
  <si>
    <t>SUNBRIGHT CHILDREN CENTER</t>
  </si>
  <si>
    <t>SUNRISE PRESCHOOLS #282</t>
  </si>
  <si>
    <t>THE ROCK - THE SALVATION ARMY DAYCARE</t>
  </si>
  <si>
    <t>THE S A R R C COMMUNITY SCHOOL</t>
  </si>
  <si>
    <t>TOLTEC HEAD START</t>
  </si>
  <si>
    <t>TRINITY PRE SCHOOL/ CHILD CARE</t>
  </si>
  <si>
    <t>TUTOR TIME CHILD CARE/  LEARNING CENTERS</t>
  </si>
  <si>
    <t>WESTERN HEAD START</t>
  </si>
  <si>
    <t>WONDERLAND PLAYHOUSE CHILDCARE CENTER</t>
  </si>
  <si>
    <t>Y.M.C.A. - MULCAHY CITY</t>
  </si>
  <si>
    <t>G.U.S.D.#1 - COPPER RIM ELEMENTARY SCHOOL</t>
  </si>
  <si>
    <t>O.S.D.#2 - MOUNTAIN VISTA KINDERGARTEN PREP</t>
  </si>
  <si>
    <t>P.E.S.D.#1 - BETHUNE ELEMENTARY SCHOOL</t>
  </si>
  <si>
    <t>P.E.S.D.#1 - EDISON ELEMENTARY SCHOOL</t>
  </si>
  <si>
    <t>P.E.S.D.#1 - HERRERA ELEMENTARY SCHOOL</t>
  </si>
  <si>
    <t>P.E.S.D.#1 - LOWELL ELEMENTARY SCHOOL</t>
  </si>
  <si>
    <t>S.U.S.D.#12 - SUNNYSIDE INFANT CENTER</t>
  </si>
  <si>
    <t>W.E.S.D.#6 - WASHINGTON ELEMENTARY SCHOOL</t>
  </si>
  <si>
    <t>AMERICA H CASTELLON</t>
  </si>
  <si>
    <t>CECY'S HOUSE CHILD CARE</t>
  </si>
  <si>
    <t>KIDS COMFORT CORNER</t>
  </si>
  <si>
    <t>LA LUNA NURSERY</t>
  </si>
  <si>
    <t>LITTLE MUNCHKINS CHILD CARE</t>
  </si>
  <si>
    <t>MI REFUGIO CHILD CARE</t>
  </si>
  <si>
    <t>A NEW LEAF'S PHOENIX DAY</t>
  </si>
  <si>
    <t>ESTRELLITA CHILD CARE CENTER, L.L.C.</t>
  </si>
  <si>
    <t>GARCIA'S CHILD CARE</t>
  </si>
  <si>
    <t>PADDRESS</t>
  </si>
  <si>
    <t>40 MILES E OF FLAGSTAFF</t>
  </si>
  <si>
    <t>1 MILE NORTH ROUTE BIA-41</t>
  </si>
  <si>
    <t>3716 SOUTH RODRIGUEZ AVENUE</t>
  </si>
  <si>
    <t>I-40 AND HIGHWAY 191 SOUTH</t>
  </si>
  <si>
    <t>227 WEST PINKLEY AVENUE</t>
  </si>
  <si>
    <t>3523 NORTH 43RD AVENUE</t>
  </si>
  <si>
    <t>515 SOUTH STANFIELD ROAD</t>
  </si>
  <si>
    <t>US HIGHWAY 191 NAVAJO ROUTE 7</t>
  </si>
  <si>
    <t>308 NORTH MARTIN AVENUE</t>
  </si>
  <si>
    <t>400 MESA VIEW DRIVE</t>
  </si>
  <si>
    <t>468 WEST MCMURRAY BOULEVARD</t>
  </si>
  <si>
    <t>2020 WEST DURANGO STREET</t>
  </si>
  <si>
    <t>HWY 12</t>
  </si>
  <si>
    <t>JCT 264 AND 191 MAIN STREET</t>
  </si>
  <si>
    <t>NORTH HIGHWAY 163</t>
  </si>
  <si>
    <t>450  SOUTH NAVAJO DRIVE</t>
  </si>
  <si>
    <t>HC 61 BOX 40 MILE MARKER 448</t>
  </si>
  <si>
    <t>71001 EAST SANTA FE AVENUE</t>
  </si>
  <si>
    <t>NAVAJO ROUTE 2</t>
  </si>
  <si>
    <t>6807 SOUTH CENTRAL AVENUE</t>
  </si>
  <si>
    <t>304 WEST ALSDORF</t>
  </si>
  <si>
    <t>222 NORTH CHURCH AVENUE</t>
  </si>
  <si>
    <t>1321 NORTH 6TH AVENUE</t>
  </si>
  <si>
    <t>7227 SOUTH CENTRAL AVENUE #1160</t>
  </si>
  <si>
    <t>8470 NORTH OVERFIELD ROAD</t>
  </si>
  <si>
    <t>1525 S COLUMBUS BLVD</t>
  </si>
  <si>
    <t>5702 SOUTH CAMPBELL AVE</t>
  </si>
  <si>
    <t>1 WARRIOR DRIVE</t>
  </si>
  <si>
    <t>3342 WEST ROOSEVELT STREET</t>
  </si>
  <si>
    <t>4035 NORTH 71ST AVENUE</t>
  </si>
  <si>
    <t>7418 WEST INDIAN SCHOOL ROAD</t>
  </si>
  <si>
    <t>2830 NORTH 43RD AVENUE</t>
  </si>
  <si>
    <t>5480 WEST CAMPBELL AVENUE</t>
  </si>
  <si>
    <t>1 MOHAVE STREET</t>
  </si>
  <si>
    <t>3526 WEST POLK STREET</t>
  </si>
  <si>
    <t>HWY 191</t>
  </si>
  <si>
    <t>3101 WEST MCDOWELL ROAD</t>
  </si>
  <si>
    <t>38739 W I -8</t>
  </si>
  <si>
    <t>449 EAST SOUTHERN AVENUE</t>
  </si>
  <si>
    <t>4848 SOUTH 2ND STREET</t>
  </si>
  <si>
    <t>5495 SOUTH LIBERTY</t>
  </si>
  <si>
    <t>4521 EAST BENSON HIGHWAY</t>
  </si>
  <si>
    <t>4301 WEST FILLMORE STREET</t>
  </si>
  <si>
    <t>26 EAST BASELINE ROAD SUITE 116A-B</t>
  </si>
  <si>
    <t>6413 SOUTH CENTRAL AVENUE</t>
  </si>
  <si>
    <t>4001 SOUTH 3RD STREET</t>
  </si>
  <si>
    <t>114 EAST 3RD STREET</t>
  </si>
  <si>
    <t>1001 NORTH 31ST AVENUE</t>
  </si>
  <si>
    <t>3843 WEST ROOSEVELT STREET</t>
  </si>
  <si>
    <t>6935 WEST OSBORN ROAD</t>
  </si>
  <si>
    <t>1700 NORTH 41ST AVENUE</t>
  </si>
  <si>
    <t>327 S ALTA VISTA</t>
  </si>
  <si>
    <t>3535 NORTH 63RD AVENUE</t>
  </si>
  <si>
    <t>3818 NORTH 67TH AVENUE</t>
  </si>
  <si>
    <t>3201 WEST SHERMAN STREET</t>
  </si>
  <si>
    <t>2 NORTH 31ST AVENUE</t>
  </si>
  <si>
    <t>711 MCNAB PARKWAY</t>
  </si>
  <si>
    <t>6510 WEST CLARENDON AVENUE</t>
  </si>
  <si>
    <t>15815 NORTH DESERT SAGE</t>
  </si>
  <si>
    <t>3690 EAST HEMISPHERE LOOP</t>
  </si>
  <si>
    <t>207 NORTH MESA DRIVE</t>
  </si>
  <si>
    <t>950 NORTH ELISEO C FELIX JR WAY</t>
  </si>
  <si>
    <t>13003 WEST MCDOWELL ROAD</t>
  </si>
  <si>
    <t>220 WEST LA CANADA BOULEVARD</t>
  </si>
  <si>
    <t>350 NORTH 1ST AVENUE</t>
  </si>
  <si>
    <t>555 PATAGONIA HIGHWAY</t>
  </si>
  <si>
    <t>150 NORTH CENTRAL AVENUE</t>
  </si>
  <si>
    <t>AIRPORT RD/OLD COUNTRY CL</t>
  </si>
  <si>
    <t>207 WEST OAK STREET</t>
  </si>
  <si>
    <t>939 NORTH PERKINS AVENUE</t>
  </si>
  <si>
    <t>2181 EAST MCDOWELL ROAD</t>
  </si>
  <si>
    <t>4834 WEST GLENDALE AVENUE</t>
  </si>
  <si>
    <t>641 WEST SOUTHERN AVENUE</t>
  </si>
  <si>
    <t>161 EAST CEDAR STREET</t>
  </si>
  <si>
    <t>300 NORTH 18TH STREET</t>
  </si>
  <si>
    <t>3720 NORTH MARSH STREET</t>
  </si>
  <si>
    <t>216 ARIZONA STREET</t>
  </si>
  <si>
    <t>725 EAST BRILL STREET</t>
  </si>
  <si>
    <t>686 NORTH WESTERN AVENUE</t>
  </si>
  <si>
    <t>525 NORTH KING STREET</t>
  </si>
  <si>
    <t>5085 SOUTH NOGALES HWY</t>
  </si>
  <si>
    <t>1600 EAST MESQUITE</t>
  </si>
  <si>
    <t>2618 EL PASEO</t>
  </si>
  <si>
    <t>1310 SOUTH 15TH AVENUE</t>
  </si>
  <si>
    <t>804 NORTH 18TH STREET</t>
  </si>
  <si>
    <t>1350 SOUTH 11TH STREET</t>
  </si>
  <si>
    <t>1121 SOUTH 3RD AVENUE</t>
  </si>
  <si>
    <t>1725 EAST BILBY ROAD</t>
  </si>
  <si>
    <t>8033 NORTH 27TH AVENUE</t>
  </si>
  <si>
    <t>3556 E NEBRASKA ST</t>
  </si>
  <si>
    <t>7032 SOUTH MONTEZUMA STREET</t>
  </si>
  <si>
    <t>618 WEST ELLIS STREET</t>
  </si>
  <si>
    <t>4413 EAST MESQUITE DESERT TRAIL</t>
  </si>
  <si>
    <t>2213 EAST CALLE SIERRA DEL MANANTIAL</t>
  </si>
  <si>
    <t>2852 EAST PASEO LA TIERRA BUENA</t>
  </si>
  <si>
    <t>115 EAST TONTO STREET</t>
  </si>
  <si>
    <t>751 NORTH 4TH AVENUE</t>
  </si>
  <si>
    <t>5600 SOUTH COUNTRY CLUB ROAD #168</t>
  </si>
  <si>
    <t>PCITY</t>
  </si>
  <si>
    <t>PSTATE</t>
  </si>
  <si>
    <t>ZIP5</t>
  </si>
  <si>
    <t>COUNTY</t>
  </si>
  <si>
    <t>LEUPP</t>
  </si>
  <si>
    <t>AZ</t>
  </si>
  <si>
    <t>86035</t>
  </si>
  <si>
    <t>COCONINO</t>
  </si>
  <si>
    <t>PINON</t>
  </si>
  <si>
    <t>86510</t>
  </si>
  <si>
    <t>NAVAJO</t>
  </si>
  <si>
    <t>NACO</t>
  </si>
  <si>
    <t>85620</t>
  </si>
  <si>
    <t>COCHISE</t>
  </si>
  <si>
    <t>SANDERS</t>
  </si>
  <si>
    <t>86512</t>
  </si>
  <si>
    <t>APACHE</t>
  </si>
  <si>
    <t>COOLIDGE</t>
  </si>
  <si>
    <t>85228</t>
  </si>
  <si>
    <t>PINAL</t>
  </si>
  <si>
    <t>PHOENIX</t>
  </si>
  <si>
    <t>85031</t>
  </si>
  <si>
    <t>MARICOPA</t>
  </si>
  <si>
    <t>STANFIELD</t>
  </si>
  <si>
    <t>85172</t>
  </si>
  <si>
    <t>CHINLE</t>
  </si>
  <si>
    <t>86503</t>
  </si>
  <si>
    <t>GILA BEND</t>
  </si>
  <si>
    <t>85337</t>
  </si>
  <si>
    <t>KAYENTA</t>
  </si>
  <si>
    <t>86033</t>
  </si>
  <si>
    <t>CASA GRANDE</t>
  </si>
  <si>
    <t>85122</t>
  </si>
  <si>
    <t>85009</t>
  </si>
  <si>
    <t>86556</t>
  </si>
  <si>
    <t>GANADO</t>
  </si>
  <si>
    <t>86505</t>
  </si>
  <si>
    <t>PAGE</t>
  </si>
  <si>
    <t>86040</t>
  </si>
  <si>
    <t>TEEC NOS POS</t>
  </si>
  <si>
    <t>86514</t>
  </si>
  <si>
    <t>WENDEN</t>
  </si>
  <si>
    <t>85357</t>
  </si>
  <si>
    <t>LA PAZ</t>
  </si>
  <si>
    <t>FORT DEFIANCE</t>
  </si>
  <si>
    <t>86504</t>
  </si>
  <si>
    <t>85042</t>
  </si>
  <si>
    <t>ELOY</t>
  </si>
  <si>
    <t>85131</t>
  </si>
  <si>
    <t>TUCSON</t>
  </si>
  <si>
    <t>85701</t>
  </si>
  <si>
    <t>PIMA</t>
  </si>
  <si>
    <t>85705</t>
  </si>
  <si>
    <t>85128</t>
  </si>
  <si>
    <t>85711</t>
  </si>
  <si>
    <t>85706</t>
  </si>
  <si>
    <t>85645</t>
  </si>
  <si>
    <t>SANTA CRUZ</t>
  </si>
  <si>
    <t>TUBA CITY</t>
  </si>
  <si>
    <t>86045</t>
  </si>
  <si>
    <t>85033</t>
  </si>
  <si>
    <t>GRAND CANYON</t>
  </si>
  <si>
    <t>86023</t>
  </si>
  <si>
    <t>86538</t>
  </si>
  <si>
    <t>85040</t>
  </si>
  <si>
    <t>85745</t>
  </si>
  <si>
    <t>85713</t>
  </si>
  <si>
    <t>85716</t>
  </si>
  <si>
    <t>85043</t>
  </si>
  <si>
    <t>85712</t>
  </si>
  <si>
    <t>85714</t>
  </si>
  <si>
    <t>85032</t>
  </si>
  <si>
    <t>SAN MANUEL</t>
  </si>
  <si>
    <t>85631</t>
  </si>
  <si>
    <t>FLORENCE</t>
  </si>
  <si>
    <t>85132</t>
  </si>
  <si>
    <t>SURPRISE</t>
  </si>
  <si>
    <t>85378</t>
  </si>
  <si>
    <t>MESA</t>
  </si>
  <si>
    <t>85211</t>
  </si>
  <si>
    <t>AVONDALE</t>
  </si>
  <si>
    <t>85323</t>
  </si>
  <si>
    <t>85730</t>
  </si>
  <si>
    <t>85392</t>
  </si>
  <si>
    <t>85003</t>
  </si>
  <si>
    <t>NOGALES</t>
  </si>
  <si>
    <t>85621</t>
  </si>
  <si>
    <t>WINSLOW</t>
  </si>
  <si>
    <t>86047</t>
  </si>
  <si>
    <t>85006</t>
  </si>
  <si>
    <t>GLENDALE</t>
  </si>
  <si>
    <t>85301</t>
  </si>
  <si>
    <t>85210</t>
  </si>
  <si>
    <t>GLOBE</t>
  </si>
  <si>
    <t>85501</t>
  </si>
  <si>
    <t>GILA</t>
  </si>
  <si>
    <t>BISBEE</t>
  </si>
  <si>
    <t>85603</t>
  </si>
  <si>
    <t>ORACLE</t>
  </si>
  <si>
    <t>85623</t>
  </si>
  <si>
    <t>85007</t>
  </si>
  <si>
    <t>85034</t>
  </si>
  <si>
    <t>85051</t>
  </si>
  <si>
    <t>85041</t>
  </si>
  <si>
    <t>85004</t>
  </si>
  <si>
    <t>SAN LUIS</t>
  </si>
  <si>
    <t>85349</t>
  </si>
  <si>
    <t>YUMA</t>
  </si>
  <si>
    <t>DistrictName</t>
  </si>
  <si>
    <t>Flagstaff Unified District</t>
  </si>
  <si>
    <t>Pinon Unified District</t>
  </si>
  <si>
    <t>Naco Elementary District</t>
  </si>
  <si>
    <t>Sanders Unified District</t>
  </si>
  <si>
    <t>Coolidge Unified District</t>
  </si>
  <si>
    <t>Isaac Elementary District</t>
  </si>
  <si>
    <t>Stanfield Elementary District</t>
  </si>
  <si>
    <t>Chinle Unified District</t>
  </si>
  <si>
    <t>Gila Bend Unified District</t>
  </si>
  <si>
    <t>Kayenta Unified District</t>
  </si>
  <si>
    <t>Casa Grande Elementary District</t>
  </si>
  <si>
    <t>Murphy Elementary District</t>
  </si>
  <si>
    <t>Ganado Unified District</t>
  </si>
  <si>
    <t>Page Unified District</t>
  </si>
  <si>
    <t>Red Mesa Unified District</t>
  </si>
  <si>
    <t>Wenden Elementary District</t>
  </si>
  <si>
    <t>Window Rock Unified District</t>
  </si>
  <si>
    <t>Roosevelt Elementary District</t>
  </si>
  <si>
    <t>Eloy Elementary District</t>
  </si>
  <si>
    <t>Tucson Unified District</t>
  </si>
  <si>
    <t>Sunnyside Unified District</t>
  </si>
  <si>
    <t>Sahuarita Unified District</t>
  </si>
  <si>
    <t>Tuba City Unified District</t>
  </si>
  <si>
    <t>Cartwright Elementary District</t>
  </si>
  <si>
    <t>Grand Canyon Unified District</t>
  </si>
  <si>
    <t>Paloma School District</t>
  </si>
  <si>
    <t>Amphitheater Unified District</t>
  </si>
  <si>
    <t>Mammoth-San Manuel Unified District</t>
  </si>
  <si>
    <t>Florence Unified School District</t>
  </si>
  <si>
    <t>Dysart Unified District</t>
  </si>
  <si>
    <t>Mesa Unified District</t>
  </si>
  <si>
    <t>Avondale Elementary District</t>
  </si>
  <si>
    <t>Phoenix Elementary District</t>
  </si>
  <si>
    <t>Nogales Unified District</t>
  </si>
  <si>
    <t>Winslow Unified District</t>
  </si>
  <si>
    <t>Creighton Elementary District</t>
  </si>
  <si>
    <t>Glendale Elementary District</t>
  </si>
  <si>
    <t>Globe Unified District</t>
  </si>
  <si>
    <t>Toltec Elementary District</t>
  </si>
  <si>
    <t>Bisbee Unified District</t>
  </si>
  <si>
    <t>Kingman Unified School District</t>
  </si>
  <si>
    <t>Oracle Elementary District</t>
  </si>
  <si>
    <t>Washington Elementary District</t>
  </si>
  <si>
    <t>Gadsden Elementary District</t>
  </si>
  <si>
    <t>DistrictEntityID</t>
  </si>
  <si>
    <t>SchoolEntityID</t>
  </si>
  <si>
    <t>SchoolName</t>
  </si>
  <si>
    <t>PAddress</t>
  </si>
  <si>
    <t>PCity</t>
  </si>
  <si>
    <t>PState</t>
  </si>
  <si>
    <t>Parker Unified School District</t>
  </si>
  <si>
    <t>Le Pera Elementary School</t>
  </si>
  <si>
    <t>19121 Tahbo Rd</t>
  </si>
  <si>
    <t>Poston</t>
  </si>
  <si>
    <t>85371</t>
  </si>
  <si>
    <t>Salome Consolidated Elementary District</t>
  </si>
  <si>
    <t>Salome Elementary School</t>
  </si>
  <si>
    <t>38128 Saguaro &amp; Main</t>
  </si>
  <si>
    <t>Salome</t>
  </si>
  <si>
    <t>85348</t>
  </si>
  <si>
    <t>Peach Springs Unified District</t>
  </si>
  <si>
    <t>Peach Springs School</t>
  </si>
  <si>
    <t>403 Diamond Creek Rd</t>
  </si>
  <si>
    <t>Peach Springs</t>
  </si>
  <si>
    <t>86434</t>
  </si>
  <si>
    <t>Alhambra Elementary District</t>
  </si>
  <si>
    <t>Barcelona Elementary School</t>
  </si>
  <si>
    <t>6530 N 44th Ave</t>
  </si>
  <si>
    <t>Glendale</t>
  </si>
  <si>
    <t>Baboquivari Unified School District #40</t>
  </si>
  <si>
    <t>Baboquivari Middle School</t>
  </si>
  <si>
    <t>Indian Route 19 Mile Post 19.5</t>
  </si>
  <si>
    <t>Topawa</t>
  </si>
  <si>
    <t>85634</t>
  </si>
  <si>
    <t>Indian Oasis Primary Elementary School</t>
  </si>
  <si>
    <t>111 Main St</t>
  </si>
  <si>
    <t>Sells</t>
  </si>
  <si>
    <t>Camp Verde Unified District</t>
  </si>
  <si>
    <t>Camp Verde Middle School</t>
  </si>
  <si>
    <t>370 Camp Lincoln</t>
  </si>
  <si>
    <t>Camp Verde</t>
  </si>
  <si>
    <t>86322</t>
  </si>
  <si>
    <t>Sacaton Elementary District</t>
  </si>
  <si>
    <t>Sacaton Elementary</t>
  </si>
  <si>
    <t>92 Skill Center Rd</t>
  </si>
  <si>
    <t>Sacaton</t>
  </si>
  <si>
    <t>85147</t>
  </si>
  <si>
    <t>Sacaton Middle School</t>
  </si>
  <si>
    <t>Tuba City Unified School District #15</t>
  </si>
  <si>
    <t>Dzil Libei Elementary School</t>
  </si>
  <si>
    <t>86020 US-89</t>
  </si>
  <si>
    <t>Cameron</t>
  </si>
  <si>
    <t>86020</t>
  </si>
  <si>
    <t>Tuba City Primary School</t>
  </si>
  <si>
    <t>Maple St</t>
  </si>
  <si>
    <t>Tuba City</t>
  </si>
  <si>
    <t>Gap Primary School</t>
  </si>
  <si>
    <t>Hwy 89</t>
  </si>
  <si>
    <t>Tuba City Junior High School</t>
  </si>
  <si>
    <t>E Fir St</t>
  </si>
  <si>
    <t>Robert Bracker Elementary</t>
  </si>
  <si>
    <t>121 Camino Diez Mandamientos</t>
  </si>
  <si>
    <t>Nogales</t>
  </si>
  <si>
    <t>San Carlos Unified District</t>
  </si>
  <si>
    <t>San Carlos Unified School District #20 Alternative Center</t>
  </si>
  <si>
    <t>45 San Carlos Ave</t>
  </si>
  <si>
    <t>San Carlos</t>
  </si>
  <si>
    <t>85550</t>
  </si>
  <si>
    <t>Rice Elementary School</t>
  </si>
  <si>
    <t>100 San Carlos Ave</t>
  </si>
  <si>
    <t>Kayenta Unified School District #27</t>
  </si>
  <si>
    <t>Kayenta Elementary School</t>
  </si>
  <si>
    <t>N US Hwy 163/ Mustang Blvd</t>
  </si>
  <si>
    <t>Kayenta</t>
  </si>
  <si>
    <t>Pinon Accelerated Middle School</t>
  </si>
  <si>
    <t>1 Mile North of Hwy 41</t>
  </si>
  <si>
    <t>Pinon</t>
  </si>
  <si>
    <t>Pinon Elementary School</t>
  </si>
  <si>
    <t>Cedar Unified District</t>
  </si>
  <si>
    <t>Jeddito School</t>
  </si>
  <si>
    <t>Hwy 264 Mile Post 408</t>
  </si>
  <si>
    <t>Jeddito</t>
  </si>
  <si>
    <t>86034</t>
  </si>
  <si>
    <t>Holbrook Unified District</t>
  </si>
  <si>
    <t>Indian Wells Elementary</t>
  </si>
  <si>
    <t>Route 77 and Route 15</t>
  </si>
  <si>
    <t>Indian Wells</t>
  </si>
  <si>
    <t>86031</t>
  </si>
  <si>
    <t>Whiteriver Unified District</t>
  </si>
  <si>
    <t>Seven Mile School</t>
  </si>
  <si>
    <t>2005 Ft Apache</t>
  </si>
  <si>
    <t>Whiteriver</t>
  </si>
  <si>
    <t>85941</t>
  </si>
  <si>
    <t>Canyon Day Junior High School</t>
  </si>
  <si>
    <t>4621 S 9th St</t>
  </si>
  <si>
    <t>Cradleboard School</t>
  </si>
  <si>
    <t>Hollygrape St and Powerline Rd</t>
  </si>
  <si>
    <t>Ganado Unified School District</t>
  </si>
  <si>
    <t>Ganado Elementary School</t>
  </si>
  <si>
    <t>Hwy 264</t>
  </si>
  <si>
    <t>Ganado</t>
  </si>
  <si>
    <t>Ganado Middle School</t>
  </si>
  <si>
    <t>Concho Elementary District</t>
  </si>
  <si>
    <t>Concho Elementary School</t>
  </si>
  <si>
    <t>Hwy 61 and Cinder Dr</t>
  </si>
  <si>
    <t>Concho</t>
  </si>
  <si>
    <t>85924</t>
  </si>
  <si>
    <t>Many Farms Elementary School</t>
  </si>
  <si>
    <t>US Hwy 191</t>
  </si>
  <si>
    <t>Many Farms</t>
  </si>
  <si>
    <t>Canyon De Chelly Elementary School</t>
  </si>
  <si>
    <t>Hwy 191</t>
  </si>
  <si>
    <t>Chinle</t>
  </si>
  <si>
    <t>Mesa View Elementary</t>
  </si>
  <si>
    <t>Chinle Junior High School</t>
  </si>
  <si>
    <t>Hwy 191 &amp; IR 7</t>
  </si>
  <si>
    <t>Round Rock Elementary School</t>
  </si>
  <si>
    <t>Hwy 191 at Route 12</t>
  </si>
  <si>
    <t>Round Rock</t>
  </si>
  <si>
    <t>86547</t>
  </si>
  <si>
    <t>Sanders Middle School</t>
  </si>
  <si>
    <t>Apache 7160</t>
  </si>
  <si>
    <t>Sanders</t>
  </si>
  <si>
    <t>Tsaile Elementary School</t>
  </si>
  <si>
    <t>Navajo Route 12 and Jct Hwy 64</t>
  </si>
  <si>
    <t>Tsaile</t>
  </si>
  <si>
    <t>Tsehootsooi Intermediate Learning Center</t>
  </si>
  <si>
    <t>Navajo Route 7</t>
  </si>
  <si>
    <t>Fort Defiance</t>
  </si>
  <si>
    <t>Red Mesa Elementary School</t>
  </si>
  <si>
    <t>Hwy 160 Mile Marker 448</t>
  </si>
  <si>
    <t>Teec Nos Pos</t>
  </si>
  <si>
    <t>Tsehootsooi Middle School</t>
  </si>
  <si>
    <t>Navajo Route 12</t>
  </si>
  <si>
    <t>Tsehootsooi Dine BiOlta</t>
  </si>
  <si>
    <t>100 N Chee Dodge Dr</t>
  </si>
  <si>
    <t>Window Rock</t>
  </si>
  <si>
    <t>86515</t>
  </si>
  <si>
    <t>Ganado Intermediate School</t>
  </si>
  <si>
    <t>Indian Oasis Intermediate Elementary School</t>
  </si>
  <si>
    <t>Hwy 86 Mile Post 115.5</t>
  </si>
  <si>
    <t>Victory Collegiate Academy Corporation</t>
  </si>
  <si>
    <t>Victory Collegiate Academy</t>
  </si>
  <si>
    <t>3535 N 63RD AVE</t>
  </si>
  <si>
    <t>Phoenix</t>
  </si>
  <si>
    <t>Yuma</t>
  </si>
  <si>
    <t>Rio Colorado Elementary School</t>
  </si>
  <si>
    <t>1055 N Main St</t>
  </si>
  <si>
    <t>San Luis</t>
  </si>
  <si>
    <t>San Luis Middle School</t>
  </si>
  <si>
    <t>1135 N Main St</t>
  </si>
  <si>
    <t>Arizona Desert Elementary School</t>
  </si>
  <si>
    <t>1245 N Main St</t>
  </si>
  <si>
    <t>Gadsden Elementary School</t>
  </si>
  <si>
    <t>18745 S Gadsden St</t>
  </si>
  <si>
    <t>Gadsden</t>
  </si>
  <si>
    <t>85336</t>
  </si>
  <si>
    <t>Somerton</t>
  </si>
  <si>
    <t>Crane Elementary District</t>
  </si>
  <si>
    <t>Salida Del Sol Elementary</t>
  </si>
  <si>
    <t>910 S Ave C</t>
  </si>
  <si>
    <t>85364</t>
  </si>
  <si>
    <t>Yuma Elementary District</t>
  </si>
  <si>
    <t>Pecan Grove Elementary School</t>
  </si>
  <si>
    <t>600 S 21st Ave</t>
  </si>
  <si>
    <t>George Washington Carver Elementary School</t>
  </si>
  <si>
    <t>1341 W 5th St</t>
  </si>
  <si>
    <t>Roosevelt School</t>
  </si>
  <si>
    <t>550 5th St</t>
  </si>
  <si>
    <t>Kingman Middle School</t>
  </si>
  <si>
    <t>1969 Detroit Ave</t>
  </si>
  <si>
    <t>Kingman</t>
  </si>
  <si>
    <t>86401</t>
  </si>
  <si>
    <t>Kiser Elementary School</t>
  </si>
  <si>
    <t>38739 W I-8</t>
  </si>
  <si>
    <t>Gila Bend</t>
  </si>
  <si>
    <t>Buckeye</t>
  </si>
  <si>
    <t>Gila Bend Elementary</t>
  </si>
  <si>
    <t>308 N Martin Ave</t>
  </si>
  <si>
    <t>Wickenburg Unified District</t>
  </si>
  <si>
    <t>Hassayampa Elementary School</t>
  </si>
  <si>
    <t>251 S Tegner St</t>
  </si>
  <si>
    <t>Wickenburg</t>
  </si>
  <si>
    <t>85390</t>
  </si>
  <si>
    <t>Buckeye Elementary District</t>
  </si>
  <si>
    <t>Buckeye Elementary School</t>
  </si>
  <si>
    <t>211 S 7th St</t>
  </si>
  <si>
    <t>85326</t>
  </si>
  <si>
    <t>Lattie Coor</t>
  </si>
  <si>
    <t>220 E LaCanada Blvd</t>
  </si>
  <si>
    <t>Avondale</t>
  </si>
  <si>
    <t>Eliseo C Felix School</t>
  </si>
  <si>
    <t>540 E La Pasada</t>
  </si>
  <si>
    <t>Goodyear</t>
  </si>
  <si>
    <t>85338</t>
  </si>
  <si>
    <t>Humboldt Unified District</t>
  </si>
  <si>
    <t>Mountain View Elementary School</t>
  </si>
  <si>
    <t>8601 E Loos Dr</t>
  </si>
  <si>
    <t>Prescott Valley</t>
  </si>
  <si>
    <t>86314</t>
  </si>
  <si>
    <t>Littleton Elementary District</t>
  </si>
  <si>
    <t>Littleton Elementary School</t>
  </si>
  <si>
    <t>1252 S Avondale Blvd</t>
  </si>
  <si>
    <t>Manuel Pena Jr School</t>
  </si>
  <si>
    <t>2550 N 79th Ave</t>
  </si>
  <si>
    <t>85035</t>
  </si>
  <si>
    <t>Raul H Castro Middle School</t>
  </si>
  <si>
    <t>2730 N 79th Ave</t>
  </si>
  <si>
    <t>Sunset Vista</t>
  </si>
  <si>
    <t>7775 W Orangewood Ave</t>
  </si>
  <si>
    <t>85303</t>
  </si>
  <si>
    <t>Desert Garden Elementary School</t>
  </si>
  <si>
    <t>7020 W Ocotillo Rd</t>
  </si>
  <si>
    <t>Imagine Charter Elementary at Desert West, Inc.</t>
  </si>
  <si>
    <t>Imagine Desert West Elementary</t>
  </si>
  <si>
    <t>6738 W McDowell Rd</t>
  </si>
  <si>
    <t>William C Jack School</t>
  </si>
  <si>
    <t>6600 W Missouri Ave</t>
  </si>
  <si>
    <t>Harold W Smith School</t>
  </si>
  <si>
    <t>6534 N 63rd Ave</t>
  </si>
  <si>
    <t>Glendale American School</t>
  </si>
  <si>
    <t>8530 N 55th Ave</t>
  </si>
  <si>
    <t>85302</t>
  </si>
  <si>
    <t>Glendale Landmark School</t>
  </si>
  <si>
    <t>5730 W Myrtle Ave</t>
  </si>
  <si>
    <t>Isaac E Imes School</t>
  </si>
  <si>
    <t>6625 N 56th Ave</t>
  </si>
  <si>
    <t>Charles W Harris School</t>
  </si>
  <si>
    <t>2252 N 55th Ave</t>
  </si>
  <si>
    <t>James W Rice Elementary School</t>
  </si>
  <si>
    <t>4530 W Campbell Ave</t>
  </si>
  <si>
    <t>Melvin E Sine School</t>
  </si>
  <si>
    <t>4932 W Myrtle Ave</t>
  </si>
  <si>
    <t>Joseph Zito Elementary School</t>
  </si>
  <si>
    <t>4525 W Encanto Blvd</t>
  </si>
  <si>
    <t>Carol G Peck Elementary School</t>
  </si>
  <si>
    <t>5810 N 49th Ave</t>
  </si>
  <si>
    <t>Liberty Traditional Charter School</t>
  </si>
  <si>
    <t>4027 N 45th Ave</t>
  </si>
  <si>
    <t>P T Coe Elementary School</t>
  </si>
  <si>
    <t>3801 W Roanoke Ave</t>
  </si>
  <si>
    <t>Pueblo Del Sol Middle School</t>
  </si>
  <si>
    <t>3449 N 39th Ave</t>
  </si>
  <si>
    <t>85019</t>
  </si>
  <si>
    <t>Sevilla Elementary School - East Campus</t>
  </si>
  <si>
    <t>3801 W Missouri</t>
  </si>
  <si>
    <t>Isaac Middle School</t>
  </si>
  <si>
    <t>3402 W McDowell Rd</t>
  </si>
  <si>
    <t>Morris K Udall Escuela de Bellas Artes</t>
  </si>
  <si>
    <t>3348 W McDowell Rd</t>
  </si>
  <si>
    <t>Alta E Butler School</t>
  </si>
  <si>
    <t>J B Sutton Elementary School</t>
  </si>
  <si>
    <t>1001 N 31st Ave</t>
  </si>
  <si>
    <t>R E Simpson School</t>
  </si>
  <si>
    <t>5330 N 23rd Ave</t>
  </si>
  <si>
    <t>85015</t>
  </si>
  <si>
    <t>Westwood Elementary School</t>
  </si>
  <si>
    <t>4711 N 23rd Ave</t>
  </si>
  <si>
    <t>Arthur M Hamilton School</t>
  </si>
  <si>
    <t>2020 W Durango St</t>
  </si>
  <si>
    <t>Washington Elementary School District</t>
  </si>
  <si>
    <t>Maryland Elementary School</t>
  </si>
  <si>
    <t>6503 N 21st Ave</t>
  </si>
  <si>
    <t>Midtown Primary School</t>
  </si>
  <si>
    <t>4735 N 19th Ave</t>
  </si>
  <si>
    <t>Imagine Charter Elementary at Camelback, Inc.</t>
  </si>
  <si>
    <t>Imagine Camelback Elementary</t>
  </si>
  <si>
    <t>5050 N 19th Ave</t>
  </si>
  <si>
    <t>Imagine Camelback Middle, Inc.</t>
  </si>
  <si>
    <t>Imagine Camelback Middle</t>
  </si>
  <si>
    <t>Royal Palm Middle School</t>
  </si>
  <si>
    <t>8520 N 19th Ave</t>
  </si>
  <si>
    <t>85021</t>
  </si>
  <si>
    <t>Orangewood School</t>
  </si>
  <si>
    <t>7337 N 19th Ave</t>
  </si>
  <si>
    <t>Ignacio Conchos School</t>
  </si>
  <si>
    <t>1718 W Vineyard Rd</t>
  </si>
  <si>
    <t>Osborn Elementary District</t>
  </si>
  <si>
    <t>Solano School</t>
  </si>
  <si>
    <t>1526 W Missouri Ave</t>
  </si>
  <si>
    <t>Osborn Middle School</t>
  </si>
  <si>
    <t>1102 W Highland St</t>
  </si>
  <si>
    <t>85013</t>
  </si>
  <si>
    <t>John R Davis School</t>
  </si>
  <si>
    <t>6209 S 15th Ave</t>
  </si>
  <si>
    <t>V H Lassen Elementary School</t>
  </si>
  <si>
    <t>909 W Vineyard Rd</t>
  </si>
  <si>
    <t>Paul Dunbar Lawrence School</t>
  </si>
  <si>
    <t>707 W Grant St</t>
  </si>
  <si>
    <t>Edkey, Inc. - Sequoia Ranch School</t>
  </si>
  <si>
    <t>Children First Leadership Academy</t>
  </si>
  <si>
    <t>374 N 6th Ave</t>
  </si>
  <si>
    <t>Kaizen Education Foundation dba South Pointe Junior High School</t>
  </si>
  <si>
    <t>South Pointe Junior High School</t>
  </si>
  <si>
    <t>217 E Olympic Dr</t>
  </si>
  <si>
    <t>Friendly House, Inc.</t>
  </si>
  <si>
    <t>Friendly House Academia Del Pueblo Elem</t>
  </si>
  <si>
    <t>201 E Durango St</t>
  </si>
  <si>
    <t>Espiritu Community Development Corp.</t>
  </si>
  <si>
    <t>Reyes Maria Ruiz Leadership Academy</t>
  </si>
  <si>
    <t>4848 S 2nd St</t>
  </si>
  <si>
    <t>Maxine O Bush Elementary School</t>
  </si>
  <si>
    <t>602 E Siesta Dr</t>
  </si>
  <si>
    <t>Cesar E Chavez Community School</t>
  </si>
  <si>
    <t>4001 S 3rd St</t>
  </si>
  <si>
    <t>Ralph Waldo Emerson Elementary School</t>
  </si>
  <si>
    <t>915 E Palm Ln</t>
  </si>
  <si>
    <t>John F Kennedy Elementary School</t>
  </si>
  <si>
    <t>6825 S 10th St</t>
  </si>
  <si>
    <t>Garfield School</t>
  </si>
  <si>
    <t>811 N 13th St</t>
  </si>
  <si>
    <t>Kaizen Education Foundation dba South Pointe Elementary School</t>
  </si>
  <si>
    <t>2033 E Southern Ave</t>
  </si>
  <si>
    <t>T G Barr School</t>
  </si>
  <si>
    <t>2041 E Vineyard Rd</t>
  </si>
  <si>
    <t>Loma Linda Elementary School</t>
  </si>
  <si>
    <t>2002 E Clarendon Ave</t>
  </si>
  <si>
    <t>85016</t>
  </si>
  <si>
    <t>Percy L Julian School</t>
  </si>
  <si>
    <t>2149 E Carver Dr</t>
  </si>
  <si>
    <t>Thomas A Edison School</t>
  </si>
  <si>
    <t>804 N 18th St</t>
  </si>
  <si>
    <t>William T Machan Elementary School</t>
  </si>
  <si>
    <t>2140 E Virginia Ave</t>
  </si>
  <si>
    <t>Larry C Kennedy School</t>
  </si>
  <si>
    <t>2702 E Osborn Rd</t>
  </si>
  <si>
    <t>Gateway School</t>
  </si>
  <si>
    <t>1100 N 35th St</t>
  </si>
  <si>
    <t>85008</t>
  </si>
  <si>
    <t>Monte Vista Elementary School</t>
  </si>
  <si>
    <t>3501 E Osborn Rd</t>
  </si>
  <si>
    <t>85018</t>
  </si>
  <si>
    <t>Papago School</t>
  </si>
  <si>
    <t>2013 N 36th St</t>
  </si>
  <si>
    <t>South Phoenix Academy Inc.</t>
  </si>
  <si>
    <t>South Phoenix Prep and Arts Academy</t>
  </si>
  <si>
    <t>4039 E Raymond St</t>
  </si>
  <si>
    <t>Balsz Elementary District</t>
  </si>
  <si>
    <t>David Crockett Elementary School</t>
  </si>
  <si>
    <t>501 N 36th St</t>
  </si>
  <si>
    <t>Balsz Elementary School</t>
  </si>
  <si>
    <t>4309 E Belleview St</t>
  </si>
  <si>
    <t>Brunson-Lee Elementary School</t>
  </si>
  <si>
    <t>1350 N 48th St</t>
  </si>
  <si>
    <t>Washington Elementary School</t>
  </si>
  <si>
    <t>8033 N 27th Ave</t>
  </si>
  <si>
    <t>Stanfield Elementary School</t>
  </si>
  <si>
    <t>515 S Stanfield Rd</t>
  </si>
  <si>
    <t>Stanfield</t>
  </si>
  <si>
    <t>85272</t>
  </si>
  <si>
    <t>Tempe School District</t>
  </si>
  <si>
    <t>Scales Technology Academy</t>
  </si>
  <si>
    <t>1115 W 5th St</t>
  </si>
  <si>
    <t>Tempe</t>
  </si>
  <si>
    <t>85281</t>
  </si>
  <si>
    <t>Hirsch Academy A Challenge Foundation</t>
  </si>
  <si>
    <t>6535 E Osborn Rd</t>
  </si>
  <si>
    <t>Scottsdale</t>
  </si>
  <si>
    <t>85251</t>
  </si>
  <si>
    <t>Laird Elementary School</t>
  </si>
  <si>
    <t>1500 N Scovel St</t>
  </si>
  <si>
    <t>Webster Elementary School</t>
  </si>
  <si>
    <t>202 N Sycamore</t>
  </si>
  <si>
    <t>Mesa</t>
  </si>
  <si>
    <t>85201</t>
  </si>
  <si>
    <t>Mary Mcleod Bethune School</t>
  </si>
  <si>
    <t>1310 S 15th Ave</t>
  </si>
  <si>
    <t>Concordia Charter School, Inc.</t>
  </si>
  <si>
    <t>Concordia Charter School</t>
  </si>
  <si>
    <t>142 N Date St</t>
  </si>
  <si>
    <t>Chandler Unified District #80</t>
  </si>
  <si>
    <t>Frye Elementary School</t>
  </si>
  <si>
    <t>801 E Frye Rd</t>
  </si>
  <si>
    <t>Chandler</t>
  </si>
  <si>
    <t>85225</t>
  </si>
  <si>
    <t>New Horizon School for the Performing Arts</t>
  </si>
  <si>
    <t>446 E Broadway</t>
  </si>
  <si>
    <t>85204</t>
  </si>
  <si>
    <t>Kino Junior High School</t>
  </si>
  <si>
    <t>848 N Horne</t>
  </si>
  <si>
    <t>85203</t>
  </si>
  <si>
    <t>Edkey, Inc. - Sequoia Charter School</t>
  </si>
  <si>
    <t>Sequoia Charter School</t>
  </si>
  <si>
    <t>1460 S Horne</t>
  </si>
  <si>
    <t>Lowell Elementary School</t>
  </si>
  <si>
    <t>920 E Broadway Rd</t>
  </si>
  <si>
    <t>Lehi Elementary School</t>
  </si>
  <si>
    <t>2555 N Stapley Dr</t>
  </si>
  <si>
    <t>Lindbergh Elementary School</t>
  </si>
  <si>
    <t>930 S Lazona</t>
  </si>
  <si>
    <t>EAGLE College Prep Mesa, LLC.</t>
  </si>
  <si>
    <t>EAGLE College Preparatory School- Mesa</t>
  </si>
  <si>
    <t>1619 E Main St</t>
  </si>
  <si>
    <t>Longfellow Elementary School</t>
  </si>
  <si>
    <t>345 S Hall</t>
  </si>
  <si>
    <t>Kaizen Education Foundation dba Vista Grove Preparatory Academy Elementary</t>
  </si>
  <si>
    <t>2929 E McKellips Rd</t>
  </si>
  <si>
    <t>85213</t>
  </si>
  <si>
    <t>Heartland Ranch Elementary School</t>
  </si>
  <si>
    <t>1667 W Caroline St</t>
  </si>
  <si>
    <t>Coolidge</t>
  </si>
  <si>
    <t>Imagine Coolidge Elementary, Inc.</t>
  </si>
  <si>
    <t>Imagine Coolidge Elementary</t>
  </si>
  <si>
    <t>1290 W Vah Ki Inn Rd</t>
  </si>
  <si>
    <t>Picacho Elementary District</t>
  </si>
  <si>
    <t>Picacho School</t>
  </si>
  <si>
    <t>17865 S Vail Rd</t>
  </si>
  <si>
    <t>Picacho</t>
  </si>
  <si>
    <t>85241</t>
  </si>
  <si>
    <t>Eloy</t>
  </si>
  <si>
    <t>Altar Valley Elementary District</t>
  </si>
  <si>
    <t>Robles Elementary School</t>
  </si>
  <si>
    <t>9875 S Sasabe Rd</t>
  </si>
  <si>
    <t>Tucson</t>
  </si>
  <si>
    <t>85736</t>
  </si>
  <si>
    <t>Anna Lawrence Intermediate School</t>
  </si>
  <si>
    <t>4850 W Jeffrey Rd</t>
  </si>
  <si>
    <t>85757</t>
  </si>
  <si>
    <t>Sopori Elementary School</t>
  </si>
  <si>
    <t>5000 W Arivaca Rd</t>
  </si>
  <si>
    <t>Amado</t>
  </si>
  <si>
    <t>Valencia Middle School</t>
  </si>
  <si>
    <t>4400 W Irvington Rd</t>
  </si>
  <si>
    <t>85746</t>
  </si>
  <si>
    <t>Franklin Phonetic Primary School, Inc.</t>
  </si>
  <si>
    <t>Franklin Phonetic Primary School-Sunnyslope</t>
  </si>
  <si>
    <t>9317 N 2nd St</t>
  </si>
  <si>
    <t>85020</t>
  </si>
  <si>
    <t>Nosotros, Inc</t>
  </si>
  <si>
    <t>Nosotros Academy</t>
  </si>
  <si>
    <t>440 N Grande Ave</t>
  </si>
  <si>
    <t>E C Nash School</t>
  </si>
  <si>
    <t>515 W Kelso</t>
  </si>
  <si>
    <t>Mission View Elementary School</t>
  </si>
  <si>
    <t>2600 S 8th Ave</t>
  </si>
  <si>
    <t>Pima Prevention Partnership dba Pima Partnership Academy</t>
  </si>
  <si>
    <t>Pima Partnership Academy</t>
  </si>
  <si>
    <t>1346 N Stone Ave</t>
  </si>
  <si>
    <t>L M Prince School</t>
  </si>
  <si>
    <t>125 E Prince Rd</t>
  </si>
  <si>
    <t>Apollo Middle School</t>
  </si>
  <si>
    <t>265 W Nebraska St</t>
  </si>
  <si>
    <t>Ochoa Elementary School</t>
  </si>
  <si>
    <t>101 W 25th St</t>
  </si>
  <si>
    <t>Safford K-8 School</t>
  </si>
  <si>
    <t>200 E 13th St</t>
  </si>
  <si>
    <t>Drexel Elementary School</t>
  </si>
  <si>
    <t>801 E Drexel Rd</t>
  </si>
  <si>
    <t>Van Buskirk Elementary School</t>
  </si>
  <si>
    <t>725 E Fair St</t>
  </si>
  <si>
    <t>Mary L Welty Elementary School</t>
  </si>
  <si>
    <t>1050 W Cimarron St</t>
  </si>
  <si>
    <t>Holladay Intermediate Magnet School</t>
  </si>
  <si>
    <t>1110 E 33rd St</t>
  </si>
  <si>
    <t>Sierra 2-8 School</t>
  </si>
  <si>
    <t>5801 S Del Moral Blvd</t>
  </si>
  <si>
    <t>Aprender Tucson</t>
  </si>
  <si>
    <t>Southside Community School</t>
  </si>
  <si>
    <t>2701 S Campbell Ave</t>
  </si>
  <si>
    <t>Ocotillo Early Learning Elementary School</t>
  </si>
  <si>
    <t>5702 S Campbell Ave</t>
  </si>
  <si>
    <t>Wade Carpenter Middle School</t>
  </si>
  <si>
    <t>595 W Kino St</t>
  </si>
  <si>
    <t>A J Mitchell Elementary School</t>
  </si>
  <si>
    <t>855 N Bautista St</t>
  </si>
  <si>
    <t>Los Amigos Elementary School</t>
  </si>
  <si>
    <t>2200 E Drexel Rd</t>
  </si>
  <si>
    <t>Lincoln Elementary School</t>
  </si>
  <si>
    <t>652 N Tyler Ave</t>
  </si>
  <si>
    <t>Doolen Middle School</t>
  </si>
  <si>
    <t>2400 N Country Club Rd</t>
  </si>
  <si>
    <t>John B Wright Elementary School</t>
  </si>
  <si>
    <t>4311 E Linden</t>
  </si>
  <si>
    <t>Roberts Naylor</t>
  </si>
  <si>
    <t>1701 S Columbus Blvd</t>
  </si>
  <si>
    <t>Myers-Ganoung Elementary School</t>
  </si>
  <si>
    <t>5000 E Andrew St</t>
  </si>
  <si>
    <t>Dietz K-8 School</t>
  </si>
  <si>
    <t>7575 E Palma St</t>
  </si>
  <si>
    <t>85710</t>
  </si>
  <si>
    <t>Secrist Middle School</t>
  </si>
  <si>
    <t>3400 S Houghton Rd</t>
  </si>
  <si>
    <t>Naco Elementary School</t>
  </si>
  <si>
    <t>1911 W Valenzuela</t>
  </si>
  <si>
    <t>Naco</t>
  </si>
  <si>
    <t>Bisbee</t>
  </si>
  <si>
    <t>Douglas Unified District</t>
  </si>
  <si>
    <t>Faras Elementary School</t>
  </si>
  <si>
    <t>410 W Fir Ave</t>
  </si>
  <si>
    <t>Pirtleville</t>
  </si>
  <si>
    <t>85626</t>
  </si>
  <si>
    <t>Excelencia School</t>
  </si>
  <si>
    <t>2181 E McDowell Rd</t>
  </si>
  <si>
    <t>Eloy Intermediate School</t>
  </si>
  <si>
    <t>1101 N Sunshine Blvd</t>
  </si>
  <si>
    <t>85231</t>
  </si>
  <si>
    <t>Whiteriver Elementary</t>
  </si>
  <si>
    <t>1 N 1st Ave</t>
  </si>
  <si>
    <t>Mcnary Elementary District</t>
  </si>
  <si>
    <t>Mcnary Elementary School</t>
  </si>
  <si>
    <t>108 N Pollack</t>
  </si>
  <si>
    <t>McNary</t>
  </si>
  <si>
    <t>85930</t>
  </si>
  <si>
    <t>Sanders Elementary School</t>
  </si>
  <si>
    <t>I-40 and Hwy 191 S</t>
  </si>
  <si>
    <t>Kaizen Education Foundation dba Colegio Petite Phoenix</t>
  </si>
  <si>
    <t>Colegio Petite Arizona</t>
  </si>
  <si>
    <t>850 N Morely Ave</t>
  </si>
  <si>
    <t>Fort Thomas Unified School District</t>
  </si>
  <si>
    <t>Mount Turnbull Elementary School</t>
  </si>
  <si>
    <t>10 Education Ln</t>
  </si>
  <si>
    <t>Bylas</t>
  </si>
  <si>
    <t>85530</t>
  </si>
  <si>
    <t>Maricopa County Regional District</t>
  </si>
  <si>
    <t>Esperanza Prep</t>
  </si>
  <si>
    <t>1938 E Apache Blvd</t>
  </si>
  <si>
    <t>Madrid Neighborhood School</t>
  </si>
  <si>
    <t>3736 W Osborn Rd</t>
  </si>
  <si>
    <t>Skyline Gila River Schools, LLC</t>
  </si>
  <si>
    <t>Skyline D5</t>
  </si>
  <si>
    <t>975 N Preschool Rd</t>
  </si>
  <si>
    <t>Bapchule</t>
  </si>
  <si>
    <t>85221</t>
  </si>
  <si>
    <t>Alternative High School (Indian Oasis High School)</t>
  </si>
  <si>
    <t>Salt River Pima-Maricopa  Community Schools</t>
  </si>
  <si>
    <t>Salt River Accelerated Learning Academy</t>
  </si>
  <si>
    <t>10000 E McDowell Rd</t>
  </si>
  <si>
    <t>85256</t>
  </si>
  <si>
    <t>Baboquivari High School</t>
  </si>
  <si>
    <t>Tuba City High School</t>
  </si>
  <si>
    <t>Warrior Dr</t>
  </si>
  <si>
    <t>Shonto Governing Board of Education, Inc.</t>
  </si>
  <si>
    <t>Shonto Preparatory Technology High School</t>
  </si>
  <si>
    <t>E Hwy 160/98</t>
  </si>
  <si>
    <t>Shonto</t>
  </si>
  <si>
    <t>86054</t>
  </si>
  <si>
    <t>San Carlos Secondary</t>
  </si>
  <si>
    <t>650 US Hwy 70</t>
  </si>
  <si>
    <t>Monument Valley High School</t>
  </si>
  <si>
    <t>Pinon High School</t>
  </si>
  <si>
    <t>Bisbee High School</t>
  </si>
  <si>
    <t>325 School Terrace Rd</t>
  </si>
  <si>
    <t>Ganado High School</t>
  </si>
  <si>
    <t>Chinle High School</t>
  </si>
  <si>
    <t>Red Mesa High School</t>
  </si>
  <si>
    <t>N Hwy 160</t>
  </si>
  <si>
    <t>Window Rock High School</t>
  </si>
  <si>
    <t>Red Valley/Cove High School</t>
  </si>
  <si>
    <t>Navajo Route N13</t>
  </si>
  <si>
    <t>86544</t>
  </si>
  <si>
    <t>Mayer Unified School District</t>
  </si>
  <si>
    <t>Mayer High School</t>
  </si>
  <si>
    <t>17300 E Mule Deer Dr</t>
  </si>
  <si>
    <t>Mayer</t>
  </si>
  <si>
    <t>86333</t>
  </si>
  <si>
    <t>Yuma Union High School District</t>
  </si>
  <si>
    <t>San Luis High School</t>
  </si>
  <si>
    <t>1250 N Eighth Ave</t>
  </si>
  <si>
    <t>85350</t>
  </si>
  <si>
    <t>Portable Practical Educational Preparation, Inc. (PPEP, Inc.)</t>
  </si>
  <si>
    <t>PPEP TEC - Cesar Chavez Learning Center</t>
  </si>
  <si>
    <t>1233 N Main St</t>
  </si>
  <si>
    <t>PPEP TEC - Jose Yepez Learning Center</t>
  </si>
  <si>
    <t>201 N Bingham  Ave</t>
  </si>
  <si>
    <t>Vista Alternative School</t>
  </si>
  <si>
    <t>2350 S Virginia Dr</t>
  </si>
  <si>
    <t>Bicentennial Union High School District</t>
  </si>
  <si>
    <t>Salome High School</t>
  </si>
  <si>
    <t>67488 E Salome Rd</t>
  </si>
  <si>
    <t>Wickenburg High School</t>
  </si>
  <si>
    <t>1090 S Vulture Mine Rd</t>
  </si>
  <si>
    <t>Gila Bend High School</t>
  </si>
  <si>
    <t>Kaizen Education Foundation dba Skyview High School</t>
  </si>
  <si>
    <t>Skyview High School</t>
  </si>
  <si>
    <t>4290 S Miller Rd</t>
  </si>
  <si>
    <t>American Charter Schools Foundation d.b.a. Estrella High School</t>
  </si>
  <si>
    <t>Estrella High School</t>
  </si>
  <si>
    <t>510 N Central Ave</t>
  </si>
  <si>
    <t>American Charter Schools Foundation d.b.a. Peoria Accelerated High School</t>
  </si>
  <si>
    <t>Peoria Accelerated High School</t>
  </si>
  <si>
    <t>8885 W Peoria Ave</t>
  </si>
  <si>
    <t>Peoria</t>
  </si>
  <si>
    <t>85345</t>
  </si>
  <si>
    <t>Premier Charter High School</t>
  </si>
  <si>
    <t>7544 W Indian School Rd</t>
  </si>
  <si>
    <t>Glendale Union High School District</t>
  </si>
  <si>
    <t>Glendale High School</t>
  </si>
  <si>
    <t>6216 W Glendale Ave</t>
  </si>
  <si>
    <t>Southwest Leadership Academy</t>
  </si>
  <si>
    <t>4301 W Fillmore St</t>
  </si>
  <si>
    <t>American Charter Schools Foundation d.b.a. West Phoenix High School</t>
  </si>
  <si>
    <t>West Phoenix High School</t>
  </si>
  <si>
    <t>3835 W Thomas Rd</t>
  </si>
  <si>
    <t>Kaizen Education Foundation dba Maya High School</t>
  </si>
  <si>
    <t>3660 W Glendale Ave</t>
  </si>
  <si>
    <t>Phoenix Union High School District</t>
  </si>
  <si>
    <t>Carl Hayden High School</t>
  </si>
  <si>
    <t>3333 W Roosevelt St</t>
  </si>
  <si>
    <t>Bostrom Alternative Center</t>
  </si>
  <si>
    <t>3535 N 27th Ave</t>
  </si>
  <si>
    <t>85017</t>
  </si>
  <si>
    <t>Cornerstone Charter School,Inc</t>
  </si>
  <si>
    <t>Cornerstone Charter School</t>
  </si>
  <si>
    <t>7107 N Black Canyon Hwy</t>
  </si>
  <si>
    <t>Florence Crittenton Services of Arizona, Inc.</t>
  </si>
  <si>
    <t>Girls Leadership Academy of Arizona</t>
  </si>
  <si>
    <t>715 W Mariposa St</t>
  </si>
  <si>
    <t>Central High School</t>
  </si>
  <si>
    <t>4525 N Central Ave</t>
  </si>
  <si>
    <t>85012</t>
  </si>
  <si>
    <t>American Charter Schools Foundation d.b.a. South Pointe High School</t>
  </si>
  <si>
    <t>South Pointe High School</t>
  </si>
  <si>
    <t>8325 S Central Ave</t>
  </si>
  <si>
    <t>NFL YET College Prep Academy</t>
  </si>
  <si>
    <t>Linda Abril Educational Academy</t>
  </si>
  <si>
    <t>3000 N 19th Ave</t>
  </si>
  <si>
    <t>Kaizen Education Foundation dba Summit High School</t>
  </si>
  <si>
    <t>728 E McDowell Rd</t>
  </si>
  <si>
    <t>Pima Prevention Partnership</t>
  </si>
  <si>
    <t>Arizona Collegiate High School</t>
  </si>
  <si>
    <t>3161 N 33rd Ave</t>
  </si>
  <si>
    <t>American Charter Schools Foundation d.b.a. Crestview College Preparatory High Sc</t>
  </si>
  <si>
    <t>Crestview College Preparatory High School</t>
  </si>
  <si>
    <t>2616 E Greenway</t>
  </si>
  <si>
    <t>Camelback High School</t>
  </si>
  <si>
    <t>4612 N 28th St</t>
  </si>
  <si>
    <t>Pan-American Elementary Charter</t>
  </si>
  <si>
    <t>Pan-American Charter School</t>
  </si>
  <si>
    <t>3001 W Indian School Rd</t>
  </si>
  <si>
    <t>Maricopa County Community College District dba Gateway Early College High School</t>
  </si>
  <si>
    <t>Gateway Early College High School</t>
  </si>
  <si>
    <t>108 N 40th St</t>
  </si>
  <si>
    <t>GAR, LLC dba Student Choice High School</t>
  </si>
  <si>
    <t>Student Choice High School</t>
  </si>
  <si>
    <t>1833 N Scottsdale Rd</t>
  </si>
  <si>
    <t>Westwood High School</t>
  </si>
  <si>
    <t>945 W Rio Salado Pkwy</t>
  </si>
  <si>
    <t>American Charter Schools Foundation d.b.a. Sun Valley High School</t>
  </si>
  <si>
    <t>Sun Valley High School</t>
  </si>
  <si>
    <t>1143 S Lindsay Rd</t>
  </si>
  <si>
    <t>Pueblo High School</t>
  </si>
  <si>
    <t>3500 S 12th Ave</t>
  </si>
  <si>
    <t>CPLC Community Schools dba Toltecalli High School</t>
  </si>
  <si>
    <t>Toltecali High School</t>
  </si>
  <si>
    <t>251 W Irvington Rd</t>
  </si>
  <si>
    <t>Pima County</t>
  </si>
  <si>
    <t>Pima Vocational High School</t>
  </si>
  <si>
    <t>175 W Irvington Rd</t>
  </si>
  <si>
    <t>Sunnyside High School</t>
  </si>
  <si>
    <t>1725 E Bilby Rd</t>
  </si>
  <si>
    <t>PPEP TEC - Celestino Fernandez Learning Center</t>
  </si>
  <si>
    <t>1840 E Benson Hwy</t>
  </si>
  <si>
    <t>American Charter Schools Foundation d.b.a. Alta Vista High School</t>
  </si>
  <si>
    <t>Alta Vista High School</t>
  </si>
  <si>
    <t>5040 S Campbell Ave</t>
  </si>
  <si>
    <t>Pierson Vocational High School</t>
  </si>
  <si>
    <t>451 N Arroyo Blvd</t>
  </si>
  <si>
    <t>Catalina High School</t>
  </si>
  <si>
    <t>3645 E Pima St</t>
  </si>
  <si>
    <t>Desert View High School</t>
  </si>
  <si>
    <t>4101 E Valencia Rd</t>
  </si>
  <si>
    <t>Liberty High School</t>
  </si>
  <si>
    <t>1300 E Cedar St</t>
  </si>
  <si>
    <t>Globe</t>
  </si>
  <si>
    <t>San Manuel High School</t>
  </si>
  <si>
    <t>711 McNab Pkwy</t>
  </si>
  <si>
    <t>San Manuel</t>
  </si>
  <si>
    <t>Institute for Transformative Education, Inc.</t>
  </si>
  <si>
    <t>Changemaker High School</t>
  </si>
  <si>
    <t>1300 S Belvedere Ave</t>
  </si>
  <si>
    <t>Miami Unified District</t>
  </si>
  <si>
    <t>Miami Junior Senior High School</t>
  </si>
  <si>
    <t>4639 E Ragus Rd</t>
  </si>
  <si>
    <t>Miami</t>
  </si>
  <si>
    <t>85539</t>
  </si>
  <si>
    <t>Alchesay High School</t>
  </si>
  <si>
    <t>200 Falcon Way</t>
  </si>
  <si>
    <t>Valley High School</t>
  </si>
  <si>
    <t>I 40 and US 191</t>
  </si>
  <si>
    <t>MARANATHA CHILD CARE CENTER</t>
  </si>
  <si>
    <t>3002 NORTH 27TH AVENUE</t>
  </si>
  <si>
    <t>SUNRISE PRESCHOOLS #147</t>
  </si>
  <si>
    <t>2122 WEST INDIAN SCHOOL ROAD</t>
  </si>
  <si>
    <t>A.E.S.D.#68 - ALHAMBRA TRADITIONAL SCHOOL</t>
  </si>
  <si>
    <t>5725 NORTH 27TH AVENUE</t>
  </si>
  <si>
    <t>ABC &amp; 123 SMALL BLESSINGS CENTER L L C</t>
  </si>
  <si>
    <t>1060 NORTH ARIZONA BLVD</t>
  </si>
  <si>
    <t>CHICANOS POR LA CAUSA INC/ MURPHY E.C.D.</t>
  </si>
  <si>
    <t>3140 WEST BUCKEYE ROAD</t>
  </si>
  <si>
    <t>COOLIDGE HEAD START AT HEARTLAND RANCH ELEMENTARY SCHOOL</t>
  </si>
  <si>
    <t>1667 WEST CAROLINE STREET</t>
  </si>
  <si>
    <t>DISCOVERY ZONE CHILDCARE AND LEARNING CENTER AT LOVE GOSPEL CHURCH</t>
  </si>
  <si>
    <t>1890 SOUTH PLAZA DRIVE</t>
  </si>
  <si>
    <t>APACHE JUNCTION</t>
  </si>
  <si>
    <t>85120</t>
  </si>
  <si>
    <t>Apache Junction Unified District</t>
  </si>
  <si>
    <t>HOME AWAY FROM HOME</t>
  </si>
  <si>
    <t>800 WEST VAH KI INN ROAD</t>
  </si>
  <si>
    <t>KIDS KLUB INC</t>
  </si>
  <si>
    <t>1840 SOUTH ARIZONA BOULEVARD</t>
  </si>
  <si>
    <t>LIL' EINSTEINS ACADEMY</t>
  </si>
  <si>
    <t>3071 WEST HUNT HIGHWAY SUITE 104</t>
  </si>
  <si>
    <t>QUEEN CREEK</t>
  </si>
  <si>
    <t>85142</t>
  </si>
  <si>
    <t>LIL' KIDDIELAND CHILDCARE</t>
  </si>
  <si>
    <t>460 SOUTH 7TH STREET</t>
  </si>
  <si>
    <t>RIGHT AT SCHOOL AT SAN TAN HEIGHTS K-8</t>
  </si>
  <si>
    <t>2500 WEST SAN TAN HEIGHTS BOULEVARD</t>
  </si>
  <si>
    <t>SAN TAN VALLEY</t>
  </si>
  <si>
    <t>WONDERWISE</t>
  </si>
  <si>
    <t>4815 WEST HUNT HIGHWAY</t>
  </si>
  <si>
    <t>C.U.S.D.#21 - C H S MINI BEARS CLUB</t>
  </si>
  <si>
    <t>684 WEST NORTHERN AVENUE, RM 308</t>
  </si>
  <si>
    <t>WEST SCHOOL C.A.S.P.E.R.</t>
  </si>
  <si>
    <t>BIG RED BARN</t>
  </si>
  <si>
    <t>2175 SOUTH ARIZONA AVENUE</t>
  </si>
  <si>
    <t>C.P.L.C./ E.H.S. LA CASITAS</t>
  </si>
  <si>
    <t>541 6TH AVENUE</t>
  </si>
  <si>
    <t>EL CASTILLO DEL NINO</t>
  </si>
  <si>
    <t>1409 ARDEN AVENUE</t>
  </si>
  <si>
    <t>GLENDALE IMES HEAD START</t>
  </si>
  <si>
    <t>6625 NORTH 56TH AVENUE</t>
  </si>
  <si>
    <t>LADY BUG CHILD CARE L L C</t>
  </si>
  <si>
    <t>5814 WEST CAMELBACK</t>
  </si>
  <si>
    <t>MOORE CREATIVE LEARNING CENTER</t>
  </si>
  <si>
    <t>5412 WEST GLENDALE AVENUE</t>
  </si>
  <si>
    <t>N.A.C.O.G. - CAMP VERDE HEAD START</t>
  </si>
  <si>
    <t>353 APACHE TRAIL</t>
  </si>
  <si>
    <t>CAMP VERDE</t>
  </si>
  <si>
    <t>YAVAPAI</t>
  </si>
  <si>
    <t>PANDA BEAR LEARNING CENTER</t>
  </si>
  <si>
    <t>5345 NORTH 23RD AVENUE</t>
  </si>
  <si>
    <t>PARKSIDE CHRISTIAN LEARNING CENTER &amp; LOS NINOS CHRISTIAN PRESCHOOL</t>
  </si>
  <si>
    <t>401 CAMP LINCOLN ROAD</t>
  </si>
  <si>
    <t>ROBIN'S NEST</t>
  </si>
  <si>
    <t>3420 NORTH 35TH AVENUE</t>
  </si>
  <si>
    <t>SINE HEAD START</t>
  </si>
  <si>
    <t>4933 WEST ORANGEWOOD AVENUE</t>
  </si>
  <si>
    <t>STRONG FOUNDATIONS EARLY LEARNING CENTER</t>
  </si>
  <si>
    <t>2302 WEST COLTER STREET</t>
  </si>
  <si>
    <t>UNITED CHRISTIAN SCHOOL</t>
  </si>
  <si>
    <t>903 WEST FINNIE FLAT ROAD</t>
  </si>
  <si>
    <t>W.A.C.O.G. - GWYNETH HAM EARLY LEARNING CENTER</t>
  </si>
  <si>
    <t>840 EAST 22ND STREET</t>
  </si>
  <si>
    <t>W.A.C.O.G. - SAN LUIS HEAD START</t>
  </si>
  <si>
    <t>720 WEST JUAN SANCHEZ BLVD</t>
  </si>
  <si>
    <t>A.E.S.D.#68 - ALHAMBRA HEAD START - WESTWOOD</t>
  </si>
  <si>
    <t>4711 NORTH 23RD AVENUE</t>
  </si>
  <si>
    <t>G.E.S.D.#32 - SAN LUIS PRESCHOOL</t>
  </si>
  <si>
    <t>1055 NORTH MAIN STREET</t>
  </si>
  <si>
    <t>G.E.S.D.#40 - ISAAC E. IMES PRESCHOOL</t>
  </si>
  <si>
    <t>6625 NORTH 56TH  AVENUE</t>
  </si>
  <si>
    <t>G.E.S.D.#40 - SINE COMMUNITY EDUCATION PRESCHOOL</t>
  </si>
  <si>
    <t>4932 WEST MYRTLE AVENUE</t>
  </si>
  <si>
    <t>EDUPRIZE SCHOOL - QUEEN CREEK</t>
  </si>
  <si>
    <t>4567 WEST ROBERTS ROAD</t>
  </si>
  <si>
    <t>HEART CRY CHURCH</t>
  </si>
  <si>
    <t>9339 WEST HUNT HIGHWAY</t>
  </si>
  <si>
    <t>IMAGINE COOLIDGE PRESCHOOL</t>
  </si>
  <si>
    <t>1290 WEST VAH KI INN ROAD</t>
  </si>
  <si>
    <t>INNOVATION LEARNING - ALA-SAN TAN VALLEY K-6</t>
  </si>
  <si>
    <t>34696 NORTH VILLIAGE LANE</t>
  </si>
  <si>
    <t>LITTLE EINSTEIN PRESCHOOL LLC</t>
  </si>
  <si>
    <t>185 WEST APACHE TRAIL, SUITE 110</t>
  </si>
  <si>
    <t>85220</t>
  </si>
  <si>
    <t>RAYS OF SUNSHINE CENTER</t>
  </si>
  <si>
    <t>30 EAST CLIFF HOUSE DRIVE</t>
  </si>
  <si>
    <t>THE LITTLE PROSPECTOR</t>
  </si>
  <si>
    <t>550 SOUTH IRONWOOD DRIVE</t>
  </si>
  <si>
    <t>1802 SOUTH IRONWOOD DRIVE</t>
  </si>
  <si>
    <t>A.J.U.S.D.#43 - THE EARLY LEARNING CENTER DAYCARE</t>
  </si>
  <si>
    <t>2805 SOUTH IRONWOOD DRIVE</t>
  </si>
  <si>
    <t>CASA DE NINOS</t>
  </si>
  <si>
    <t>585 EAST 16TH STREET</t>
  </si>
  <si>
    <t>CHILD CRISIS ARIZONA EARLY EDUCATION SERVICES</t>
  </si>
  <si>
    <t>402 NORTH 24TH STREET</t>
  </si>
  <si>
    <t>Wilson Elementary District</t>
  </si>
  <si>
    <t>CHRIS-TOWN Y M C A</t>
  </si>
  <si>
    <t>5517 NORTH 17TH AVENUE</t>
  </si>
  <si>
    <t>GREAT HEARTS ACADEMIES - MARYVALE</t>
  </si>
  <si>
    <t>4825 WEST CAMELBACK ROAD</t>
  </si>
  <si>
    <t>GUARDIAN ANGELS LEARNING CENTER L.L.C.</t>
  </si>
  <si>
    <t>4105 NORTH 51ST AVENUE</t>
  </si>
  <si>
    <t>HARVEST PRESCHOOL &amp; CHILD CARE CENTER</t>
  </si>
  <si>
    <t>1793 SOUTH 1ST AVENUE</t>
  </si>
  <si>
    <t>KIDDIE KARE #3</t>
  </si>
  <si>
    <t>6019 NORTH 23RD AVENUE</t>
  </si>
  <si>
    <t>KINDERCARE LEARNING CENTER #1465</t>
  </si>
  <si>
    <t>10653 NORTH 25TH AVENUE</t>
  </si>
  <si>
    <t>85029</t>
  </si>
  <si>
    <t>LITTLE RED BARN</t>
  </si>
  <si>
    <t>1881 SOUTH 4TH AVENUE, SUITE A</t>
  </si>
  <si>
    <t>SAGE CHILD DEVELOPMENT CENTER</t>
  </si>
  <si>
    <t>10220 NORTH 25TH AVENUE</t>
  </si>
  <si>
    <t>TEACH N TOTS INC</t>
  </si>
  <si>
    <t>4501 NORTH 19TH AVENUE</t>
  </si>
  <si>
    <t>THE CHILDREN'S CENTER FOR NEURODEVELOPMENTAL STUDIES</t>
  </si>
  <si>
    <t>5430 WEST GLENN DRIVE</t>
  </si>
  <si>
    <t>WONDERKIDZ PRESCHOOL</t>
  </si>
  <si>
    <t>2332 SOUTH ARIZONA AVENUE</t>
  </si>
  <si>
    <t>A.E.S.D.#68 - ALHAMBRA PRESCHOOL ACADEMY</t>
  </si>
  <si>
    <t>4730 WEST CAMPBELL AVENUE</t>
  </si>
  <si>
    <t>M.U.S.D.#40 - LITTLE VANDAL PRESCHOOL</t>
  </si>
  <si>
    <t>4635 B EAST RAGUS ROAD</t>
  </si>
  <si>
    <t>MIAMI</t>
  </si>
  <si>
    <t>W.E.S.D.#6 - ABRAHAM LINCOLN TRADITIONAL SCHOOL</t>
  </si>
  <si>
    <t>10444 NORTH 39TH AVENUE</t>
  </si>
  <si>
    <t>W.E.S.D.#6 - RICHARD E. MILLER ELEMENTARY SCHOOL</t>
  </si>
  <si>
    <t>2021 WEST ALICE AVENUE</t>
  </si>
  <si>
    <t>A KIDDIE'S KINGDOM</t>
  </si>
  <si>
    <t>2318 NORTH 35TH AVENUE</t>
  </si>
  <si>
    <t>ACTIVE LEARNING CENTER #7</t>
  </si>
  <si>
    <t>10701 NORTH 15TH AVENUE</t>
  </si>
  <si>
    <t>AMERICAN CHILD CARE #48</t>
  </si>
  <si>
    <t>4715 WEST THOMAS ROAD</t>
  </si>
  <si>
    <t>APACHE JUNCTION HEAD START</t>
  </si>
  <si>
    <t>900 NORTH PLAZA DRIVE</t>
  </si>
  <si>
    <t>BIENESTAR CHILD DEVELOPMENT CENTER</t>
  </si>
  <si>
    <t>1504 LIBERTY ST</t>
  </si>
  <si>
    <t>C.P.L.C./ ELOY MIGRANT &amp; SEASONAL HEAD START</t>
  </si>
  <si>
    <t>201 NORTH SUNSHINE BOULEVARD</t>
  </si>
  <si>
    <t>C.P.L.C./ SAN LUIS MIGRANT HEAD START</t>
  </si>
  <si>
    <t>1522 EAST C STREET</t>
  </si>
  <si>
    <t>CHILDREN ONLY</t>
  </si>
  <si>
    <t>850 SOUTH IRONWOOD DRIVE  #114</t>
  </si>
  <si>
    <t>CHILDREN'S COUNTRY CLUB</t>
  </si>
  <si>
    <t>8935 NORTH 35TH AVENUE</t>
  </si>
  <si>
    <t>COMMUNITY MONTESSORI SCHOOL OF BISBEE</t>
  </si>
  <si>
    <t>1900 S NACO HWY</t>
  </si>
  <si>
    <t>ELOY AFTER SCHOOL PROGRAM</t>
  </si>
  <si>
    <t>1000 NORTH CURIEL STREET</t>
  </si>
  <si>
    <t>GREATER PHOENIX URBAN LEAGUE HEAD START - BRET TARVER</t>
  </si>
  <si>
    <t>GREATER PHOENIX URBAN LEAGUE HEAD START - FLOR DEL SOL</t>
  </si>
  <si>
    <t>GREATER PHOENIX URBAN LEAGUE HEAD START - BYRON BARRY</t>
  </si>
  <si>
    <t>2533 NORTH 60TH AVENUE</t>
  </si>
  <si>
    <t>GREATER PHOENIX URBAN LEAGUE HEAD START - MOYA</t>
  </si>
  <si>
    <t>406 NORTH 41ST AVENUE</t>
  </si>
  <si>
    <t>HARVEST PRESCHOOL AND CHILDCARE CENTER-SAN LUIS</t>
  </si>
  <si>
    <t>1945 JUAN SANCHEZ BLVD SUITE 5B</t>
  </si>
  <si>
    <t>IMMACULATE HEART PRESCHOOL</t>
  </si>
  <si>
    <t>455 SOUTH LAKE POWELL BOULEVARD</t>
  </si>
  <si>
    <t>KIDDIE COUNTRY CLUB</t>
  </si>
  <si>
    <t>3645 WEST BETHANY HOME ROAD</t>
  </si>
  <si>
    <t>KIDS KOALA-T KAMPUS I I</t>
  </si>
  <si>
    <t>6025 NORTH 67TH AVENUE</t>
  </si>
  <si>
    <t>LITTLE CASTLE CHILDCARE &amp; PRESCHOOL</t>
  </si>
  <si>
    <t>6425 S PACHECO AVE</t>
  </si>
  <si>
    <t>N.A.C.O.G. - PAGE HEAD START</t>
  </si>
  <si>
    <t>11 CAMERON ROAD</t>
  </si>
  <si>
    <t>N.A.C.O.G. - WINSLOW EARLY HEAD START</t>
  </si>
  <si>
    <t>800 NORTH APACHE AVENUE</t>
  </si>
  <si>
    <t>NEW CREATIONS DAY CARE &amp; LEARNING CENTER</t>
  </si>
  <si>
    <t>2904 EAST ROOSEVELT STREET</t>
  </si>
  <si>
    <t>OUT OF THIS WORLD CHRISTIAN CHILD CARE, INC.</t>
  </si>
  <si>
    <t>3849 WEST ENCANTO BOULEVARD</t>
  </si>
  <si>
    <t>RISING STAR DAYCARE</t>
  </si>
  <si>
    <t>4330 WEST MISSOURI AVENUE</t>
  </si>
  <si>
    <t>S. S. SIMON &amp; JUDE SCHOOL</t>
  </si>
  <si>
    <t>6351 NORTH 27TH AVENUE</t>
  </si>
  <si>
    <t>SHELLIE'S EARLY START LEARNING CENTER #2</t>
  </si>
  <si>
    <t>1923 EAST BROADWAY ROAD</t>
  </si>
  <si>
    <t>SOUTHWEST EARLY HEAD START / HEAD START AT EDUCARE ARIZONA</t>
  </si>
  <si>
    <t>1300 NORTH 48TH STREET</t>
  </si>
  <si>
    <t>ST. LOUIS THE KING PRE - KINDERGARTEN AND EXTENDED DAY</t>
  </si>
  <si>
    <t>4331 WEST MARYLAND AVENUE</t>
  </si>
  <si>
    <t>SUPERSTITION MOUNTAIN EARLY LEARNING CENTER</t>
  </si>
  <si>
    <t>805 SOUTH IDAHO ROAD</t>
  </si>
  <si>
    <t>85119</t>
  </si>
  <si>
    <t>THE SALVATION ARMY RAY AND JOAN KROC COMMUNITY CENTER</t>
  </si>
  <si>
    <t>1375 EAST BROADWAY ROAD</t>
  </si>
  <si>
    <t>TODAYS TOMORROW LEARNING ACADEMY</t>
  </si>
  <si>
    <t>1616 NORTH 24TH STREET - SUITE #104</t>
  </si>
  <si>
    <t>TOTS UNLIMITED #26</t>
  </si>
  <si>
    <t>6390 NORTH 59TH AVENUE</t>
  </si>
  <si>
    <t>VALLEY CHILD CARE #1001</t>
  </si>
  <si>
    <t>3620 WEST GREENWAY ROAD</t>
  </si>
  <si>
    <t>85053</t>
  </si>
  <si>
    <t>B.E.S.D.#33 - BUCKEYE ELEMENTARY SCHOOL DISTRICT PRESCHOOL</t>
  </si>
  <si>
    <t>640 WEST CENTRE AVENUE</t>
  </si>
  <si>
    <t>BUCKEYE</t>
  </si>
  <si>
    <t>C.E.S.D.#14 - GATEWAY SCHOOL</t>
  </si>
  <si>
    <t>1100 NORTH 35TH STREET</t>
  </si>
  <si>
    <t>C.E.S.D.#83 - BYRON A. BARRY ECSE</t>
  </si>
  <si>
    <t>P.U.S.D.#8 - LAKE VIEW ELEMENTARY</t>
  </si>
  <si>
    <t>1801 NORTH NAVAJO</t>
  </si>
  <si>
    <t>S.C.E.S.D.#30 - SALOME ELEMENTARY SCHOOL</t>
  </si>
  <si>
    <t>38128 SAGUARO &amp; MAIN</t>
  </si>
  <si>
    <t>SALOME</t>
  </si>
  <si>
    <t>W.E.S.D.#6 - OCOTILLO PRESCHOOL &amp; EXTENDED DAY</t>
  </si>
  <si>
    <t>3225 WEST OCOTILLO ROAD</t>
  </si>
  <si>
    <t>W.E.S.D.#6 - ROADRUNNER SCHOOL</t>
  </si>
  <si>
    <t>7702 NORTH 39TH AVENUE</t>
  </si>
  <si>
    <t>W.E.S.D.#6 - SHAW BUTTE SCHOOL</t>
  </si>
  <si>
    <t>12202 NORTH 21ST AVENUE</t>
  </si>
  <si>
    <t>ELITE CHILD CARE</t>
  </si>
  <si>
    <t>6901 WEST SHEILA LANE</t>
  </si>
  <si>
    <t>LOPEZ DAY CARE</t>
  </si>
  <si>
    <t>3008 NORTH 56TH AVENUE</t>
  </si>
  <si>
    <t>SANDRA E. WHITE</t>
  </si>
  <si>
    <t>5827 WEST GLENROSA AVENUE</t>
  </si>
  <si>
    <t>GOLDEN GATE</t>
  </si>
  <si>
    <t>1625 NORTH 39TH AVENUE</t>
  </si>
  <si>
    <t>OLIVE TREE PRESCHOOL OF FINE ARTS</t>
  </si>
  <si>
    <t>1150 WEST SUPERSTITION BOULEVARD</t>
  </si>
  <si>
    <t>Topock Elementary District</t>
  </si>
  <si>
    <t>Topock Elementary School</t>
  </si>
  <si>
    <t>5083 Tule Dr</t>
  </si>
  <si>
    <t>Topock</t>
  </si>
  <si>
    <t>86436</t>
  </si>
  <si>
    <t>Vernon Elementary District</t>
  </si>
  <si>
    <t>Vernon Elementary School</t>
  </si>
  <si>
    <t>90 CRN 3139</t>
  </si>
  <si>
    <t>Vernon</t>
  </si>
  <si>
    <t>85940</t>
  </si>
  <si>
    <t>La Cima Middle School</t>
  </si>
  <si>
    <t>5600 N La Canada</t>
  </si>
  <si>
    <t>85704</t>
  </si>
  <si>
    <t>Santa Cruz Valley Unified District</t>
  </si>
  <si>
    <t>San Cayetano Elementary School</t>
  </si>
  <si>
    <t>1412 W Frontage Rd</t>
  </si>
  <si>
    <t>Rio Rico</t>
  </si>
  <si>
    <t>85648</t>
  </si>
  <si>
    <t>Maricopa</t>
  </si>
  <si>
    <t>Moon Mountain School</t>
  </si>
  <si>
    <t>13425 N 19th Ave</t>
  </si>
  <si>
    <t>Mohawk Valley Elementary District</t>
  </si>
  <si>
    <t>Mohawk Valley School</t>
  </si>
  <si>
    <t>5151 S Ave 39 E</t>
  </si>
  <si>
    <t>Roll</t>
  </si>
  <si>
    <t>85347</t>
  </si>
  <si>
    <t>Tolleson Elementary District</t>
  </si>
  <si>
    <t>8803 W Van Buren St</t>
  </si>
  <si>
    <t>Tolleson</t>
  </si>
  <si>
    <t>85353</t>
  </si>
  <si>
    <t>Roadrunner Elementary School</t>
  </si>
  <si>
    <t>7702 N 39th Ave</t>
  </si>
  <si>
    <t>Flowing Wells Unified District</t>
  </si>
  <si>
    <t>Laguna Elementary School</t>
  </si>
  <si>
    <t>5001 N Shannon Rd</t>
  </si>
  <si>
    <t>Grand Canyon Elementary</t>
  </si>
  <si>
    <t>100 Boulder St</t>
  </si>
  <si>
    <t>Grand Canyon</t>
  </si>
  <si>
    <t>Challenger Elementary School</t>
  </si>
  <si>
    <t>901 E Calle Mayer</t>
  </si>
  <si>
    <t>Center for Academic Success, Inc.</t>
  </si>
  <si>
    <t>Center for Academic Success #4</t>
  </si>
  <si>
    <t>1415 F Ave</t>
  </si>
  <si>
    <t>Douglas</t>
  </si>
  <si>
    <t>85607</t>
  </si>
  <si>
    <t>Discovery School</t>
  </si>
  <si>
    <t>7910 W Maryland Ave</t>
  </si>
  <si>
    <t>Fit Kids, Inc. dba Champion Schools</t>
  </si>
  <si>
    <t>Champion Schools</t>
  </si>
  <si>
    <t>7900 S Jesse Owens Pkwy</t>
  </si>
  <si>
    <t>J O Combs Unified School District</t>
  </si>
  <si>
    <t>Jack Harmon Elementary School</t>
  </si>
  <si>
    <t>39315 N Cortona Dr</t>
  </si>
  <si>
    <t>San Tan Valley</t>
  </si>
  <si>
    <t>85140</t>
  </si>
  <si>
    <t>Bloom Elementary</t>
  </si>
  <si>
    <t>8310 E Pima</t>
  </si>
  <si>
    <t>85715</t>
  </si>
  <si>
    <t>Noah Webster Schools-Pima</t>
  </si>
  <si>
    <t>5399 N Pima Rd</t>
  </si>
  <si>
    <t>85250</t>
  </si>
  <si>
    <t>Cloves C Campbell Sr Elementary School</t>
  </si>
  <si>
    <t>2624 E South Mountain Ave</t>
  </si>
  <si>
    <t>Bonillas Elementary Basic Curriculum Magnet School</t>
  </si>
  <si>
    <t>4757 E Winsett St</t>
  </si>
  <si>
    <t>Keller Elementary School</t>
  </si>
  <si>
    <t>1445 E Hilton Ave</t>
  </si>
  <si>
    <t>Bret R Tarver</t>
  </si>
  <si>
    <t>4308 N 51st Ave</t>
  </si>
  <si>
    <t>Laveen Elementary District</t>
  </si>
  <si>
    <t>Laveen Elementary School</t>
  </si>
  <si>
    <t>4141 W McNeil St</t>
  </si>
  <si>
    <t>Laveen</t>
  </si>
  <si>
    <t>85339</t>
  </si>
  <si>
    <t>Cactus Wren Elementary School</t>
  </si>
  <si>
    <t>9650 N 39th Ave</t>
  </si>
  <si>
    <t>Camp Verde Elementary School</t>
  </si>
  <si>
    <t>200 Camp Lincoln Rd</t>
  </si>
  <si>
    <t>Calabasas School</t>
  </si>
  <si>
    <t>1374 W Frontage Rd</t>
  </si>
  <si>
    <t>Capitol Elementary School</t>
  </si>
  <si>
    <t>330 N 16th Ave</t>
  </si>
  <si>
    <t>Desert View Elementary School</t>
  </si>
  <si>
    <t>8621 N 3rd St</t>
  </si>
  <si>
    <t>John F Long</t>
  </si>
  <si>
    <t>4407 N 55th Ave</t>
  </si>
  <si>
    <t>Hollinger K-8 School</t>
  </si>
  <si>
    <t>150 W Ajo Way</t>
  </si>
  <si>
    <t>Wilson Elementary School</t>
  </si>
  <si>
    <t>2929 E Fillmore St</t>
  </si>
  <si>
    <t>Longview Elementary School</t>
  </si>
  <si>
    <t>1209 E Indian School Rd</t>
  </si>
  <si>
    <t>85014</t>
  </si>
  <si>
    <t>Marana Unified District</t>
  </si>
  <si>
    <t>16651 W Calle Carmela</t>
  </si>
  <si>
    <t>Marana</t>
  </si>
  <si>
    <t>85653</t>
  </si>
  <si>
    <t>Sunnyslope Elementary School</t>
  </si>
  <si>
    <t>240 E Vogel Ave</t>
  </si>
  <si>
    <t>Paradise Valley Unified District</t>
  </si>
  <si>
    <t>Larkspur Elementary School</t>
  </si>
  <si>
    <t>2430 E Larkspur Dr</t>
  </si>
  <si>
    <t>Sheely Farms Elementary School</t>
  </si>
  <si>
    <t>9450 W Encanto Blvd</t>
  </si>
  <si>
    <t>85037</t>
  </si>
  <si>
    <t>Maie Bartlett Heard School</t>
  </si>
  <si>
    <t>2301 W Thomas Rd</t>
  </si>
  <si>
    <t>Quentin Elementary School</t>
  </si>
  <si>
    <t>11050 W Whyman Ave</t>
  </si>
  <si>
    <t>Maurice C Cash Elementary School</t>
  </si>
  <si>
    <t>3851 W Roeser Rd</t>
  </si>
  <si>
    <t>Roosevelt Elementary School</t>
  </si>
  <si>
    <t>828 S Valencia</t>
  </si>
  <si>
    <t>85202</t>
  </si>
  <si>
    <t>Amphitheater Middle School</t>
  </si>
  <si>
    <t>315 E Prince Rd</t>
  </si>
  <si>
    <t>Shaw Butte School</t>
  </si>
  <si>
    <t>12202 N 21st  Ave</t>
  </si>
  <si>
    <t>Adams Elementary School</t>
  </si>
  <si>
    <t>738 S Longmore</t>
  </si>
  <si>
    <t>Fowler Elementary District</t>
  </si>
  <si>
    <t>Fowler Elementary School</t>
  </si>
  <si>
    <t>6707 W Van Buren St</t>
  </si>
  <si>
    <t>W F Killip Elementary School</t>
  </si>
  <si>
    <t>2300 E 6th Ave</t>
  </si>
  <si>
    <t>Flagstaff</t>
  </si>
  <si>
    <t>86004</t>
  </si>
  <si>
    <t>Ed &amp; Verma Pastor Elementary School</t>
  </si>
  <si>
    <t>2101 W Alta Vista Rd</t>
  </si>
  <si>
    <t>Career Success Schools</t>
  </si>
  <si>
    <t>Career Success School - Sage Campus</t>
  </si>
  <si>
    <t>3120 N 32nd St</t>
  </si>
  <si>
    <t>Holdeman Elementary School</t>
  </si>
  <si>
    <t>1326 W 18th St</t>
  </si>
  <si>
    <t>Palo Verde School</t>
  </si>
  <si>
    <t>40 N Roosevelt</t>
  </si>
  <si>
    <t>Casa Grande</t>
  </si>
  <si>
    <t>85222</t>
  </si>
  <si>
    <t>Sarah Marley School</t>
  </si>
  <si>
    <t>735 7th St</t>
  </si>
  <si>
    <t>Cordova Elementary School</t>
  </si>
  <si>
    <t>5631 N 35th Ave</t>
  </si>
  <si>
    <t>Guerrero Elementary School</t>
  </si>
  <si>
    <t>463 S Alma School Rd</t>
  </si>
  <si>
    <t>Granada Elementary School - West Campus</t>
  </si>
  <si>
    <t>3232 W Campbell Ave</t>
  </si>
  <si>
    <t>Granada Elementary School - East Campus</t>
  </si>
  <si>
    <t>3022 W Campbell Ave</t>
  </si>
  <si>
    <t>C O Greenfield School</t>
  </si>
  <si>
    <t>7009 S 10th St</t>
  </si>
  <si>
    <t>Wilson Primary School</t>
  </si>
  <si>
    <t>415 N 30th St</t>
  </si>
  <si>
    <t>Wenden Elementary School</t>
  </si>
  <si>
    <t>71001 Santa Fe Ave</t>
  </si>
  <si>
    <t>Wenden</t>
  </si>
  <si>
    <t>Alta Vista Elementary School</t>
  </si>
  <si>
    <t>8710 N 31st Ave</t>
  </si>
  <si>
    <t>801 W Peoria Ave</t>
  </si>
  <si>
    <t>Greenway Middle School</t>
  </si>
  <si>
    <t>3002 E Nisbet Rd</t>
  </si>
  <si>
    <t>Gililland Middle School</t>
  </si>
  <si>
    <t>1025 S Beck Ave</t>
  </si>
  <si>
    <t>Blenman Elementary School</t>
  </si>
  <si>
    <t>1695 N Country Club Rd</t>
  </si>
  <si>
    <t>Cavett Elementary School</t>
  </si>
  <si>
    <t>2120 E Naco Vista</t>
  </si>
  <si>
    <t>Valencia Newcomer School</t>
  </si>
  <si>
    <t>3802 W Maryland Ave</t>
  </si>
  <si>
    <t>Raul Grijalva Elementary School</t>
  </si>
  <si>
    <t>1795 W Drexel Rd</t>
  </si>
  <si>
    <t>Esperanza Elementary School</t>
  </si>
  <si>
    <t>3025 W McDowell Rd</t>
  </si>
  <si>
    <t>Tucson International Academy, Inc.</t>
  </si>
  <si>
    <t>TIA West</t>
  </si>
  <si>
    <t>2700 W Broadway Blvd</t>
  </si>
  <si>
    <t>Challenger Middle School</t>
  </si>
  <si>
    <t>100 E Elvira Rd</t>
  </si>
  <si>
    <t>Palomino Primary School</t>
  </si>
  <si>
    <t>15833 N 29th St</t>
  </si>
  <si>
    <t>Robison Elementary School</t>
  </si>
  <si>
    <t>2745 E 18th St</t>
  </si>
  <si>
    <t>Mesquite Elementary School</t>
  </si>
  <si>
    <t>129 N Arizola Rd</t>
  </si>
  <si>
    <t>Leupp Public School</t>
  </si>
  <si>
    <t>3285 E Sparrow</t>
  </si>
  <si>
    <t>Arizona Community Development Corporation</t>
  </si>
  <si>
    <t>La Paloma Academy-South</t>
  </si>
  <si>
    <t>5660 S 12th Ave</t>
  </si>
  <si>
    <t>Pendergast Elementary District</t>
  </si>
  <si>
    <t>Desert Horizon Elementary School</t>
  </si>
  <si>
    <t>8525 W Osborn Rd</t>
  </si>
  <si>
    <t>Dr Charles A Bejarano Elementary School</t>
  </si>
  <si>
    <t>4635 E Ragus Rd</t>
  </si>
  <si>
    <t>Utterback Middle School</t>
  </si>
  <si>
    <t>3233 S Pinal Vista</t>
  </si>
  <si>
    <t>Phoenix Advantage Charter School, Inc.</t>
  </si>
  <si>
    <t>Phoenix Advantage Charter School</t>
  </si>
  <si>
    <t>3738 N 16th St</t>
  </si>
  <si>
    <t>Cottonwood Elementary School</t>
  </si>
  <si>
    <t>1667 N Kadota Ave</t>
  </si>
  <si>
    <t>West Elementary School</t>
  </si>
  <si>
    <t>460 S 7th St</t>
  </si>
  <si>
    <t>C J Jorgensen School</t>
  </si>
  <si>
    <t>1701 W Roeser Rd</t>
  </si>
  <si>
    <t>Fourth Avenue Junior High School</t>
  </si>
  <si>
    <t>450 S 4th Ave</t>
  </si>
  <si>
    <t>William R Sullivan Elementary School</t>
  </si>
  <si>
    <t>2 N 31 Ave</t>
  </si>
  <si>
    <t>Kinetic Educational Learning Labs for Youth</t>
  </si>
  <si>
    <t>StrengthBuilding Partners</t>
  </si>
  <si>
    <t>Las Puertas Community School</t>
  </si>
  <si>
    <t>4560 S Coach Dr</t>
  </si>
  <si>
    <t>Southgate Academy, Inc.</t>
  </si>
  <si>
    <t>Southgate Academy</t>
  </si>
  <si>
    <t>850 W Valencia Rd</t>
  </si>
  <si>
    <t>Snowflake Unified District</t>
  </si>
  <si>
    <t>Snowflake Intermediate School</t>
  </si>
  <si>
    <t>62 W 2nd S</t>
  </si>
  <si>
    <t>Snowflake</t>
  </si>
  <si>
    <t>85937</t>
  </si>
  <si>
    <t>Bagdad Unified District</t>
  </si>
  <si>
    <t>Bagdad Elementary School</t>
  </si>
  <si>
    <t>515 Breezy Cir</t>
  </si>
  <si>
    <t>Bagdad</t>
  </si>
  <si>
    <t>86321</t>
  </si>
  <si>
    <t>Gallego Primary Fine Arts Magnet</t>
  </si>
  <si>
    <t>6200 S Hemisphere Pl</t>
  </si>
  <si>
    <t>Chinle Elementary School</t>
  </si>
  <si>
    <t>Hwy 191 &amp; Navajo Route 7</t>
  </si>
  <si>
    <t>Academy of Mathematics and Science South, Inc.</t>
  </si>
  <si>
    <t>Academy of Mathematics and Science South</t>
  </si>
  <si>
    <t>3335 W Flower St</t>
  </si>
  <si>
    <t>Aguila Elementary District</t>
  </si>
  <si>
    <t>Aguila Elementary School</t>
  </si>
  <si>
    <t>50023 N 514th Ave</t>
  </si>
  <si>
    <t>Aguila</t>
  </si>
  <si>
    <t>85320</t>
  </si>
  <si>
    <t>Westpark Elementary School</t>
  </si>
  <si>
    <t>2700 S 257th Dr</t>
  </si>
  <si>
    <t>San Marcos Elementary School</t>
  </si>
  <si>
    <t>451 W Frye Rd</t>
  </si>
  <si>
    <t>Canon Elementary District</t>
  </si>
  <si>
    <t>Canon School</t>
  </si>
  <si>
    <t>34360 S School Loop Rd</t>
  </si>
  <si>
    <t>Black Canyon City</t>
  </si>
  <si>
    <t>85324</t>
  </si>
  <si>
    <t>Whittier Elementary School</t>
  </si>
  <si>
    <t>2000 N 16th St</t>
  </si>
  <si>
    <t>Rio Vista Elementary</t>
  </si>
  <si>
    <t>10237 W Encanto Blvd</t>
  </si>
  <si>
    <t>Maricopa Unified School District</t>
  </si>
  <si>
    <t>Desert Wind Middle School</t>
  </si>
  <si>
    <t>35565 W Honeycutt Rd</t>
  </si>
  <si>
    <t>85239</t>
  </si>
  <si>
    <t>C W Mcgraw Elementary School</t>
  </si>
  <si>
    <t>2345 S Arizona Ave</t>
  </si>
  <si>
    <t>Nadaburg Unified School District</t>
  </si>
  <si>
    <t>Nadaburg Elementary School</t>
  </si>
  <si>
    <t>21419 W Dove Valley Rd</t>
  </si>
  <si>
    <t>Wittmann</t>
  </si>
  <si>
    <t>85361</t>
  </si>
  <si>
    <t>Liberty Elementary School</t>
  </si>
  <si>
    <t>5495 S Liberty Ave</t>
  </si>
  <si>
    <t>C E Rose Elementary School</t>
  </si>
  <si>
    <t>710 W Michigan Dr</t>
  </si>
  <si>
    <t>Western Valley Elementary School</t>
  </si>
  <si>
    <t>6250 W Durango St</t>
  </si>
  <si>
    <t>Riverside Elementary District</t>
  </si>
  <si>
    <t>Kings Ridge School</t>
  </si>
  <si>
    <t>3650 S 64th Ln</t>
  </si>
  <si>
    <t>Kaizen Education Foundation dba Liberty Arts Academy</t>
  </si>
  <si>
    <t>Liberty Arts Academy</t>
  </si>
  <si>
    <t>3015 S Power Rd</t>
  </si>
  <si>
    <t>85212</t>
  </si>
  <si>
    <t>Tully Elementary Accelerated Magnet School</t>
  </si>
  <si>
    <t>1701 W El Rio Dr</t>
  </si>
  <si>
    <t>Steven R. Jasinski Elementary School</t>
  </si>
  <si>
    <t>4280 S 246th Ave</t>
  </si>
  <si>
    <t>Richard E Miller School</t>
  </si>
  <si>
    <t>2021 W Alice Ave</t>
  </si>
  <si>
    <t>Altar Valley Middle School</t>
  </si>
  <si>
    <t>16350 W Ajo Way</t>
  </si>
  <si>
    <t>Western Valley Middle School</t>
  </si>
  <si>
    <t>Los Ninos Elementary School</t>
  </si>
  <si>
    <t>5445 S Alvernon Way</t>
  </si>
  <si>
    <t>Kayenta Middle School</t>
  </si>
  <si>
    <t>Toltec School District</t>
  </si>
  <si>
    <t>Arizona City Elementary School</t>
  </si>
  <si>
    <t>12115 W Benito Dr</t>
  </si>
  <si>
    <t>Arizona City</t>
  </si>
  <si>
    <t>85123</t>
  </si>
  <si>
    <t>1121 S 3rd Ave</t>
  </si>
  <si>
    <t>High Desert Middle School</t>
  </si>
  <si>
    <t>4000 High Desert</t>
  </si>
  <si>
    <t>Fort Thomas Unified District</t>
  </si>
  <si>
    <t>Fort Thomas Elementary School</t>
  </si>
  <si>
    <t>15560 W Elementary School Rd</t>
  </si>
  <si>
    <t>Fort Thomas</t>
  </si>
  <si>
    <t>85536</t>
  </si>
  <si>
    <t>Center for Academic Success, The #2</t>
  </si>
  <si>
    <t>510 G Ave</t>
  </si>
  <si>
    <t>Tolleson Union High School District</t>
  </si>
  <si>
    <t>La Joya Community High School</t>
  </si>
  <si>
    <t>11650 W Whyman Ave</t>
  </si>
  <si>
    <t>Sierra Linda High School</t>
  </si>
  <si>
    <t>3434 S 67th Ave</t>
  </si>
  <si>
    <t>Cesar Chavez High School</t>
  </si>
  <si>
    <t>3921 W Baseline Rd</t>
  </si>
  <si>
    <t>Kaizen Education Foundation dba El Dorado High School</t>
  </si>
  <si>
    <t>Glenview College Preparatory High School</t>
  </si>
  <si>
    <t>Yuma High School</t>
  </si>
  <si>
    <t>400 S 6th Ave</t>
  </si>
  <si>
    <t>Maryvale High School</t>
  </si>
  <si>
    <t>3415 N 59th Ave</t>
  </si>
  <si>
    <t>Phoenix Collegiate Academy High LLC</t>
  </si>
  <si>
    <t>Phoenix Collegiate Academy High School</t>
  </si>
  <si>
    <t>4445 S 12th St</t>
  </si>
  <si>
    <t>South Mountain High School</t>
  </si>
  <si>
    <t>5401 S 7th St</t>
  </si>
  <si>
    <t>Scottsdale Unified District</t>
  </si>
  <si>
    <t>Coronado High School</t>
  </si>
  <si>
    <t>7501 E Virginia Ave</t>
  </si>
  <si>
    <t>85257</t>
  </si>
  <si>
    <t>Trevor Browne High School</t>
  </si>
  <si>
    <t>7402 W Catalina Dr</t>
  </si>
  <si>
    <t>Mary C OBrien Accommodation District</t>
  </si>
  <si>
    <t>Villa Oasis Interscholastic Center For Education (voice)</t>
  </si>
  <si>
    <t>3740 N Toltec Rd</t>
  </si>
  <si>
    <t>Coolidge High School</t>
  </si>
  <si>
    <t>800 W Northern Ave</t>
  </si>
  <si>
    <t>Career Development, Inc.</t>
  </si>
  <si>
    <t>Northern AZ Academy for Career Dev - Taylor</t>
  </si>
  <si>
    <t>1300 N Centennial Blvd</t>
  </si>
  <si>
    <t>Taylor</t>
  </si>
  <si>
    <t>85939</t>
  </si>
  <si>
    <t>American Charter Schools Foundation d.b.a. Desert Hills High School</t>
  </si>
  <si>
    <t>Desert Hills High School</t>
  </si>
  <si>
    <t>1515 S Val Vista Dr</t>
  </si>
  <si>
    <t>Gilbert</t>
  </si>
  <si>
    <t>85296</t>
  </si>
  <si>
    <t>American Charter Schools Foundation d.b.a. Apache Trail High School</t>
  </si>
  <si>
    <t>Apache Trail High School</t>
  </si>
  <si>
    <t>945 W Apache Tr</t>
  </si>
  <si>
    <t>Apache Junction</t>
  </si>
  <si>
    <t>Kaizen Education Foundation dba Tempe Accelerated High School</t>
  </si>
  <si>
    <t>Kaizen Education Foundation dba Quest High School</t>
  </si>
  <si>
    <t>Tucson Preparatory School</t>
  </si>
  <si>
    <t>1010 W Lind Rd</t>
  </si>
  <si>
    <t>Hasan Educational Services</t>
  </si>
  <si>
    <t>Ha:san Preparatory &amp; Leadership School</t>
  </si>
  <si>
    <t>1333 E 10th St</t>
  </si>
  <si>
    <t>85719</t>
  </si>
  <si>
    <t>District CTDS #</t>
  </si>
  <si>
    <t>District Entity ID</t>
  </si>
  <si>
    <t>Site CTDS #</t>
  </si>
  <si>
    <t>Site Entity ID</t>
  </si>
  <si>
    <t>Site Name</t>
  </si>
  <si>
    <t>If you are a preschool program associated</t>
  </si>
  <si>
    <t>District Name</t>
  </si>
  <si>
    <t>Name</t>
  </si>
  <si>
    <t>CTDS</t>
  </si>
  <si>
    <t>Entity_Type</t>
  </si>
  <si>
    <t>County</t>
  </si>
  <si>
    <t>FirstName</t>
  </si>
  <si>
    <t>LastName</t>
  </si>
  <si>
    <t>Phone</t>
  </si>
  <si>
    <t>Ext</t>
  </si>
  <si>
    <t>Fax</t>
  </si>
  <si>
    <t>Email</t>
  </si>
  <si>
    <t>WorkingTitle</t>
  </si>
  <si>
    <t>OfficialTitle</t>
  </si>
  <si>
    <t>St Johns Unified District</t>
  </si>
  <si>
    <t>'010201000</t>
  </si>
  <si>
    <t>District</t>
  </si>
  <si>
    <t>Apache</t>
  </si>
  <si>
    <t>Ed</t>
  </si>
  <si>
    <t>Burgoyne</t>
  </si>
  <si>
    <t>eburgoyne@sjusd.net</t>
  </si>
  <si>
    <t xml:space="preserve">Superintendent </t>
  </si>
  <si>
    <t>Entity Administrator</t>
  </si>
  <si>
    <t>Kimberly</t>
  </si>
  <si>
    <t>Dugdale</t>
  </si>
  <si>
    <t xml:space="preserve"> </t>
  </si>
  <si>
    <t>kdugdale@sjusd.net</t>
  </si>
  <si>
    <t>Finance Director</t>
  </si>
  <si>
    <t>Business Manager</t>
  </si>
  <si>
    <t>Coronado Elementary School</t>
  </si>
  <si>
    <t>'010201102</t>
  </si>
  <si>
    <t>District School</t>
  </si>
  <si>
    <t>Courtney</t>
  </si>
  <si>
    <t>Bond</t>
  </si>
  <si>
    <t>cobond@sjusd.net</t>
  </si>
  <si>
    <t>Principal</t>
  </si>
  <si>
    <t>St Johns Middle School</t>
  </si>
  <si>
    <t>'010201104</t>
  </si>
  <si>
    <t>St Johns High School</t>
  </si>
  <si>
    <t>'010201205</t>
  </si>
  <si>
    <t>Roger</t>
  </si>
  <si>
    <t>Heap</t>
  </si>
  <si>
    <t>rheap@sjusd.net</t>
  </si>
  <si>
    <t>St. Johns Learning Center</t>
  </si>
  <si>
    <t>'010201206</t>
  </si>
  <si>
    <t>'010208000</t>
  </si>
  <si>
    <t>Lynette</t>
  </si>
  <si>
    <t>Michalski</t>
  </si>
  <si>
    <t>lmichalski@wrschool.net</t>
  </si>
  <si>
    <t>Theresa</t>
  </si>
  <si>
    <t>Buchanan</t>
  </si>
  <si>
    <t>Tbuchanan@wrschool.net</t>
  </si>
  <si>
    <t>Federal Programs Director</t>
  </si>
  <si>
    <t>Leon</t>
  </si>
  <si>
    <t>Ben</t>
  </si>
  <si>
    <t>lben@wrschool.net</t>
  </si>
  <si>
    <t>Superintendent</t>
  </si>
  <si>
    <t>Anna-Marie</t>
  </si>
  <si>
    <t>Perry</t>
  </si>
  <si>
    <t>amperry@wrschool.net</t>
  </si>
  <si>
    <t>Integrated Preschool</t>
  </si>
  <si>
    <t>'010208107</t>
  </si>
  <si>
    <t>Velma</t>
  </si>
  <si>
    <t>Spencer</t>
  </si>
  <si>
    <t>velmas@wrschool.net</t>
  </si>
  <si>
    <t>Director Of Special Education</t>
  </si>
  <si>
    <t>'010208110</t>
  </si>
  <si>
    <t>William</t>
  </si>
  <si>
    <t>Beach</t>
  </si>
  <si>
    <t>Wbeach@wrschool.net</t>
  </si>
  <si>
    <t>Louise</t>
  </si>
  <si>
    <t>Donald</t>
  </si>
  <si>
    <t>Louised@wrschool.net</t>
  </si>
  <si>
    <t>Tsehootsooi Primary Learning Center</t>
  </si>
  <si>
    <t>'010208112</t>
  </si>
  <si>
    <t>Victor</t>
  </si>
  <si>
    <t>Benally</t>
  </si>
  <si>
    <t>victorb@wrschool.net</t>
  </si>
  <si>
    <t>Scott</t>
  </si>
  <si>
    <t>Cooper</t>
  </si>
  <si>
    <t>Pamela</t>
  </si>
  <si>
    <t>Tsosie</t>
  </si>
  <si>
    <t>pamelat@wrschool.net</t>
  </si>
  <si>
    <t>Leandra</t>
  </si>
  <si>
    <t>Begaye</t>
  </si>
  <si>
    <t>lbegaye@wrschool.net</t>
  </si>
  <si>
    <t>'010208115</t>
  </si>
  <si>
    <t>Roberta</t>
  </si>
  <si>
    <t>Tayah</t>
  </si>
  <si>
    <t>robertat@wrschool.net</t>
  </si>
  <si>
    <t>Kay</t>
  </si>
  <si>
    <t>Rochester</t>
  </si>
  <si>
    <t>kayr@wrschool.net</t>
  </si>
  <si>
    <t>Dr. Alfred</t>
  </si>
  <si>
    <t>alfredt@wrschool.net</t>
  </si>
  <si>
    <t>David</t>
  </si>
  <si>
    <t>Moore</t>
  </si>
  <si>
    <t>dmoore@wrschool.net</t>
  </si>
  <si>
    <t>Cara</t>
  </si>
  <si>
    <t>Bedonie</t>
  </si>
  <si>
    <t>carab@wrschool.net</t>
  </si>
  <si>
    <t>Tsehootsooi Dine Bi'Olta</t>
  </si>
  <si>
    <t>'010208116</t>
  </si>
  <si>
    <t>Carena</t>
  </si>
  <si>
    <t>Begay</t>
  </si>
  <si>
    <t>carenab@wrschool.net</t>
  </si>
  <si>
    <t>Audra</t>
  </si>
  <si>
    <t>Platero</t>
  </si>
  <si>
    <t>audrap@wrschool.net</t>
  </si>
  <si>
    <t xml:space="preserve">Principal </t>
  </si>
  <si>
    <t>'010208201</t>
  </si>
  <si>
    <t>James</t>
  </si>
  <si>
    <t>Fitch</t>
  </si>
  <si>
    <t>jamesf@wrschool.net</t>
  </si>
  <si>
    <t>Susan</t>
  </si>
  <si>
    <t>Clements</t>
  </si>
  <si>
    <t xml:space="preserve">Assistant Principal </t>
  </si>
  <si>
    <t>Elberta</t>
  </si>
  <si>
    <t>Monroe</t>
  </si>
  <si>
    <t>elbertam@wrschool.net</t>
  </si>
  <si>
    <t>Donna</t>
  </si>
  <si>
    <t>Manuelito</t>
  </si>
  <si>
    <t>dmanuelito@wrschool.net</t>
  </si>
  <si>
    <t>Richard Van</t>
  </si>
  <si>
    <t>Nostrand</t>
  </si>
  <si>
    <t>richardvn@wrschool.net</t>
  </si>
  <si>
    <t>Assistant Principal</t>
  </si>
  <si>
    <t>Horsley</t>
  </si>
  <si>
    <t>williamh@wrschool.net</t>
  </si>
  <si>
    <t>Round Valley Unified District</t>
  </si>
  <si>
    <t>'010210000</t>
  </si>
  <si>
    <t>Merrell</t>
  </si>
  <si>
    <t>Hamblin</t>
  </si>
  <si>
    <t>mhamblin@elks.net</t>
  </si>
  <si>
    <t>Designated User</t>
  </si>
  <si>
    <t>Travis</t>
  </si>
  <si>
    <t>Udall</t>
  </si>
  <si>
    <t>tudall@elks.net</t>
  </si>
  <si>
    <t>Kim</t>
  </si>
  <si>
    <t>Pena</t>
  </si>
  <si>
    <t>kpena@elks.net</t>
  </si>
  <si>
    <t>CTE Director</t>
  </si>
  <si>
    <t>Gene</t>
  </si>
  <si>
    <t>Gardner</t>
  </si>
  <si>
    <t>gene@pgpc.org</t>
  </si>
  <si>
    <t>Interim Business Manager</t>
  </si>
  <si>
    <t>Cass</t>
  </si>
  <si>
    <t>Pond</t>
  </si>
  <si>
    <t>cpond@elks.net</t>
  </si>
  <si>
    <t>Kevin</t>
  </si>
  <si>
    <t>Mann</t>
  </si>
  <si>
    <t>kmann@elks.net</t>
  </si>
  <si>
    <t>Director of Transportation</t>
  </si>
  <si>
    <t>SAIS Technology Coordinator</t>
  </si>
  <si>
    <t>Aaron</t>
  </si>
  <si>
    <t>Doster</t>
  </si>
  <si>
    <t>adoster@elks.net</t>
  </si>
  <si>
    <t>Educational Technology Coordinator/Trainer</t>
  </si>
  <si>
    <t>Round Valley Elementary School</t>
  </si>
  <si>
    <t>'010210102</t>
  </si>
  <si>
    <t>Renita</t>
  </si>
  <si>
    <t>Olson</t>
  </si>
  <si>
    <t>rolson@elks.net</t>
  </si>
  <si>
    <t>Michael</t>
  </si>
  <si>
    <t>McClellan</t>
  </si>
  <si>
    <t>mmcclellan@elks.net</t>
  </si>
  <si>
    <t>Elementary School Principal</t>
  </si>
  <si>
    <t>Jennifer</t>
  </si>
  <si>
    <t>Rose</t>
  </si>
  <si>
    <t>6601`</t>
  </si>
  <si>
    <t>jrose@elks.net</t>
  </si>
  <si>
    <t>Marcie</t>
  </si>
  <si>
    <t>mudall@elks.net</t>
  </si>
  <si>
    <t>Round Valley Middle School</t>
  </si>
  <si>
    <t>'010210103</t>
  </si>
  <si>
    <t>John</t>
  </si>
  <si>
    <t>Allen</t>
  </si>
  <si>
    <t>jallen@elks.net</t>
  </si>
  <si>
    <t>Middle School Principal</t>
  </si>
  <si>
    <t>Round Valley High School</t>
  </si>
  <si>
    <t>'010210210</t>
  </si>
  <si>
    <t>Tod</t>
  </si>
  <si>
    <t>Workman</t>
  </si>
  <si>
    <t>TWorkman@elks.net</t>
  </si>
  <si>
    <t>Vice Principal</t>
  </si>
  <si>
    <t>Eleanor</t>
  </si>
  <si>
    <t>Gidney</t>
  </si>
  <si>
    <t>egidney@elks.net</t>
  </si>
  <si>
    <t>SAIS Coordinator</t>
  </si>
  <si>
    <t>White Mountain Academy</t>
  </si>
  <si>
    <t>'010210211</t>
  </si>
  <si>
    <t>Patton</t>
  </si>
  <si>
    <t>spatton@elks.net</t>
  </si>
  <si>
    <t>'010218000</t>
  </si>
  <si>
    <t>Tari</t>
  </si>
  <si>
    <t>Hardy</t>
  </si>
  <si>
    <t>tarihardy@sandersusd.net</t>
  </si>
  <si>
    <t>Principal - Sanders Middle School</t>
  </si>
  <si>
    <t>Pearce</t>
  </si>
  <si>
    <t>kimpearce@sandersusd.net</t>
  </si>
  <si>
    <t>Barbara</t>
  </si>
  <si>
    <t>Baca</t>
  </si>
  <si>
    <t>barbarabaca@sandersusd.net</t>
  </si>
  <si>
    <t>Accounting Specialist</t>
  </si>
  <si>
    <t>Florinda</t>
  </si>
  <si>
    <t>Jackson</t>
  </si>
  <si>
    <t>florindajackson@sandersusd.net</t>
  </si>
  <si>
    <t>Educational Support Service Director</t>
  </si>
  <si>
    <t>Robert</t>
  </si>
  <si>
    <t>Dohm</t>
  </si>
  <si>
    <t>robert.Dohm@nau.edu</t>
  </si>
  <si>
    <t>'010218001</t>
  </si>
  <si>
    <t>Lucinda</t>
  </si>
  <si>
    <t>Swedberg</t>
  </si>
  <si>
    <t>lucinda.swedberg@sandersusd.net</t>
  </si>
  <si>
    <t>'010218002</t>
  </si>
  <si>
    <t>Sheryl</t>
  </si>
  <si>
    <t>Soderstrom</t>
  </si>
  <si>
    <t>Sherylsoderstrom@sandersusd.net</t>
  </si>
  <si>
    <t>'010218003</t>
  </si>
  <si>
    <t>Ken</t>
  </si>
  <si>
    <t>Poppino</t>
  </si>
  <si>
    <t>ken.poppino@sandersusd.net</t>
  </si>
  <si>
    <t>Verlynn</t>
  </si>
  <si>
    <t>Goldtooth</t>
  </si>
  <si>
    <t>Verlynngoldtooth@sandersusd.net</t>
  </si>
  <si>
    <t>'010220000</t>
  </si>
  <si>
    <t>Leola</t>
  </si>
  <si>
    <t>Thompson</t>
  </si>
  <si>
    <t>928-755-10</t>
  </si>
  <si>
    <t>leola.thompson@ganado.k12.az.us</t>
  </si>
  <si>
    <t>Designated User - Database Specialist</t>
  </si>
  <si>
    <t>leandra.begaye@ganado.k12.az.us</t>
  </si>
  <si>
    <t>Jolena</t>
  </si>
  <si>
    <t>Burns</t>
  </si>
  <si>
    <t>jolena.burns@ganado.k12.az.us</t>
  </si>
  <si>
    <t>Shannon</t>
  </si>
  <si>
    <t>Hood</t>
  </si>
  <si>
    <t>shannon.hood@ganado.k12.az.us</t>
  </si>
  <si>
    <t xml:space="preserve">Director of Federal Programs and Grants </t>
  </si>
  <si>
    <t>Gaylyn</t>
  </si>
  <si>
    <t>Johnson</t>
  </si>
  <si>
    <t>gaylyn.johnson@ganado.k12.az.us</t>
  </si>
  <si>
    <t>Business Director</t>
  </si>
  <si>
    <t>Betsy</t>
  </si>
  <si>
    <t>Dobias</t>
  </si>
  <si>
    <t>betsy.dobias@ganado.k12.az.us</t>
  </si>
  <si>
    <t xml:space="preserve">Intermin-Superintendent </t>
  </si>
  <si>
    <t>Henrietta</t>
  </si>
  <si>
    <t>Keyannie</t>
  </si>
  <si>
    <t>henrietta.keyannie@ganado.k12.az.us</t>
  </si>
  <si>
    <t>Ganado Primary School</t>
  </si>
  <si>
    <t>'010220101</t>
  </si>
  <si>
    <t>Helen</t>
  </si>
  <si>
    <t>Aseret</t>
  </si>
  <si>
    <t>helen.aseret@ganado.k12.az.us</t>
  </si>
  <si>
    <t>Sharrisa</t>
  </si>
  <si>
    <t>Sharrisa.Ben@ganado.k12.az.us</t>
  </si>
  <si>
    <t>Jeanna</t>
  </si>
  <si>
    <t>Dowse</t>
  </si>
  <si>
    <t>Colleen</t>
  </si>
  <si>
    <t>Roanhorse</t>
  </si>
  <si>
    <t>colleen.roanhorse@ganado.k12.az.us</t>
  </si>
  <si>
    <t>'010220102</t>
  </si>
  <si>
    <t>Roxane</t>
  </si>
  <si>
    <t>Martinez</t>
  </si>
  <si>
    <t>roxane.martinez@ganado.k12.az.us</t>
  </si>
  <si>
    <t>'010220103</t>
  </si>
  <si>
    <t>Loretta</t>
  </si>
  <si>
    <t>Eltsosie</t>
  </si>
  <si>
    <t>loretta.eltsosie@ganado.k12.az.us</t>
  </si>
  <si>
    <t>Clara</t>
  </si>
  <si>
    <t>Tapaha</t>
  </si>
  <si>
    <t>clara.tapaha@ganado.k12.az.us</t>
  </si>
  <si>
    <t>'010220204</t>
  </si>
  <si>
    <t>Lucille</t>
  </si>
  <si>
    <t>Sidney</t>
  </si>
  <si>
    <t>lucille.sidney@ganado.k12.az.us</t>
  </si>
  <si>
    <t xml:space="preserve">Mark </t>
  </si>
  <si>
    <t>Crossland</t>
  </si>
  <si>
    <t>mark.crossland@ganado.k12.az.us</t>
  </si>
  <si>
    <t>'010224000</t>
  </si>
  <si>
    <t>Quincy</t>
  </si>
  <si>
    <t>Natay</t>
  </si>
  <si>
    <t>928.674.96</t>
  </si>
  <si>
    <t>quincy@chinleusd.k12.az.us</t>
  </si>
  <si>
    <t>Clauschee</t>
  </si>
  <si>
    <t>dclauschee@chinleusd.k12.az.us</t>
  </si>
  <si>
    <t>Priscine</t>
  </si>
  <si>
    <t>Jones</t>
  </si>
  <si>
    <t>928-674-96</t>
  </si>
  <si>
    <t>prjones@chinleusd.k12.az.us</t>
  </si>
  <si>
    <t>Glynes</t>
  </si>
  <si>
    <t>Mitchell</t>
  </si>
  <si>
    <t>glynes@chinleusd.k12.az.us</t>
  </si>
  <si>
    <t>'010224145</t>
  </si>
  <si>
    <t>Tammy</t>
  </si>
  <si>
    <t>Smith</t>
  </si>
  <si>
    <t>tysmith@chinleusd.k12.az.us</t>
  </si>
  <si>
    <t>Mary Ann</t>
  </si>
  <si>
    <t>Conrad</t>
  </si>
  <si>
    <t>mconrad@chinleusd.k12.az.us</t>
  </si>
  <si>
    <t>Martha</t>
  </si>
  <si>
    <t>Fridge</t>
  </si>
  <si>
    <t>mfridge@chinleusd.k12.az.us</t>
  </si>
  <si>
    <t>Cheryl</t>
  </si>
  <si>
    <t>Miller</t>
  </si>
  <si>
    <t>cherylm@chinleusd.k12.az.us</t>
  </si>
  <si>
    <t>Clifford</t>
  </si>
  <si>
    <t>Bitsui</t>
  </si>
  <si>
    <t>cbitsui@chinleusd.k12.az.us</t>
  </si>
  <si>
    <t>Registrar</t>
  </si>
  <si>
    <t>'010224150</t>
  </si>
  <si>
    <t>Carolyn</t>
  </si>
  <si>
    <t>Irvin</t>
  </si>
  <si>
    <t>crirvin@mail.com</t>
  </si>
  <si>
    <t>Janie</t>
  </si>
  <si>
    <t>Christie</t>
  </si>
  <si>
    <t>janieroanhorse@chinleusd.k12.az.us</t>
  </si>
  <si>
    <t>Sandra</t>
  </si>
  <si>
    <t>Tulley</t>
  </si>
  <si>
    <t>sjtulley@chinleusd.k12.az.us</t>
  </si>
  <si>
    <t>'010224155</t>
  </si>
  <si>
    <t>Lori</t>
  </si>
  <si>
    <t>Gray</t>
  </si>
  <si>
    <t>lbitsui@chinleusd.k12.az.us</t>
  </si>
  <si>
    <t>Charles</t>
  </si>
  <si>
    <t>Gover</t>
  </si>
  <si>
    <t>cgover@chinleusd.k12.az.us</t>
  </si>
  <si>
    <t>Ronald</t>
  </si>
  <si>
    <t>rthompson@chinleusd.k12.az.us</t>
  </si>
  <si>
    <t>Kelly</t>
  </si>
  <si>
    <t>Pioche</t>
  </si>
  <si>
    <t>kellypi@chinleusd.k12.az.us</t>
  </si>
  <si>
    <t>Sais Technology Coordinator</t>
  </si>
  <si>
    <t>'010224160</t>
  </si>
  <si>
    <t>Moses</t>
  </si>
  <si>
    <t>Aruguete</t>
  </si>
  <si>
    <t>mmaruguete@chinleusd.k12.az.us</t>
  </si>
  <si>
    <t>ctsosie03@chinleusd.k12.az.us</t>
  </si>
  <si>
    <t>Rita</t>
  </si>
  <si>
    <t>rabedonie@chinle.k12.az.us</t>
  </si>
  <si>
    <t>'010224165</t>
  </si>
  <si>
    <t>Stephen</t>
  </si>
  <si>
    <t>Sorden</t>
  </si>
  <si>
    <t>sdsorden@chinleusd.k12.az.us</t>
  </si>
  <si>
    <t>'010224170</t>
  </si>
  <si>
    <t>Jon</t>
  </si>
  <si>
    <t>Jensen</t>
  </si>
  <si>
    <t>jrjensen@chinleusd.k12.az.us</t>
  </si>
  <si>
    <t>Duane</t>
  </si>
  <si>
    <t>Scofield</t>
  </si>
  <si>
    <t>doscofield@chinleusd.k12.az.us</t>
  </si>
  <si>
    <t>Nell</t>
  </si>
  <si>
    <t>Tabaha</t>
  </si>
  <si>
    <t>NSTABAHA2@chinleusd.k12.az.us</t>
  </si>
  <si>
    <t>lryazzie4@chinleusd.k12.az.us</t>
  </si>
  <si>
    <t>Adele</t>
  </si>
  <si>
    <t>Yuth</t>
  </si>
  <si>
    <t>ayuth@chinleusd.k12.az.us</t>
  </si>
  <si>
    <t>'010224240</t>
  </si>
  <si>
    <t>Virginia</t>
  </si>
  <si>
    <t>Lee</t>
  </si>
  <si>
    <t>vlee10@chinleusd.k12.az.us</t>
  </si>
  <si>
    <t>Peterson</t>
  </si>
  <si>
    <t>Butler</t>
  </si>
  <si>
    <t>pbutler@chinleusd.k12.az.us</t>
  </si>
  <si>
    <t>Trowbridge</t>
  </si>
  <si>
    <t>strowbridge@chinleusd.k12.az.us</t>
  </si>
  <si>
    <t>Rhaquel</t>
  </si>
  <si>
    <t>Valichnac</t>
  </si>
  <si>
    <t>rvalichinac@chinleusd.k12.az.us</t>
  </si>
  <si>
    <t>clauschee</t>
  </si>
  <si>
    <t>Clete</t>
  </si>
  <si>
    <t>Hargrave</t>
  </si>
  <si>
    <t>chargrave@chinleusd.k12.az.us</t>
  </si>
  <si>
    <t>'010227000</t>
  </si>
  <si>
    <t>Kirby</t>
  </si>
  <si>
    <t>kbedonie@rmusd.net</t>
  </si>
  <si>
    <t>Andre</t>
  </si>
  <si>
    <t>Ponder</t>
  </si>
  <si>
    <t>APonder@rmusd.net</t>
  </si>
  <si>
    <t>Coleman</t>
  </si>
  <si>
    <t>vcoleman@rmusd.net</t>
  </si>
  <si>
    <t>'010227101</t>
  </si>
  <si>
    <t>Bob</t>
  </si>
  <si>
    <t>Debus</t>
  </si>
  <si>
    <t>bdebus@rmusd.net</t>
  </si>
  <si>
    <t>Genevieve</t>
  </si>
  <si>
    <t>Glen</t>
  </si>
  <si>
    <t>White Eagle</t>
  </si>
  <si>
    <t>gwhiteeagle@rmusd.net</t>
  </si>
  <si>
    <t>'010227102</t>
  </si>
  <si>
    <t>genevieve@rmusd.net</t>
  </si>
  <si>
    <t>Red Mesa Junior High School</t>
  </si>
  <si>
    <t>'010227103</t>
  </si>
  <si>
    <t>'010227204</t>
  </si>
  <si>
    <t>Lynn</t>
  </si>
  <si>
    <t>Huenemann</t>
  </si>
  <si>
    <t>lhuenemann@rmusd.net</t>
  </si>
  <si>
    <t>'010227205</t>
  </si>
  <si>
    <t>Laurethena</t>
  </si>
  <si>
    <t>Kady</t>
  </si>
  <si>
    <t>lkady@rmusc.net</t>
  </si>
  <si>
    <t>carena.begay@gmail.com</t>
  </si>
  <si>
    <t>'010306000</t>
  </si>
  <si>
    <t>Embrey</t>
  </si>
  <si>
    <t>dembrey@concho.k12.az.us</t>
  </si>
  <si>
    <t>Billie</t>
  </si>
  <si>
    <t>Bell</t>
  </si>
  <si>
    <t>bbell@concho.k12.az.us</t>
  </si>
  <si>
    <t>Lupita</t>
  </si>
  <si>
    <t>Ibarra</t>
  </si>
  <si>
    <t>libarra@concho.k12.az.us</t>
  </si>
  <si>
    <t>'010306101</t>
  </si>
  <si>
    <t>Steven</t>
  </si>
  <si>
    <t>Yoder</t>
  </si>
  <si>
    <t>syoder@concho.k12.az.us</t>
  </si>
  <si>
    <t>Superintendent/Principal</t>
  </si>
  <si>
    <t>Alpine Elementary District</t>
  </si>
  <si>
    <t>'010307000</t>
  </si>
  <si>
    <t>Shirley</t>
  </si>
  <si>
    <t>Brazel</t>
  </si>
  <si>
    <t>sbrazel@alpine.k12.az.us</t>
  </si>
  <si>
    <t>Jean</t>
  </si>
  <si>
    <t>Ray</t>
  </si>
  <si>
    <t>jray@alpine.k12.az.us</t>
  </si>
  <si>
    <t>Alpine Elementary School</t>
  </si>
  <si>
    <t>'010307101</t>
  </si>
  <si>
    <t>'010309000</t>
  </si>
  <si>
    <t>Karol</t>
  </si>
  <si>
    <t>Coffman</t>
  </si>
  <si>
    <t>kcoffman@vernon.k12.az.us</t>
  </si>
  <si>
    <t>Administrative Assistant</t>
  </si>
  <si>
    <t>Jeff</t>
  </si>
  <si>
    <t>Fuller</t>
  </si>
  <si>
    <t>jfuller@vernon.k12.az.us</t>
  </si>
  <si>
    <t>Deana</t>
  </si>
  <si>
    <t>Hunt</t>
  </si>
  <si>
    <t>dhunt@vernon.k12.az.us</t>
  </si>
  <si>
    <t>Board Member</t>
  </si>
  <si>
    <t>Mary</t>
  </si>
  <si>
    <t>Adams</t>
  </si>
  <si>
    <t>madams@vernon.k12.az.us</t>
  </si>
  <si>
    <t>'010309101</t>
  </si>
  <si>
    <t>bbaca@vernon.k12.az.us</t>
  </si>
  <si>
    <t>Kelli</t>
  </si>
  <si>
    <t>McIntyre</t>
  </si>
  <si>
    <t>Kelli@enchant-ed.com</t>
  </si>
  <si>
    <t>'010323000</t>
  </si>
  <si>
    <t>Melisa</t>
  </si>
  <si>
    <t>Milan</t>
  </si>
  <si>
    <t>mmilan@mcnary.k12.az.us</t>
  </si>
  <si>
    <t>Principal/Superintendent</t>
  </si>
  <si>
    <t>Janet</t>
  </si>
  <si>
    <t>Fenderson</t>
  </si>
  <si>
    <t>janetf@apachecounty.net</t>
  </si>
  <si>
    <t xml:space="preserve">Cheryl </t>
  </si>
  <si>
    <t>Coates</t>
  </si>
  <si>
    <t>ccoates@apachecounty.net</t>
  </si>
  <si>
    <t>Office Clerk</t>
  </si>
  <si>
    <t>'010323101</t>
  </si>
  <si>
    <t>Brummond</t>
  </si>
  <si>
    <t>jbrummond@co.apache.az.us</t>
  </si>
  <si>
    <t>Fort Huachuca Accommodation District</t>
  </si>
  <si>
    <t>'020100000</t>
  </si>
  <si>
    <t>Cochise</t>
  </si>
  <si>
    <t>Bonnie</t>
  </si>
  <si>
    <t>Austin</t>
  </si>
  <si>
    <t>austinb@fhasd.org</t>
  </si>
  <si>
    <t>Mark</t>
  </si>
  <si>
    <t>Goodman</t>
  </si>
  <si>
    <t>goodmanm@fhasd.org</t>
  </si>
  <si>
    <t>Karen</t>
  </si>
  <si>
    <t>Nieto</t>
  </si>
  <si>
    <t>nietok@fhasd.org</t>
  </si>
  <si>
    <t>Manager of Finance/Business</t>
  </si>
  <si>
    <t>Frank</t>
  </si>
  <si>
    <t>frank.a.bell@fhasd.org</t>
  </si>
  <si>
    <t>Director of Technology</t>
  </si>
  <si>
    <t>General Myer Elementary School</t>
  </si>
  <si>
    <t>'020100101</t>
  </si>
  <si>
    <t>Connie</t>
  </si>
  <si>
    <t>johnsonc@fthuachuca.k12.az.us</t>
  </si>
  <si>
    <t>Prinicipal</t>
  </si>
  <si>
    <t>Colonel Johnston Elementary School</t>
  </si>
  <si>
    <t>'020100102</t>
  </si>
  <si>
    <t>Nancy</t>
  </si>
  <si>
    <t>Nicholson</t>
  </si>
  <si>
    <t>nicholsonn@fhasd.org</t>
  </si>
  <si>
    <t>Colonel Smith Middle School</t>
  </si>
  <si>
    <t>'020100103</t>
  </si>
  <si>
    <t>Henderson</t>
  </si>
  <si>
    <t>hendersonb@fthuachuca.k12.az.us</t>
  </si>
  <si>
    <t>Tombstone Unified District</t>
  </si>
  <si>
    <t>'020201000</t>
  </si>
  <si>
    <t>Nora</t>
  </si>
  <si>
    <t>Luna</t>
  </si>
  <si>
    <t>nluna@tombstone.k12.az.us</t>
  </si>
  <si>
    <t>Designated User/Grants Management Specialist</t>
  </si>
  <si>
    <t>Devere</t>
  </si>
  <si>
    <t>rdevere@tombstone.k12.az.us</t>
  </si>
  <si>
    <t>Denisse</t>
  </si>
  <si>
    <t>Bojorquez</t>
  </si>
  <si>
    <t>dbojorquez@tombstone.k12.az.us</t>
  </si>
  <si>
    <t>SPED Director</t>
  </si>
  <si>
    <t>Thursby</t>
  </si>
  <si>
    <t>dthursby@tombstone.k12.az.us</t>
  </si>
  <si>
    <t>Beaman</t>
  </si>
  <si>
    <t>kbeaman@tombstone.k12.az.us</t>
  </si>
  <si>
    <t>Melinda</t>
  </si>
  <si>
    <t>Escarcega</t>
  </si>
  <si>
    <t>mescarcega@tombstone.k12.az.us</t>
  </si>
  <si>
    <t xml:space="preserve">curriculum director </t>
  </si>
  <si>
    <t>Jeanette</t>
  </si>
  <si>
    <t>Paz</t>
  </si>
  <si>
    <t>jpaz@tombstone.k12.az.us</t>
  </si>
  <si>
    <t>Livingston</t>
  </si>
  <si>
    <t>Jlivingston@tombstone.k12.az.us</t>
  </si>
  <si>
    <t>Huachuca City School</t>
  </si>
  <si>
    <t>'020201101</t>
  </si>
  <si>
    <t>Walter J Meyer School</t>
  </si>
  <si>
    <t>'020201102</t>
  </si>
  <si>
    <t>Brent</t>
  </si>
  <si>
    <t>DeRoest</t>
  </si>
  <si>
    <t>bderoest@tombstone.k12.az.us</t>
  </si>
  <si>
    <t>Tombstone High School</t>
  </si>
  <si>
    <t>'020201207</t>
  </si>
  <si>
    <t>rdevere@tombstoneschools.org</t>
  </si>
  <si>
    <t>'020202000</t>
  </si>
  <si>
    <t>Thomas</t>
  </si>
  <si>
    <t>Woody</t>
  </si>
  <si>
    <t>twoody@busd.k12.az.us</t>
  </si>
  <si>
    <t>Greenway Primary School</t>
  </si>
  <si>
    <t>'020202103</t>
  </si>
  <si>
    <t>Gauch</t>
  </si>
  <si>
    <t>dgauch@busd.k12.az.us</t>
  </si>
  <si>
    <t>Tad</t>
  </si>
  <si>
    <t>Bloss</t>
  </si>
  <si>
    <t>tbloss@busd.k12.az.us</t>
  </si>
  <si>
    <t>Lowell School</t>
  </si>
  <si>
    <t>'020202105</t>
  </si>
  <si>
    <t>thardy@busd.k12.az.us</t>
  </si>
  <si>
    <t>'020202201</t>
  </si>
  <si>
    <t>Laura</t>
  </si>
  <si>
    <t>lmiller@busd.k12.az.us</t>
  </si>
  <si>
    <t>Copper Credits</t>
  </si>
  <si>
    <t>'020202202</t>
  </si>
  <si>
    <t>Benson Unified School District</t>
  </si>
  <si>
    <t>'020209000</t>
  </si>
  <si>
    <t>Rodriguez</t>
  </si>
  <si>
    <t>brodriguez@bensonsd.k12.az.us</t>
  </si>
  <si>
    <t>High School Principal</t>
  </si>
  <si>
    <t>Micah</t>
  </si>
  <si>
    <t>Mortensen</t>
  </si>
  <si>
    <t>mmortensen@bensonsd.k12.az.us</t>
  </si>
  <si>
    <t>Ayres</t>
  </si>
  <si>
    <t>cayres@bensonsd.k12.az.us</t>
  </si>
  <si>
    <t>Benson Primary School</t>
  </si>
  <si>
    <t>'020209101</t>
  </si>
  <si>
    <t>Jomel</t>
  </si>
  <si>
    <t>Jansson</t>
  </si>
  <si>
    <t>jjansson@bensonsd.k12.az.us</t>
  </si>
  <si>
    <t>Benson Middle School</t>
  </si>
  <si>
    <t>'020209102</t>
  </si>
  <si>
    <t>Keith</t>
  </si>
  <si>
    <t>Rogers</t>
  </si>
  <si>
    <t>krogers@bensonsd.k12.az.us</t>
  </si>
  <si>
    <t>Dean of Students</t>
  </si>
  <si>
    <t>Benson High School</t>
  </si>
  <si>
    <t>'020209201</t>
  </si>
  <si>
    <t>Darin</t>
  </si>
  <si>
    <t>Giltner</t>
  </si>
  <si>
    <t>dgiltner@bensonsd.k12.az.us</t>
  </si>
  <si>
    <t>cayres@censonsd.k12.az.us</t>
  </si>
  <si>
    <t>Benson Digital Learning Center</t>
  </si>
  <si>
    <t>'020209202</t>
  </si>
  <si>
    <t>Angela</t>
  </si>
  <si>
    <t>Grizzle</t>
  </si>
  <si>
    <t>acarreira@bensonsd.k12.az.us</t>
  </si>
  <si>
    <t>Richard</t>
  </si>
  <si>
    <t>Connet</t>
  </si>
  <si>
    <t>rconnet@bensonsd.k12.az.us</t>
  </si>
  <si>
    <t>Benson Digital Learning Center Online</t>
  </si>
  <si>
    <t>'020209300</t>
  </si>
  <si>
    <t>Willcox Unified District</t>
  </si>
  <si>
    <t>'020213000</t>
  </si>
  <si>
    <t>Rundhaug</t>
  </si>
  <si>
    <t>richard.rundhaug@wusd13.org</t>
  </si>
  <si>
    <t>jeff.thompson@wusd13.org</t>
  </si>
  <si>
    <t>Hall</t>
  </si>
  <si>
    <t>tammy.hall@wusd13.org</t>
  </si>
  <si>
    <t>Chris</t>
  </si>
  <si>
    <t>Stalder</t>
  </si>
  <si>
    <t>chris.stalder@wusd13.org</t>
  </si>
  <si>
    <t>Dean</t>
  </si>
  <si>
    <t>Chaim</t>
  </si>
  <si>
    <t>david.chaim@wusd13.org</t>
  </si>
  <si>
    <t>Davis</t>
  </si>
  <si>
    <t>kevin.davis@wusd13.org</t>
  </si>
  <si>
    <t>Marina</t>
  </si>
  <si>
    <t>Tapia</t>
  </si>
  <si>
    <t>marina.tapia@wusd13.org</t>
  </si>
  <si>
    <t>Willcox Elementary School</t>
  </si>
  <si>
    <t>'020213101</t>
  </si>
  <si>
    <t>Valerie</t>
  </si>
  <si>
    <t>Simon</t>
  </si>
  <si>
    <t>valerie.simon@wusd13.org</t>
  </si>
  <si>
    <t>Willcox Middle School</t>
  </si>
  <si>
    <t>'020213102</t>
  </si>
  <si>
    <t>Mike</t>
  </si>
  <si>
    <t>Patterson</t>
  </si>
  <si>
    <t>pattersonm@willcox.k12.az.us</t>
  </si>
  <si>
    <t>Willcox High School</t>
  </si>
  <si>
    <t>'020213201</t>
  </si>
  <si>
    <t>Bowie Unified District</t>
  </si>
  <si>
    <t>'020214000</t>
  </si>
  <si>
    <t>Wendy</t>
  </si>
  <si>
    <t>Conger</t>
  </si>
  <si>
    <t>wendy.conger@bowieschools.org</t>
  </si>
  <si>
    <t>Benning</t>
  </si>
  <si>
    <t>william.benning@bowieschools.org</t>
  </si>
  <si>
    <t>Bowie Elementary School</t>
  </si>
  <si>
    <t>'020214100</t>
  </si>
  <si>
    <t>Bowie High School</t>
  </si>
  <si>
    <t>'020214200</t>
  </si>
  <si>
    <t>San Simon Unified District</t>
  </si>
  <si>
    <t>'020218000</t>
  </si>
  <si>
    <t>Kari</t>
  </si>
  <si>
    <t>Wade</t>
  </si>
  <si>
    <t>kwade@sansimon.org</t>
  </si>
  <si>
    <t>Rothpletz</t>
  </si>
  <si>
    <t>rrothpletz@sansimon.org</t>
  </si>
  <si>
    <t>San Simon School</t>
  </si>
  <si>
    <t>'020218001</t>
  </si>
  <si>
    <t>St David Unified District</t>
  </si>
  <si>
    <t>'020221000</t>
  </si>
  <si>
    <t>Kyle</t>
  </si>
  <si>
    <t>Hart</t>
  </si>
  <si>
    <t>khart@stdavid.org</t>
  </si>
  <si>
    <t>Superintnendent</t>
  </si>
  <si>
    <t>Andrew</t>
  </si>
  <si>
    <t>Brogan</t>
  </si>
  <si>
    <t>abrogan@stdavid.org</t>
  </si>
  <si>
    <t>Danielle</t>
  </si>
  <si>
    <t>dpeterson@stdavid.org</t>
  </si>
  <si>
    <t>Jonathan</t>
  </si>
  <si>
    <t>Watts</t>
  </si>
  <si>
    <t>jwatss@stdavid.org</t>
  </si>
  <si>
    <t>Kathy</t>
  </si>
  <si>
    <t>Wood</t>
  </si>
  <si>
    <t>kwood@mail.stdavid.org</t>
  </si>
  <si>
    <t>St David Elementary School</t>
  </si>
  <si>
    <t>'020221101</t>
  </si>
  <si>
    <t>St David High School</t>
  </si>
  <si>
    <t>'020221202</t>
  </si>
  <si>
    <t>'020227000</t>
  </si>
  <si>
    <t>Denise</t>
  </si>
  <si>
    <t>Cox</t>
  </si>
  <si>
    <t>dcox@douglasschools.org</t>
  </si>
  <si>
    <t>Director of Curriculum and Federal Programs</t>
  </si>
  <si>
    <t>Ana</t>
  </si>
  <si>
    <t>Samaniego</t>
  </si>
  <si>
    <t>asamaniego@douglasschools.org</t>
  </si>
  <si>
    <t>Corinna</t>
  </si>
  <si>
    <t>Moen</t>
  </si>
  <si>
    <t>cmoen@douglasschools.org</t>
  </si>
  <si>
    <t>Rodney</t>
  </si>
  <si>
    <t>Egan</t>
  </si>
  <si>
    <t>regan@douglasschools.org</t>
  </si>
  <si>
    <t>Sonia</t>
  </si>
  <si>
    <t>Barcelo</t>
  </si>
  <si>
    <t>sbarcelo@dusd.k12.az.us</t>
  </si>
  <si>
    <t>Business and Finance Supervisor</t>
  </si>
  <si>
    <t>Cesar</t>
  </si>
  <si>
    <t>Soto</t>
  </si>
  <si>
    <t>csoto@dusd.k12.az.us</t>
  </si>
  <si>
    <t>Menegilda</t>
  </si>
  <si>
    <t>Gomez</t>
  </si>
  <si>
    <t>mgomez@dusd.k12.az.us</t>
  </si>
  <si>
    <t>Early Learning Center</t>
  </si>
  <si>
    <t>'020227101</t>
  </si>
  <si>
    <t>Manuel</t>
  </si>
  <si>
    <t>Valenzuela</t>
  </si>
  <si>
    <t>mvalenzuela@dusd.k12.az.us</t>
  </si>
  <si>
    <t>Clawson School</t>
  </si>
  <si>
    <t>'020227102</t>
  </si>
  <si>
    <t>Rudy</t>
  </si>
  <si>
    <t>Cota</t>
  </si>
  <si>
    <t>rcota@dusd.us</t>
  </si>
  <si>
    <t>Joe Carlson Elementary School</t>
  </si>
  <si>
    <t>'020227104</t>
  </si>
  <si>
    <t>Cyndy</t>
  </si>
  <si>
    <t>Ortega</t>
  </si>
  <si>
    <t>cortega@dusd.k12.az.us</t>
  </si>
  <si>
    <t>Melissa</t>
  </si>
  <si>
    <t>'020227105</t>
  </si>
  <si>
    <t>Fernando</t>
  </si>
  <si>
    <t>Morales</t>
  </si>
  <si>
    <t>fmorales@dusd.k12.az.us</t>
  </si>
  <si>
    <t>'020227106</t>
  </si>
  <si>
    <t>Claudia</t>
  </si>
  <si>
    <t>cleon@dusd.us</t>
  </si>
  <si>
    <t>Stevenson Elementary School</t>
  </si>
  <si>
    <t>'020227107</t>
  </si>
  <si>
    <t>Ray Borane Middle School</t>
  </si>
  <si>
    <t>'020227108</t>
  </si>
  <si>
    <t>asamaingo@dusd.k12.az.us</t>
  </si>
  <si>
    <t>mrodriguez@dusd.us</t>
  </si>
  <si>
    <t>Katie</t>
  </si>
  <si>
    <t>Walker</t>
  </si>
  <si>
    <t>Paul H Huber Jr High School</t>
  </si>
  <si>
    <t>'020227109</t>
  </si>
  <si>
    <t>Jeremy</t>
  </si>
  <si>
    <t>Long</t>
  </si>
  <si>
    <t>jlong@dusd.us</t>
  </si>
  <si>
    <t>Randy</t>
  </si>
  <si>
    <t>rwalker@douglasschools.org</t>
  </si>
  <si>
    <t>Deborah</t>
  </si>
  <si>
    <t>Herrera</t>
  </si>
  <si>
    <t>dherrera@dusd.us</t>
  </si>
  <si>
    <t>Douglas High School</t>
  </si>
  <si>
    <t>'020227210</t>
  </si>
  <si>
    <t>Andrea</t>
  </si>
  <si>
    <t>Overman</t>
  </si>
  <si>
    <t>aoverman@dusd.k12.az.us</t>
  </si>
  <si>
    <t>Sierra Vista Unified District</t>
  </si>
  <si>
    <t>'020268000</t>
  </si>
  <si>
    <t>Rachael</t>
  </si>
  <si>
    <t>Polach</t>
  </si>
  <si>
    <t>rachael.polach@svps.k12.az.us</t>
  </si>
  <si>
    <t xml:space="preserve">Data Specialist </t>
  </si>
  <si>
    <t>Terri</t>
  </si>
  <si>
    <t>Romo</t>
  </si>
  <si>
    <t>terri.romo@svps.k12.az.us</t>
  </si>
  <si>
    <t>Asst. Superintendent-Curriculum Director</t>
  </si>
  <si>
    <t>Brenda</t>
  </si>
  <si>
    <t>Bland</t>
  </si>
  <si>
    <t>brenda.bland@svps.k12.az.us</t>
  </si>
  <si>
    <t>Tina</t>
  </si>
  <si>
    <t>Embry</t>
  </si>
  <si>
    <t>Tina.Embry@svps.k12.az.us</t>
  </si>
  <si>
    <t>Information Management Supervisor</t>
  </si>
  <si>
    <t>Christine</t>
  </si>
  <si>
    <t>Stone</t>
  </si>
  <si>
    <t>christine.stone@svps.k12.az.us</t>
  </si>
  <si>
    <t>Director of Finance</t>
  </si>
  <si>
    <t>Glass</t>
  </si>
  <si>
    <t>kelly.glass@svps.k12.az.us</t>
  </si>
  <si>
    <t>Jessica</t>
  </si>
  <si>
    <t>Lamay</t>
  </si>
  <si>
    <t>jessica.lamay@svps.k12.az.us</t>
  </si>
  <si>
    <t>Admin Secretary Grants Manager</t>
  </si>
  <si>
    <t>Kenneth</t>
  </si>
  <si>
    <t>McGovern</t>
  </si>
  <si>
    <t>kenneth.mcgovern@svps.k12.az.us</t>
  </si>
  <si>
    <t>Chief Financial Officer</t>
  </si>
  <si>
    <t>Sierra Vista Online</t>
  </si>
  <si>
    <t>'020268005</t>
  </si>
  <si>
    <t>Carmichael Elementary Preschool</t>
  </si>
  <si>
    <t>'020268040</t>
  </si>
  <si>
    <t>Kriss</t>
  </si>
  <si>
    <t>Hagerl</t>
  </si>
  <si>
    <t>kriss.hagerl@svps.k12.az.us</t>
  </si>
  <si>
    <t>Michelle</t>
  </si>
  <si>
    <t>Quiroz</t>
  </si>
  <si>
    <t>michelle.quiroz@svps.k12.az.us</t>
  </si>
  <si>
    <t>Bella Vista Elementary School</t>
  </si>
  <si>
    <t>'020268110</t>
  </si>
  <si>
    <t>Heather</t>
  </si>
  <si>
    <t>Rodda</t>
  </si>
  <si>
    <t>Heather.Rodda@svps.k12.az.us</t>
  </si>
  <si>
    <t>Carmichael Elementary School</t>
  </si>
  <si>
    <t>'020268115</t>
  </si>
  <si>
    <t>Huachuca Mountain Elementary School</t>
  </si>
  <si>
    <t>'020268120</t>
  </si>
  <si>
    <t>Kukuchka</t>
  </si>
  <si>
    <t>karen.kukuchka@svps.k12.az.us</t>
  </si>
  <si>
    <t>Pueblo Del Sol Elementary School</t>
  </si>
  <si>
    <t>'020268125</t>
  </si>
  <si>
    <t>Town &amp; Country Elementary School</t>
  </si>
  <si>
    <t>'020268130</t>
  </si>
  <si>
    <t>Village Meadows Elementary School</t>
  </si>
  <si>
    <t>'020268135</t>
  </si>
  <si>
    <t>Joyce Clark Middle School</t>
  </si>
  <si>
    <t>'020268150</t>
  </si>
  <si>
    <t>Buena High School</t>
  </si>
  <si>
    <t>'020268260</t>
  </si>
  <si>
    <t>'020323000</t>
  </si>
  <si>
    <t>Julie</t>
  </si>
  <si>
    <t>Morgan</t>
  </si>
  <si>
    <t>jmorgan@naco.k12.az.us</t>
  </si>
  <si>
    <t>Technology Coordinator</t>
  </si>
  <si>
    <t>Horton</t>
  </si>
  <si>
    <t>dhorton@naco.k12.az.us</t>
  </si>
  <si>
    <t>'020323001</t>
  </si>
  <si>
    <t>Pat</t>
  </si>
  <si>
    <t>Marsh</t>
  </si>
  <si>
    <t>pmarsh@naco.k12.az.us</t>
  </si>
  <si>
    <t>Juan</t>
  </si>
  <si>
    <t>Franco</t>
  </si>
  <si>
    <t>lfranco@naco.k12.az.us</t>
  </si>
  <si>
    <t>Cochise Elementary District</t>
  </si>
  <si>
    <t>'020326000</t>
  </si>
  <si>
    <t>Candy</t>
  </si>
  <si>
    <t>Acuna</t>
  </si>
  <si>
    <t>cacuna@cochiseschool.org</t>
  </si>
  <si>
    <t>Karl</t>
  </si>
  <si>
    <t>Uterhardt</t>
  </si>
  <si>
    <t>kuterhardt@cochiseschool.org</t>
  </si>
  <si>
    <t>jlong@cochiseschool.org</t>
  </si>
  <si>
    <t>Cochise Elementary School</t>
  </si>
  <si>
    <t>'020326101</t>
  </si>
  <si>
    <t>Webb</t>
  </si>
  <si>
    <t>swebb@cochiseschool.org</t>
  </si>
  <si>
    <t>Apache Elementary District</t>
  </si>
  <si>
    <t>'020342000</t>
  </si>
  <si>
    <t>Tamara</t>
  </si>
  <si>
    <t>Winkler</t>
  </si>
  <si>
    <t>twinkler42@gmail.com</t>
  </si>
  <si>
    <t>Apache Elementary School</t>
  </si>
  <si>
    <t>'020342101</t>
  </si>
  <si>
    <t>Double Adobe Elementary District</t>
  </si>
  <si>
    <t>'020345000</t>
  </si>
  <si>
    <t>English</t>
  </si>
  <si>
    <t>daschool@doubleadobeschool.org</t>
  </si>
  <si>
    <t xml:space="preserve">Governing Board President </t>
  </si>
  <si>
    <t>Tammi</t>
  </si>
  <si>
    <t>Wilson</t>
  </si>
  <si>
    <t>twilson@doubleadobeschool.org</t>
  </si>
  <si>
    <t xml:space="preserve">Principal/Superintendent </t>
  </si>
  <si>
    <t>Ruth</t>
  </si>
  <si>
    <t>Hoffman</t>
  </si>
  <si>
    <t>rhoffman@doubleadobeschool.org</t>
  </si>
  <si>
    <t>Office Manager</t>
  </si>
  <si>
    <t>Double Adobe Elementary School</t>
  </si>
  <si>
    <t>'020345101</t>
  </si>
  <si>
    <t>Palominas Elementary District</t>
  </si>
  <si>
    <t>'020349000</t>
  </si>
  <si>
    <t>Wanda</t>
  </si>
  <si>
    <t>Leikem</t>
  </si>
  <si>
    <t>leikemw@psd49.net</t>
  </si>
  <si>
    <t>Entity Administrator/Superintendent/Governing Board Secretar</t>
  </si>
  <si>
    <t>Sherri</t>
  </si>
  <si>
    <t>Rosalik</t>
  </si>
  <si>
    <t>rosaliks@psd49.net</t>
  </si>
  <si>
    <t>Staci</t>
  </si>
  <si>
    <t>Buonaccorsi</t>
  </si>
  <si>
    <t>buonaccorsis@psd49.net</t>
  </si>
  <si>
    <t>Palominas Elementary School</t>
  </si>
  <si>
    <t>'020349101</t>
  </si>
  <si>
    <t>'020349102</t>
  </si>
  <si>
    <t>Marylotti</t>
  </si>
  <si>
    <t>Copeland</t>
  </si>
  <si>
    <t>copelandm@palominas.k12.az.us</t>
  </si>
  <si>
    <t>Valley View Elementary School</t>
  </si>
  <si>
    <t>'020349103</t>
  </si>
  <si>
    <t>McNeal Elementary District</t>
  </si>
  <si>
    <t>'020355000</t>
  </si>
  <si>
    <t>Teresa</t>
  </si>
  <si>
    <t>Reyna</t>
  </si>
  <si>
    <t>terry.reyna@mcneal.k12.az.us</t>
  </si>
  <si>
    <t>Batty</t>
  </si>
  <si>
    <t>john.batty@mcneal.k12.az.us</t>
  </si>
  <si>
    <t xml:space="preserve">Administrator </t>
  </si>
  <si>
    <t>Aguallo</t>
  </si>
  <si>
    <t>Ron.Aguallo@mcnealesd.org</t>
  </si>
  <si>
    <t>Chandra</t>
  </si>
  <si>
    <t>Cagle</t>
  </si>
  <si>
    <t>mcnealelem@vtc.net</t>
  </si>
  <si>
    <t>Paraprofessional</t>
  </si>
  <si>
    <t>Mcneal Elementary School</t>
  </si>
  <si>
    <t>'020355001</t>
  </si>
  <si>
    <t>Becker</t>
  </si>
  <si>
    <t>Pomerene Elementary District</t>
  </si>
  <si>
    <t>'020364000</t>
  </si>
  <si>
    <t>Sherman</t>
  </si>
  <si>
    <t>msherman@pomereneschool.org</t>
  </si>
  <si>
    <t>Cheri</t>
  </si>
  <si>
    <t>Shull</t>
  </si>
  <si>
    <t>cshull@pomereneschool.org</t>
  </si>
  <si>
    <t>Office/Business Manager</t>
  </si>
  <si>
    <t>Candice</t>
  </si>
  <si>
    <t>Nuernberger</t>
  </si>
  <si>
    <t>cnuernberger@pomereneschool.org</t>
  </si>
  <si>
    <t>Pomerene Elementary School</t>
  </si>
  <si>
    <t>'020364101</t>
  </si>
  <si>
    <t>Dan</t>
  </si>
  <si>
    <t>Bailey</t>
  </si>
  <si>
    <t>dbailey@pomereneschool.org</t>
  </si>
  <si>
    <t>Elfrida Elementary District</t>
  </si>
  <si>
    <t>'020412000</t>
  </si>
  <si>
    <t>jeremy.long@elfridaelem.org</t>
  </si>
  <si>
    <t>Alma</t>
  </si>
  <si>
    <t>Garcia</t>
  </si>
  <si>
    <t>alma.garcia@elfridaelem.org</t>
  </si>
  <si>
    <t>Claudina</t>
  </si>
  <si>
    <t>480.940.75</t>
  </si>
  <si>
    <t>Cdouglas@adibiz.com</t>
  </si>
  <si>
    <t>Elfrida Elementary School</t>
  </si>
  <si>
    <t>'020412101</t>
  </si>
  <si>
    <t>Pearce Elementary District</t>
  </si>
  <si>
    <t>'020422000</t>
  </si>
  <si>
    <t>Ochoa</t>
  </si>
  <si>
    <t>sochoa@pearceschool.org</t>
  </si>
  <si>
    <t>Pearce Elementary School</t>
  </si>
  <si>
    <t>'020422001</t>
  </si>
  <si>
    <t>Ash Creek Elementary District</t>
  </si>
  <si>
    <t>'020453000</t>
  </si>
  <si>
    <t>Sue</t>
  </si>
  <si>
    <t>Shepard</t>
  </si>
  <si>
    <t>ranglerzzz@hotmail.com</t>
  </si>
  <si>
    <t>Contreras</t>
  </si>
  <si>
    <t>480.296.53</t>
  </si>
  <si>
    <t>rc.sms2@gmail.com</t>
  </si>
  <si>
    <t>Ash Creek Elementary</t>
  </si>
  <si>
    <t>'020453101</t>
  </si>
  <si>
    <t>Valley Union High School District</t>
  </si>
  <si>
    <t>'020522000</t>
  </si>
  <si>
    <t>kyle.hart@vuhs.net</t>
  </si>
  <si>
    <t>Title I Program Coordinator</t>
  </si>
  <si>
    <t>Pursley</t>
  </si>
  <si>
    <t>janet.pursley@vuhs.net</t>
  </si>
  <si>
    <t>Bookkeeper</t>
  </si>
  <si>
    <t>Christi</t>
  </si>
  <si>
    <t>Bennett</t>
  </si>
  <si>
    <t>christi.bennett@vuhs.net</t>
  </si>
  <si>
    <t>Amelia</t>
  </si>
  <si>
    <t>Warn</t>
  </si>
  <si>
    <t>amy.warn@vuhs.net</t>
  </si>
  <si>
    <t>Valley Union High School</t>
  </si>
  <si>
    <t>'020522201</t>
  </si>
  <si>
    <t>Cochise Technology District</t>
  </si>
  <si>
    <t>'020801000</t>
  </si>
  <si>
    <t>Joel</t>
  </si>
  <si>
    <t>Todd</t>
  </si>
  <si>
    <t>cochisetechnology@gmail.com</t>
  </si>
  <si>
    <t>Beverly</t>
  </si>
  <si>
    <t>Alvarez</t>
  </si>
  <si>
    <t>malvarez@vtc.net</t>
  </si>
  <si>
    <t>CTD - Cochise Technology School</t>
  </si>
  <si>
    <t>'020801001</t>
  </si>
  <si>
    <t>CTD - Willcox High School</t>
  </si>
  <si>
    <t>'020801002</t>
  </si>
  <si>
    <t>Dale</t>
  </si>
  <si>
    <t>Mortenson</t>
  </si>
  <si>
    <t>dalemortenson@hotmail.com</t>
  </si>
  <si>
    <t>CTD - Valley Union High School</t>
  </si>
  <si>
    <t>'020801003</t>
  </si>
  <si>
    <t>CTD - Tombstone High School</t>
  </si>
  <si>
    <t>'020801004</t>
  </si>
  <si>
    <t>CTD - St. David High School</t>
  </si>
  <si>
    <t>'020801005</t>
  </si>
  <si>
    <t>CTD - San Simon High School</t>
  </si>
  <si>
    <t>'020801006</t>
  </si>
  <si>
    <t>Supertendent</t>
  </si>
  <si>
    <t>CTD - Bowie High School</t>
  </si>
  <si>
    <t>'020801007</t>
  </si>
  <si>
    <t>Bruce</t>
  </si>
  <si>
    <t>Brown</t>
  </si>
  <si>
    <t>bbrown@bowieusd.k12.az.us</t>
  </si>
  <si>
    <t>CTD - Benson High School</t>
  </si>
  <si>
    <t>'020801008</t>
  </si>
  <si>
    <t>CTD - Douglas High School</t>
  </si>
  <si>
    <t>'020801009</t>
  </si>
  <si>
    <t>G. Dale</t>
  </si>
  <si>
    <t>CTD - Buena High School</t>
  </si>
  <si>
    <t>'020801010</t>
  </si>
  <si>
    <t>Jacqueline</t>
  </si>
  <si>
    <t>Clay</t>
  </si>
  <si>
    <t>jacqueline.clay@svps.k12.az.us</t>
  </si>
  <si>
    <t>joeltodd@vtc.net</t>
  </si>
  <si>
    <t>District Superintendent</t>
  </si>
  <si>
    <t>CTD - Bisbee High School</t>
  </si>
  <si>
    <t>'020801011</t>
  </si>
  <si>
    <t>Lisa</t>
  </si>
  <si>
    <t>Holland</t>
  </si>
  <si>
    <t>lholland@busd.k12.az.us</t>
  </si>
  <si>
    <t>CTD - Cochise College</t>
  </si>
  <si>
    <t>'020801012</t>
  </si>
  <si>
    <t>CTD - Patagonia High School</t>
  </si>
  <si>
    <t>'020801013</t>
  </si>
  <si>
    <t>Cochise Community Development Corporation</t>
  </si>
  <si>
    <t>'028701000</t>
  </si>
  <si>
    <t>Charter Holder</t>
  </si>
  <si>
    <t>Fogarty</t>
  </si>
  <si>
    <t>jfogarty@berean-academy.com</t>
  </si>
  <si>
    <t xml:space="preserve">Director  </t>
  </si>
  <si>
    <t>Enriquez</t>
  </si>
  <si>
    <t>520-459-41</t>
  </si>
  <si>
    <t>benriquez@berean-academy.com</t>
  </si>
  <si>
    <t>Bereran Academy</t>
  </si>
  <si>
    <t>'028701001</t>
  </si>
  <si>
    <t>Charter School</t>
  </si>
  <si>
    <t>'028750000</t>
  </si>
  <si>
    <t>Don</t>
  </si>
  <si>
    <t>Derrick</t>
  </si>
  <si>
    <t>dderrick@cpic-cas.org</t>
  </si>
  <si>
    <t>Linda</t>
  </si>
  <si>
    <t>Denno</t>
  </si>
  <si>
    <t>ldenno@cpic-cas.org</t>
  </si>
  <si>
    <t>Assistant Superintendent</t>
  </si>
  <si>
    <t>Huff</t>
  </si>
  <si>
    <t>mhuff@cpic-cas.org</t>
  </si>
  <si>
    <t>Assistant to Finance Director</t>
  </si>
  <si>
    <t>Center for Academic Success, The #1</t>
  </si>
  <si>
    <t>'028750201</t>
  </si>
  <si>
    <t>shuff@cpic-cas.org</t>
  </si>
  <si>
    <t>'028750202</t>
  </si>
  <si>
    <t>Curriculum Director</t>
  </si>
  <si>
    <t>Center for Academic Success, The #3</t>
  </si>
  <si>
    <t>'028750203</t>
  </si>
  <si>
    <t>Marcela</t>
  </si>
  <si>
    <t>Munguia</t>
  </si>
  <si>
    <t>mmunguia@cpic-cas.org</t>
  </si>
  <si>
    <t>'028750204</t>
  </si>
  <si>
    <t>Center for Academic Success #5</t>
  </si>
  <si>
    <t>'028750205</t>
  </si>
  <si>
    <t>Omega Alpha Academy</t>
  </si>
  <si>
    <t>'028751000</t>
  </si>
  <si>
    <t>Jose</t>
  </si>
  <si>
    <t>Frisby</t>
  </si>
  <si>
    <t>jfrisby@oaak12.org</t>
  </si>
  <si>
    <t>Superintendent / Principal</t>
  </si>
  <si>
    <t>Lizette</t>
  </si>
  <si>
    <t>lvalenzuela@oaak12.org</t>
  </si>
  <si>
    <t>Guale</t>
  </si>
  <si>
    <t>Duran</t>
  </si>
  <si>
    <t>gduran@oaak12.org</t>
  </si>
  <si>
    <t>School Registrar</t>
  </si>
  <si>
    <t>Judy</t>
  </si>
  <si>
    <t>Riffle</t>
  </si>
  <si>
    <t>uscdrj@gmail.com</t>
  </si>
  <si>
    <t>Grants Writer</t>
  </si>
  <si>
    <t>Ramon</t>
  </si>
  <si>
    <t>Perez</t>
  </si>
  <si>
    <t>rperez@oaak12.org</t>
  </si>
  <si>
    <t>Finance Manager</t>
  </si>
  <si>
    <t>Omega Alpha Academy School</t>
  </si>
  <si>
    <t>'028751002</t>
  </si>
  <si>
    <t>Coconino County Accommodation School District</t>
  </si>
  <si>
    <t>'030199000</t>
  </si>
  <si>
    <t>Coconino</t>
  </si>
  <si>
    <t>Roth</t>
  </si>
  <si>
    <t>droth@ccrasd.org</t>
  </si>
  <si>
    <t>Traci</t>
  </si>
  <si>
    <t>Parker</t>
  </si>
  <si>
    <t>tparker@ccrasd.org</t>
  </si>
  <si>
    <t>Risha</t>
  </si>
  <si>
    <t>Vanderwey</t>
  </si>
  <si>
    <t>rvanderwey@coconino.az.gov</t>
  </si>
  <si>
    <t>Robin</t>
  </si>
  <si>
    <t>Pete</t>
  </si>
  <si>
    <t>rpete@ccrasd.org</t>
  </si>
  <si>
    <t>Wells</t>
  </si>
  <si>
    <t>twells@coconino.az.gov</t>
  </si>
  <si>
    <t>Chief Deputy Superintendent</t>
  </si>
  <si>
    <t>Jeanie</t>
  </si>
  <si>
    <t>Confer</t>
  </si>
  <si>
    <t>jconfer@ccrasd.org</t>
  </si>
  <si>
    <t>Erin</t>
  </si>
  <si>
    <t>Tutay</t>
  </si>
  <si>
    <t>etutay@ccrasd.org</t>
  </si>
  <si>
    <t>Admin Specialist</t>
  </si>
  <si>
    <t>McCarron</t>
  </si>
  <si>
    <t>mmccarron@ccrasd.org</t>
  </si>
  <si>
    <t>Juvenile Detention - Coconino County Accommodation School District</t>
  </si>
  <si>
    <t>'030199003</t>
  </si>
  <si>
    <t>Jail - Coconino County Accommodation School District</t>
  </si>
  <si>
    <t>'030199004</t>
  </si>
  <si>
    <t>Tse'yaato' High School</t>
  </si>
  <si>
    <t>'030199006</t>
  </si>
  <si>
    <t>Fleming</t>
  </si>
  <si>
    <t>lfleming@coconino.az.gov</t>
  </si>
  <si>
    <t>Ponderosa High School</t>
  </si>
  <si>
    <t>'030199007</t>
  </si>
  <si>
    <t>Annie</t>
  </si>
  <si>
    <t>Hess</t>
  </si>
  <si>
    <t>ahess@coconino.az.gov</t>
  </si>
  <si>
    <t>CCASD Online Instruction</t>
  </si>
  <si>
    <t>'030199008</t>
  </si>
  <si>
    <t>'030201000</t>
  </si>
  <si>
    <t>Hammit</t>
  </si>
  <si>
    <t>lhammit@fusd1.org</t>
  </si>
  <si>
    <t>SIS Administrator</t>
  </si>
  <si>
    <t>fgarcia@fusd1.org</t>
  </si>
  <si>
    <t>Director of Educational Enrichment</t>
  </si>
  <si>
    <t>Sylvia</t>
  </si>
  <si>
    <t>sjohnson@fusd1.org</t>
  </si>
  <si>
    <t>Dirksen</t>
  </si>
  <si>
    <t>DDirksen@fusd1.org</t>
  </si>
  <si>
    <t>College &amp; Career Development Director</t>
  </si>
  <si>
    <t>Dawn</t>
  </si>
  <si>
    <t>Anderson</t>
  </si>
  <si>
    <t>danderson@fusd1.org</t>
  </si>
  <si>
    <t>Human Resources Director</t>
  </si>
  <si>
    <t>Penca</t>
  </si>
  <si>
    <t>mpenca@fusd1.org</t>
  </si>
  <si>
    <t>Lional</t>
  </si>
  <si>
    <t>Dodge</t>
  </si>
  <si>
    <t>ldodge@fusd1.org</t>
  </si>
  <si>
    <t>Systems Administrator</t>
  </si>
  <si>
    <t>Ginger</t>
  </si>
  <si>
    <t>Wischmann</t>
  </si>
  <si>
    <t>gwischmann@fusd1.org</t>
  </si>
  <si>
    <t>Director of Accounting</t>
  </si>
  <si>
    <t>Knight</t>
  </si>
  <si>
    <t>mknight@fusd1.org</t>
  </si>
  <si>
    <t>Director of Student Info &amp; Instructional Technology</t>
  </si>
  <si>
    <t>Summit High School</t>
  </si>
  <si>
    <t>'030201066</t>
  </si>
  <si>
    <t>Manuel DeMiguel Elementary School</t>
  </si>
  <si>
    <t>'030201110</t>
  </si>
  <si>
    <t>Ninon</t>
  </si>
  <si>
    <t>nwilson@fusd1.org</t>
  </si>
  <si>
    <t>Sturgeon Cromer Elementary School</t>
  </si>
  <si>
    <t>'030201111</t>
  </si>
  <si>
    <t>Marsha</t>
  </si>
  <si>
    <t>Lescault</t>
  </si>
  <si>
    <t>mlescault@fusd1.org</t>
  </si>
  <si>
    <t>Lura Kinsey Elementary School</t>
  </si>
  <si>
    <t>'030201112</t>
  </si>
  <si>
    <t>Patrick</t>
  </si>
  <si>
    <t>Kissick</t>
  </si>
  <si>
    <t>pkissick@fusd1.org</t>
  </si>
  <si>
    <t>Eva Marshall Elementary School</t>
  </si>
  <si>
    <t>'030201113</t>
  </si>
  <si>
    <t>Stacie</t>
  </si>
  <si>
    <t>Zanzucchi</t>
  </si>
  <si>
    <t>szanzucchi@fusd1.org</t>
  </si>
  <si>
    <t>Coe</t>
  </si>
  <si>
    <t>jcoe@fusd1.org</t>
  </si>
  <si>
    <t>'030201114</t>
  </si>
  <si>
    <t>Joseph</t>
  </si>
  <si>
    <t>Gutierrez</t>
  </si>
  <si>
    <t>jgutierrez@fusd1.org</t>
  </si>
  <si>
    <t>Charles W Sechrist Elementary School</t>
  </si>
  <si>
    <t>'030201117</t>
  </si>
  <si>
    <t>Albert</t>
  </si>
  <si>
    <t>jalbert@fusd1.org</t>
  </si>
  <si>
    <t>John Q Thomas Elementary School</t>
  </si>
  <si>
    <t>'030201118</t>
  </si>
  <si>
    <t>Francisco</t>
  </si>
  <si>
    <t>'030201120</t>
  </si>
  <si>
    <t>Ryan</t>
  </si>
  <si>
    <t>Chee</t>
  </si>
  <si>
    <t>rchee1@fusd1.org</t>
  </si>
  <si>
    <t>Weitzel's Puente de Hozho Bilingual Magnet School</t>
  </si>
  <si>
    <t>'030201121</t>
  </si>
  <si>
    <t>Trubakoff</t>
  </si>
  <si>
    <t>dtrubako@fufd1.org</t>
  </si>
  <si>
    <t>Thomas M Knoles Elementary School</t>
  </si>
  <si>
    <t>'030201122</t>
  </si>
  <si>
    <t>Mount Elden Middle School</t>
  </si>
  <si>
    <t>'030201124</t>
  </si>
  <si>
    <t>Sinagua Middle School</t>
  </si>
  <si>
    <t>'030201126</t>
  </si>
  <si>
    <t>Popham</t>
  </si>
  <si>
    <t>tpopham@fusd1.org</t>
  </si>
  <si>
    <t>Flagstaff High School</t>
  </si>
  <si>
    <t>'030201281</t>
  </si>
  <si>
    <t>William James</t>
  </si>
  <si>
    <t>Donner</t>
  </si>
  <si>
    <t>wdonner@fusd1.org</t>
  </si>
  <si>
    <t>assistant principal</t>
  </si>
  <si>
    <t>James-Donner</t>
  </si>
  <si>
    <t>Shanon</t>
  </si>
  <si>
    <t>Gantt</t>
  </si>
  <si>
    <t>Coconino High School</t>
  </si>
  <si>
    <t>'030201282</t>
  </si>
  <si>
    <t>Northern Arizona Distance Learning</t>
  </si>
  <si>
    <t>'030201999</t>
  </si>
  <si>
    <t>Walton</t>
  </si>
  <si>
    <t>mwalton@fusd1.org</t>
  </si>
  <si>
    <t>Williams Unified District</t>
  </si>
  <si>
    <t>'030202000</t>
  </si>
  <si>
    <t>Rick</t>
  </si>
  <si>
    <t>Honsinger</t>
  </si>
  <si>
    <t>rhonsinger@wusd2.org</t>
  </si>
  <si>
    <t>Wollman</t>
  </si>
  <si>
    <t>awollman@wusd2.org</t>
  </si>
  <si>
    <t>Director of Student Services</t>
  </si>
  <si>
    <t>Joyce</t>
  </si>
  <si>
    <t>McNelly</t>
  </si>
  <si>
    <t>jmcnelly@wusd2.org</t>
  </si>
  <si>
    <t>Lora</t>
  </si>
  <si>
    <t>O'Leary</t>
  </si>
  <si>
    <t>928-635-44</t>
  </si>
  <si>
    <t>loleary@wusd2.org</t>
  </si>
  <si>
    <t>Williams Elementary/Middle School</t>
  </si>
  <si>
    <t>'030202102</t>
  </si>
  <si>
    <t>Bryan</t>
  </si>
  <si>
    <t>Lords</t>
  </si>
  <si>
    <t>blords@wusd2.org</t>
  </si>
  <si>
    <t>Carissa</t>
  </si>
  <si>
    <t>Morrison</t>
  </si>
  <si>
    <t>cmorrison@wusd2.org</t>
  </si>
  <si>
    <t>Williams High School</t>
  </si>
  <si>
    <t>'030202201</t>
  </si>
  <si>
    <t>Van Nostrand</t>
  </si>
  <si>
    <t>rvannostrand@wusd2.org</t>
  </si>
  <si>
    <t>'030204000</t>
  </si>
  <si>
    <t>Matt</t>
  </si>
  <si>
    <t>Yost</t>
  </si>
  <si>
    <t>myost@grandcanyonschool.org</t>
  </si>
  <si>
    <t>Rosa</t>
  </si>
  <si>
    <t>Velazquez</t>
  </si>
  <si>
    <t>rvelazquez@grandcanyonschool.org</t>
  </si>
  <si>
    <t xml:space="preserve">Administrator Assistant </t>
  </si>
  <si>
    <t>Shonny</t>
  </si>
  <si>
    <t>Bria</t>
  </si>
  <si>
    <t>sbria@grandcanyonschool.org</t>
  </si>
  <si>
    <t>Rommel</t>
  </si>
  <si>
    <t>lrommel@grandcanyonschool.org</t>
  </si>
  <si>
    <t>Thomas-Martinez</t>
  </si>
  <si>
    <t>blakeside@grandcanyonschool.org</t>
  </si>
  <si>
    <t>O'Connor</t>
  </si>
  <si>
    <t>toconnor@grandcanyonschool.org</t>
  </si>
  <si>
    <t>Director of Program Development</t>
  </si>
  <si>
    <t>'030204001</t>
  </si>
  <si>
    <t>Toby</t>
  </si>
  <si>
    <t>Melster</t>
  </si>
  <si>
    <t>tmelster@grandcanyonschool.org</t>
  </si>
  <si>
    <t>Matthew</t>
  </si>
  <si>
    <t>Grand Canyon High School</t>
  </si>
  <si>
    <t>'030204002</t>
  </si>
  <si>
    <t>Fredonia-Moccasin Unified District</t>
  </si>
  <si>
    <t>'030206000</t>
  </si>
  <si>
    <t>Dorene</t>
  </si>
  <si>
    <t>Mudrow</t>
  </si>
  <si>
    <t>dorene@fredonia.org</t>
  </si>
  <si>
    <t>Fredonia Elementary School</t>
  </si>
  <si>
    <t>'030206101</t>
  </si>
  <si>
    <t>Joe</t>
  </si>
  <si>
    <t>Wright</t>
  </si>
  <si>
    <t>jbwright@fredonia.org</t>
  </si>
  <si>
    <t>Fredonia High School</t>
  </si>
  <si>
    <t>'030206203</t>
  </si>
  <si>
    <t>'030208000</t>
  </si>
  <si>
    <t>Rob</t>
  </si>
  <si>
    <t>Varner</t>
  </si>
  <si>
    <t>rvarner@pageud.org</t>
  </si>
  <si>
    <t>Trina</t>
  </si>
  <si>
    <t>Hubbell</t>
  </si>
  <si>
    <t>thubbell@pageud.org</t>
  </si>
  <si>
    <t>Principle</t>
  </si>
  <si>
    <t>Vindya</t>
  </si>
  <si>
    <t>Weerahandi</t>
  </si>
  <si>
    <t>VWeerahandi@pageud.org</t>
  </si>
  <si>
    <t>Hillery</t>
  </si>
  <si>
    <t>Tappan</t>
  </si>
  <si>
    <t>HTappan@pageud.org</t>
  </si>
  <si>
    <t>Accounting &amp; Grants Assistant</t>
  </si>
  <si>
    <t>Suzanne</t>
  </si>
  <si>
    <t>McClelland</t>
  </si>
  <si>
    <t>smcclelland@pageud.k12.az.us</t>
  </si>
  <si>
    <t>Desert View Elementary Intermediate</t>
  </si>
  <si>
    <t>'030208101</t>
  </si>
  <si>
    <t>Lake View Elementary Primary</t>
  </si>
  <si>
    <t>'030208102</t>
  </si>
  <si>
    <t>Greymountain</t>
  </si>
  <si>
    <t>rgreymountain@pageud.k12.az.us</t>
  </si>
  <si>
    <t>Page Middle School</t>
  </si>
  <si>
    <t>'030208106</t>
  </si>
  <si>
    <t>Stephanie</t>
  </si>
  <si>
    <t>Hansen</t>
  </si>
  <si>
    <t>Shansen@pageud.k12.az.us</t>
  </si>
  <si>
    <t>Asst Principal</t>
  </si>
  <si>
    <t xml:space="preserve">Lana </t>
  </si>
  <si>
    <t>Berry</t>
  </si>
  <si>
    <t>Page High School</t>
  </si>
  <si>
    <t>'030208209</t>
  </si>
  <si>
    <t>Manson Mesa High School</t>
  </si>
  <si>
    <t>'030208210</t>
  </si>
  <si>
    <t>Kelley</t>
  </si>
  <si>
    <t>kglass@pageud.k12.az.us</t>
  </si>
  <si>
    <t>Sage &amp; Sand Academy</t>
  </si>
  <si>
    <t>'030208220</t>
  </si>
  <si>
    <t>'030215000</t>
  </si>
  <si>
    <t>Sharlene</t>
  </si>
  <si>
    <t>Navaho</t>
  </si>
  <si>
    <t>snavaho@tcusd.org</t>
  </si>
  <si>
    <t>Leah</t>
  </si>
  <si>
    <t>lmbegay@tcusd.org</t>
  </si>
  <si>
    <t>Sophia</t>
  </si>
  <si>
    <t>Begody</t>
  </si>
  <si>
    <t>sbegody@tcusd.org</t>
  </si>
  <si>
    <t>Del</t>
  </si>
  <si>
    <t>Glasgow</t>
  </si>
  <si>
    <t>dglasgow@tcusd.org</t>
  </si>
  <si>
    <t>Federal Projects Director</t>
  </si>
  <si>
    <t>VanderWey</t>
  </si>
  <si>
    <t>rVanderWey@tcusd.org</t>
  </si>
  <si>
    <t>Tuba City Elementary School</t>
  </si>
  <si>
    <t>'030215110</t>
  </si>
  <si>
    <t>Beyond Text Book Coordinator and ELL Coordinator</t>
  </si>
  <si>
    <t>Justin</t>
  </si>
  <si>
    <t>Roberson</t>
  </si>
  <si>
    <t>Saraphina</t>
  </si>
  <si>
    <t>Adson</t>
  </si>
  <si>
    <t>sadson@tcusd.org</t>
  </si>
  <si>
    <t>M.I.S Coordinator</t>
  </si>
  <si>
    <t>'030215111</t>
  </si>
  <si>
    <t>Sanora</t>
  </si>
  <si>
    <t>Isaac</t>
  </si>
  <si>
    <t>sisaac@tcusd.org</t>
  </si>
  <si>
    <t>Tsinaabaas Habitiin Elementary School</t>
  </si>
  <si>
    <t>'030215112</t>
  </si>
  <si>
    <t>'030215130</t>
  </si>
  <si>
    <t>Harold</t>
  </si>
  <si>
    <t>hgbegay@tcusd.org</t>
  </si>
  <si>
    <t>Nizhoni Accelerated Academy</t>
  </si>
  <si>
    <t>'030215140</t>
  </si>
  <si>
    <t>'030215240</t>
  </si>
  <si>
    <t>Ross</t>
  </si>
  <si>
    <t>Williams</t>
  </si>
  <si>
    <t>rwilliams@tcusd.org</t>
  </si>
  <si>
    <t>Acting Dean</t>
  </si>
  <si>
    <t>Chevelon Butte School District</t>
  </si>
  <si>
    <t>'030305000</t>
  </si>
  <si>
    <t>Bradley</t>
  </si>
  <si>
    <t>sbradley@chevelonbutte.org</t>
  </si>
  <si>
    <t>Plantholt</t>
  </si>
  <si>
    <t>aplantholt@chevelonbutte.org</t>
  </si>
  <si>
    <t>School Finance Specialist</t>
  </si>
  <si>
    <t>Briana</t>
  </si>
  <si>
    <t>brianaallen@chevelonbutte.org</t>
  </si>
  <si>
    <t>Office Clerk/Backup Business Manager</t>
  </si>
  <si>
    <t>Maine Consolidated School District</t>
  </si>
  <si>
    <t>'030310000</t>
  </si>
  <si>
    <t>mwilliams@mcsd10.org</t>
  </si>
  <si>
    <t>Melani</t>
  </si>
  <si>
    <t>Velazco</t>
  </si>
  <si>
    <t>mvelazco@mcsd10.org</t>
  </si>
  <si>
    <t>Financial Officer</t>
  </si>
  <si>
    <t>Claire</t>
  </si>
  <si>
    <t>Nyce</t>
  </si>
  <si>
    <t>claire.nyce@nau.edu</t>
  </si>
  <si>
    <t>Maine Consolidated School</t>
  </si>
  <si>
    <t>'030310101</t>
  </si>
  <si>
    <t>williams@apscc.org</t>
  </si>
  <si>
    <t>Coconino Association for Vocation Industry and Technology</t>
  </si>
  <si>
    <t>'030801000</t>
  </si>
  <si>
    <t>Twyford</t>
  </si>
  <si>
    <t>mtwyford@caviat.org</t>
  </si>
  <si>
    <t>Neilson</t>
  </si>
  <si>
    <t>bneilson@caviat.org</t>
  </si>
  <si>
    <t>CAVIAT - Grand Canyon High School</t>
  </si>
  <si>
    <t>'030801001</t>
  </si>
  <si>
    <t>Webber</t>
  </si>
  <si>
    <t>karen@grandcanyonschool.org</t>
  </si>
  <si>
    <t>CAVIAT - Page High School</t>
  </si>
  <si>
    <t>'030801002</t>
  </si>
  <si>
    <t>Jim</t>
  </si>
  <si>
    <t>jwalker@pageud.k12.az.us</t>
  </si>
  <si>
    <t>CAVIAT - Fredonia High School</t>
  </si>
  <si>
    <t>'030801003</t>
  </si>
  <si>
    <t>Young</t>
  </si>
  <si>
    <t>syoung@fredonia.apscc.k12.az.us</t>
  </si>
  <si>
    <t>CAVIAT - Williams High School</t>
  </si>
  <si>
    <t>'030801004</t>
  </si>
  <si>
    <t>Scherz</t>
  </si>
  <si>
    <t>sscherz@wusd2.org</t>
  </si>
  <si>
    <t>CAVIAT - Coconino High School</t>
  </si>
  <si>
    <t>'030801005</t>
  </si>
  <si>
    <t>Christina</t>
  </si>
  <si>
    <t>Russell</t>
  </si>
  <si>
    <t>christinarussell@cableone.net</t>
  </si>
  <si>
    <t>CAVIAT - Flagstaff High School</t>
  </si>
  <si>
    <t>'030801006</t>
  </si>
  <si>
    <t>CAVIAT - Fredonia Central Campus</t>
  </si>
  <si>
    <t>'030801008</t>
  </si>
  <si>
    <t>CAVIAT - CCC Central Campus</t>
  </si>
  <si>
    <t>'030801009</t>
  </si>
  <si>
    <t>CAVIAT - Page Central Campus</t>
  </si>
  <si>
    <t>'030801010</t>
  </si>
  <si>
    <t>CAVIAT-Williams Central Program</t>
  </si>
  <si>
    <t>'030801012</t>
  </si>
  <si>
    <t>CAVIAT - Flagstaff Central Campus</t>
  </si>
  <si>
    <t>'030801014</t>
  </si>
  <si>
    <t>Russel</t>
  </si>
  <si>
    <t>CAVIAT - Flagstaff Arts and Leadership Academy</t>
  </si>
  <si>
    <t>'030801015</t>
  </si>
  <si>
    <t>Northland Preparatory Academy</t>
  </si>
  <si>
    <t>'038701000</t>
  </si>
  <si>
    <t>Steve</t>
  </si>
  <si>
    <t>Danner</t>
  </si>
  <si>
    <t>sdanner@northlandprep.org</t>
  </si>
  <si>
    <t>Toni</t>
  </si>
  <si>
    <t>Keberlein</t>
  </si>
  <si>
    <t>tkeberlein@northlandprep.org</t>
  </si>
  <si>
    <t>Jay</t>
  </si>
  <si>
    <t>Litwicki</t>
  </si>
  <si>
    <t>jlitwicki@northlandprep.org</t>
  </si>
  <si>
    <t>'038701001</t>
  </si>
  <si>
    <t>Lombardi</t>
  </si>
  <si>
    <t>blombardi@northlandprep.org</t>
  </si>
  <si>
    <t>Post</t>
  </si>
  <si>
    <t>tpost@northlandprep.org</t>
  </si>
  <si>
    <t>PEAK School Inc., The</t>
  </si>
  <si>
    <t>'038702000</t>
  </si>
  <si>
    <t>Tracy</t>
  </si>
  <si>
    <t>Braatz</t>
  </si>
  <si>
    <t>tbraatz@peakschool.org</t>
  </si>
  <si>
    <t>The Peak School</t>
  </si>
  <si>
    <t>'038702101</t>
  </si>
  <si>
    <t>Paula</t>
  </si>
  <si>
    <t>Drossman</t>
  </si>
  <si>
    <t>pdrossman@peakschool.org</t>
  </si>
  <si>
    <t>Co-Charter Holder/Superintendent</t>
  </si>
  <si>
    <t>Flagstaff Montessori, L.L.C.</t>
  </si>
  <si>
    <t>'038705000</t>
  </si>
  <si>
    <t>Eric</t>
  </si>
  <si>
    <t>Alexander</t>
  </si>
  <si>
    <t>eric@montessoriwest.com</t>
  </si>
  <si>
    <t>Owner</t>
  </si>
  <si>
    <t>Loaiza</t>
  </si>
  <si>
    <t>928-226-12</t>
  </si>
  <si>
    <t>kim@flagmontessori.com</t>
  </si>
  <si>
    <t>Head of Schools</t>
  </si>
  <si>
    <t>Mhel</t>
  </si>
  <si>
    <t>Napal</t>
  </si>
  <si>
    <t>mhel.montwest@gmail.com</t>
  </si>
  <si>
    <t>Montessori Charter School of Flagstaff - Campus</t>
  </si>
  <si>
    <t>'038705104</t>
  </si>
  <si>
    <t>marina@flagmontessori.com</t>
  </si>
  <si>
    <t>Pine Forest Education Association, Inc.</t>
  </si>
  <si>
    <t>'038706000</t>
  </si>
  <si>
    <t>Cindy</t>
  </si>
  <si>
    <t>Roe</t>
  </si>
  <si>
    <t>croe@pineforestschool.org</t>
  </si>
  <si>
    <t>Executive Director</t>
  </si>
  <si>
    <t>Kate</t>
  </si>
  <si>
    <t>Bentley</t>
  </si>
  <si>
    <t>kbentley@pineforestschool.org</t>
  </si>
  <si>
    <t>Pine Forest School</t>
  </si>
  <si>
    <t>'038706101</t>
  </si>
  <si>
    <t>BASIS Charter Schools, Inc.</t>
  </si>
  <si>
    <t>'038707000</t>
  </si>
  <si>
    <t>Anastasia</t>
  </si>
  <si>
    <t>Korte</t>
  </si>
  <si>
    <t>Anastasia.korte@basised.com</t>
  </si>
  <si>
    <t>Jana</t>
  </si>
  <si>
    <t>Aukon</t>
  </si>
  <si>
    <t>jana.aukon@basised.com</t>
  </si>
  <si>
    <t>Stacey</t>
  </si>
  <si>
    <t>stacey.young@basised.com</t>
  </si>
  <si>
    <t>State Reporting</t>
  </si>
  <si>
    <t>Chavez</t>
  </si>
  <si>
    <t>shannon.chavez@basised.com</t>
  </si>
  <si>
    <t>Director of Compliance</t>
  </si>
  <si>
    <t>Trujillo</t>
  </si>
  <si>
    <t>kathy.trujillo@basised.com</t>
  </si>
  <si>
    <t>Compliance Management Associate</t>
  </si>
  <si>
    <t>BASIS Flagstaff</t>
  </si>
  <si>
    <t>'038707001</t>
  </si>
  <si>
    <t>Kristen</t>
  </si>
  <si>
    <t>Jordison</t>
  </si>
  <si>
    <t>kristen.jordison@basised.com</t>
  </si>
  <si>
    <t>Director of Compliance &amp; Governmental Affairs</t>
  </si>
  <si>
    <t>McGarvey</t>
  </si>
  <si>
    <t>carolyn.mcgarvey@basised.com</t>
  </si>
  <si>
    <t>Managing Head of Schools</t>
  </si>
  <si>
    <t>Corey</t>
  </si>
  <si>
    <t>Hartman</t>
  </si>
  <si>
    <t>corey.hartman@basised.com</t>
  </si>
  <si>
    <t>Director for Students Affairs</t>
  </si>
  <si>
    <t>Flagstaff Arts And Leadership Academy</t>
  </si>
  <si>
    <t>'038750000</t>
  </si>
  <si>
    <t>Deidre</t>
  </si>
  <si>
    <t>Crawley</t>
  </si>
  <si>
    <t>dcrawley@flagarts.com</t>
  </si>
  <si>
    <t>Eli</t>
  </si>
  <si>
    <t>Cohen</t>
  </si>
  <si>
    <t>ecohen@flagarts.com</t>
  </si>
  <si>
    <t>Tanya</t>
  </si>
  <si>
    <t>Buckley</t>
  </si>
  <si>
    <t>Tbuckley@flagarts.com</t>
  </si>
  <si>
    <t>Brooke</t>
  </si>
  <si>
    <t>Candelaria</t>
  </si>
  <si>
    <t>bcandelaria@flagarts.com</t>
  </si>
  <si>
    <t>Sara</t>
  </si>
  <si>
    <t>Kauppila</t>
  </si>
  <si>
    <t>skauppila@flagarts.com</t>
  </si>
  <si>
    <t>Administrative Assistant/Authorized Signers</t>
  </si>
  <si>
    <t>'038750201</t>
  </si>
  <si>
    <t>Mountain School, Inc.</t>
  </si>
  <si>
    <t>'038751000</t>
  </si>
  <si>
    <t>Vanessa</t>
  </si>
  <si>
    <t>Fitz-Kesler</t>
  </si>
  <si>
    <t>vanessaf@mountaincharterschool.com</t>
  </si>
  <si>
    <t>Mountain School</t>
  </si>
  <si>
    <t>'038751001</t>
  </si>
  <si>
    <t>Renee</t>
  </si>
  <si>
    <t>Fauset</t>
  </si>
  <si>
    <t>reneef@mountaincharterschool.com</t>
  </si>
  <si>
    <t>Flagstaff Junior Academy</t>
  </si>
  <si>
    <t>'038752000</t>
  </si>
  <si>
    <t>Drumm</t>
  </si>
  <si>
    <t>thomasdrumm@fjacademy.com</t>
  </si>
  <si>
    <t>Hazel</t>
  </si>
  <si>
    <t>Willis</t>
  </si>
  <si>
    <t>hazelwillis@fjacademy.com</t>
  </si>
  <si>
    <t>Financial Consultant</t>
  </si>
  <si>
    <t>lori</t>
  </si>
  <si>
    <t>langan</t>
  </si>
  <si>
    <t>lorilangan@fjacademy.com</t>
  </si>
  <si>
    <t>'038752101</t>
  </si>
  <si>
    <t>Painted Desert Demonstration Projects, Inc.</t>
  </si>
  <si>
    <t>'038753000</t>
  </si>
  <si>
    <t>Sorensen</t>
  </si>
  <si>
    <t>mark@ttn.org</t>
  </si>
  <si>
    <t>Director</t>
  </si>
  <si>
    <t>Lorissa</t>
  </si>
  <si>
    <t>Namingha</t>
  </si>
  <si>
    <t>lorissa.namingha@starschool.org</t>
  </si>
  <si>
    <t>Business Specialist</t>
  </si>
  <si>
    <t>STAR Charter School</t>
  </si>
  <si>
    <t>'038753101</t>
  </si>
  <si>
    <t>mark.sorensen@starschool.org</t>
  </si>
  <si>
    <t>Ike</t>
  </si>
  <si>
    <t>Ozis</t>
  </si>
  <si>
    <t>ike.ozis@starschool.org</t>
  </si>
  <si>
    <t>Marie</t>
  </si>
  <si>
    <t>marie.monroe@starschool.org</t>
  </si>
  <si>
    <t>Haven Montessori Children's House, Inc.</t>
  </si>
  <si>
    <t>'038755000</t>
  </si>
  <si>
    <t>Cristy</t>
  </si>
  <si>
    <t>Zeller</t>
  </si>
  <si>
    <t>cristyz@havenmontessori.org</t>
  </si>
  <si>
    <t>Jen</t>
  </si>
  <si>
    <t>Ernst</t>
  </si>
  <si>
    <t>jenernst@havenmontessori.org</t>
  </si>
  <si>
    <t>Haven Montessori Charter School</t>
  </si>
  <si>
    <t>'038755101</t>
  </si>
  <si>
    <t>Gila County Regional School District</t>
  </si>
  <si>
    <t>'040149000</t>
  </si>
  <si>
    <t>Gila</t>
  </si>
  <si>
    <t>Roy</t>
  </si>
  <si>
    <t>Sandoval</t>
  </si>
  <si>
    <t>rsandoval@gilacountyaz.gov</t>
  </si>
  <si>
    <t>County School Superintendent</t>
  </si>
  <si>
    <t>Vierling</t>
  </si>
  <si>
    <t>928.402.87</t>
  </si>
  <si>
    <t>rvierling@gilacountyaz.gov</t>
  </si>
  <si>
    <t>Associate Superintendent</t>
  </si>
  <si>
    <t>Nicholas</t>
  </si>
  <si>
    <t>Montague</t>
  </si>
  <si>
    <t>nmontague@gilacountyaz.gov</t>
  </si>
  <si>
    <t xml:space="preserve">Chief Deputy </t>
  </si>
  <si>
    <t>Jeffrey</t>
  </si>
  <si>
    <t>Baer</t>
  </si>
  <si>
    <t>jbaer@co.gila.az.us</t>
  </si>
  <si>
    <t>Anthony</t>
  </si>
  <si>
    <t>gcrsdmartinez@gmail.com</t>
  </si>
  <si>
    <t>Registar</t>
  </si>
  <si>
    <t>Keziah</t>
  </si>
  <si>
    <t>Maxfield</t>
  </si>
  <si>
    <t>928-402-87</t>
  </si>
  <si>
    <t>kmaxfield@gilacountyaz.gov</t>
  </si>
  <si>
    <t>Biyaagozhoo Center</t>
  </si>
  <si>
    <t>'040149003</t>
  </si>
  <si>
    <t>ODell</t>
  </si>
  <si>
    <t>lodell@co.gila.az.us</t>
  </si>
  <si>
    <t>County Superintendent</t>
  </si>
  <si>
    <t>'040201000</t>
  </si>
  <si>
    <t>Jerry</t>
  </si>
  <si>
    <t>Jennex</t>
  </si>
  <si>
    <t>jjennex@globeschools.org</t>
  </si>
  <si>
    <t>Marcy</t>
  </si>
  <si>
    <t>Hernandez</t>
  </si>
  <si>
    <t>marcy.hernandez@globeschools.org</t>
  </si>
  <si>
    <t>Admin. Asst. to Superintendent</t>
  </si>
  <si>
    <t>Trent</t>
  </si>
  <si>
    <t>Lyon</t>
  </si>
  <si>
    <t>trent.lyon@globeschools.org</t>
  </si>
  <si>
    <t xml:space="preserve">Director of Business Operations </t>
  </si>
  <si>
    <t>Kephart</t>
  </si>
  <si>
    <t>dawn.kephart@globeschools.org</t>
  </si>
  <si>
    <t>Copper Rim Elementary School</t>
  </si>
  <si>
    <t>'040201003</t>
  </si>
  <si>
    <t>Brian</t>
  </si>
  <si>
    <t>Peace</t>
  </si>
  <si>
    <t>brian.peace@globeschools.org</t>
  </si>
  <si>
    <t>Globe High School</t>
  </si>
  <si>
    <t>'040201004</t>
  </si>
  <si>
    <t>Armenta</t>
  </si>
  <si>
    <t>Robert.Armenta@globeschools.org</t>
  </si>
  <si>
    <t>'040201105</t>
  </si>
  <si>
    <t>lori.rodriguez@globeschools.org</t>
  </si>
  <si>
    <t>Payson Unified District</t>
  </si>
  <si>
    <t>'040210000</t>
  </si>
  <si>
    <t>Campbell</t>
  </si>
  <si>
    <t>susan.campbell@pusd10.org</t>
  </si>
  <si>
    <t>Special Projects/Grants Coordinator</t>
  </si>
  <si>
    <t>Kathie</t>
  </si>
  <si>
    <t>Manning</t>
  </si>
  <si>
    <t>kathie.manning@pusd10.org</t>
  </si>
  <si>
    <t>Director of Business Services</t>
  </si>
  <si>
    <t>Gibson</t>
  </si>
  <si>
    <t>linda.gibson@pusd10.org</t>
  </si>
  <si>
    <t>Payson Center for Success - Online</t>
  </si>
  <si>
    <t>'040210006</t>
  </si>
  <si>
    <t>Ted</t>
  </si>
  <si>
    <t>Tatum</t>
  </si>
  <si>
    <t>Ted.Tatum@pusd.com</t>
  </si>
  <si>
    <t>Johnny</t>
  </si>
  <si>
    <t>Ketchem</t>
  </si>
  <si>
    <t>johnny.ketchem@pusd.com</t>
  </si>
  <si>
    <t>Rim Country Middle School</t>
  </si>
  <si>
    <t>'040210102</t>
  </si>
  <si>
    <t>rob.varner@pusd.com</t>
  </si>
  <si>
    <t>Murphy</t>
  </si>
  <si>
    <t>jennifer.murphy@pusd10.org</t>
  </si>
  <si>
    <t>Julia Randall Elementary School</t>
  </si>
  <si>
    <t>'040210103</t>
  </si>
  <si>
    <t>Will</t>
  </si>
  <si>
    <t>Dunman</t>
  </si>
  <si>
    <t>will.dunman@pusd.com</t>
  </si>
  <si>
    <t>Scoville</t>
  </si>
  <si>
    <t>linda.scoville@pusd.com</t>
  </si>
  <si>
    <t>Yates</t>
  </si>
  <si>
    <t>kimberly.yates@pusd10.org</t>
  </si>
  <si>
    <t>Payson Elementary School</t>
  </si>
  <si>
    <t>'040210104</t>
  </si>
  <si>
    <t>Asa</t>
  </si>
  <si>
    <t>asa.hall@pusd.com</t>
  </si>
  <si>
    <t>Gail</t>
  </si>
  <si>
    <t>Milton</t>
  </si>
  <si>
    <t>Payson High School</t>
  </si>
  <si>
    <t>'040210201</t>
  </si>
  <si>
    <t>Mabb</t>
  </si>
  <si>
    <t>brian.mabb@pusd.com</t>
  </si>
  <si>
    <t>Ketchum</t>
  </si>
  <si>
    <t>Payson Center for Success High School</t>
  </si>
  <si>
    <t>'040210202</t>
  </si>
  <si>
    <t>'040220000</t>
  </si>
  <si>
    <t>Dennison</t>
  </si>
  <si>
    <t>d.dennison@sancarlos.k12.az.us</t>
  </si>
  <si>
    <t>Poole</t>
  </si>
  <si>
    <t>s.poole@sancarlos.k12.az.us</t>
  </si>
  <si>
    <t>Sharon</t>
  </si>
  <si>
    <t>Nosie</t>
  </si>
  <si>
    <t>s.nosie@sancarlos.k12.az.us</t>
  </si>
  <si>
    <t>Kinnard</t>
  </si>
  <si>
    <t>j.kinnard@sancarlos.k12.az.us</t>
  </si>
  <si>
    <t>San Carlos Middle School</t>
  </si>
  <si>
    <t>'040220102</t>
  </si>
  <si>
    <t>San Carlos High School</t>
  </si>
  <si>
    <t>'040220103</t>
  </si>
  <si>
    <t>Lynadette</t>
  </si>
  <si>
    <t>Terania</t>
  </si>
  <si>
    <t>l.terania@sancarlos.k12.az.us</t>
  </si>
  <si>
    <t>'040220104</t>
  </si>
  <si>
    <t>Cervantez</t>
  </si>
  <si>
    <t>valerie_cervantez_lead@yahoo.com</t>
  </si>
  <si>
    <t>Ferro</t>
  </si>
  <si>
    <t>n.ferro@sancarlos.k12.az.us</t>
  </si>
  <si>
    <t>Belvado</t>
  </si>
  <si>
    <t>r.belvado@sancarlos.k12.az.us</t>
  </si>
  <si>
    <t>San Carlos Alternative High School</t>
  </si>
  <si>
    <t>'040220203</t>
  </si>
  <si>
    <t>'040240000</t>
  </si>
  <si>
    <t>Sherry</t>
  </si>
  <si>
    <t>Dorathy</t>
  </si>
  <si>
    <t>sdorathy@miamiusd40.org</t>
  </si>
  <si>
    <t>Marquez</t>
  </si>
  <si>
    <t>lmarquez@miamiusd40.org</t>
  </si>
  <si>
    <t>Lee Kornegay Intermediate School</t>
  </si>
  <si>
    <t>'040240105</t>
  </si>
  <si>
    <t>Dr. Charles A. Bejarano Elementary School</t>
  </si>
  <si>
    <t>'040240108</t>
  </si>
  <si>
    <t>Pastor</t>
  </si>
  <si>
    <t>dpastor@miamiusd40.org</t>
  </si>
  <si>
    <t>M.U.S.D. #40 - Little Vandal Preschool</t>
  </si>
  <si>
    <t>'040240109</t>
  </si>
  <si>
    <t>Teague</t>
  </si>
  <si>
    <t>lteague41@hotmail.com</t>
  </si>
  <si>
    <t>Miami Virtual Program</t>
  </si>
  <si>
    <t>'040240111</t>
  </si>
  <si>
    <t>'040240206</t>
  </si>
  <si>
    <t xml:space="preserve">Linda </t>
  </si>
  <si>
    <t>Hayden-Winkelman Unified District</t>
  </si>
  <si>
    <t>'040241000</t>
  </si>
  <si>
    <t>Gregorich</t>
  </si>
  <si>
    <t>gregorichj@hwusd.org</t>
  </si>
  <si>
    <t>Nina</t>
  </si>
  <si>
    <t>Ruiz</t>
  </si>
  <si>
    <t>ruizn@hwusd.org</t>
  </si>
  <si>
    <t>Leonor Hambly K-8</t>
  </si>
  <si>
    <t>'040241001</t>
  </si>
  <si>
    <t>Paul</t>
  </si>
  <si>
    <t>Hatch</t>
  </si>
  <si>
    <t>hatchp@hwusd.k12.az.us</t>
  </si>
  <si>
    <t>Hayden High School</t>
  </si>
  <si>
    <t>'040241004</t>
  </si>
  <si>
    <t>Young Elementary District</t>
  </si>
  <si>
    <t>'040305000</t>
  </si>
  <si>
    <t>Carrie</t>
  </si>
  <si>
    <t>Robbs</t>
  </si>
  <si>
    <t>crobbs@youngschool.org</t>
  </si>
  <si>
    <t>Jenny</t>
  </si>
  <si>
    <t>jhunt@youngschool.org</t>
  </si>
  <si>
    <t>Rider</t>
  </si>
  <si>
    <t>srider@youngschool.org</t>
  </si>
  <si>
    <t>Tejay</t>
  </si>
  <si>
    <t>Montgomery</t>
  </si>
  <si>
    <t>tmontgomery@youngschool.org</t>
  </si>
  <si>
    <t>edw@youngschool.org</t>
  </si>
  <si>
    <t>Young Elementary School</t>
  </si>
  <si>
    <t>'040305001</t>
  </si>
  <si>
    <t>Cheney</t>
  </si>
  <si>
    <t>lcheney@youngschool.org</t>
  </si>
  <si>
    <t>Young High School</t>
  </si>
  <si>
    <t>'040305002</t>
  </si>
  <si>
    <t>Pine Strawberry Elementary District</t>
  </si>
  <si>
    <t>'040312000</t>
  </si>
  <si>
    <t>Kathlene</t>
  </si>
  <si>
    <t>Thomson</t>
  </si>
  <si>
    <t>kthomson@pineesd.org</t>
  </si>
  <si>
    <t>Aimee</t>
  </si>
  <si>
    <t>Manjarres</t>
  </si>
  <si>
    <t>amanjarres@pineesd.org</t>
  </si>
  <si>
    <t>Megan</t>
  </si>
  <si>
    <t>Ward</t>
  </si>
  <si>
    <t>mward@pineesd.org</t>
  </si>
  <si>
    <t>School Secretary</t>
  </si>
  <si>
    <t>Pine Strawberry Elementary School</t>
  </si>
  <si>
    <t>'040312001</t>
  </si>
  <si>
    <t>Clark</t>
  </si>
  <si>
    <t>mclark@pineesd.org</t>
  </si>
  <si>
    <t>Tonto Basin Elementary District</t>
  </si>
  <si>
    <t>'040333000</t>
  </si>
  <si>
    <t>Chad</t>
  </si>
  <si>
    <t>Greer</t>
  </si>
  <si>
    <t>cgreer@tontobasinschool.org</t>
  </si>
  <si>
    <t>P</t>
  </si>
  <si>
    <t>Ahlman</t>
  </si>
  <si>
    <t>Patty</t>
  </si>
  <si>
    <t>pahlman@tontobasinschool.org</t>
  </si>
  <si>
    <t>Tonto Basin Elementary</t>
  </si>
  <si>
    <t>'040333101</t>
  </si>
  <si>
    <t>Destiny School, Inc.</t>
  </si>
  <si>
    <t>'048701000</t>
  </si>
  <si>
    <t>Cothrun</t>
  </si>
  <si>
    <t>destinyschool@yahoo.com</t>
  </si>
  <si>
    <t xml:space="preserve">Director </t>
  </si>
  <si>
    <t>Destiny School</t>
  </si>
  <si>
    <t>'048701001</t>
  </si>
  <si>
    <t>McLendon</t>
  </si>
  <si>
    <t>nmclendon@cableone.net</t>
  </si>
  <si>
    <t>'048750000</t>
  </si>
  <si>
    <t>DeRose</t>
  </si>
  <si>
    <t>colleend@liberty-high.net</t>
  </si>
  <si>
    <t>Lorraine</t>
  </si>
  <si>
    <t>Reves</t>
  </si>
  <si>
    <t>lorrainer@liberty-high.net</t>
  </si>
  <si>
    <t>keziahm@liberty-high.net</t>
  </si>
  <si>
    <t>'048750201</t>
  </si>
  <si>
    <t>Principal-Superintendent</t>
  </si>
  <si>
    <t>Graham County Special Services</t>
  </si>
  <si>
    <t>'050199000</t>
  </si>
  <si>
    <t>Graham</t>
  </si>
  <si>
    <t>ljames@gcss.k12.az.us</t>
  </si>
  <si>
    <t>Troy</t>
  </si>
  <si>
    <t>Thygerson</t>
  </si>
  <si>
    <t>tthygerson@dhsk12.com</t>
  </si>
  <si>
    <t>Bekki</t>
  </si>
  <si>
    <t>Mattice</t>
  </si>
  <si>
    <t>bmattice@gcss.k12.az.us</t>
  </si>
  <si>
    <t>Dan Hinton Accommodation School</t>
  </si>
  <si>
    <t>'050199001</t>
  </si>
  <si>
    <t>Assistant director</t>
  </si>
  <si>
    <t>Safford Unified District</t>
  </si>
  <si>
    <t>'050201000</t>
  </si>
  <si>
    <t>Tim</t>
  </si>
  <si>
    <t>McHugh</t>
  </si>
  <si>
    <t>tmchugh@saffordusd.com</t>
  </si>
  <si>
    <t>Director of Support Operations</t>
  </si>
  <si>
    <t>Alison</t>
  </si>
  <si>
    <t>Villalobos</t>
  </si>
  <si>
    <t>avillalobos@saffordusd.com</t>
  </si>
  <si>
    <t>Lindsey</t>
  </si>
  <si>
    <t>slindsey@saffordusd.com</t>
  </si>
  <si>
    <t>IT Coordinator</t>
  </si>
  <si>
    <t>Dorothy Stinson School</t>
  </si>
  <si>
    <t>'050201100</t>
  </si>
  <si>
    <t>Moreno</t>
  </si>
  <si>
    <t>mmoreno@saffordusd.k12.az.us</t>
  </si>
  <si>
    <t>Sally</t>
  </si>
  <si>
    <t>srodrguez@saffordusd.k12.az.us</t>
  </si>
  <si>
    <t>Lafe Nelson School</t>
  </si>
  <si>
    <t>'050201101</t>
  </si>
  <si>
    <t>Safford Middle School</t>
  </si>
  <si>
    <t>'050201102</t>
  </si>
  <si>
    <t>Emery</t>
  </si>
  <si>
    <t>Cemery@saffordusd.k12.az.us</t>
  </si>
  <si>
    <t>Ruth Powell Elementary School</t>
  </si>
  <si>
    <t>'050201103</t>
  </si>
  <si>
    <t>Naomi</t>
  </si>
  <si>
    <t>Lowery</t>
  </si>
  <si>
    <t>nlowery@saffordusd.k12.az.us</t>
  </si>
  <si>
    <t>Safford High School</t>
  </si>
  <si>
    <t>'050201200</t>
  </si>
  <si>
    <t>Mt Graham High School</t>
  </si>
  <si>
    <t>'050201201</t>
  </si>
  <si>
    <t>E.J.</t>
  </si>
  <si>
    <t>Romero</t>
  </si>
  <si>
    <t>eromero@saffordusd.com</t>
  </si>
  <si>
    <t>Henry Dunkerson Pathways Academy</t>
  </si>
  <si>
    <t>'050201202</t>
  </si>
  <si>
    <t>VanScyoc</t>
  </si>
  <si>
    <t>lvanscyoc@saffordusd.com</t>
  </si>
  <si>
    <t>Principal Mt. Graham HS</t>
  </si>
  <si>
    <t>Thatcher Unified District</t>
  </si>
  <si>
    <t>'050204000</t>
  </si>
  <si>
    <t>Amy</t>
  </si>
  <si>
    <t>West</t>
  </si>
  <si>
    <t>west.amy@thatcherud.org</t>
  </si>
  <si>
    <t>Admin. Assistant</t>
  </si>
  <si>
    <t>Petersen</t>
  </si>
  <si>
    <t>petersen.matt@thatcherud.org</t>
  </si>
  <si>
    <t>Bowman</t>
  </si>
  <si>
    <t>bowman.clay@thatcherud.org</t>
  </si>
  <si>
    <t>Director Financial Services</t>
  </si>
  <si>
    <t>Jack Daley Primary School</t>
  </si>
  <si>
    <t>'050204100</t>
  </si>
  <si>
    <t>Allred</t>
  </si>
  <si>
    <t>allred.tracy@thatcherud.org</t>
  </si>
  <si>
    <t>Thatcher Elementary School</t>
  </si>
  <si>
    <t>'050204101</t>
  </si>
  <si>
    <t>Hal</t>
  </si>
  <si>
    <t>Mulleneaux</t>
  </si>
  <si>
    <t>mullenaux.hal@thatcherud.org</t>
  </si>
  <si>
    <t>Thatcher Middle School</t>
  </si>
  <si>
    <t>'050204102</t>
  </si>
  <si>
    <t>Tye</t>
  </si>
  <si>
    <t>Stewart</t>
  </si>
  <si>
    <t>stewart.tye@thatcherud.org</t>
  </si>
  <si>
    <t>Thatcher Middle School Principal</t>
  </si>
  <si>
    <t>Thatcher High School</t>
  </si>
  <si>
    <t>'050204200</t>
  </si>
  <si>
    <t>Nelson</t>
  </si>
  <si>
    <t>pnelson@thatcherud.k12.az.us</t>
  </si>
  <si>
    <t>Carol</t>
  </si>
  <si>
    <t>McAtee</t>
  </si>
  <si>
    <t>mcatee.carol@thatcherud.k12.az.us</t>
  </si>
  <si>
    <t>Lords.Jeff@thatcherud.org</t>
  </si>
  <si>
    <t>Pima Unified District</t>
  </si>
  <si>
    <t>'050206000</t>
  </si>
  <si>
    <t>Sean</t>
  </si>
  <si>
    <t>Rickert</t>
  </si>
  <si>
    <t>srickert@pima.k12.az.us</t>
  </si>
  <si>
    <t>Cody</t>
  </si>
  <si>
    <t>Barlow</t>
  </si>
  <si>
    <t>cbarlow@pima.k12.az.us</t>
  </si>
  <si>
    <t>Eduardo</t>
  </si>
  <si>
    <t>Carlton</t>
  </si>
  <si>
    <t>ecarlton@pima.k12.az.us</t>
  </si>
  <si>
    <t>Joshua</t>
  </si>
  <si>
    <t>Leavitt</t>
  </si>
  <si>
    <t>Jleavitt@pimaschools.com</t>
  </si>
  <si>
    <t>Emmett</t>
  </si>
  <si>
    <t>McBride</t>
  </si>
  <si>
    <t>emcbride@pima.k12.az.us</t>
  </si>
  <si>
    <t>I. T. Administrator</t>
  </si>
  <si>
    <t>Pima Elementary School</t>
  </si>
  <si>
    <t>'050206101</t>
  </si>
  <si>
    <t>Lynne</t>
  </si>
  <si>
    <t>ljones@pima.k12.az.us</t>
  </si>
  <si>
    <t>Jacobo</t>
  </si>
  <si>
    <t>jjacobo@pima.k12.az.us</t>
  </si>
  <si>
    <t>Pima High School</t>
  </si>
  <si>
    <t>'050206202</t>
  </si>
  <si>
    <t>Farnsworth</t>
  </si>
  <si>
    <t>jfarnsworth@pima.k12.az.us</t>
  </si>
  <si>
    <t>Kalem</t>
  </si>
  <si>
    <t>Norton</t>
  </si>
  <si>
    <t>knorton@pima.k12.az.us</t>
  </si>
  <si>
    <t>Tony</t>
  </si>
  <si>
    <t>Pima Junior High School</t>
  </si>
  <si>
    <t>'050206203</t>
  </si>
  <si>
    <t>Pima</t>
  </si>
  <si>
    <t>tgoodman@pima.k12.az.us</t>
  </si>
  <si>
    <t>Principl</t>
  </si>
  <si>
    <t>Gila Valley Learning Center</t>
  </si>
  <si>
    <t>'050206261</t>
  </si>
  <si>
    <t>sricket@pima.k12.az.us</t>
  </si>
  <si>
    <t>'050207000</t>
  </si>
  <si>
    <t>Shane</t>
  </si>
  <si>
    <t>Hawkins</t>
  </si>
  <si>
    <t>shawkins@ftusd.org</t>
  </si>
  <si>
    <t>Bryce</t>
  </si>
  <si>
    <t>dbryce@ftusd.org</t>
  </si>
  <si>
    <t>Director of Business</t>
  </si>
  <si>
    <t>dbowman@ftusd.org</t>
  </si>
  <si>
    <t>High School Secretary</t>
  </si>
  <si>
    <t>'050207101</t>
  </si>
  <si>
    <t>Lonnie</t>
  </si>
  <si>
    <t>Lunt</t>
  </si>
  <si>
    <t>llunt@ftthomas.k12.az.us</t>
  </si>
  <si>
    <t>Mt. Turnbull Elementary School</t>
  </si>
  <si>
    <t>'050207103</t>
  </si>
  <si>
    <t>Marthalean</t>
  </si>
  <si>
    <t>Talkalai</t>
  </si>
  <si>
    <t>mtalkalai@ftusd.org</t>
  </si>
  <si>
    <t>Fort Thomas High School</t>
  </si>
  <si>
    <t>'050207202</t>
  </si>
  <si>
    <t>McKay</t>
  </si>
  <si>
    <t>DeSpain</t>
  </si>
  <si>
    <t>mdespain@ftusd.org</t>
  </si>
  <si>
    <t>Mt. Turnbull Academy</t>
  </si>
  <si>
    <t>'050207204</t>
  </si>
  <si>
    <t>Jayson</t>
  </si>
  <si>
    <t>Stanley</t>
  </si>
  <si>
    <t>jstanley@ftthomas.k12.az.us</t>
  </si>
  <si>
    <t>Director/Principal</t>
  </si>
  <si>
    <t>Solomon Elementary District</t>
  </si>
  <si>
    <t>'050305000</t>
  </si>
  <si>
    <t>England</t>
  </si>
  <si>
    <t>gloria@solomon.k12.az.us</t>
  </si>
  <si>
    <t>Anne</t>
  </si>
  <si>
    <t>Hinton</t>
  </si>
  <si>
    <t>anne.hinton@solomon.k12.az.us</t>
  </si>
  <si>
    <t>ADM/Business Manager</t>
  </si>
  <si>
    <t>Cammie</t>
  </si>
  <si>
    <t>Corona</t>
  </si>
  <si>
    <t>cammie.corona@solomon.k12.az.us</t>
  </si>
  <si>
    <t>Administrative Clerk</t>
  </si>
  <si>
    <t>Solomon Elementary School</t>
  </si>
  <si>
    <t>'050305101</t>
  </si>
  <si>
    <t>Klondyke Elementary District</t>
  </si>
  <si>
    <t>'050309000</t>
  </si>
  <si>
    <t>Nola</t>
  </si>
  <si>
    <t>nknight@graham.az.gov</t>
  </si>
  <si>
    <t>McGaughey</t>
  </si>
  <si>
    <t>dmcgaughey@graham.az.gov</t>
  </si>
  <si>
    <t>Bonita Elementary District</t>
  </si>
  <si>
    <t>'050316000</t>
  </si>
  <si>
    <t>Cynthia</t>
  </si>
  <si>
    <t>Brewster</t>
  </si>
  <si>
    <t>cbrewster@bonitaesd.com</t>
  </si>
  <si>
    <t>Admin. Secretary / SAIS / Dir</t>
  </si>
  <si>
    <t>Houser</t>
  </si>
  <si>
    <t>ed.houser@bonita.k12.az.us</t>
  </si>
  <si>
    <t>Truschke</t>
  </si>
  <si>
    <t>jtruschke@bonitaesd.com</t>
  </si>
  <si>
    <t>Legg</t>
  </si>
  <si>
    <t>jean.legg@bonita.k12.az.us</t>
  </si>
  <si>
    <t>Childers</t>
  </si>
  <si>
    <t>cchilders@bonitaesd.com</t>
  </si>
  <si>
    <t>Bonita Elementary School</t>
  </si>
  <si>
    <t>'050316101</t>
  </si>
  <si>
    <t>edhouser@vtc.net</t>
  </si>
  <si>
    <t>Gila Institute for Technology</t>
  </si>
  <si>
    <t>'050802000</t>
  </si>
  <si>
    <t>tthygerson@giftjted.org</t>
  </si>
  <si>
    <t>cemery@giftjted.org</t>
  </si>
  <si>
    <t>Michele</t>
  </si>
  <si>
    <t>mjohnson@giftjted.org</t>
  </si>
  <si>
    <t>Marshall</t>
  </si>
  <si>
    <t>cmarshall@giftjted.org</t>
  </si>
  <si>
    <t>GIFT - Gila Institute for Technology</t>
  </si>
  <si>
    <t>'050802001</t>
  </si>
  <si>
    <t>Mack</t>
  </si>
  <si>
    <t>Governing Board President</t>
  </si>
  <si>
    <t>GIFT - Ft. Thomas High School</t>
  </si>
  <si>
    <t>'050802002</t>
  </si>
  <si>
    <t>R. Lynette</t>
  </si>
  <si>
    <t>Tregaskes</t>
  </si>
  <si>
    <t>GIFT - Pima High School</t>
  </si>
  <si>
    <t>'050802003</t>
  </si>
  <si>
    <t>GIFT - Safford High School</t>
  </si>
  <si>
    <t>'050802004</t>
  </si>
  <si>
    <t>GIFT - Thatcher High School</t>
  </si>
  <si>
    <t>'050802005</t>
  </si>
  <si>
    <t>GIFT - Mt. Graham High School</t>
  </si>
  <si>
    <t>'050802006</t>
  </si>
  <si>
    <t>Phillips</t>
  </si>
  <si>
    <t>gift.dp@eac.edu</t>
  </si>
  <si>
    <t>GIFT - Duncan High School</t>
  </si>
  <si>
    <t>'050802007</t>
  </si>
  <si>
    <t>GIFT-Morenci High School</t>
  </si>
  <si>
    <t>'050802008</t>
  </si>
  <si>
    <t>gift.tt@eac.edu</t>
  </si>
  <si>
    <t>GIFT-Mt. Turnbull Academy</t>
  </si>
  <si>
    <t>'050802009</t>
  </si>
  <si>
    <t>Triumphant Learning Center</t>
  </si>
  <si>
    <t>'058702000</t>
  </si>
  <si>
    <t>Dutt</t>
  </si>
  <si>
    <t>tlcrdutt@yahoo.com</t>
  </si>
  <si>
    <t>'058702101</t>
  </si>
  <si>
    <t>rdutt@tlctigers.com</t>
  </si>
  <si>
    <t>Discovery Plus Academy</t>
  </si>
  <si>
    <t>'058703000</t>
  </si>
  <si>
    <t>Bolinger</t>
  </si>
  <si>
    <t>dpabolinger@cableone.net</t>
  </si>
  <si>
    <t>Assistant Director</t>
  </si>
  <si>
    <t>DeeAnn</t>
  </si>
  <si>
    <t>dpawilliams@cableone.net</t>
  </si>
  <si>
    <t>Director/Charter Holder</t>
  </si>
  <si>
    <t>'058703001</t>
  </si>
  <si>
    <t>Deeann</t>
  </si>
  <si>
    <t>Duncan Unified District</t>
  </si>
  <si>
    <t>'060202000</t>
  </si>
  <si>
    <t>Greenlee</t>
  </si>
  <si>
    <t>Eldon</t>
  </si>
  <si>
    <t>emerrell@duncanschools.org</t>
  </si>
  <si>
    <t>Superintendant</t>
  </si>
  <si>
    <t>Eldon2</t>
  </si>
  <si>
    <t>Merrell2</t>
  </si>
  <si>
    <t>Joann</t>
  </si>
  <si>
    <t>Boyd</t>
  </si>
  <si>
    <t>jboyd@duncanschools.org</t>
  </si>
  <si>
    <t>Duncan Elementary</t>
  </si>
  <si>
    <t>'060202102</t>
  </si>
  <si>
    <t>cbarlow@duncanschools.org</t>
  </si>
  <si>
    <t>Kent</t>
  </si>
  <si>
    <t>Baldwin</t>
  </si>
  <si>
    <t>kbaldwin@duncanschools.org</t>
  </si>
  <si>
    <t>Duncan High School</t>
  </si>
  <si>
    <t>'060202203</t>
  </si>
  <si>
    <t>Hudson</t>
  </si>
  <si>
    <t>thudson@duncanschools.org</t>
  </si>
  <si>
    <t>Morenci Unified District</t>
  </si>
  <si>
    <t>'060218000</t>
  </si>
  <si>
    <t>Woodall</t>
  </si>
  <si>
    <t>dwoodall@morenci.k12.az.us</t>
  </si>
  <si>
    <t>Erika</t>
  </si>
  <si>
    <t>eaguallo@morenci.k12.az.us</t>
  </si>
  <si>
    <t>Morenci High School</t>
  </si>
  <si>
    <t>'060218002</t>
  </si>
  <si>
    <t>Boling</t>
  </si>
  <si>
    <t>bboling@morenci.k12.az.us</t>
  </si>
  <si>
    <t>Metcalf Elementary School</t>
  </si>
  <si>
    <t>'060218101</t>
  </si>
  <si>
    <t>Philip</t>
  </si>
  <si>
    <t>pmartinez@morenci.k12.az.us</t>
  </si>
  <si>
    <t>jmorales@morenci.k12.az.us</t>
  </si>
  <si>
    <t>Fairbanks Middle School</t>
  </si>
  <si>
    <t>'060218102</t>
  </si>
  <si>
    <t>Javier</t>
  </si>
  <si>
    <t>Abrego</t>
  </si>
  <si>
    <t>jabrego@morenci.k12.az.us</t>
  </si>
  <si>
    <t>Blue Elementary District</t>
  </si>
  <si>
    <t>'060322000</t>
  </si>
  <si>
    <t>Hulsey</t>
  </si>
  <si>
    <t>blueschool@frontiernet.net</t>
  </si>
  <si>
    <t>Tom</t>
  </si>
  <si>
    <t>Powers</t>
  </si>
  <si>
    <t>tpowers@co.greenlee.az.us</t>
  </si>
  <si>
    <t>Greenlee County School Superintendent</t>
  </si>
  <si>
    <t>bboling@greenlee.az.gov</t>
  </si>
  <si>
    <t>Blue Elementary School</t>
  </si>
  <si>
    <t>'060322001</t>
  </si>
  <si>
    <t>Eagle Elementary District</t>
  </si>
  <si>
    <t>'060345000</t>
  </si>
  <si>
    <t>Maricopa County Regional School District</t>
  </si>
  <si>
    <t>'070199000</t>
  </si>
  <si>
    <t>Watson</t>
  </si>
  <si>
    <t>steve.watson@maricopa.gov</t>
  </si>
  <si>
    <t>Laurie</t>
  </si>
  <si>
    <t>King</t>
  </si>
  <si>
    <t>laurie.king@mcrsd.org</t>
  </si>
  <si>
    <t>Deputy Superintendent</t>
  </si>
  <si>
    <t>michael.stewart@mcrsd.org</t>
  </si>
  <si>
    <t>Assistant Superintendent of Operations</t>
  </si>
  <si>
    <t>Janice</t>
  </si>
  <si>
    <t>Wheeler</t>
  </si>
  <si>
    <t>janice.wheeler@mcrsd.org</t>
  </si>
  <si>
    <t>Irina</t>
  </si>
  <si>
    <t>Lutz</t>
  </si>
  <si>
    <t>irina.lutz@mcrsd.org</t>
  </si>
  <si>
    <t>McLaughlin</t>
  </si>
  <si>
    <t>tracy.mclaughlin@maricopa.gov</t>
  </si>
  <si>
    <t xml:space="preserve">Itinerant Business Manager </t>
  </si>
  <si>
    <t>Hope College and Career Readiness Academy</t>
  </si>
  <si>
    <t>'070199008</t>
  </si>
  <si>
    <t>Janice.Wheeler@mcrsd.org</t>
  </si>
  <si>
    <t>Authorized Signers</t>
  </si>
  <si>
    <t>Erica</t>
  </si>
  <si>
    <t>Maxwell</t>
  </si>
  <si>
    <t>erica.maxwell@mcrsd.org</t>
  </si>
  <si>
    <t>Instructional Leader</t>
  </si>
  <si>
    <t>'070199009</t>
  </si>
  <si>
    <t>Dina</t>
  </si>
  <si>
    <t>Cutler</t>
  </si>
  <si>
    <t>dina.cutler@mcrsd.org</t>
  </si>
  <si>
    <t>'070204000</t>
  </si>
  <si>
    <t>Alice</t>
  </si>
  <si>
    <t>Swinehart</t>
  </si>
  <si>
    <t>aswinehart@mpsaz.org</t>
  </si>
  <si>
    <t>Executive Secretary</t>
  </si>
  <si>
    <t>Trisha</t>
  </si>
  <si>
    <t>Geraghty</t>
  </si>
  <si>
    <t>pkgeraghty@mpsaz.org</t>
  </si>
  <si>
    <t>Melanie</t>
  </si>
  <si>
    <t>McNeil</t>
  </si>
  <si>
    <t>dmmcneil@mpsaz.org</t>
  </si>
  <si>
    <t>Executive Director of Research and Evaluation</t>
  </si>
  <si>
    <t>Fehlberg</t>
  </si>
  <si>
    <t>cafehlberg@mpsaz.org</t>
  </si>
  <si>
    <t>Budget Tech - Title 1</t>
  </si>
  <si>
    <t>Toperzer</t>
  </si>
  <si>
    <t>cmtoperz@mpsaz.org</t>
  </si>
  <si>
    <t>Exec Secy-Supt</t>
  </si>
  <si>
    <t>swthompson@mpsaz.org</t>
  </si>
  <si>
    <t xml:space="preserve">Assistant Superintendent of Business and Support Services </t>
  </si>
  <si>
    <t>Daniel</t>
  </si>
  <si>
    <t>O'Brien</t>
  </si>
  <si>
    <t>dobrien@mpsaz.org</t>
  </si>
  <si>
    <t xml:space="preserve">Chief Financial Officer </t>
  </si>
  <si>
    <t>Estes</t>
  </si>
  <si>
    <t>paestes@mpsaz.org</t>
  </si>
  <si>
    <t>Director of Title I</t>
  </si>
  <si>
    <t>Synergy</t>
  </si>
  <si>
    <t>Operations</t>
  </si>
  <si>
    <t>tlolson@mpsaz.org</t>
  </si>
  <si>
    <t>Student Information Specialist</t>
  </si>
  <si>
    <t>dbsanders@mpsaz.org</t>
  </si>
  <si>
    <t>'070204101</t>
  </si>
  <si>
    <t>Ringland</t>
  </si>
  <si>
    <t>tlringland@mpsaz.org</t>
  </si>
  <si>
    <t>Montez</t>
  </si>
  <si>
    <t>smmontez@mpsaz.org</t>
  </si>
  <si>
    <t>Edison Elementary School</t>
  </si>
  <si>
    <t>'070204103</t>
  </si>
  <si>
    <t>Alex</t>
  </si>
  <si>
    <t>MacDonald</t>
  </si>
  <si>
    <t>ajmacdon@mpsaz.org</t>
  </si>
  <si>
    <t>Emerson Elementary School</t>
  </si>
  <si>
    <t>'070204104</t>
  </si>
  <si>
    <t>Norris</t>
  </si>
  <si>
    <t>manorris@mpsaz.org</t>
  </si>
  <si>
    <t>Christel</t>
  </si>
  <si>
    <t>Arbogast</t>
  </si>
  <si>
    <t>cearbogast@mpsaz.org</t>
  </si>
  <si>
    <t>Franklin East Elementary School</t>
  </si>
  <si>
    <t>'070204105</t>
  </si>
  <si>
    <t>Carpenter</t>
  </si>
  <si>
    <t>dmcarpen@mpsaz.org</t>
  </si>
  <si>
    <t>Michael T. Hughes Elementary School</t>
  </si>
  <si>
    <t>'070204106</t>
  </si>
  <si>
    <t>Douglas-Montez</t>
  </si>
  <si>
    <t>Holmes Elementary School</t>
  </si>
  <si>
    <t>'070204107</t>
  </si>
  <si>
    <t>Darlene</t>
  </si>
  <si>
    <t>djjohnso@mpsaz.org</t>
  </si>
  <si>
    <t>Heidi</t>
  </si>
  <si>
    <t>Irving Elementary School</t>
  </si>
  <si>
    <t>'070204108</t>
  </si>
  <si>
    <t>Penny</t>
  </si>
  <si>
    <t>Briney</t>
  </si>
  <si>
    <t>phbriney@mpsaz.org</t>
  </si>
  <si>
    <t>Jefferson Elementary School</t>
  </si>
  <si>
    <t>'070204109</t>
  </si>
  <si>
    <t>Genesse</t>
  </si>
  <si>
    <t>Montes</t>
  </si>
  <si>
    <t>gamontes@mpsaz.org</t>
  </si>
  <si>
    <t>'070204110</t>
  </si>
  <si>
    <t>Jason</t>
  </si>
  <si>
    <t>Jacobson</t>
  </si>
  <si>
    <t>jajacobs@mpsaz.org</t>
  </si>
  <si>
    <t>Larson</t>
  </si>
  <si>
    <t>celarson@mpsaz.org</t>
  </si>
  <si>
    <t>'070204111</t>
  </si>
  <si>
    <t>Josh</t>
  </si>
  <si>
    <t>jdhenderson@mpsaz.org</t>
  </si>
  <si>
    <t>'070204112</t>
  </si>
  <si>
    <t>'070204113</t>
  </si>
  <si>
    <t>Doreen</t>
  </si>
  <si>
    <t>Herrick</t>
  </si>
  <si>
    <t>Starkey</t>
  </si>
  <si>
    <t>clstarkey@mpsaz.org</t>
  </si>
  <si>
    <t>Franklin West Elementary</t>
  </si>
  <si>
    <t>'070204114</t>
  </si>
  <si>
    <t>Heidenblut</t>
  </si>
  <si>
    <t>mgheiden@mpsaz.org</t>
  </si>
  <si>
    <t>'070204115</t>
  </si>
  <si>
    <t>Christensen</t>
  </si>
  <si>
    <t>'070204116</t>
  </si>
  <si>
    <t>clstarke@mpsaz.org</t>
  </si>
  <si>
    <t>Whitman Elementary School</t>
  </si>
  <si>
    <t>'070204117</t>
  </si>
  <si>
    <t>Taft Elementary School</t>
  </si>
  <si>
    <t>'070204118</t>
  </si>
  <si>
    <t>Russ</t>
  </si>
  <si>
    <t>Heath</t>
  </si>
  <si>
    <t>rdheath@mpsaz.org</t>
  </si>
  <si>
    <t>Darcy</t>
  </si>
  <si>
    <t>Zucco</t>
  </si>
  <si>
    <t>Hale Elementary School</t>
  </si>
  <si>
    <t>'070204119</t>
  </si>
  <si>
    <t xml:space="preserve">Colin 	</t>
  </si>
  <si>
    <t>cmkelly@mpsaz.org</t>
  </si>
  <si>
    <t>Eisenhower Center for Innovation</t>
  </si>
  <si>
    <t>'070204120</t>
  </si>
  <si>
    <t>Meldau</t>
  </si>
  <si>
    <t>rcmeldau@mpsaz.org</t>
  </si>
  <si>
    <t>'070204121</t>
  </si>
  <si>
    <t>'070204122</t>
  </si>
  <si>
    <t>Julianne</t>
  </si>
  <si>
    <t>O'Shea</t>
  </si>
  <si>
    <t>jkoshea@mpsaz.org</t>
  </si>
  <si>
    <t>sjnorton@mpsaz.org</t>
  </si>
  <si>
    <t>PRINCIPAL</t>
  </si>
  <si>
    <t>Heminger</t>
  </si>
  <si>
    <t>tlheminger@mpsaz.org</t>
  </si>
  <si>
    <t>Redbird Elementary School</t>
  </si>
  <si>
    <t>'070204123</t>
  </si>
  <si>
    <t>Nicolas</t>
  </si>
  <si>
    <t>nzparker@mpsaz.org</t>
  </si>
  <si>
    <t>Salk Elementary School</t>
  </si>
  <si>
    <t>'070204124</t>
  </si>
  <si>
    <t>Vicki</t>
  </si>
  <si>
    <t>Hester</t>
  </si>
  <si>
    <t>vlhester@mpsaz.org</t>
  </si>
  <si>
    <t>Field Elementary School</t>
  </si>
  <si>
    <t>'070204125</t>
  </si>
  <si>
    <t>Nesbitt</t>
  </si>
  <si>
    <t>jfnesbit@mpsaz.org</t>
  </si>
  <si>
    <t>Cumberledge</t>
  </si>
  <si>
    <t>'070204126</t>
  </si>
  <si>
    <t>Grimaldi</t>
  </si>
  <si>
    <t>mlgrmal@mpsaz.org</t>
  </si>
  <si>
    <t>'070204127</t>
  </si>
  <si>
    <t>Doug</t>
  </si>
  <si>
    <t>Walter</t>
  </si>
  <si>
    <t>dkwalter@mpsaz.org</t>
  </si>
  <si>
    <t>'070204128</t>
  </si>
  <si>
    <t>Monica</t>
  </si>
  <si>
    <t>Torres</t>
  </si>
  <si>
    <t>mmtorres@mpsaz.org</t>
  </si>
  <si>
    <t>Hay</t>
  </si>
  <si>
    <t>blhay@mpsaz.org</t>
  </si>
  <si>
    <t>MacArthur Elementary School</t>
  </si>
  <si>
    <t>'070204129</t>
  </si>
  <si>
    <t>Pomeroy Elementary School</t>
  </si>
  <si>
    <t>'070204131</t>
  </si>
  <si>
    <t>Driscoll</t>
  </si>
  <si>
    <t>jldriscoll@mpsaz.org</t>
  </si>
  <si>
    <t>Highland Elementary School</t>
  </si>
  <si>
    <t>'070204132</t>
  </si>
  <si>
    <t>Christy</t>
  </si>
  <si>
    <t>Cuddy</t>
  </si>
  <si>
    <t>clcuddy@mpsaz.org</t>
  </si>
  <si>
    <t>Crismon Elementary School</t>
  </si>
  <si>
    <t>'070204133</t>
  </si>
  <si>
    <t>Sandi</t>
  </si>
  <si>
    <t>Kuhn</t>
  </si>
  <si>
    <t>Robson Elementary School</t>
  </si>
  <si>
    <t>'070204134</t>
  </si>
  <si>
    <t>Ashton</t>
  </si>
  <si>
    <t>Sirrine Elementary School</t>
  </si>
  <si>
    <t>'070204135</t>
  </si>
  <si>
    <t>rhparker@mpsaz.org</t>
  </si>
  <si>
    <t>Johnson Elementary School</t>
  </si>
  <si>
    <t>'070204136</t>
  </si>
  <si>
    <t>Greg</t>
  </si>
  <si>
    <t>Reid</t>
  </si>
  <si>
    <t>gsreid@mpsaz.org</t>
  </si>
  <si>
    <t>O'Connor Elementary School</t>
  </si>
  <si>
    <t>'070204137</t>
  </si>
  <si>
    <t>Eshman</t>
  </si>
  <si>
    <t>saeshman@mpsaz.org</t>
  </si>
  <si>
    <t>Mendoza Elementary School</t>
  </si>
  <si>
    <t>'070204139</t>
  </si>
  <si>
    <t>Deb</t>
  </si>
  <si>
    <t>Lynch</t>
  </si>
  <si>
    <t>dmlynch@mpsaz.org</t>
  </si>
  <si>
    <t>Ishikawa Elementary School</t>
  </si>
  <si>
    <t>'070204140</t>
  </si>
  <si>
    <t>Shelley</t>
  </si>
  <si>
    <t>slheath@mpsaz.org</t>
  </si>
  <si>
    <t>Shill</t>
  </si>
  <si>
    <t>dwshill@mpsaz.org</t>
  </si>
  <si>
    <t>Madison Elementary School</t>
  </si>
  <si>
    <t>'070204141</t>
  </si>
  <si>
    <t>Sousa Elementary School</t>
  </si>
  <si>
    <t>'070204142</t>
  </si>
  <si>
    <t>Lamanna</t>
  </si>
  <si>
    <t>jllamanna@mpsaz.org</t>
  </si>
  <si>
    <t>Hermosa Vista Elementary School</t>
  </si>
  <si>
    <t>'070204143</t>
  </si>
  <si>
    <t>Trezise</t>
  </si>
  <si>
    <t>jntrezise@mpsaz.org</t>
  </si>
  <si>
    <t>Falcon Hill Elementary School</t>
  </si>
  <si>
    <t>'070204144</t>
  </si>
  <si>
    <t>Cannon</t>
  </si>
  <si>
    <t>lmcannon@mpsaz.org</t>
  </si>
  <si>
    <t>Porter Elementary School</t>
  </si>
  <si>
    <t>'070204145</t>
  </si>
  <si>
    <t>Kerr Elementary School</t>
  </si>
  <si>
    <t>'070204146</t>
  </si>
  <si>
    <t>Breitenbucher</t>
  </si>
  <si>
    <t>adbreitenbucher@mpsaz.org</t>
  </si>
  <si>
    <t>Entz Elementary School</t>
  </si>
  <si>
    <t>'070204147</t>
  </si>
  <si>
    <t>Bill</t>
  </si>
  <si>
    <t>Schultz</t>
  </si>
  <si>
    <t>weschultz@mpsaz.org</t>
  </si>
  <si>
    <t>Red Mountain Ranch Elementary</t>
  </si>
  <si>
    <t>'070204148</t>
  </si>
  <si>
    <t>Cook</t>
  </si>
  <si>
    <t>jacook@mpsaz.org</t>
  </si>
  <si>
    <t xml:space="preserve">Gerald </t>
  </si>
  <si>
    <t xml:space="preserve">Slemmer </t>
  </si>
  <si>
    <t>gdslemme@mpsaz.org</t>
  </si>
  <si>
    <t>Bush Elementary</t>
  </si>
  <si>
    <t>'070204149</t>
  </si>
  <si>
    <t>gfolson@mpsaz.org</t>
  </si>
  <si>
    <t>Las Sendas Elementary School</t>
  </si>
  <si>
    <t>'070204150</t>
  </si>
  <si>
    <t>Kaczmarek</t>
  </si>
  <si>
    <t>atkaczma@mpsaz.org</t>
  </si>
  <si>
    <t>'070204151</t>
  </si>
  <si>
    <t>Patterson Elementary</t>
  </si>
  <si>
    <t>'070204153</t>
  </si>
  <si>
    <t>Nonie</t>
  </si>
  <si>
    <t>Sundve</t>
  </si>
  <si>
    <t>nbsundve@mpsaz.org</t>
  </si>
  <si>
    <t>'070204155</t>
  </si>
  <si>
    <t>Minarcik</t>
  </si>
  <si>
    <t>bkminarcik@mpsaz.org</t>
  </si>
  <si>
    <t>Brinton Elementary</t>
  </si>
  <si>
    <t>'070204156</t>
  </si>
  <si>
    <t>dlbrindley@mpsaz.org</t>
  </si>
  <si>
    <t>Zaharis Elementary</t>
  </si>
  <si>
    <t>'070204157</t>
  </si>
  <si>
    <t>Oliver</t>
  </si>
  <si>
    <t>maoliver@mpsaz.org</t>
  </si>
  <si>
    <t>Franklin at Alma Elementary</t>
  </si>
  <si>
    <t>'070204158</t>
  </si>
  <si>
    <t>Emily</t>
  </si>
  <si>
    <t>ejkelly@mpsaz.org</t>
  </si>
  <si>
    <t>Franklin at Brimhall Elementary</t>
  </si>
  <si>
    <t>'070204159</t>
  </si>
  <si>
    <t>Abrams</t>
  </si>
  <si>
    <t>jdabrams@mpsaz.org</t>
  </si>
  <si>
    <t xml:space="preserve"> Principal</t>
  </si>
  <si>
    <t>Jordan Center for Early Education</t>
  </si>
  <si>
    <t>'070204160</t>
  </si>
  <si>
    <t>Early Education Center</t>
  </si>
  <si>
    <t>'070204191</t>
  </si>
  <si>
    <t>Scoon</t>
  </si>
  <si>
    <t>sascoon@mpsaz.org</t>
  </si>
  <si>
    <t>Mesa Academy for Advanced Studies</t>
  </si>
  <si>
    <t>'070204192</t>
  </si>
  <si>
    <t>Crispin</t>
  </si>
  <si>
    <t>rmcrispi@mpsaz.org</t>
  </si>
  <si>
    <t>Summit Academy</t>
  </si>
  <si>
    <t>'070204193</t>
  </si>
  <si>
    <t>Andrews</t>
  </si>
  <si>
    <t>mjandrew@mpsaz.org</t>
  </si>
  <si>
    <t>Boatman</t>
  </si>
  <si>
    <t>tboatman@mpsaz.org</t>
  </si>
  <si>
    <t>Student Info Coordinator</t>
  </si>
  <si>
    <t>Eagleridge Enrichment Program</t>
  </si>
  <si>
    <t>'070204195</t>
  </si>
  <si>
    <t>Carson Junior  High School</t>
  </si>
  <si>
    <t>'070204252</t>
  </si>
  <si>
    <t>Elmer</t>
  </si>
  <si>
    <t>gaelmer@mpsaz.org</t>
  </si>
  <si>
    <t>'070204253</t>
  </si>
  <si>
    <t>Flax</t>
  </si>
  <si>
    <t>afflax@mpsaz.org</t>
  </si>
  <si>
    <t>Jodie</t>
  </si>
  <si>
    <t>jmdean@mpsaz.org</t>
  </si>
  <si>
    <t>Keiko</t>
  </si>
  <si>
    <t>Dilbeck</t>
  </si>
  <si>
    <t>ktdilbeck@mpsaz.org</t>
  </si>
  <si>
    <t>Fremont Junior High School</t>
  </si>
  <si>
    <t>'070204254</t>
  </si>
  <si>
    <t>Roberts</t>
  </si>
  <si>
    <t>taroberts@mpsaz.org</t>
  </si>
  <si>
    <t>Poston Junior High School</t>
  </si>
  <si>
    <t>'070204256</t>
  </si>
  <si>
    <t>Rhodes Junior High School</t>
  </si>
  <si>
    <t>'070204257</t>
  </si>
  <si>
    <t>pschristie@mpsaz.org</t>
  </si>
  <si>
    <t>Taylor Junior High School</t>
  </si>
  <si>
    <t>'070204258</t>
  </si>
  <si>
    <t>Gina</t>
  </si>
  <si>
    <t>Piraino</t>
  </si>
  <si>
    <t>gmpiraino@mpsaz.org</t>
  </si>
  <si>
    <t>Shepherd Junior High School</t>
  </si>
  <si>
    <t>'070204260</t>
  </si>
  <si>
    <t>Renea</t>
  </si>
  <si>
    <t>Kennedy</t>
  </si>
  <si>
    <t>rfkennedy@mpsaz.org</t>
  </si>
  <si>
    <t>Stapley Junior High School</t>
  </si>
  <si>
    <t>'070204262</t>
  </si>
  <si>
    <t>Erickson</t>
  </si>
  <si>
    <t>kwericks@mpsaz.org</t>
  </si>
  <si>
    <t>Smith Junior High School</t>
  </si>
  <si>
    <t>'070204263</t>
  </si>
  <si>
    <t>Casey</t>
  </si>
  <si>
    <t>Eagleburger</t>
  </si>
  <si>
    <t>cleagleburger@mpsaz.org</t>
  </si>
  <si>
    <t>Franklin Junior High School</t>
  </si>
  <si>
    <t>'070204264</t>
  </si>
  <si>
    <t>Gayle</t>
  </si>
  <si>
    <t>Householder</t>
  </si>
  <si>
    <t>Mesa High School</t>
  </si>
  <si>
    <t>'070204271</t>
  </si>
  <si>
    <t>Creaser</t>
  </si>
  <si>
    <t>lcreaser@mpsaz.org</t>
  </si>
  <si>
    <t>Kirk</t>
  </si>
  <si>
    <t>kethomas@mpsaz.org</t>
  </si>
  <si>
    <t>'070204272</t>
  </si>
  <si>
    <t>Shawn</t>
  </si>
  <si>
    <t>smlynch@mpsaz.org</t>
  </si>
  <si>
    <t>jaanderson@mpsaz.org</t>
  </si>
  <si>
    <t>Teacher</t>
  </si>
  <si>
    <t>Mountain View High School</t>
  </si>
  <si>
    <t>'070204273</t>
  </si>
  <si>
    <t>Milbrandt</t>
  </si>
  <si>
    <t>Dobson High School</t>
  </si>
  <si>
    <t>'070204274</t>
  </si>
  <si>
    <t>Addis</t>
  </si>
  <si>
    <t>tladdis@mpsaz.org</t>
  </si>
  <si>
    <t>Red Mountain High School</t>
  </si>
  <si>
    <t>'070204275</t>
  </si>
  <si>
    <t>Jared</t>
  </si>
  <si>
    <t>jmryan@mpsaz.org</t>
  </si>
  <si>
    <t>Skyline High School</t>
  </si>
  <si>
    <t>'070204276</t>
  </si>
  <si>
    <t>Green</t>
  </si>
  <si>
    <t>swgreen@mpsaz.org</t>
  </si>
  <si>
    <t>Brennan</t>
  </si>
  <si>
    <t>tpbrennan@mpsaz.org</t>
  </si>
  <si>
    <t>East Valley Academy</t>
  </si>
  <si>
    <t>'070204278</t>
  </si>
  <si>
    <t>Keilty</t>
  </si>
  <si>
    <t>tkkeilty@mpsaz.org</t>
  </si>
  <si>
    <t>Mesa Distance Learning Program</t>
  </si>
  <si>
    <t>'070204279</t>
  </si>
  <si>
    <t>'070209000</t>
  </si>
  <si>
    <t>Howard</t>
  </si>
  <si>
    <t>Carlson</t>
  </si>
  <si>
    <t>hcarlson@wusd9.org</t>
  </si>
  <si>
    <t>ejohnson@wusd9.org</t>
  </si>
  <si>
    <t>HR Coordinator</t>
  </si>
  <si>
    <t>Courliss</t>
  </si>
  <si>
    <t>jecourliss@wusd9.org</t>
  </si>
  <si>
    <t>Wickenburg Virtual Academy</t>
  </si>
  <si>
    <t>'070209004</t>
  </si>
  <si>
    <t>hcarlson@wickenburg.k12.az.us</t>
  </si>
  <si>
    <t>'070209102</t>
  </si>
  <si>
    <t>Hershkowitz</t>
  </si>
  <si>
    <t>cahershkowitz@wusd9.org</t>
  </si>
  <si>
    <t>Vulture Peak Middle School</t>
  </si>
  <si>
    <t>'070209103</t>
  </si>
  <si>
    <t>Moran</t>
  </si>
  <si>
    <t>Festival Foothills Elementary School</t>
  </si>
  <si>
    <t>'070209104</t>
  </si>
  <si>
    <t>Case</t>
  </si>
  <si>
    <t>jcase@wickenburg.k12.az.us</t>
  </si>
  <si>
    <t>'070209201</t>
  </si>
  <si>
    <t>Peoria Unified School District</t>
  </si>
  <si>
    <t>'070211000</t>
  </si>
  <si>
    <t>Jill</t>
  </si>
  <si>
    <t>JTHOMAS@PUSD11.NET</t>
  </si>
  <si>
    <t xml:space="preserve">DIRECTOR OF INFORMATION SYSTEMS </t>
  </si>
  <si>
    <t>Vesely</t>
  </si>
  <si>
    <t>lvesely@pusd11.net</t>
  </si>
  <si>
    <t>Myers</t>
  </si>
  <si>
    <t>MMyers@pusd11.net</t>
  </si>
  <si>
    <t>Peoria Elementary School</t>
  </si>
  <si>
    <t>'070211101</t>
  </si>
  <si>
    <t>Ira A Murphy</t>
  </si>
  <si>
    <t>'070211102</t>
  </si>
  <si>
    <t>Kachina Elementary School</t>
  </si>
  <si>
    <t>'070211103</t>
  </si>
  <si>
    <t>Landa</t>
  </si>
  <si>
    <t>Aponte</t>
  </si>
  <si>
    <t>laponte@peoriaud.k12.az.us</t>
  </si>
  <si>
    <t>Balliet</t>
  </si>
  <si>
    <t>balliet@pusd11.net</t>
  </si>
  <si>
    <t>Heritage School</t>
  </si>
  <si>
    <t>'070211104</t>
  </si>
  <si>
    <t>Pioneer Elementary School</t>
  </si>
  <si>
    <t>'070211105</t>
  </si>
  <si>
    <t>Alta Loma School</t>
  </si>
  <si>
    <t>'070211106</t>
  </si>
  <si>
    <t>Harman</t>
  </si>
  <si>
    <t>Mharman@pusd11.net</t>
  </si>
  <si>
    <t>Interim Principal</t>
  </si>
  <si>
    <t>Desert Palms Elementary School</t>
  </si>
  <si>
    <t>'070211107</t>
  </si>
  <si>
    <t>sward@pusd11.net</t>
  </si>
  <si>
    <t>Foothills Elementary School</t>
  </si>
  <si>
    <t>'070211108</t>
  </si>
  <si>
    <t>Benson</t>
  </si>
  <si>
    <t>rbenson@pusd11.net</t>
  </si>
  <si>
    <t>Copperwood School</t>
  </si>
  <si>
    <t>'070211109</t>
  </si>
  <si>
    <t>Sundance Elementary School</t>
  </si>
  <si>
    <t>'070211110</t>
  </si>
  <si>
    <t>Silva</t>
  </si>
  <si>
    <t>jsilva@pusd11.net</t>
  </si>
  <si>
    <t>Cotton Boll School</t>
  </si>
  <si>
    <t>'070211111</t>
  </si>
  <si>
    <t>Oakwood Elementary School</t>
  </si>
  <si>
    <t>'070211112</t>
  </si>
  <si>
    <t>Duguid</t>
  </si>
  <si>
    <t>sduguid@peoriaud.k12.az.us</t>
  </si>
  <si>
    <t>Desert Valley Elementary School</t>
  </si>
  <si>
    <t>'070211113</t>
  </si>
  <si>
    <t>Dana</t>
  </si>
  <si>
    <t>Matousek</t>
  </si>
  <si>
    <t>dmatouse@peoriaud.k12.az.us</t>
  </si>
  <si>
    <t>Sahuaro Ranch Elementary School</t>
  </si>
  <si>
    <t>'070211114</t>
  </si>
  <si>
    <t>Gundrum</t>
  </si>
  <si>
    <t>egundrum@peoriaud.k12.az.us</t>
  </si>
  <si>
    <t>Clow</t>
  </si>
  <si>
    <t>jclow@pusd11.net</t>
  </si>
  <si>
    <t>Oasis Elementary School</t>
  </si>
  <si>
    <t>'070211115</t>
  </si>
  <si>
    <t>gmiller@peoriaud.k12.az.us</t>
  </si>
  <si>
    <t>MDuguid@peoriaud.k12.az.us</t>
  </si>
  <si>
    <t>Sun Valley Elementary School</t>
  </si>
  <si>
    <t>'070211116</t>
  </si>
  <si>
    <t>Shough</t>
  </si>
  <si>
    <t>dshough@peoriaud.k12.az.us</t>
  </si>
  <si>
    <t>Sky View Elementary School</t>
  </si>
  <si>
    <t>'070211117</t>
  </si>
  <si>
    <t>Holly</t>
  </si>
  <si>
    <t>Harper</t>
  </si>
  <si>
    <t>hharper@peoriaud.k12.az.us</t>
  </si>
  <si>
    <t>'070211118</t>
  </si>
  <si>
    <t>Caine</t>
  </si>
  <si>
    <t>hcaine@peoriaud.k12.az.us</t>
  </si>
  <si>
    <t>JBrown@peoriaud.k12.az.us</t>
  </si>
  <si>
    <t>Canyon Elementary School</t>
  </si>
  <si>
    <t>'070211119</t>
  </si>
  <si>
    <t>Kristin</t>
  </si>
  <si>
    <t>Balthis</t>
  </si>
  <si>
    <t>kbalthis@peoriaud.k12.az.us</t>
  </si>
  <si>
    <t>Marshall Ranch Elementary School</t>
  </si>
  <si>
    <t>'070211120</t>
  </si>
  <si>
    <t>Marla</t>
  </si>
  <si>
    <t>Hobbs</t>
  </si>
  <si>
    <t>mwoolsey@peoriaud.k12.az.us</t>
  </si>
  <si>
    <t>Santa Fe Elementary School</t>
  </si>
  <si>
    <t>'070211121</t>
  </si>
  <si>
    <t>rmiller@peoriaud.k12.az.us</t>
  </si>
  <si>
    <t>Paseo Verde Elementary School</t>
  </si>
  <si>
    <t>'070211122</t>
  </si>
  <si>
    <t>Larry</t>
  </si>
  <si>
    <t>Brodie</t>
  </si>
  <si>
    <t>lbrodie@peoriaud.k12.az.us</t>
  </si>
  <si>
    <t>Desert Harbor Elementary School</t>
  </si>
  <si>
    <t>'070211123</t>
  </si>
  <si>
    <t>Rebecca</t>
  </si>
  <si>
    <t>Berhow</t>
  </si>
  <si>
    <t>bberhow@peoriaud.k12.az.us</t>
  </si>
  <si>
    <t>Cheyenne Elementary School</t>
  </si>
  <si>
    <t>'070211124</t>
  </si>
  <si>
    <t>Phil</t>
  </si>
  <si>
    <t>pstanfield@peoriaud.k12.az.us</t>
  </si>
  <si>
    <t>Frontier Elementary School</t>
  </si>
  <si>
    <t>'070211125</t>
  </si>
  <si>
    <t>Country Meadows Elementary School</t>
  </si>
  <si>
    <t>'070211126</t>
  </si>
  <si>
    <t>Val</t>
  </si>
  <si>
    <t>Barrett</t>
  </si>
  <si>
    <t>vbarett@peoriaud.k12.az.us</t>
  </si>
  <si>
    <t>Coyote Hills Elementary School</t>
  </si>
  <si>
    <t>'070211127</t>
  </si>
  <si>
    <t>Zuni Hills Elementary School</t>
  </si>
  <si>
    <t>'070211128</t>
  </si>
  <si>
    <t>Parkridge Elementary</t>
  </si>
  <si>
    <t>'070211129</t>
  </si>
  <si>
    <t>Swarstad</t>
  </si>
  <si>
    <t>jswarstad@peoriaud.k12.az.us</t>
  </si>
  <si>
    <t>Vistancia Elementary School</t>
  </si>
  <si>
    <t>'070211130</t>
  </si>
  <si>
    <t>Kazmar</t>
  </si>
  <si>
    <t>jkazmar@peoriaud.k12.az.us</t>
  </si>
  <si>
    <t>Denton</t>
  </si>
  <si>
    <t>Santarelli</t>
  </si>
  <si>
    <t>Lake Pleasant Elementary</t>
  </si>
  <si>
    <t>'070211131</t>
  </si>
  <si>
    <t>tgreen@peoriaud.k12.az.us</t>
  </si>
  <si>
    <t>Peoria Traditional School</t>
  </si>
  <si>
    <t>'070211132</t>
  </si>
  <si>
    <t>Corcoran</t>
  </si>
  <si>
    <t>tcorcoran@peoriaud.k12.az.us</t>
  </si>
  <si>
    <t>rtroy@pusd11.net</t>
  </si>
  <si>
    <t>Sunset Heights Elementary School</t>
  </si>
  <si>
    <t>'070211133</t>
  </si>
  <si>
    <t>Clemens</t>
  </si>
  <si>
    <t>Administrator for IMT</t>
  </si>
  <si>
    <t>Conelley</t>
  </si>
  <si>
    <t>rconelley@peoria.k12.az.us</t>
  </si>
  <si>
    <t>Sunflower School</t>
  </si>
  <si>
    <t>'070211134</t>
  </si>
  <si>
    <t>Santarelli,</t>
  </si>
  <si>
    <t>dsantarelli@peoriaud.k12.az.us</t>
  </si>
  <si>
    <t>Arias</t>
  </si>
  <si>
    <t>carias@peoriaud.k12.az.us</t>
  </si>
  <si>
    <t>Peoria eCampus</t>
  </si>
  <si>
    <t>'070211172</t>
  </si>
  <si>
    <t>Beth</t>
  </si>
  <si>
    <t>Collins</t>
  </si>
  <si>
    <t>bcollins@peoriaud.k12.az.us</t>
  </si>
  <si>
    <t>eCampus Administrator</t>
  </si>
  <si>
    <t>Peoria High School</t>
  </si>
  <si>
    <t>'070211260</t>
  </si>
  <si>
    <t>Bower</t>
  </si>
  <si>
    <t>pbower@pusd11.net</t>
  </si>
  <si>
    <t>Cactus High School</t>
  </si>
  <si>
    <t>'070211261</t>
  </si>
  <si>
    <t>Kristi</t>
  </si>
  <si>
    <t>Hammer</t>
  </si>
  <si>
    <t>khammer@peoriaud.k12.az.us</t>
  </si>
  <si>
    <t>Doyle</t>
  </si>
  <si>
    <t>CDoyle@peoriaud.k12.az.us</t>
  </si>
  <si>
    <t>Ironwood High School</t>
  </si>
  <si>
    <t>'070211262</t>
  </si>
  <si>
    <t>Centennial High School</t>
  </si>
  <si>
    <t>'070211263</t>
  </si>
  <si>
    <t>Lopezlira</t>
  </si>
  <si>
    <t>clopezlira@peoriaud.k12.az.us</t>
  </si>
  <si>
    <t>Sunrise Mountain High School</t>
  </si>
  <si>
    <t>'070211264</t>
  </si>
  <si>
    <t>ccarpenter@peoriaud.k12.az.us</t>
  </si>
  <si>
    <t>Svorinic</t>
  </si>
  <si>
    <t>dsavorinic@peoriaud.k12.az.us</t>
  </si>
  <si>
    <t>Raymond S. Kellis</t>
  </si>
  <si>
    <t>'070211265</t>
  </si>
  <si>
    <t>Wooten</t>
  </si>
  <si>
    <t>jwooten@peoriaud.k12.az.us</t>
  </si>
  <si>
    <t>Peoria Flex Academy</t>
  </si>
  <si>
    <t>'070211266</t>
  </si>
  <si>
    <t>Cybill</t>
  </si>
  <si>
    <t>Jacob</t>
  </si>
  <si>
    <t>cjacob@pusd11.net</t>
  </si>
  <si>
    <t>'070211267</t>
  </si>
  <si>
    <t>Croteau</t>
  </si>
  <si>
    <t>jcrouteau@peoriaud.k12.az.us</t>
  </si>
  <si>
    <t>'070224000</t>
  </si>
  <si>
    <t>Perkins</t>
  </si>
  <si>
    <t>anthonyp@gbusd.org</t>
  </si>
  <si>
    <t>denisem@gbusd.org</t>
  </si>
  <si>
    <t>Carbone</t>
  </si>
  <si>
    <t>928-683-22</t>
  </si>
  <si>
    <t>michaelc@gbusd.org</t>
  </si>
  <si>
    <t>'070224001</t>
  </si>
  <si>
    <t>Ramona</t>
  </si>
  <si>
    <t>Griego</t>
  </si>
  <si>
    <t>ramonag@gbusd.org</t>
  </si>
  <si>
    <t>'070224002</t>
  </si>
  <si>
    <t>Eddy</t>
  </si>
  <si>
    <t>jonathane@gbusd.org</t>
  </si>
  <si>
    <t>Lynnette</t>
  </si>
  <si>
    <t>lynnettem@gbusd.org</t>
  </si>
  <si>
    <t>Gilbert Unified District</t>
  </si>
  <si>
    <t>'070241000</t>
  </si>
  <si>
    <t>Joanna</t>
  </si>
  <si>
    <t>Catanzaro</t>
  </si>
  <si>
    <t>480-497-34</t>
  </si>
  <si>
    <t>joanna.catanzaro@gilbertschools.net</t>
  </si>
  <si>
    <t xml:space="preserve">Designated User </t>
  </si>
  <si>
    <t>McCord</t>
  </si>
  <si>
    <t>shane.mccord@gilbertschools.net</t>
  </si>
  <si>
    <t>Donohue</t>
  </si>
  <si>
    <t>pat.donohue@gilbertschools.net</t>
  </si>
  <si>
    <t>Accounting Budget Coordinator</t>
  </si>
  <si>
    <t>Jackie</t>
  </si>
  <si>
    <t>Mattinen</t>
  </si>
  <si>
    <t>jackie.mattinen@gilbertschools.net</t>
  </si>
  <si>
    <t>Betz</t>
  </si>
  <si>
    <t>bonnie.betz@gilbertschools.net</t>
  </si>
  <si>
    <t xml:space="preserve">Assistant Superintendent-Business Services </t>
  </si>
  <si>
    <t>Mesquite Jr High School</t>
  </si>
  <si>
    <t>'070241121</t>
  </si>
  <si>
    <t>Danile.Johnson@gilbertschools.net</t>
  </si>
  <si>
    <t>Greenfield Junior High School</t>
  </si>
  <si>
    <t>'070241122</t>
  </si>
  <si>
    <t>Yee</t>
  </si>
  <si>
    <t>brian.yee@gilbertschools.net</t>
  </si>
  <si>
    <t>Highland Jr High School</t>
  </si>
  <si>
    <t>'070241123</t>
  </si>
  <si>
    <t>marcie.taylor@gilbertschools.net</t>
  </si>
  <si>
    <t>Lance</t>
  </si>
  <si>
    <t>lance.smith@gilbertschools.net</t>
  </si>
  <si>
    <t>Desert Ridge Jr. High</t>
  </si>
  <si>
    <t>'070241124</t>
  </si>
  <si>
    <t>South Valley Jr. High</t>
  </si>
  <si>
    <t>'070241125</t>
  </si>
  <si>
    <t>Jaeger</t>
  </si>
  <si>
    <t>Brian_Jaeger@gilbert.k12.az.us</t>
  </si>
  <si>
    <t>Gilbert Elementary School</t>
  </si>
  <si>
    <t>'070241140</t>
  </si>
  <si>
    <t>Sremba</t>
  </si>
  <si>
    <t>Greenfield Elementary School</t>
  </si>
  <si>
    <t>'070241141</t>
  </si>
  <si>
    <t>Longnion</t>
  </si>
  <si>
    <t>mary.longnion@gilbertschools.net</t>
  </si>
  <si>
    <t>Patterson Elementary School</t>
  </si>
  <si>
    <t>'070241142</t>
  </si>
  <si>
    <t>Neely Traditional Academy</t>
  </si>
  <si>
    <t>'070241143</t>
  </si>
  <si>
    <t>Caroline</t>
  </si>
  <si>
    <t>Chilton</t>
  </si>
  <si>
    <t>caroline.chilton@gilbertschools.net</t>
  </si>
  <si>
    <t>Greene</t>
  </si>
  <si>
    <t>jennifer.greene@gilbertschools.net</t>
  </si>
  <si>
    <t>'070241144</t>
  </si>
  <si>
    <t>Islands Elementary School</t>
  </si>
  <si>
    <t>'070241145</t>
  </si>
  <si>
    <t>Birgen</t>
  </si>
  <si>
    <t>chris.birgen@gilbertschools.net</t>
  </si>
  <si>
    <t>Houston Elementary School</t>
  </si>
  <si>
    <t>'070241146</t>
  </si>
  <si>
    <t>Preston</t>
  </si>
  <si>
    <t>heather.preston@gilbertschools.net</t>
  </si>
  <si>
    <t>Burk Elementary School</t>
  </si>
  <si>
    <t>'070241147</t>
  </si>
  <si>
    <t>Brad</t>
  </si>
  <si>
    <t>Paes</t>
  </si>
  <si>
    <t>brad.paes@gilbertschool.net</t>
  </si>
  <si>
    <t>Val Vista Lakes Elementary School</t>
  </si>
  <si>
    <t>'070241148</t>
  </si>
  <si>
    <t>patrick.miller@gilbertschools.net</t>
  </si>
  <si>
    <t>Dora</t>
  </si>
  <si>
    <t>Henry</t>
  </si>
  <si>
    <t>dora.henry@gilbertschools.net</t>
  </si>
  <si>
    <t>'070241149</t>
  </si>
  <si>
    <t>Koberstein</t>
  </si>
  <si>
    <t>dawn.koberstein@gilbertschools.net</t>
  </si>
  <si>
    <t>Harris Elementary School</t>
  </si>
  <si>
    <t>'070241150</t>
  </si>
  <si>
    <t>Playa del Rey Elementary School</t>
  </si>
  <si>
    <t>'070241151</t>
  </si>
  <si>
    <t>Robyn</t>
  </si>
  <si>
    <t>Robyn.Conrad@gilbertschools.net</t>
  </si>
  <si>
    <t>Darrin</t>
  </si>
  <si>
    <t>Prask</t>
  </si>
  <si>
    <t>darrin.praska@gilbertschools.net</t>
  </si>
  <si>
    <t xml:space="preserve">Principal  </t>
  </si>
  <si>
    <t>Towne Meadows Elementary School</t>
  </si>
  <si>
    <t>'070241152</t>
  </si>
  <si>
    <t>Chip</t>
  </si>
  <si>
    <t>Pettit</t>
  </si>
  <si>
    <t>Chip.Pettit@gilbertschools.net</t>
  </si>
  <si>
    <t>Sonoma Ranch Elementary School</t>
  </si>
  <si>
    <t>'070241154</t>
  </si>
  <si>
    <t>Terry</t>
  </si>
  <si>
    <t>Maurer</t>
  </si>
  <si>
    <t>terry_maurer@gilbert.k12.az.us</t>
  </si>
  <si>
    <t>Colin</t>
  </si>
  <si>
    <t>colin.kelly@gilbertschools.net</t>
  </si>
  <si>
    <t>Superstition Springs Elementary</t>
  </si>
  <si>
    <t>'070241155</t>
  </si>
  <si>
    <t>Tim.Moses@gilbertschools.net</t>
  </si>
  <si>
    <t>Finley Farms Elementary</t>
  </si>
  <si>
    <t>'070241156</t>
  </si>
  <si>
    <t>Oak Tree Elementary</t>
  </si>
  <si>
    <t>'070241157</t>
  </si>
  <si>
    <t>dalelunt@gilbertschools.net</t>
  </si>
  <si>
    <t>Settlers Point Elementary</t>
  </si>
  <si>
    <t>'070241158</t>
  </si>
  <si>
    <t>Lana</t>
  </si>
  <si>
    <t>lana.moore@gilbertschools.net</t>
  </si>
  <si>
    <t>Carol Rae Ranch Elementary</t>
  </si>
  <si>
    <t>'070241159</t>
  </si>
  <si>
    <t>Geane</t>
  </si>
  <si>
    <t>Flournoy</t>
  </si>
  <si>
    <t>Geane.Flournoy@gilbertschools.net</t>
  </si>
  <si>
    <t>Boulder Creek Elementary</t>
  </si>
  <si>
    <t>'070241160</t>
  </si>
  <si>
    <t>Ashland Elementary</t>
  </si>
  <si>
    <t>'070241161</t>
  </si>
  <si>
    <t>suzanne.carlson@gilbertschools.net</t>
  </si>
  <si>
    <t>Augusta Ranch Elementary</t>
  </si>
  <si>
    <t>'070241162</t>
  </si>
  <si>
    <t>Canyon Rim Elementary</t>
  </si>
  <si>
    <t>'070241163</t>
  </si>
  <si>
    <t>Mayfield</t>
  </si>
  <si>
    <t>deb.lynch@gilbertschools.net</t>
  </si>
  <si>
    <t>Anna</t>
  </si>
  <si>
    <t>Vidaurri</t>
  </si>
  <si>
    <t>anna.vidaurri@gilbertschools.net</t>
  </si>
  <si>
    <t>Spectrum Elementary</t>
  </si>
  <si>
    <t>'070241164</t>
  </si>
  <si>
    <t>Boomer</t>
  </si>
  <si>
    <t>sharon.boomer@gilbertschools.net</t>
  </si>
  <si>
    <t>Meridian</t>
  </si>
  <si>
    <t>'070241165</t>
  </si>
  <si>
    <t>Jodi</t>
  </si>
  <si>
    <t>Warner</t>
  </si>
  <si>
    <t>Jodi.Warner@gilbertschools.net</t>
  </si>
  <si>
    <t>Highland Park Elementary</t>
  </si>
  <si>
    <t>'070241166</t>
  </si>
  <si>
    <t>Martin</t>
  </si>
  <si>
    <t>jason.martin@gilbertschools.net</t>
  </si>
  <si>
    <t>Quartz Hill Elementary</t>
  </si>
  <si>
    <t>'070241167</t>
  </si>
  <si>
    <t>Hallock</t>
  </si>
  <si>
    <t>michael.hallock@gilbertschools.net</t>
  </si>
  <si>
    <t>Joan</t>
  </si>
  <si>
    <t>joan.henry@gilbertschools.net</t>
  </si>
  <si>
    <t>Gilbert High School</t>
  </si>
  <si>
    <t>'070241210</t>
  </si>
  <si>
    <t>Highland High School</t>
  </si>
  <si>
    <t>'070241211</t>
  </si>
  <si>
    <t>kristin.anderson@gilbertschools.net</t>
  </si>
  <si>
    <t>melindamurphy@gilbertschools.net</t>
  </si>
  <si>
    <t>Orr</t>
  </si>
  <si>
    <t>Mesquite High School</t>
  </si>
  <si>
    <t>'070241212</t>
  </si>
  <si>
    <t>Teri</t>
  </si>
  <si>
    <t>Palich</t>
  </si>
  <si>
    <t>teri.palich@gilbertschools.net</t>
  </si>
  <si>
    <t>Secretary</t>
  </si>
  <si>
    <t>Desert Ridge High</t>
  </si>
  <si>
    <t>'070241213</t>
  </si>
  <si>
    <t>Campo Verde High School</t>
  </si>
  <si>
    <t>'070241214</t>
  </si>
  <si>
    <t>Gilbert Classical Academy 7-12</t>
  </si>
  <si>
    <t>'070241234</t>
  </si>
  <si>
    <t>Dan.Hood@gilbertschools.net</t>
  </si>
  <si>
    <t>Pier</t>
  </si>
  <si>
    <t>pier.obrien@gilbertschools.net</t>
  </si>
  <si>
    <t>GPS Global Academy</t>
  </si>
  <si>
    <t>'070241235</t>
  </si>
  <si>
    <t>'070248000</t>
  </si>
  <si>
    <t>Debbie</t>
  </si>
  <si>
    <t>Fowler</t>
  </si>
  <si>
    <t>dfowler@susd.org</t>
  </si>
  <si>
    <t>Cronn</t>
  </si>
  <si>
    <t>scronn@susd.org</t>
  </si>
  <si>
    <t>Forsgren</t>
  </si>
  <si>
    <t>cforsgren@susd.org</t>
  </si>
  <si>
    <t>Compliance Officer</t>
  </si>
  <si>
    <t>khansen@susd.org</t>
  </si>
  <si>
    <t>Student Information Coordinator</t>
  </si>
  <si>
    <t>Virgil</t>
  </si>
  <si>
    <t>dvirgil@susd.org</t>
  </si>
  <si>
    <t>C</t>
  </si>
  <si>
    <t>Bochna</t>
  </si>
  <si>
    <t>Director of Assessment and Accountability</t>
  </si>
  <si>
    <t>Lins</t>
  </si>
  <si>
    <t>matthewlins@susd.org</t>
  </si>
  <si>
    <t>Clinical Services Coordinator</t>
  </si>
  <si>
    <t>cbochna@susd.org</t>
  </si>
  <si>
    <t>Gadd</t>
  </si>
  <si>
    <t>jgadd@susd.org</t>
  </si>
  <si>
    <t>Tyler</t>
  </si>
  <si>
    <t>tmoore@susd.org</t>
  </si>
  <si>
    <t>Accounting Manager</t>
  </si>
  <si>
    <t>'070248102</t>
  </si>
  <si>
    <t>Sheila</t>
  </si>
  <si>
    <t>Burnham</t>
  </si>
  <si>
    <t>sburnham@susd.org</t>
  </si>
  <si>
    <t>Tavan Elementary School</t>
  </si>
  <si>
    <t>'070248103</t>
  </si>
  <si>
    <t>Margaret</t>
  </si>
  <si>
    <t>Serna</t>
  </si>
  <si>
    <t>mserna@susd.org</t>
  </si>
  <si>
    <t>Ballard</t>
  </si>
  <si>
    <t>julie.ballard@susd.org</t>
  </si>
  <si>
    <t>Benjamin</t>
  </si>
  <si>
    <t>Roat</t>
  </si>
  <si>
    <t>broat@susd.org</t>
  </si>
  <si>
    <t>Kiva Elementary School</t>
  </si>
  <si>
    <t>'070248107</t>
  </si>
  <si>
    <t>Nick</t>
  </si>
  <si>
    <t>Noonan</t>
  </si>
  <si>
    <t>nnoonan@susd.org</t>
  </si>
  <si>
    <t>Veronica</t>
  </si>
  <si>
    <t>Leiper</t>
  </si>
  <si>
    <t>vleiper@susd.org</t>
  </si>
  <si>
    <t>Faeh</t>
  </si>
  <si>
    <t>mfaeh@susd.org</t>
  </si>
  <si>
    <t>Echo Canyon K-8</t>
  </si>
  <si>
    <t>'070248108</t>
  </si>
  <si>
    <t>Grisier</t>
  </si>
  <si>
    <t>cgrisier@susd.org</t>
  </si>
  <si>
    <t>Kathleen</t>
  </si>
  <si>
    <t>Hughes</t>
  </si>
  <si>
    <t>khughes@susd.org</t>
  </si>
  <si>
    <t>Benton</t>
  </si>
  <si>
    <t>tbenton@susd.org</t>
  </si>
  <si>
    <t>Tonalea K-8</t>
  </si>
  <si>
    <t>'070248109</t>
  </si>
  <si>
    <t>Priniski</t>
  </si>
  <si>
    <t>dpriniski@susd.org</t>
  </si>
  <si>
    <t>Pizzo</t>
  </si>
  <si>
    <t>lpizzo@susd.org</t>
  </si>
  <si>
    <t>Tobias</t>
  </si>
  <si>
    <t>stobias@susd.org</t>
  </si>
  <si>
    <t>Rene</t>
  </si>
  <si>
    <t>rmurphy@susd.org</t>
  </si>
  <si>
    <t>Hummon</t>
  </si>
  <si>
    <t>shummon@susd.org</t>
  </si>
  <si>
    <t>'070248110</t>
  </si>
  <si>
    <t>Uchacz</t>
  </si>
  <si>
    <t>auchacz@susd.org</t>
  </si>
  <si>
    <t>Jagodzinski</t>
  </si>
  <si>
    <t>tamara.jagodzinski@susd.org</t>
  </si>
  <si>
    <t>Hopi Elementary School</t>
  </si>
  <si>
    <t>'070248112</t>
  </si>
  <si>
    <t>Colling</t>
  </si>
  <si>
    <t>lcolling@susd.org</t>
  </si>
  <si>
    <t>Navajo Elementary School</t>
  </si>
  <si>
    <t>'070248113</t>
  </si>
  <si>
    <t>amoore@susd.org</t>
  </si>
  <si>
    <t>Jacque</t>
  </si>
  <si>
    <t>Hale</t>
  </si>
  <si>
    <t>jhale@susd.org</t>
  </si>
  <si>
    <t>Hohokam Elementary School</t>
  </si>
  <si>
    <t>'070248114</t>
  </si>
  <si>
    <t>shummom@susd.org</t>
  </si>
  <si>
    <t>Yavapai Elementary School</t>
  </si>
  <si>
    <t>'070248115</t>
  </si>
  <si>
    <t>nhudson@susd.org</t>
  </si>
  <si>
    <t>Assist.Principal</t>
  </si>
  <si>
    <t>Pueblo Elementary School</t>
  </si>
  <si>
    <t>'070248120</t>
  </si>
  <si>
    <t>Art</t>
  </si>
  <si>
    <t>Velarde</t>
  </si>
  <si>
    <t>avelarde@susd.org</t>
  </si>
  <si>
    <t>Cherokee Elementary School</t>
  </si>
  <si>
    <t>'070248121</t>
  </si>
  <si>
    <t>Walt</t>
  </si>
  <si>
    <t>Chantler</t>
  </si>
  <si>
    <t>walter.chantler@susd.org</t>
  </si>
  <si>
    <t>Andersen</t>
  </si>
  <si>
    <t>pandersen@susd.org</t>
  </si>
  <si>
    <t>'070248123</t>
  </si>
  <si>
    <t>Root</t>
  </si>
  <si>
    <t>kroot@susd.org</t>
  </si>
  <si>
    <t>Sequoya Elementary School</t>
  </si>
  <si>
    <t>'070248124</t>
  </si>
  <si>
    <t>Bridget</t>
  </si>
  <si>
    <t>Braney</t>
  </si>
  <si>
    <t>bbarney@susd.org</t>
  </si>
  <si>
    <t>Redfield Elementary School</t>
  </si>
  <si>
    <t>'070248125</t>
  </si>
  <si>
    <t>Bonow</t>
  </si>
  <si>
    <t>cbonow@susd.org</t>
  </si>
  <si>
    <t>Cheyenne Traditional School</t>
  </si>
  <si>
    <t>'070248127</t>
  </si>
  <si>
    <t>Armstrong</t>
  </si>
  <si>
    <t>sarmstrong@susd.org</t>
  </si>
  <si>
    <t>Akhbari</t>
  </si>
  <si>
    <t>rakhbari@susd.org</t>
  </si>
  <si>
    <t>Anasazi Elementary</t>
  </si>
  <si>
    <t>'070248128</t>
  </si>
  <si>
    <t>Gretchen</t>
  </si>
  <si>
    <t>Kaiser,</t>
  </si>
  <si>
    <t>gkaiser@susd.org</t>
  </si>
  <si>
    <t>McQuown</t>
  </si>
  <si>
    <t>kmcquown@susd.org</t>
  </si>
  <si>
    <t>Desert Canyon Elementary</t>
  </si>
  <si>
    <t>'070248129</t>
  </si>
  <si>
    <t>Link</t>
  </si>
  <si>
    <t>dlink@susd.org</t>
  </si>
  <si>
    <t>Copper Ridge School</t>
  </si>
  <si>
    <t>'070248130</t>
  </si>
  <si>
    <t>Otstot</t>
  </si>
  <si>
    <t>motstot@susd.org</t>
  </si>
  <si>
    <t>Patzlaff</t>
  </si>
  <si>
    <t>mpatzlaff@susd.org</t>
  </si>
  <si>
    <t>Patricia</t>
  </si>
  <si>
    <t>Defeyter</t>
  </si>
  <si>
    <t>pdefeyter@susd.org</t>
  </si>
  <si>
    <t>Desert Canyon Middle School</t>
  </si>
  <si>
    <t>'070248164</t>
  </si>
  <si>
    <t>Ingleside Middle School</t>
  </si>
  <si>
    <t>'070248165</t>
  </si>
  <si>
    <t>Caudle</t>
  </si>
  <si>
    <t>ccaudle@susd.org</t>
  </si>
  <si>
    <t>Mountainside Middle School</t>
  </si>
  <si>
    <t>'070248166</t>
  </si>
  <si>
    <t>Kellen</t>
  </si>
  <si>
    <t>tkellen@susd.org</t>
  </si>
  <si>
    <t>Bodmer</t>
  </si>
  <si>
    <t>teacher</t>
  </si>
  <si>
    <t>Mohave Middle School</t>
  </si>
  <si>
    <t>'070248167</t>
  </si>
  <si>
    <t>Christopher</t>
  </si>
  <si>
    <t>Asmussen</t>
  </si>
  <si>
    <t>casmussen@susd.org</t>
  </si>
  <si>
    <t>wallen@susd.org</t>
  </si>
  <si>
    <t>Cocopah Middle School</t>
  </si>
  <si>
    <t>'070248169</t>
  </si>
  <si>
    <t>susanthomas@susd.org</t>
  </si>
  <si>
    <t>Arcadia High School</t>
  </si>
  <si>
    <t>'070248292</t>
  </si>
  <si>
    <t>Nathan</t>
  </si>
  <si>
    <t>Slater</t>
  </si>
  <si>
    <t>nslater@susd.org</t>
  </si>
  <si>
    <t>Cher</t>
  </si>
  <si>
    <t>Fesenmaier</t>
  </si>
  <si>
    <t>cfesenmaier@susd.org</t>
  </si>
  <si>
    <t>Mooney</t>
  </si>
  <si>
    <t>kmooney@susd.org</t>
  </si>
  <si>
    <t>jandrews@susd.org</t>
  </si>
  <si>
    <t>'070248293</t>
  </si>
  <si>
    <t>Alyssa</t>
  </si>
  <si>
    <t>Tarkington</t>
  </si>
  <si>
    <t>atarkington@susd.org</t>
  </si>
  <si>
    <t>Ferrero</t>
  </si>
  <si>
    <t>pferrero@susd.org</t>
  </si>
  <si>
    <t>Saguaro High School</t>
  </si>
  <si>
    <t>'070248294</t>
  </si>
  <si>
    <t>Corte</t>
  </si>
  <si>
    <t>bcorte@susd.org</t>
  </si>
  <si>
    <t>Wolf</t>
  </si>
  <si>
    <t>mwolf@susd.org</t>
  </si>
  <si>
    <t>Ganster</t>
  </si>
  <si>
    <t>tganster@susd.org</t>
  </si>
  <si>
    <t>Chaparral High School</t>
  </si>
  <si>
    <t>'070248295</t>
  </si>
  <si>
    <t>Mary Lou</t>
  </si>
  <si>
    <t>Muccino</t>
  </si>
  <si>
    <t>mmuccino@susd.org</t>
  </si>
  <si>
    <t>gholland@susd.org</t>
  </si>
  <si>
    <t>O'Boyle</t>
  </si>
  <si>
    <t>koboyle@susd.org</t>
  </si>
  <si>
    <t>Clint</t>
  </si>
  <si>
    <t>Bushbaum</t>
  </si>
  <si>
    <t>cbushbaum@susd.org</t>
  </si>
  <si>
    <t>Desert Mountain High School</t>
  </si>
  <si>
    <t>'070248296</t>
  </si>
  <si>
    <t>scarlson@susd.org</t>
  </si>
  <si>
    <t>Nikki</t>
  </si>
  <si>
    <t>Wilfert</t>
  </si>
  <si>
    <t>nwilfert@susd.org</t>
  </si>
  <si>
    <t>Scottsdale Online Learning</t>
  </si>
  <si>
    <t>'070248299</t>
  </si>
  <si>
    <t>Higley Unified School District</t>
  </si>
  <si>
    <t>'070260000</t>
  </si>
  <si>
    <t>Thomason</t>
  </si>
  <si>
    <t>mike.thomason@husd.org</t>
  </si>
  <si>
    <t>Reach</t>
  </si>
  <si>
    <t>darlene.reach@husd.org</t>
  </si>
  <si>
    <t>brian.campbell@husd.org</t>
  </si>
  <si>
    <t>SIS Manager</t>
  </si>
  <si>
    <t>Isabel</t>
  </si>
  <si>
    <t>Collis</t>
  </si>
  <si>
    <t>Isabel.collis@husd.org</t>
  </si>
  <si>
    <t>Gary</t>
  </si>
  <si>
    <t>480.279.70</t>
  </si>
  <si>
    <t>gary.holland@husd.org</t>
  </si>
  <si>
    <t>CFO</t>
  </si>
  <si>
    <t>Rushcamp</t>
  </si>
  <si>
    <t>sharon.rushcamp@husd.org</t>
  </si>
  <si>
    <t>Staff Accountant</t>
  </si>
  <si>
    <t>tyler.moore@husd.org</t>
  </si>
  <si>
    <t>BillieJean</t>
  </si>
  <si>
    <t>Welzien</t>
  </si>
  <si>
    <t>billiejean.welzien@husd.org</t>
  </si>
  <si>
    <t>General Education Compliance Manager</t>
  </si>
  <si>
    <t>Higley Traditional Academy</t>
  </si>
  <si>
    <t>'070260101</t>
  </si>
  <si>
    <t>Caryn</t>
  </si>
  <si>
    <t>Bacon</t>
  </si>
  <si>
    <t>caryn.bacon@husd.org</t>
  </si>
  <si>
    <t>'070260102</t>
  </si>
  <si>
    <t>San Tan Elementary</t>
  </si>
  <si>
    <t>'070260103</t>
  </si>
  <si>
    <t>Mercado</t>
  </si>
  <si>
    <t>Ray.Mercado@husd.org</t>
  </si>
  <si>
    <t>Power Ranch Elementary</t>
  </si>
  <si>
    <t>'070260104</t>
  </si>
  <si>
    <t>Gateway Pointe Elementary</t>
  </si>
  <si>
    <t>'070260105</t>
  </si>
  <si>
    <t>Cortina Elementary</t>
  </si>
  <si>
    <t>'070260106</t>
  </si>
  <si>
    <t>Chaparral Elementary School</t>
  </si>
  <si>
    <t>'070260107</t>
  </si>
  <si>
    <t>Centennial Elementary School</t>
  </si>
  <si>
    <t>'070260108</t>
  </si>
  <si>
    <t>Bridges Elementary School</t>
  </si>
  <si>
    <t>'070260112</t>
  </si>
  <si>
    <t>Elona P. Cooley Early Child Development Center</t>
  </si>
  <si>
    <t>'070260121</t>
  </si>
  <si>
    <t>Gleason</t>
  </si>
  <si>
    <t>patricia.gleason@husd.org</t>
  </si>
  <si>
    <t>Cooley Middle School</t>
  </si>
  <si>
    <t>'070260150</t>
  </si>
  <si>
    <t>Sossaman Middle School</t>
  </si>
  <si>
    <t>'070260151</t>
  </si>
  <si>
    <t>Higley High School</t>
  </si>
  <si>
    <t>'070260201</t>
  </si>
  <si>
    <t>Williams Field High School</t>
  </si>
  <si>
    <t>'070260202</t>
  </si>
  <si>
    <t>Tannenbaum</t>
  </si>
  <si>
    <t>Higley Virtual Academy</t>
  </si>
  <si>
    <t>'070260304</t>
  </si>
  <si>
    <t>'070269000</t>
  </si>
  <si>
    <t>Chisman</t>
  </si>
  <si>
    <t>dchisman@pvschools.net</t>
  </si>
  <si>
    <t>Lead Executive Assistant</t>
  </si>
  <si>
    <t>Bertie</t>
  </si>
  <si>
    <t>jbertie@pvschools.net</t>
  </si>
  <si>
    <t>Sais  Specialist I</t>
  </si>
  <si>
    <t>Felten</t>
  </si>
  <si>
    <t>lfelten@pvschools.net</t>
  </si>
  <si>
    <t>Director of Finance &amp; Budget</t>
  </si>
  <si>
    <t>Roadrunner School</t>
  </si>
  <si>
    <t>'070269055</t>
  </si>
  <si>
    <t>Zipprich</t>
  </si>
  <si>
    <t>szipprich@pvschools.net</t>
  </si>
  <si>
    <t>Sweetwater Community School</t>
  </si>
  <si>
    <t>'070269065</t>
  </si>
  <si>
    <t>Diane</t>
  </si>
  <si>
    <t>Silvestri</t>
  </si>
  <si>
    <t>dsilvestri@pvschools.net</t>
  </si>
  <si>
    <t>Fireside Elementary School</t>
  </si>
  <si>
    <t>'070269113</t>
  </si>
  <si>
    <t>Simmons</t>
  </si>
  <si>
    <t>tsimmons@pvschools.net</t>
  </si>
  <si>
    <t>Campo Bello Elementary School</t>
  </si>
  <si>
    <t>'070269115</t>
  </si>
  <si>
    <t>Hartson</t>
  </si>
  <si>
    <t>chartson@pvschools.net</t>
  </si>
  <si>
    <t>Title I Math Sp</t>
  </si>
  <si>
    <t>Withers</t>
  </si>
  <si>
    <t>jwithers@pvschools.ne</t>
  </si>
  <si>
    <t>North Ranch Elementary School</t>
  </si>
  <si>
    <t>'070269122</t>
  </si>
  <si>
    <t>Missy</t>
  </si>
  <si>
    <t>melmartin@pvschools.net</t>
  </si>
  <si>
    <t>Eagle Ridge Elementary School</t>
  </si>
  <si>
    <t>'070269123</t>
  </si>
  <si>
    <t>Gouker</t>
  </si>
  <si>
    <t>cgouker@pvschools.net</t>
  </si>
  <si>
    <t>Title I Reading Sp</t>
  </si>
  <si>
    <t>Katrina</t>
  </si>
  <si>
    <t>Dieck</t>
  </si>
  <si>
    <t>kdieck@pvschools.net</t>
  </si>
  <si>
    <t>Hidden Hills Elementary School</t>
  </si>
  <si>
    <t>'070269124</t>
  </si>
  <si>
    <t>Dolecek</t>
  </si>
  <si>
    <t>cdolecek@pvschools.net</t>
  </si>
  <si>
    <t>Gianna</t>
  </si>
  <si>
    <t>Colonna</t>
  </si>
  <si>
    <t>gcolonna@pvschools.net</t>
  </si>
  <si>
    <t>Desert Cove Elementary School</t>
  </si>
  <si>
    <t>'070269125</t>
  </si>
  <si>
    <t>Orest</t>
  </si>
  <si>
    <t>sorest@pvschools.net</t>
  </si>
  <si>
    <t>Quail Run Elementary School</t>
  </si>
  <si>
    <t>'070269126</t>
  </si>
  <si>
    <t>Marta</t>
  </si>
  <si>
    <t>Maynard</t>
  </si>
  <si>
    <t>mmaynard@pvschools.net</t>
  </si>
  <si>
    <t>Cactus View Elementary School</t>
  </si>
  <si>
    <t>'070269127</t>
  </si>
  <si>
    <t>Owens</t>
  </si>
  <si>
    <t>kowens@pvschools.net</t>
  </si>
  <si>
    <t>Sherwood</t>
  </si>
  <si>
    <t>ssherwood@pvschools.net</t>
  </si>
  <si>
    <t>Copper Canyon Elementary School</t>
  </si>
  <si>
    <t>'070269128</t>
  </si>
  <si>
    <t>Ann</t>
  </si>
  <si>
    <t>Furnish</t>
  </si>
  <si>
    <t>afurnish@pvschools.net</t>
  </si>
  <si>
    <t>Sonoran Sky Elementary School</t>
  </si>
  <si>
    <t>'070269129</t>
  </si>
  <si>
    <t>Dawson</t>
  </si>
  <si>
    <t>rdawson@pvschools.net</t>
  </si>
  <si>
    <t>Desert Shadows Elementary School</t>
  </si>
  <si>
    <t>'070269130</t>
  </si>
  <si>
    <t>ccaudle@pvschools.ne</t>
  </si>
  <si>
    <t>Wildfire Elementary School</t>
  </si>
  <si>
    <t>'070269132</t>
  </si>
  <si>
    <t>Schoonover</t>
  </si>
  <si>
    <t>rschoonover@pvschools.net</t>
  </si>
  <si>
    <t>Indian Bend Elementary School</t>
  </si>
  <si>
    <t>'070269135</t>
  </si>
  <si>
    <t>Jan</t>
  </si>
  <si>
    <t>Stevens</t>
  </si>
  <si>
    <t>jstevens@pvschools.net</t>
  </si>
  <si>
    <t>Echo Mountain Intermediate School</t>
  </si>
  <si>
    <t>'070269136</t>
  </si>
  <si>
    <t>Alexandra</t>
  </si>
  <si>
    <t>Gribow</t>
  </si>
  <si>
    <t>agribow@pvschools.net</t>
  </si>
  <si>
    <t>Elizabeth</t>
  </si>
  <si>
    <t>Schrey</t>
  </si>
  <si>
    <t>eschrey@pvschools.net</t>
  </si>
  <si>
    <t>Desert Trails Elementary School</t>
  </si>
  <si>
    <t>'070269138</t>
  </si>
  <si>
    <t>Sarah</t>
  </si>
  <si>
    <t>Torrilhon</t>
  </si>
  <si>
    <t>storrilhon@pvschools.net</t>
  </si>
  <si>
    <t>Whispering Wind Academy</t>
  </si>
  <si>
    <t>'070269139</t>
  </si>
  <si>
    <t>Brownlie</t>
  </si>
  <si>
    <t>jbrownlie@pvschools.net</t>
  </si>
  <si>
    <t>Diana</t>
  </si>
  <si>
    <t>dicameron@pvschools.net</t>
  </si>
  <si>
    <t>'070269140</t>
  </si>
  <si>
    <t>Tami</t>
  </si>
  <si>
    <t>tcollins@pvschools.net</t>
  </si>
  <si>
    <t>Jamie</t>
  </si>
  <si>
    <t>jroberson@pvschools.net</t>
  </si>
  <si>
    <t>Grayhawk Elementary School</t>
  </si>
  <si>
    <t>'070269141</t>
  </si>
  <si>
    <t>Pavlik</t>
  </si>
  <si>
    <t>mpavlik@pvschools.net</t>
  </si>
  <si>
    <t>Sunset Canyon School</t>
  </si>
  <si>
    <t>'070269142</t>
  </si>
  <si>
    <t>Abalos</t>
  </si>
  <si>
    <t>tabalos@pvschools.net</t>
  </si>
  <si>
    <t>Math Specialist</t>
  </si>
  <si>
    <t>Franks</t>
  </si>
  <si>
    <t>dfranks@pvschools.net</t>
  </si>
  <si>
    <t>'070269143</t>
  </si>
  <si>
    <t>Baumgartner</t>
  </si>
  <si>
    <t>dabaumgartner@pvschools.net</t>
  </si>
  <si>
    <t>Boulder Creek Elementary School</t>
  </si>
  <si>
    <t>'070269144</t>
  </si>
  <si>
    <t>George</t>
  </si>
  <si>
    <t>Gillett</t>
  </si>
  <si>
    <t>ggillett@pvschools.net</t>
  </si>
  <si>
    <t>Mercury Mine Elementary School</t>
  </si>
  <si>
    <t>'070269145</t>
  </si>
  <si>
    <t>Alley</t>
  </si>
  <si>
    <t>dalley@pvschools.net</t>
  </si>
  <si>
    <t>Echo Mountain Primary School</t>
  </si>
  <si>
    <t>'070269146</t>
  </si>
  <si>
    <t>dstevens@pvschools.net</t>
  </si>
  <si>
    <t>krwilliams@pvschools.net</t>
  </si>
  <si>
    <t>Pinnacle Peak Preparatory</t>
  </si>
  <si>
    <t>'070269148</t>
  </si>
  <si>
    <t>Herbein</t>
  </si>
  <si>
    <t>lherbein@pvschools.net</t>
  </si>
  <si>
    <t>'070269150</t>
  </si>
  <si>
    <t>Leann</t>
  </si>
  <si>
    <t>Haley</t>
  </si>
  <si>
    <t>lhaley@pvschools.net</t>
  </si>
  <si>
    <t>stlee@pvschools.net</t>
  </si>
  <si>
    <t>Palomino Intermediate School</t>
  </si>
  <si>
    <t>'070269151</t>
  </si>
  <si>
    <t>Robles</t>
  </si>
  <si>
    <t>jrobles@pvschools.net</t>
  </si>
  <si>
    <t>Rachel</t>
  </si>
  <si>
    <t>Serrano</t>
  </si>
  <si>
    <t>rserrano@pvschools.net</t>
  </si>
  <si>
    <t>Sandpiper Elementary School</t>
  </si>
  <si>
    <t>'070269156</t>
  </si>
  <si>
    <t>Mattinson</t>
  </si>
  <si>
    <t>smattinson@pvusd.k12.az.us</t>
  </si>
  <si>
    <t>dcameron@pvschools.net</t>
  </si>
  <si>
    <t>Desert Springs Preparatory Elementary School</t>
  </si>
  <si>
    <t>'070269159</t>
  </si>
  <si>
    <t>Raquel</t>
  </si>
  <si>
    <t>rscott@pvschools.net</t>
  </si>
  <si>
    <t>Desert Shadows Middle School</t>
  </si>
  <si>
    <t>'070269170</t>
  </si>
  <si>
    <t>Childs</t>
  </si>
  <si>
    <t>mchilds@pvschools.net</t>
  </si>
  <si>
    <t>Derek</t>
  </si>
  <si>
    <t>Hummert</t>
  </si>
  <si>
    <t>dhummert@pvschools.net</t>
  </si>
  <si>
    <t>Vista Verde Middle School</t>
  </si>
  <si>
    <t>'070269171</t>
  </si>
  <si>
    <t>Debra</t>
  </si>
  <si>
    <t>Boccelli</t>
  </si>
  <si>
    <t>dboccelli@pvschools.net</t>
  </si>
  <si>
    <t>Title I Specialist</t>
  </si>
  <si>
    <t>jlee@pvschools.net</t>
  </si>
  <si>
    <t>pferrero@pvschools.net</t>
  </si>
  <si>
    <t>Mountain Trail Middle School</t>
  </si>
  <si>
    <t>'070269173</t>
  </si>
  <si>
    <t>Katy</t>
  </si>
  <si>
    <t>kclark@pvschools.net</t>
  </si>
  <si>
    <t>'070269175</t>
  </si>
  <si>
    <t>luhaley@pvschools.net</t>
  </si>
  <si>
    <t xml:space="preserve">Title I Specialist </t>
  </si>
  <si>
    <t>Jeffery</t>
  </si>
  <si>
    <t>Quisberg</t>
  </si>
  <si>
    <t>jquisberg@pvschools.net</t>
  </si>
  <si>
    <t>Explorer Middle School</t>
  </si>
  <si>
    <t>'070269177</t>
  </si>
  <si>
    <t>Shappee</t>
  </si>
  <si>
    <t>kshappee@pvschools.net</t>
  </si>
  <si>
    <t>Sunrise Middle School</t>
  </si>
  <si>
    <t>'070269178</t>
  </si>
  <si>
    <t>grmartin@pvusd.k12.az.us</t>
  </si>
  <si>
    <t>diana</t>
  </si>
  <si>
    <t>boyle</t>
  </si>
  <si>
    <t>dboyle@pvschools.net</t>
  </si>
  <si>
    <t>Shea Middle School</t>
  </si>
  <si>
    <t>'070269180</t>
  </si>
  <si>
    <t>Lawrence</t>
  </si>
  <si>
    <t>sclawrence@pvlearners.net</t>
  </si>
  <si>
    <t>Paradise Valley High School</t>
  </si>
  <si>
    <t>'070269290</t>
  </si>
  <si>
    <t>Ian</t>
  </si>
  <si>
    <t>Deonise</t>
  </si>
  <si>
    <t>ideonise@pvschools.net</t>
  </si>
  <si>
    <t>Pinnacle High School</t>
  </si>
  <si>
    <t>'070269292</t>
  </si>
  <si>
    <t>chsmith@pvschools.net</t>
  </si>
  <si>
    <t>Horizon High School</t>
  </si>
  <si>
    <t>'070269293</t>
  </si>
  <si>
    <t>Ihnat</t>
  </si>
  <si>
    <t>lihnat@pvschools.net</t>
  </si>
  <si>
    <t>Chuck</t>
  </si>
  <si>
    <t>North Canyon High School</t>
  </si>
  <si>
    <t>'070269294</t>
  </si>
  <si>
    <t>Jorge</t>
  </si>
  <si>
    <t>Ontiveros</t>
  </si>
  <si>
    <t>jontiveros@pvschools.net</t>
  </si>
  <si>
    <t>Molzhon</t>
  </si>
  <si>
    <t>mmolzhon@pvschools.net</t>
  </si>
  <si>
    <t>Shadow Mountain High School</t>
  </si>
  <si>
    <t>'070269295</t>
  </si>
  <si>
    <t>Appleman</t>
  </si>
  <si>
    <t>dappleman@pvschools.net</t>
  </si>
  <si>
    <t>pvONLINE</t>
  </si>
  <si>
    <t>'070269299</t>
  </si>
  <si>
    <t>Sweeney</t>
  </si>
  <si>
    <t>psweeney@pvschools.net</t>
  </si>
  <si>
    <t>Asst Superintendent</t>
  </si>
  <si>
    <t>Daly</t>
  </si>
  <si>
    <t>cdaly@pvschools.net</t>
  </si>
  <si>
    <t>Cholla Complex</t>
  </si>
  <si>
    <t>'070269520</t>
  </si>
  <si>
    <t>'070280000</t>
  </si>
  <si>
    <t>Camille</t>
  </si>
  <si>
    <t>Casteel</t>
  </si>
  <si>
    <t>casteel.camille@cusd80.com</t>
  </si>
  <si>
    <t>Fletcher</t>
  </si>
  <si>
    <t>Fletcher.Frank@cusd80.com</t>
  </si>
  <si>
    <t>Narducci</t>
  </si>
  <si>
    <t>narducci.frank@cusd80.com</t>
  </si>
  <si>
    <t>Tobin</t>
  </si>
  <si>
    <t>tobin.stephanie@cusd80.com</t>
  </si>
  <si>
    <t>Senior Administrative Assistant</t>
  </si>
  <si>
    <t>berry.lana@cusd80.com</t>
  </si>
  <si>
    <t>Caviar</t>
  </si>
  <si>
    <t>caviar.heather@cusd80.com</t>
  </si>
  <si>
    <t>JOHN</t>
  </si>
  <si>
    <t>WHITENECK</t>
  </si>
  <si>
    <t>whiteneck.john@cusd80.com</t>
  </si>
  <si>
    <t>Data Coordinator</t>
  </si>
  <si>
    <t>Yabarra</t>
  </si>
  <si>
    <t>ybarra.steve@cusd80.com</t>
  </si>
  <si>
    <t>Willis Junior High School</t>
  </si>
  <si>
    <t>'070280104</t>
  </si>
  <si>
    <t>Delp</t>
  </si>
  <si>
    <t>delp.jeff@cusd80.com</t>
  </si>
  <si>
    <t>'070280105</t>
  </si>
  <si>
    <t>Becky</t>
  </si>
  <si>
    <t>Henderson.becky@cusd80.com</t>
  </si>
  <si>
    <t>Elementary Principal</t>
  </si>
  <si>
    <t>Galveston Elementary School</t>
  </si>
  <si>
    <t>'070280107</t>
  </si>
  <si>
    <t>Annette</t>
  </si>
  <si>
    <t>Addair</t>
  </si>
  <si>
    <t>addair.annette@cusd80.com</t>
  </si>
  <si>
    <t>Hartford Sylvia Encinas Elementary</t>
  </si>
  <si>
    <t>'070280108</t>
  </si>
  <si>
    <t>Knox Gifted Academy</t>
  </si>
  <si>
    <t>'070280109</t>
  </si>
  <si>
    <t>Weed</t>
  </si>
  <si>
    <t>weed.lynn@cusd80.com</t>
  </si>
  <si>
    <t>Willie &amp; Coy Payne Jr. High</t>
  </si>
  <si>
    <t>'070280110</t>
  </si>
  <si>
    <t>'070280111</t>
  </si>
  <si>
    <t>Anna Marie Jacobson  Elementary School</t>
  </si>
  <si>
    <t>'070280112</t>
  </si>
  <si>
    <t>Liz</t>
  </si>
  <si>
    <t>wolf.liz@cusd80.com</t>
  </si>
  <si>
    <t>Sanborn Elementary School</t>
  </si>
  <si>
    <t>'070280113</t>
  </si>
  <si>
    <t>Chandler Traditional Academy - Goodman</t>
  </si>
  <si>
    <t>'070280114</t>
  </si>
  <si>
    <t>graham.lisa@cusd80.com</t>
  </si>
  <si>
    <t>Weinberg Gifted Academy</t>
  </si>
  <si>
    <t>'070280115</t>
  </si>
  <si>
    <t>John M Andersen Elementary School</t>
  </si>
  <si>
    <t>'070280116</t>
  </si>
  <si>
    <t>Chandler Traditional Academy-Humphrey</t>
  </si>
  <si>
    <t>'070280117</t>
  </si>
  <si>
    <t>Luke</t>
  </si>
  <si>
    <t>Hickey</t>
  </si>
  <si>
    <t>hickey.luke@cusd80.com</t>
  </si>
  <si>
    <t>John M Andersen Jr High School</t>
  </si>
  <si>
    <t>'070280118</t>
  </si>
  <si>
    <t>Shumway Leadership Academy</t>
  </si>
  <si>
    <t>'070280119</t>
  </si>
  <si>
    <t>Korry</t>
  </si>
  <si>
    <t>Brenner</t>
  </si>
  <si>
    <t>brenner.korry@cusd80.com</t>
  </si>
  <si>
    <t>Bogle Junior High School</t>
  </si>
  <si>
    <t>'070280120</t>
  </si>
  <si>
    <t>Santan Junior High School</t>
  </si>
  <si>
    <t>'070280121</t>
  </si>
  <si>
    <t>Dr Howard K Conley Elementary School</t>
  </si>
  <si>
    <t>'070280122</t>
  </si>
  <si>
    <t>Rudy G Bologna Elementary</t>
  </si>
  <si>
    <t>'070280124</t>
  </si>
  <si>
    <t>Thuy</t>
  </si>
  <si>
    <t>Padilla</t>
  </si>
  <si>
    <t>padilla.thuy@cusd80.com</t>
  </si>
  <si>
    <t>Robert and Danell Tarwater Elementary</t>
  </si>
  <si>
    <t>'070280127</t>
  </si>
  <si>
    <t>hale.diane@cusd80.com</t>
  </si>
  <si>
    <t>Basha Elementary</t>
  </si>
  <si>
    <t>'070280129</t>
  </si>
  <si>
    <t>Jane D. Hull Elementary</t>
  </si>
  <si>
    <t>'070280130</t>
  </si>
  <si>
    <t>T. Dale Hancock Elementary School</t>
  </si>
  <si>
    <t>'070280131</t>
  </si>
  <si>
    <t>Navarrete Elementary</t>
  </si>
  <si>
    <t>'070280132</t>
  </si>
  <si>
    <t>Chandler Traditional Academy - Liberty Campus</t>
  </si>
  <si>
    <t>'070280133</t>
  </si>
  <si>
    <t>Chandler Traditional Academy-Freedom</t>
  </si>
  <si>
    <t>'070280134</t>
  </si>
  <si>
    <t>Audrey &amp; Robert Ryan Elementary</t>
  </si>
  <si>
    <t>'070280135</t>
  </si>
  <si>
    <t>wells.diane@cusd80.com</t>
  </si>
  <si>
    <t>Chandler Traditional Academy - Independence</t>
  </si>
  <si>
    <t>'070280136</t>
  </si>
  <si>
    <t>Hendricsen</t>
  </si>
  <si>
    <t>hendricsen.frank@cusd80.com</t>
  </si>
  <si>
    <t>Santan Elementary</t>
  </si>
  <si>
    <t>'070280137</t>
  </si>
  <si>
    <t>Ira A. Fulton Elementary</t>
  </si>
  <si>
    <t>'070280138</t>
  </si>
  <si>
    <t>Riggs Elementary</t>
  </si>
  <si>
    <t>'070280139</t>
  </si>
  <si>
    <t>Charlotte Patterson Elementary</t>
  </si>
  <si>
    <t>'070280140</t>
  </si>
  <si>
    <t>Haley Elementary</t>
  </si>
  <si>
    <t>'070280141</t>
  </si>
  <si>
    <t>John &amp; Carol Carlson Elementary</t>
  </si>
  <si>
    <t>'070280142</t>
  </si>
  <si>
    <t>Andy</t>
  </si>
  <si>
    <t>morgan.andy@cusd80.com</t>
  </si>
  <si>
    <t>Arizona College Prep Oakland Campus</t>
  </si>
  <si>
    <t>'070280145</t>
  </si>
  <si>
    <t>Dr. Gary and Annette Auxier Elementary School</t>
  </si>
  <si>
    <t>'070280146</t>
  </si>
  <si>
    <t>Robert J.C. Rice Elementary School</t>
  </si>
  <si>
    <t>'070280148</t>
  </si>
  <si>
    <t>Chandler High School</t>
  </si>
  <si>
    <t>'070280202</t>
  </si>
  <si>
    <t>Martin.Karen@cusd80.com</t>
  </si>
  <si>
    <t>Templeton</t>
  </si>
  <si>
    <t>templeton.ann@cusd80.com</t>
  </si>
  <si>
    <t>Assist. Principal</t>
  </si>
  <si>
    <t>Basha High School</t>
  </si>
  <si>
    <t>'070280203</t>
  </si>
  <si>
    <t>Hamilton High School</t>
  </si>
  <si>
    <t>'070280223</t>
  </si>
  <si>
    <t>Perry High School</t>
  </si>
  <si>
    <t>'070280228</t>
  </si>
  <si>
    <t>serrano.dan@cusd80.com</t>
  </si>
  <si>
    <t>Arizona College Prep Erie Campus</t>
  </si>
  <si>
    <t>'070280243</t>
  </si>
  <si>
    <t>Ken 'Chief' Hill Learning Academy</t>
  </si>
  <si>
    <t>'070280244</t>
  </si>
  <si>
    <t>Dave</t>
  </si>
  <si>
    <t>Constance</t>
  </si>
  <si>
    <t>Constance.Dave@cusd80.com</t>
  </si>
  <si>
    <t>Dr. Camille Casteel High School</t>
  </si>
  <si>
    <t>'070280247</t>
  </si>
  <si>
    <t>Chandler Online Academy</t>
  </si>
  <si>
    <t>'070280270</t>
  </si>
  <si>
    <t>Jarrett</t>
  </si>
  <si>
    <t>Pack</t>
  </si>
  <si>
    <t>pack.jarrett@cusd80.com</t>
  </si>
  <si>
    <t>Program Director</t>
  </si>
  <si>
    <t>'070281000</t>
  </si>
  <si>
    <t>Tricia</t>
  </si>
  <si>
    <t>Farrington</t>
  </si>
  <si>
    <t>tfarrington@nadaburgsd.org</t>
  </si>
  <si>
    <t>Executive Administrative Assistant to the Superintendent &amp; G</t>
  </si>
  <si>
    <t>Penzone</t>
  </si>
  <si>
    <t>npenzone@nadaburgsd.org</t>
  </si>
  <si>
    <t xml:space="preserve">Director of Educational Services </t>
  </si>
  <si>
    <t>Aspasia</t>
  </si>
  <si>
    <t>Angelou</t>
  </si>
  <si>
    <t>aangelou@nadaburgsd.org</t>
  </si>
  <si>
    <t>Kerre</t>
  </si>
  <si>
    <t>Laabs</t>
  </si>
  <si>
    <t>623.388.21</t>
  </si>
  <si>
    <t>klaabs@nadaburgsd.org</t>
  </si>
  <si>
    <t>Rockcastle</t>
  </si>
  <si>
    <t>prockcastle@nadaburgsd.org</t>
  </si>
  <si>
    <t>Receptionist</t>
  </si>
  <si>
    <t>'070281101</t>
  </si>
  <si>
    <t>Curtis</t>
  </si>
  <si>
    <t>McCandlish</t>
  </si>
  <si>
    <t>cmccandlish@nadaburgsd.org</t>
  </si>
  <si>
    <t>Desert Oasis Elementary School</t>
  </si>
  <si>
    <t>'070281102</t>
  </si>
  <si>
    <t>bcollins@nadaburgsd.org</t>
  </si>
  <si>
    <t>Angie</t>
  </si>
  <si>
    <t>Mason</t>
  </si>
  <si>
    <t>amason@nadaburgsd.org</t>
  </si>
  <si>
    <t>Nadaburg Online Virtual Academy</t>
  </si>
  <si>
    <t>'070281103</t>
  </si>
  <si>
    <t>Mountainside High School</t>
  </si>
  <si>
    <t>'070281201</t>
  </si>
  <si>
    <t>'070289000</t>
  </si>
  <si>
    <t>Luisa</t>
  </si>
  <si>
    <t>luisa.brown@dysart.org</t>
  </si>
  <si>
    <t>Quinn</t>
  </si>
  <si>
    <t>Kellis</t>
  </si>
  <si>
    <t>quinn.kellis@dysart.org</t>
  </si>
  <si>
    <t>Marydel</t>
  </si>
  <si>
    <t>Speidell</t>
  </si>
  <si>
    <t>marydel.speidell@dysart.org</t>
  </si>
  <si>
    <t>Budget Coordinator</t>
  </si>
  <si>
    <t>Hicks</t>
  </si>
  <si>
    <t>kenneth.hicks@dysart.org</t>
  </si>
  <si>
    <t xml:space="preserve">Asst Superintendent of Business Services </t>
  </si>
  <si>
    <t>suzanne.smith@dysart.org</t>
  </si>
  <si>
    <t>Applications Analyst (Designated User)</t>
  </si>
  <si>
    <t>Bobbie</t>
  </si>
  <si>
    <t>Jojola</t>
  </si>
  <si>
    <t>Bobbie.jojola@dysart.org</t>
  </si>
  <si>
    <t>Dysart Elementary School</t>
  </si>
  <si>
    <t>'070289101</t>
  </si>
  <si>
    <t>Shaw</t>
  </si>
  <si>
    <t>linda.shaw@dysart.org</t>
  </si>
  <si>
    <t>Principal2</t>
  </si>
  <si>
    <t>El Mirage School</t>
  </si>
  <si>
    <t>'070289102</t>
  </si>
  <si>
    <t>Love</t>
  </si>
  <si>
    <t>mlove@dysart.org</t>
  </si>
  <si>
    <t>Luke Elementary School</t>
  </si>
  <si>
    <t>'070289103</t>
  </si>
  <si>
    <t>Hill</t>
  </si>
  <si>
    <t>kathy.hill@dysart.org</t>
  </si>
  <si>
    <t>Surprise Elementary School</t>
  </si>
  <si>
    <t>'070289104</t>
  </si>
  <si>
    <t>Karie</t>
  </si>
  <si>
    <t>karie.burns@dysart.org</t>
  </si>
  <si>
    <t>stephanie.lawrence@dysart.org</t>
  </si>
  <si>
    <t>Freedom Traditional Academy</t>
  </si>
  <si>
    <t>'070289105</t>
  </si>
  <si>
    <t>Kingswood Elementary School</t>
  </si>
  <si>
    <t>'070289106</t>
  </si>
  <si>
    <t>St Germain</t>
  </si>
  <si>
    <t>jeremy.stgermain@dysart.org</t>
  </si>
  <si>
    <t>Asante Preparatory Academy</t>
  </si>
  <si>
    <t>'070289107</t>
  </si>
  <si>
    <t>West Point Elementary School</t>
  </si>
  <si>
    <t>'070289108</t>
  </si>
  <si>
    <t>Kieffer</t>
  </si>
  <si>
    <t>Christopher.Kieffer@dysart.org</t>
  </si>
  <si>
    <t>Marilee</t>
  </si>
  <si>
    <t>Timbrooks</t>
  </si>
  <si>
    <t>Marilee.Timbrooks@dysart.org</t>
  </si>
  <si>
    <t>Countryside Elementary School</t>
  </si>
  <si>
    <t>'070289109</t>
  </si>
  <si>
    <t>Black</t>
  </si>
  <si>
    <t>jayson.black@dysart.org</t>
  </si>
  <si>
    <t>Ashton Ranch Elementary School</t>
  </si>
  <si>
    <t>'070289111</t>
  </si>
  <si>
    <t>Stoeve</t>
  </si>
  <si>
    <t>David.stoeve@dysart.org</t>
  </si>
  <si>
    <t>Cimarron Springs Elementary</t>
  </si>
  <si>
    <t>'070289112</t>
  </si>
  <si>
    <t>McRae</t>
  </si>
  <si>
    <t>wade.mcrae@dysart.org</t>
  </si>
  <si>
    <t>Kristie</t>
  </si>
  <si>
    <t>Marley Park Elementary</t>
  </si>
  <si>
    <t>'070289116</t>
  </si>
  <si>
    <t>Kaye</t>
  </si>
  <si>
    <t>dana.kaye@dysart.org</t>
  </si>
  <si>
    <t>Thompson Ranch Elementary</t>
  </si>
  <si>
    <t>'070289117</t>
  </si>
  <si>
    <t>veronica.vasquez@dysart.org</t>
  </si>
  <si>
    <t>Saunders</t>
  </si>
  <si>
    <t>Sunset Hills Elementary</t>
  </si>
  <si>
    <t>'070289118</t>
  </si>
  <si>
    <t>Josephine</t>
  </si>
  <si>
    <t>Tokhi</t>
  </si>
  <si>
    <t>josephine.tokhi@dysart.org</t>
  </si>
  <si>
    <t>Rancho Gabriela</t>
  </si>
  <si>
    <t>'070289119</t>
  </si>
  <si>
    <t>Christopher (Scott)</t>
  </si>
  <si>
    <t>Kerr</t>
  </si>
  <si>
    <t>scott.kerr@dysart.org</t>
  </si>
  <si>
    <t>sthompson@dysart.org</t>
  </si>
  <si>
    <t>Exec. Director for Business Svcs.</t>
  </si>
  <si>
    <t>Sonoran Heights Elementary</t>
  </si>
  <si>
    <t>'070289120</t>
  </si>
  <si>
    <t>Therese</t>
  </si>
  <si>
    <t>Tipton</t>
  </si>
  <si>
    <t>Therese.Tipton@dysart.org</t>
  </si>
  <si>
    <t>Frazier</t>
  </si>
  <si>
    <t>Western Peaks Elementary</t>
  </si>
  <si>
    <t>'070289121</t>
  </si>
  <si>
    <t>jean.hunt@dysart.org</t>
  </si>
  <si>
    <t>Dannene</t>
  </si>
  <si>
    <t>Truett</t>
  </si>
  <si>
    <t>dannene.truett@dysart.org</t>
  </si>
  <si>
    <t>stacie.brown@dysart.org</t>
  </si>
  <si>
    <t>Parkview Elementary</t>
  </si>
  <si>
    <t>'070289122</t>
  </si>
  <si>
    <t>Rosalind</t>
  </si>
  <si>
    <t>Fisher</t>
  </si>
  <si>
    <t>rosalind.fisher@dysart.org</t>
  </si>
  <si>
    <t>Mountain View</t>
  </si>
  <si>
    <t>'070289123</t>
  </si>
  <si>
    <t>gail.miller@dysart.org</t>
  </si>
  <si>
    <t>Meghan</t>
  </si>
  <si>
    <t>St.Germain</t>
  </si>
  <si>
    <t>Canyon Ridge School</t>
  </si>
  <si>
    <t>'070289124</t>
  </si>
  <si>
    <t>Shelly</t>
  </si>
  <si>
    <t>Isai</t>
  </si>
  <si>
    <t>shelley.isai@dysart.org</t>
  </si>
  <si>
    <t>Riverview School</t>
  </si>
  <si>
    <t>'070289127</t>
  </si>
  <si>
    <t>Willingham</t>
  </si>
  <si>
    <t>andrea.willingham@dysart.org</t>
  </si>
  <si>
    <t>Dysart High School</t>
  </si>
  <si>
    <t>'070289205</t>
  </si>
  <si>
    <t>Dysart iSchool</t>
  </si>
  <si>
    <t>'070289206</t>
  </si>
  <si>
    <t>Willow Canyon High School</t>
  </si>
  <si>
    <t>'070289210</t>
  </si>
  <si>
    <t>Jayne</t>
  </si>
  <si>
    <t>Wieferich</t>
  </si>
  <si>
    <t>jayne.weiferich@dysart.org</t>
  </si>
  <si>
    <t>LoMazzo</t>
  </si>
  <si>
    <t>Kim.LoMazzo@dysart.org</t>
  </si>
  <si>
    <t>Valley Vista High School</t>
  </si>
  <si>
    <t>'070289220</t>
  </si>
  <si>
    <t>Lockhart</t>
  </si>
  <si>
    <t>roberta.lockhart@dysart.org</t>
  </si>
  <si>
    <t>Shadow Ridge High School</t>
  </si>
  <si>
    <t>'070289225</t>
  </si>
  <si>
    <t>michael.hawkins@dysart.org</t>
  </si>
  <si>
    <t>Luisa.Brown@dysart.org</t>
  </si>
  <si>
    <t>Saddle Mountain Unified School District</t>
  </si>
  <si>
    <t>'070290000</t>
  </si>
  <si>
    <t>Rosaura</t>
  </si>
  <si>
    <t>vivian.martinez@smusd90.org</t>
  </si>
  <si>
    <t>Director of Academic Services</t>
  </si>
  <si>
    <t>Tighe</t>
  </si>
  <si>
    <t>paul.tighe@smusd90.org</t>
  </si>
  <si>
    <t>Waddle</t>
  </si>
  <si>
    <t>kirk.waddle@smusd90.org</t>
  </si>
  <si>
    <t xml:space="preserve">Business Manager </t>
  </si>
  <si>
    <t>Anna Marie</t>
  </si>
  <si>
    <t>annamarie.perry@smusd90.org</t>
  </si>
  <si>
    <t>Tonopah Valley High School</t>
  </si>
  <si>
    <t>'070290002</t>
  </si>
  <si>
    <t>Sigala</t>
  </si>
  <si>
    <t>jsigala@smusd.com</t>
  </si>
  <si>
    <t>Edgar</t>
  </si>
  <si>
    <t>egarcia@smusd.com</t>
  </si>
  <si>
    <t>Ruth Fisher Middle School</t>
  </si>
  <si>
    <t>'070290101</t>
  </si>
  <si>
    <t>Joraanstad</t>
  </si>
  <si>
    <t>mark.joraanstad@smusd90.org</t>
  </si>
  <si>
    <t>Molina</t>
  </si>
  <si>
    <t>rene.molina@smusd90.org</t>
  </si>
  <si>
    <t>rwilliams@smusd.com</t>
  </si>
  <si>
    <t>Tartesso Elementary School</t>
  </si>
  <si>
    <t>'070290102</t>
  </si>
  <si>
    <t>Winters Well Elementary School</t>
  </si>
  <si>
    <t>'070290104</t>
  </si>
  <si>
    <t>jkeith@smusd.com</t>
  </si>
  <si>
    <t>Cave Creek Unified District</t>
  </si>
  <si>
    <t>'070293000</t>
  </si>
  <si>
    <t>Debbi</t>
  </si>
  <si>
    <t>Burdick</t>
  </si>
  <si>
    <t>dburdick@ccusd93.org</t>
  </si>
  <si>
    <t>Leedy</t>
  </si>
  <si>
    <t>tleedy@ccusd93.net</t>
  </si>
  <si>
    <t>Frison</t>
  </si>
  <si>
    <t>kfrison@ccusd93.org</t>
  </si>
  <si>
    <t>Jmiller@ccusd93.org</t>
  </si>
  <si>
    <t>Curriculum Contact/Accountability</t>
  </si>
  <si>
    <t>Chiarello</t>
  </si>
  <si>
    <t>tchiarello@ccusd93.org</t>
  </si>
  <si>
    <t>Sonoran Trails Middle School</t>
  </si>
  <si>
    <t>'070293101</t>
  </si>
  <si>
    <t>Dolezal</t>
  </si>
  <si>
    <t>BDolezal@ccusd93.org</t>
  </si>
  <si>
    <t>Black Mountain Elementary School</t>
  </si>
  <si>
    <t>'070293102</t>
  </si>
  <si>
    <t>Owsley</t>
  </si>
  <si>
    <t>mowsley@ccusd93.org</t>
  </si>
  <si>
    <t>Desert Willow Elementary School</t>
  </si>
  <si>
    <t>'070293105</t>
  </si>
  <si>
    <t>regan@ccusd93.org</t>
  </si>
  <si>
    <t>Desert Sun Academy</t>
  </si>
  <si>
    <t>'070293106</t>
  </si>
  <si>
    <t>Bagwell</t>
  </si>
  <si>
    <t>abagwell@ccusd93.org</t>
  </si>
  <si>
    <t>Lone Mountain Elementary School</t>
  </si>
  <si>
    <t>'070293107</t>
  </si>
  <si>
    <t>Horseshoe Trails Elementary School</t>
  </si>
  <si>
    <t>'070293108</t>
  </si>
  <si>
    <t>Cave Creek Academy of Excellence</t>
  </si>
  <si>
    <t>'070293109</t>
  </si>
  <si>
    <t>Denis</t>
  </si>
  <si>
    <t>Alcock</t>
  </si>
  <si>
    <t>denis.alcock@ccusd93.net</t>
  </si>
  <si>
    <t>Systems Engineer</t>
  </si>
  <si>
    <t>Stefanye</t>
  </si>
  <si>
    <t>Dixon</t>
  </si>
  <si>
    <t>stefanye.dixon@ccusd93.net</t>
  </si>
  <si>
    <t>SIS Analyst</t>
  </si>
  <si>
    <t>Aden</t>
  </si>
  <si>
    <t>christopher.aden@ccusd93.net</t>
  </si>
  <si>
    <t>Data Integrity Specialist</t>
  </si>
  <si>
    <t>Cactus Shadows High School</t>
  </si>
  <si>
    <t>'070293204</t>
  </si>
  <si>
    <t>Desiree</t>
  </si>
  <si>
    <t>D'Ambrosi</t>
  </si>
  <si>
    <t>ddambrosi@ccusd93.org</t>
  </si>
  <si>
    <t>Swetter</t>
  </si>
  <si>
    <t>jswetter@ccusd93.net</t>
  </si>
  <si>
    <t xml:space="preserve">Principle </t>
  </si>
  <si>
    <t>Tabitha</t>
  </si>
  <si>
    <t>Treece</t>
  </si>
  <si>
    <t>ttreece@ccusd93.net</t>
  </si>
  <si>
    <t xml:space="preserve">Administrative Assistant </t>
  </si>
  <si>
    <t>Queen Creek Unified District</t>
  </si>
  <si>
    <t>'070295000</t>
  </si>
  <si>
    <t>pberry@qcusd.org</t>
  </si>
  <si>
    <t>ecopeland@qcusd.org</t>
  </si>
  <si>
    <t>Cort</t>
  </si>
  <si>
    <t>cmonroe2@qcusd.org</t>
  </si>
  <si>
    <t>Asst. Superintendent</t>
  </si>
  <si>
    <t>Strom</t>
  </si>
  <si>
    <t>mstrom@qcusd.org</t>
  </si>
  <si>
    <t>Chasity</t>
  </si>
  <si>
    <t>Cruz</t>
  </si>
  <si>
    <t>ccruz@qcusd.org</t>
  </si>
  <si>
    <t>Elyse</t>
  </si>
  <si>
    <t>Torbert</t>
  </si>
  <si>
    <t>etorbert@qcusd.org</t>
  </si>
  <si>
    <t>Pillsbury</t>
  </si>
  <si>
    <t>epillsbury@qcusd.org</t>
  </si>
  <si>
    <t>Charlie</t>
  </si>
  <si>
    <t>cmartin3@qcusd.org</t>
  </si>
  <si>
    <t>Weston</t>
  </si>
  <si>
    <t>jweston@qcusd.org</t>
  </si>
  <si>
    <t>Eileen</t>
  </si>
  <si>
    <t>Beverage</t>
  </si>
  <si>
    <t>ebeverage@qcusd.org</t>
  </si>
  <si>
    <t>Attendance Clerk</t>
  </si>
  <si>
    <t>Brandi</t>
  </si>
  <si>
    <t>Vindiola</t>
  </si>
  <si>
    <t>BVindiola@qcusd.org</t>
  </si>
  <si>
    <t>Zamora</t>
  </si>
  <si>
    <t>czamora@qcusd.org</t>
  </si>
  <si>
    <t>SAIS  Technology Coordinator</t>
  </si>
  <si>
    <t>Katherine Mecham Barney Elementary</t>
  </si>
  <si>
    <t>'070295009</t>
  </si>
  <si>
    <t>Queen Creek Elementary School</t>
  </si>
  <si>
    <t>'070295101</t>
  </si>
  <si>
    <t>Desert Mountain Elementary</t>
  </si>
  <si>
    <t>'070295102</t>
  </si>
  <si>
    <t>bschultz@qcusd.org</t>
  </si>
  <si>
    <t>Prinicpal</t>
  </si>
  <si>
    <t>Jack Barnes Elementary School</t>
  </si>
  <si>
    <t>'070295103</t>
  </si>
  <si>
    <t>Frances Brandon-Pickett Elementary</t>
  </si>
  <si>
    <t>'070295104</t>
  </si>
  <si>
    <t>Towns</t>
  </si>
  <si>
    <t>stowns@qcusd.org</t>
  </si>
  <si>
    <t>Gateway Polytechnic Academy</t>
  </si>
  <si>
    <t>'070295105</t>
  </si>
  <si>
    <t>Crystal</t>
  </si>
  <si>
    <t>Korpan</t>
  </si>
  <si>
    <t>ckorpan@qcusd.org</t>
  </si>
  <si>
    <t>Queen Creek Junior High School</t>
  </si>
  <si>
    <t>'070295106</t>
  </si>
  <si>
    <t>Faith Mather Sossaman Elementary School</t>
  </si>
  <si>
    <t>'070295107</t>
  </si>
  <si>
    <t>Silver Valley Elementary</t>
  </si>
  <si>
    <t>'070295108</t>
  </si>
  <si>
    <t>Newell Barney Junior High</t>
  </si>
  <si>
    <t>'070295121</t>
  </si>
  <si>
    <t>djohnson@qcusd.org</t>
  </si>
  <si>
    <t>Queen Creek Virtual Academy</t>
  </si>
  <si>
    <t>'070295200</t>
  </si>
  <si>
    <t>Queen Creek High School</t>
  </si>
  <si>
    <t>'070295201</t>
  </si>
  <si>
    <t>Gagnon</t>
  </si>
  <si>
    <t>pgagnon@qcusd.org</t>
  </si>
  <si>
    <t>Eastmark High School</t>
  </si>
  <si>
    <t>'070295202</t>
  </si>
  <si>
    <t>Deer Valley Unified District</t>
  </si>
  <si>
    <t>'070297000</t>
  </si>
  <si>
    <t>Finch</t>
  </si>
  <si>
    <t>superintendent@dvusd.org</t>
  </si>
  <si>
    <t>Splittberger</t>
  </si>
  <si>
    <t>dale.splittberger@dvusd.org</t>
  </si>
  <si>
    <t>Migliorino</t>
  </si>
  <si>
    <t>jim.migliorino@dvusd.org</t>
  </si>
  <si>
    <t>Mock</t>
  </si>
  <si>
    <t>heather.mock@dvusd.org</t>
  </si>
  <si>
    <t>Lasham</t>
  </si>
  <si>
    <t>julie.lasham@dvusd.org</t>
  </si>
  <si>
    <t>Finance Clerk - Federal and State Grants</t>
  </si>
  <si>
    <t>Parks</t>
  </si>
  <si>
    <t>susan.parks@dvusd.org</t>
  </si>
  <si>
    <t>Programmer Analyst/Sais Technology Coordinator</t>
  </si>
  <si>
    <t>Wang</t>
  </si>
  <si>
    <t>sean.wang@dvusd.org</t>
  </si>
  <si>
    <t>Software Manager</t>
  </si>
  <si>
    <t>Deer Valley Middle School</t>
  </si>
  <si>
    <t>'070297111</t>
  </si>
  <si>
    <t>Carla</t>
  </si>
  <si>
    <t>carla.phillips@dvusd.org</t>
  </si>
  <si>
    <t>Gerhardt</t>
  </si>
  <si>
    <t>debbie.gerhardt@dvusd.org</t>
  </si>
  <si>
    <t>Tamela</t>
  </si>
  <si>
    <t>Harris</t>
  </si>
  <si>
    <t>tamela.harris@dvusd.org</t>
  </si>
  <si>
    <t>Powell</t>
  </si>
  <si>
    <t>nikki.powell@dvusd.org</t>
  </si>
  <si>
    <t>'070297112</t>
  </si>
  <si>
    <t>Weinman</t>
  </si>
  <si>
    <t>melissa.weinman@dvusd.org</t>
  </si>
  <si>
    <t>New River Elementary School</t>
  </si>
  <si>
    <t>'070297113</t>
  </si>
  <si>
    <t>Tennille</t>
  </si>
  <si>
    <t>stephanie.tennille@dvusd.org</t>
  </si>
  <si>
    <t>darcy.moore@dvusd.org</t>
  </si>
  <si>
    <t>Park Meadows Elementary School</t>
  </si>
  <si>
    <t>'070297114</t>
  </si>
  <si>
    <t>Lettieri</t>
  </si>
  <si>
    <t>robert.lettieri@dvusd.org</t>
  </si>
  <si>
    <t>Wick</t>
  </si>
  <si>
    <t>joan.wick@dvusd.org</t>
  </si>
  <si>
    <t>Constitution Elementary School</t>
  </si>
  <si>
    <t>'070297115</t>
  </si>
  <si>
    <t>Katherine</t>
  </si>
  <si>
    <t>Hutchinson Hayes</t>
  </si>
  <si>
    <t>KATHERINE</t>
  </si>
  <si>
    <t>GRIFFITH</t>
  </si>
  <si>
    <t>Oesterle</t>
  </si>
  <si>
    <t>mark.oesterle@dvusd.org</t>
  </si>
  <si>
    <t>Cheyana</t>
  </si>
  <si>
    <t>Leiva</t>
  </si>
  <si>
    <t>cheyana.leiva@dvusd.org</t>
  </si>
  <si>
    <t>Sunrise Elementary School</t>
  </si>
  <si>
    <t>'070297117</t>
  </si>
  <si>
    <t>Dial</t>
  </si>
  <si>
    <t>karen.dial@dvusd.org</t>
  </si>
  <si>
    <t>Mirage Elementary School</t>
  </si>
  <si>
    <t>'070297120</t>
  </si>
  <si>
    <t>Wilber</t>
  </si>
  <si>
    <t>jamie.wilber@dvusd.org</t>
  </si>
  <si>
    <t>Desert Sky Middle School</t>
  </si>
  <si>
    <t>'070297121</t>
  </si>
  <si>
    <t>Cardelli</t>
  </si>
  <si>
    <t>wendy.cardelli@dvusd.org</t>
  </si>
  <si>
    <t>Niki</t>
  </si>
  <si>
    <t>niki.hart@dvusd.org</t>
  </si>
  <si>
    <t>Resetar</t>
  </si>
  <si>
    <t>patricia.resetar@dvusd.org</t>
  </si>
  <si>
    <t>JoAnn</t>
  </si>
  <si>
    <t>Schwarting</t>
  </si>
  <si>
    <t>joann.schwarting@dvusd.org</t>
  </si>
  <si>
    <t>Weiser</t>
  </si>
  <si>
    <t>sharon.wieser@dvusd.org</t>
  </si>
  <si>
    <t>Bellair Elementary School</t>
  </si>
  <si>
    <t>'070297122</t>
  </si>
  <si>
    <t>Dettorre</t>
  </si>
  <si>
    <t>Jackie.Dettorre@dvusd.org</t>
  </si>
  <si>
    <t>Greenbrier Elementary School</t>
  </si>
  <si>
    <t>'070297123</t>
  </si>
  <si>
    <t>Jody</t>
  </si>
  <si>
    <t>Brammer</t>
  </si>
  <si>
    <t>Jody.Brammer@dvusd.org</t>
  </si>
  <si>
    <t>Mountain Shadows Elementary School</t>
  </si>
  <si>
    <t>'070297125</t>
  </si>
  <si>
    <t>Teran</t>
  </si>
  <si>
    <t>Veronica.Teran@dvusd.org</t>
  </si>
  <si>
    <t>Vista Peak</t>
  </si>
  <si>
    <t>'070297126</t>
  </si>
  <si>
    <t>Arrowhead Elementary School</t>
  </si>
  <si>
    <t>'070297127</t>
  </si>
  <si>
    <t>Bertha</t>
  </si>
  <si>
    <t>Ciaramello</t>
  </si>
  <si>
    <t>bertha.ciaramello@dvusd.org</t>
  </si>
  <si>
    <t>Vivian</t>
  </si>
  <si>
    <t>vivian.hunt@dvusd.org</t>
  </si>
  <si>
    <t>nancy.holly@dvusd.org</t>
  </si>
  <si>
    <t>Nichols</t>
  </si>
  <si>
    <t>julie.nichols@dvusd.org</t>
  </si>
  <si>
    <t>Hillcrest Middle School</t>
  </si>
  <si>
    <t>'070297128</t>
  </si>
  <si>
    <t>Dannene.Truett@dvusd.org</t>
  </si>
  <si>
    <t>Estela</t>
  </si>
  <si>
    <t>Hazelton</t>
  </si>
  <si>
    <t>estela.hazelton@dvusd.org</t>
  </si>
  <si>
    <t xml:space="preserve">Robin </t>
  </si>
  <si>
    <t>Hollowell</t>
  </si>
  <si>
    <t>Desert Sage Elementary School</t>
  </si>
  <si>
    <t>'070297129</t>
  </si>
  <si>
    <t>Crain</t>
  </si>
  <si>
    <t>lisa.crain@dvusd.org</t>
  </si>
  <si>
    <t>'070297130</t>
  </si>
  <si>
    <t>Sepuka</t>
  </si>
  <si>
    <t>melissa.sepuka@dvusd.org</t>
  </si>
  <si>
    <t>Las Brisas Elementary School</t>
  </si>
  <si>
    <t>'070297131</t>
  </si>
  <si>
    <t>Muriel</t>
  </si>
  <si>
    <t>Omelis</t>
  </si>
  <si>
    <t>muriel.ornelis@dvusd.org</t>
  </si>
  <si>
    <t>Malvin</t>
  </si>
  <si>
    <t>jonathan.malvin@dvusd.org</t>
  </si>
  <si>
    <t>Desert Mountain School</t>
  </si>
  <si>
    <t>'070297132</t>
  </si>
  <si>
    <t>Ashley</t>
  </si>
  <si>
    <t>McClain</t>
  </si>
  <si>
    <t>Ashley.McClain@dvusd.org</t>
  </si>
  <si>
    <t>Sienna</t>
  </si>
  <si>
    <t>Shively</t>
  </si>
  <si>
    <t>sienna.shively@dvusd.org</t>
  </si>
  <si>
    <t>Marolyn</t>
  </si>
  <si>
    <t>Haws</t>
  </si>
  <si>
    <t>Business Manager, Assistant Principal</t>
  </si>
  <si>
    <t>Copper Creek Elementary School</t>
  </si>
  <si>
    <t>'070297134</t>
  </si>
  <si>
    <t>Fineberg</t>
  </si>
  <si>
    <t>brian.fineberg@dvusd.org</t>
  </si>
  <si>
    <t>McNeill</t>
  </si>
  <si>
    <t>kathy.mcneill@dvusd.org</t>
  </si>
  <si>
    <t>Paseo Hills School</t>
  </si>
  <si>
    <t>'070297135</t>
  </si>
  <si>
    <t>Trevor</t>
  </si>
  <si>
    <t>Ettenborough</t>
  </si>
  <si>
    <t>Trevor.Ettenborough@dvusd.org</t>
  </si>
  <si>
    <t>Pace</t>
  </si>
  <si>
    <t>dawn.pace@dvusd.org</t>
  </si>
  <si>
    <t>Highland Lakes School</t>
  </si>
  <si>
    <t>'070297136</t>
  </si>
  <si>
    <t>mark.anderson@dvusd.org</t>
  </si>
  <si>
    <t>Wieser</t>
  </si>
  <si>
    <t>Ellington</t>
  </si>
  <si>
    <t>mary.ellington@dvusd.org</t>
  </si>
  <si>
    <t>Anthem School</t>
  </si>
  <si>
    <t>'070297137</t>
  </si>
  <si>
    <t>Roets</t>
  </si>
  <si>
    <t>deb.roets@dvusd.org</t>
  </si>
  <si>
    <t>Hawes</t>
  </si>
  <si>
    <t>Marolyn.Haws@dvusd.org</t>
  </si>
  <si>
    <t>Joli</t>
  </si>
  <si>
    <t>Reichert</t>
  </si>
  <si>
    <t>Joli.Reichert@dvusd.org</t>
  </si>
  <si>
    <t>Legend Springs Elementary</t>
  </si>
  <si>
    <t>'070297138</t>
  </si>
  <si>
    <t>Donahue</t>
  </si>
  <si>
    <t>christine.donahue@dvusd.org</t>
  </si>
  <si>
    <t>Sierra Verde STEAM Academy</t>
  </si>
  <si>
    <t>'070297139</t>
  </si>
  <si>
    <t>Tseunis</t>
  </si>
  <si>
    <t>paula.tseunis@dvusd.org</t>
  </si>
  <si>
    <t>Stetson Hills School</t>
  </si>
  <si>
    <t>'070297140</t>
  </si>
  <si>
    <t>Krista</t>
  </si>
  <si>
    <t>Krista.Anderson@dvusd.org</t>
  </si>
  <si>
    <t>KATHY</t>
  </si>
  <si>
    <t>MCNEILL</t>
  </si>
  <si>
    <t>kathy.mcneill@dw.dvusd.org</t>
  </si>
  <si>
    <t>Jorgensen</t>
  </si>
  <si>
    <t>amy.jorgensen@dvusd.org</t>
  </si>
  <si>
    <t>Gavilan Peak School</t>
  </si>
  <si>
    <t>'070297142</t>
  </si>
  <si>
    <t>Segersten</t>
  </si>
  <si>
    <t>chad.segersten@dvusd.org</t>
  </si>
  <si>
    <t>Terramar Academy of the Arts</t>
  </si>
  <si>
    <t>'070297143</t>
  </si>
  <si>
    <t>Eva</t>
  </si>
  <si>
    <t>Esposito</t>
  </si>
  <si>
    <t>eva.esposito@dvusd.org</t>
  </si>
  <si>
    <t>kim.crooks@dvusd.org</t>
  </si>
  <si>
    <t xml:space="preserve">Interim Principal </t>
  </si>
  <si>
    <t>Lewis</t>
  </si>
  <si>
    <t>michelle.lewis@dvusd.org</t>
  </si>
  <si>
    <t>Sunset Ridge School</t>
  </si>
  <si>
    <t>'070297144</t>
  </si>
  <si>
    <t>Byrn</t>
  </si>
  <si>
    <t>lynnette.byrn@dvusd.org</t>
  </si>
  <si>
    <t>Combs</t>
  </si>
  <si>
    <t>laura.combs@dvusd.org</t>
  </si>
  <si>
    <t>Diamond Canyon School</t>
  </si>
  <si>
    <t>'070297146</t>
  </si>
  <si>
    <t>Tara</t>
  </si>
  <si>
    <t>LeCount</t>
  </si>
  <si>
    <t>tara.lecount@dvusd.org</t>
  </si>
  <si>
    <t>Sheri</t>
  </si>
  <si>
    <t>Duggan</t>
  </si>
  <si>
    <t>sheri.duggan@dvusd.org</t>
  </si>
  <si>
    <t>West Wing School</t>
  </si>
  <si>
    <t>'070297147</t>
  </si>
  <si>
    <t>Price-Barry</t>
  </si>
  <si>
    <t>Linda.Price-Barry@dvusd.org</t>
  </si>
  <si>
    <t>Mauldin</t>
  </si>
  <si>
    <t>Katherine.mauldin@dvusd.org</t>
  </si>
  <si>
    <t>Hatfield</t>
  </si>
  <si>
    <t>leah.hatfield@dvusd.org</t>
  </si>
  <si>
    <t>Canyon Springs STEM Academy</t>
  </si>
  <si>
    <t>'070297148</t>
  </si>
  <si>
    <t>Ruskey</t>
  </si>
  <si>
    <t>Julie.Ruskey@dvusd.org</t>
  </si>
  <si>
    <t>tricia.graham@dvusd.org</t>
  </si>
  <si>
    <t>Adam</t>
  </si>
  <si>
    <t>Laningham</t>
  </si>
  <si>
    <t>Adam.Laningham@dvusd.org</t>
  </si>
  <si>
    <t>Norterra Canyon School</t>
  </si>
  <si>
    <t>'070297149</t>
  </si>
  <si>
    <t>sharon.matt@dvusd.org</t>
  </si>
  <si>
    <t>Tish</t>
  </si>
  <si>
    <t>Mineer</t>
  </si>
  <si>
    <t>tish.mineer@dvusd.org</t>
  </si>
  <si>
    <t>Sonoran Foothills School</t>
  </si>
  <si>
    <t>'070297150</t>
  </si>
  <si>
    <t>Union Park School</t>
  </si>
  <si>
    <t>'070297151</t>
  </si>
  <si>
    <t>Deer Valley High School</t>
  </si>
  <si>
    <t>'070297219</t>
  </si>
  <si>
    <t>Macphee</t>
  </si>
  <si>
    <t>linda.macphee@dvusd.org</t>
  </si>
  <si>
    <t>Heide</t>
  </si>
  <si>
    <t>Gillette</t>
  </si>
  <si>
    <t>heide.gillette@dvusd.org</t>
  </si>
  <si>
    <t>Irvine</t>
  </si>
  <si>
    <t>james.irvine@dvusd.org</t>
  </si>
  <si>
    <t>Crooks</t>
  </si>
  <si>
    <t>john.allen@dvusd.org</t>
  </si>
  <si>
    <t>Duarte</t>
  </si>
  <si>
    <t>Marquelyn</t>
  </si>
  <si>
    <t>marquelyn.shaw@dvusd.org</t>
  </si>
  <si>
    <t>Mora</t>
  </si>
  <si>
    <t>lori.mora@dvusd.org</t>
  </si>
  <si>
    <t>Barry Goldwater High School</t>
  </si>
  <si>
    <t>'070297224</t>
  </si>
  <si>
    <t>mike.andersen@dvusd.org</t>
  </si>
  <si>
    <t>Anita</t>
  </si>
  <si>
    <t>Stulc</t>
  </si>
  <si>
    <t>anita.stulc@dvusd.org</t>
  </si>
  <si>
    <t>Archer</t>
  </si>
  <si>
    <t>Mountain Ridge High School</t>
  </si>
  <si>
    <t>'070297233</t>
  </si>
  <si>
    <t>McMorrow</t>
  </si>
  <si>
    <t>Lisa.McMorrow@dvusd.org</t>
  </si>
  <si>
    <t>Shona</t>
  </si>
  <si>
    <t>Miranda</t>
  </si>
  <si>
    <t>shona.miranda@dvusd.org</t>
  </si>
  <si>
    <t>Sandra Day O'Connor High School</t>
  </si>
  <si>
    <t>'070297241</t>
  </si>
  <si>
    <t>lynn.miller@dvusd.org</t>
  </si>
  <si>
    <t>Jacobs</t>
  </si>
  <si>
    <t>Boulder Creek High School</t>
  </si>
  <si>
    <t>'070297245</t>
  </si>
  <si>
    <t>Lauren</t>
  </si>
  <si>
    <t>Sheahan</t>
  </si>
  <si>
    <t>lauren.sheahan@dvusd.org</t>
  </si>
  <si>
    <t>Borgesen</t>
  </si>
  <si>
    <t>DVUSD Pathways</t>
  </si>
  <si>
    <t>'070297290</t>
  </si>
  <si>
    <t>Deer Valley Online Learning Program</t>
  </si>
  <si>
    <t>'070297299</t>
  </si>
  <si>
    <t>Mohler</t>
  </si>
  <si>
    <t>david.mohler@dvusd.org</t>
  </si>
  <si>
    <t>Manager Administration Services</t>
  </si>
  <si>
    <t>Dale.Splittberger@dvusd.org</t>
  </si>
  <si>
    <t>Fountain Hills Unified District</t>
  </si>
  <si>
    <t>'070298000</t>
  </si>
  <si>
    <t>Allison</t>
  </si>
  <si>
    <t>Barbor</t>
  </si>
  <si>
    <t>abarbor@fhusd.org</t>
  </si>
  <si>
    <t xml:space="preserve">Director of Instructional Support/Designated User </t>
  </si>
  <si>
    <t>Catherine</t>
  </si>
  <si>
    <t>Ciotta</t>
  </si>
  <si>
    <t>aciotta@fhusd.org</t>
  </si>
  <si>
    <t>Fountain.Hills Online</t>
  </si>
  <si>
    <t>'070298003</t>
  </si>
  <si>
    <t>tlawrence@fhusd.org</t>
  </si>
  <si>
    <t>llee@fhusd.org</t>
  </si>
  <si>
    <t>McDowell Mountain Elementary School</t>
  </si>
  <si>
    <t>'070298102</t>
  </si>
  <si>
    <t>Dehombreux</t>
  </si>
  <si>
    <t>vdehombreux@fhusd.org</t>
  </si>
  <si>
    <t>ckeith@fhusd.org</t>
  </si>
  <si>
    <t>Fountain Hills Middle School</t>
  </si>
  <si>
    <t>'070298104</t>
  </si>
  <si>
    <t>agomez@fhusd.org</t>
  </si>
  <si>
    <t>Fountain Hills High School</t>
  </si>
  <si>
    <t>'070298205</t>
  </si>
  <si>
    <t>'070363000</t>
  </si>
  <si>
    <t>Wannemacher</t>
  </si>
  <si>
    <t>awannemacher@aguilaschool.org</t>
  </si>
  <si>
    <t>Gareth</t>
  </si>
  <si>
    <t>gwilliams@aguilaschool.org</t>
  </si>
  <si>
    <t>'070363101</t>
  </si>
  <si>
    <t>Aguila Pre-School</t>
  </si>
  <si>
    <t>'070363102</t>
  </si>
  <si>
    <t>Sentinel Elementary District</t>
  </si>
  <si>
    <t>'070371000</t>
  </si>
  <si>
    <t>Maynes</t>
  </si>
  <si>
    <t>christophermaynes@yahoo.com</t>
  </si>
  <si>
    <t>amaynes@sentinelesd71.org</t>
  </si>
  <si>
    <t>Accountability</t>
  </si>
  <si>
    <t>Sentinel Elementary School</t>
  </si>
  <si>
    <t>'070371101</t>
  </si>
  <si>
    <t>Morristown Elementary District</t>
  </si>
  <si>
    <t>'070375000</t>
  </si>
  <si>
    <t>lthompson@morristowneld75.org</t>
  </si>
  <si>
    <t xml:space="preserve">Head Teacher  </t>
  </si>
  <si>
    <t>Gregory</t>
  </si>
  <si>
    <t>Sackos</t>
  </si>
  <si>
    <t>gsackos@morristowneld75.org</t>
  </si>
  <si>
    <t>Petty</t>
  </si>
  <si>
    <t>jpetty@morristowneld75.org</t>
  </si>
  <si>
    <t>Morristown Elementary School</t>
  </si>
  <si>
    <t>'070375101</t>
  </si>
  <si>
    <t>lthomps@morristowneld75.az.k12us.com</t>
  </si>
  <si>
    <t>Trad</t>
  </si>
  <si>
    <t>mtrad@morristowneld75.org</t>
  </si>
  <si>
    <t>Assistant Head Teacher</t>
  </si>
  <si>
    <t>kmurphy@morristowneld75.org</t>
  </si>
  <si>
    <t>Mobile Elementary District</t>
  </si>
  <si>
    <t>'070386000</t>
  </si>
  <si>
    <t>kwood@mobileesd.org</t>
  </si>
  <si>
    <t xml:space="preserve">Romero dominguez </t>
  </si>
  <si>
    <t>tdominguez@mobileesd.org</t>
  </si>
  <si>
    <t>Superintendent/District Administrator</t>
  </si>
  <si>
    <t>Pam</t>
  </si>
  <si>
    <t>Schrader</t>
  </si>
  <si>
    <t>pschrader@mobileesd.org</t>
  </si>
  <si>
    <t>Agustina</t>
  </si>
  <si>
    <t>Sly</t>
  </si>
  <si>
    <t>asly@mobileesd.org</t>
  </si>
  <si>
    <t>Rockwell</t>
  </si>
  <si>
    <t>Mobile Elementary School</t>
  </si>
  <si>
    <t>'070386101</t>
  </si>
  <si>
    <t>'070394000</t>
  </si>
  <si>
    <t>Turner</t>
  </si>
  <si>
    <t>kturner@palomaesd.org</t>
  </si>
  <si>
    <t>Head Teacher</t>
  </si>
  <si>
    <t>Irma</t>
  </si>
  <si>
    <t>igarcia@palomaesd.org</t>
  </si>
  <si>
    <t>Business Services</t>
  </si>
  <si>
    <t>'070394001</t>
  </si>
  <si>
    <t>'070401000</t>
  </si>
  <si>
    <t>troy.harris@phxschools.org</t>
  </si>
  <si>
    <t>Director, Management Information Systems</t>
  </si>
  <si>
    <t>Weeks</t>
  </si>
  <si>
    <t>larry.weeks@phxschools.org</t>
  </si>
  <si>
    <t>Zeeb</t>
  </si>
  <si>
    <t>sherry.zeeb@phxschools.org</t>
  </si>
  <si>
    <t>Designated User and Director of Federal Programs</t>
  </si>
  <si>
    <t>Durham</t>
  </si>
  <si>
    <t>janice.durham@phxschools.org</t>
  </si>
  <si>
    <t>Director of Budget &amp; Finance</t>
  </si>
  <si>
    <t>Rosanna</t>
  </si>
  <si>
    <t>Hidalgo</t>
  </si>
  <si>
    <t>rosanna.hidalgo@phxschools.org</t>
  </si>
  <si>
    <t>Assistant Superintendent of Business Services</t>
  </si>
  <si>
    <t>Chase</t>
  </si>
  <si>
    <t>paul.chase@phxschools.org</t>
  </si>
  <si>
    <t>Designated User/Director of MIS</t>
  </si>
  <si>
    <t>'070401101</t>
  </si>
  <si>
    <t>Ronnie</t>
  </si>
  <si>
    <t>Pitre</t>
  </si>
  <si>
    <t>ronnie.pitre@phxschools.org</t>
  </si>
  <si>
    <t>'070401102</t>
  </si>
  <si>
    <t>russell.sanders@phxelem.k12.az.us</t>
  </si>
  <si>
    <t>'070401104</t>
  </si>
  <si>
    <t>gail.harris@phxschools.org</t>
  </si>
  <si>
    <t>'070401105</t>
  </si>
  <si>
    <t>Fred</t>
  </si>
  <si>
    <t>Graef</t>
  </si>
  <si>
    <t>fred.graef@phxschools.org</t>
  </si>
  <si>
    <t>'070401106</t>
  </si>
  <si>
    <t>Lucia</t>
  </si>
  <si>
    <t>Raz</t>
  </si>
  <si>
    <t>Lucia.Raz@phxschools.org</t>
  </si>
  <si>
    <t>'070401108</t>
  </si>
  <si>
    <t>Bernal</t>
  </si>
  <si>
    <t>sylvia.bernal@phxschools.org</t>
  </si>
  <si>
    <t>Magnet Traditional School</t>
  </si>
  <si>
    <t>'070401109</t>
  </si>
  <si>
    <t>Adrian</t>
  </si>
  <si>
    <t>adrian.walker@phxschools.org</t>
  </si>
  <si>
    <t>'070401112</t>
  </si>
  <si>
    <t>Silvestre S Herrera School</t>
  </si>
  <si>
    <t>'070401113</t>
  </si>
  <si>
    <t>Kenilworth Elementary School</t>
  </si>
  <si>
    <t>'070401115</t>
  </si>
  <si>
    <t>'070401118</t>
  </si>
  <si>
    <t>Tyson</t>
  </si>
  <si>
    <t>Tyson.Kelly@phxschools.org</t>
  </si>
  <si>
    <t>Mary.Garcia@phxelem.k12.az.us</t>
  </si>
  <si>
    <t>'070401125</t>
  </si>
  <si>
    <t>Clare</t>
  </si>
  <si>
    <t>Okyere</t>
  </si>
  <si>
    <t>clare.okyere@phxschools.org</t>
  </si>
  <si>
    <t>Augustus H. Shaw Montessori</t>
  </si>
  <si>
    <t>'070401130</t>
  </si>
  <si>
    <t>Engdall</t>
  </si>
  <si>
    <t>susan.engdall@phxschools.org</t>
  </si>
  <si>
    <t>'070402000</t>
  </si>
  <si>
    <t>Jaime</t>
  </si>
  <si>
    <t>Rivera</t>
  </si>
  <si>
    <t>jrivera@riverside.k12.az.us</t>
  </si>
  <si>
    <t>Harrington</t>
  </si>
  <si>
    <t>jharrington@riverside.k12.az.us</t>
  </si>
  <si>
    <t>jmoreno@riverside.k12.az.us</t>
  </si>
  <si>
    <t>Ruben</t>
  </si>
  <si>
    <t>rgutierrez@riverside.k12.az.us</t>
  </si>
  <si>
    <t>shawkins@riverside.k12.az.us</t>
  </si>
  <si>
    <t>Riverside Traditional School</t>
  </si>
  <si>
    <t>'070402101</t>
  </si>
  <si>
    <t>Casteneda</t>
  </si>
  <si>
    <t>scastaneda@riverside.k12.az.us</t>
  </si>
  <si>
    <t>'070402102</t>
  </si>
  <si>
    <t>JHarrington@riverside.k12.az.us</t>
  </si>
  <si>
    <t>Maricopa Institute of Technology (MIT)</t>
  </si>
  <si>
    <t>'070402103</t>
  </si>
  <si>
    <t>rgutierrez@mitglobalonline.org</t>
  </si>
  <si>
    <t>Rafael</t>
  </si>
  <si>
    <t>Sanchez</t>
  </si>
  <si>
    <t>rsanchez@riverside.k12.az.us</t>
  </si>
  <si>
    <t>Riverside Elementary School District (RESD) STEM2 Online School</t>
  </si>
  <si>
    <t>'070402104</t>
  </si>
  <si>
    <t>'070403000</t>
  </si>
  <si>
    <t>lisa.gomez@tempeschools.org</t>
  </si>
  <si>
    <t>IT Application Systems Manager</t>
  </si>
  <si>
    <t>Busch</t>
  </si>
  <si>
    <t>cbusch@tempeschools.org</t>
  </si>
  <si>
    <t>Harvester</t>
  </si>
  <si>
    <t>tharvest@tempeschools.org</t>
  </si>
  <si>
    <t>Executive Director of Instructional Excellence</t>
  </si>
  <si>
    <t>Brittany</t>
  </si>
  <si>
    <t>Franklin</t>
  </si>
  <si>
    <t>bfranklin@tempeschools.org</t>
  </si>
  <si>
    <t>Minghine</t>
  </si>
  <si>
    <t>mminghin@tempeschools.org</t>
  </si>
  <si>
    <t>Executive Director of Human Resources</t>
  </si>
  <si>
    <t>McDaniel</t>
  </si>
  <si>
    <t>heather.mcdaniel@tempeschools.org</t>
  </si>
  <si>
    <t>Executive Coordinator to the Superintendent and Governing Bo</t>
  </si>
  <si>
    <t>Momchilovich</t>
  </si>
  <si>
    <t>lori.momchilovich@tempeschools.org</t>
  </si>
  <si>
    <t>IT Support Analyst</t>
  </si>
  <si>
    <t>Yeskey</t>
  </si>
  <si>
    <t>liz.yeskey@tempeschools.org</t>
  </si>
  <si>
    <t>Assistant Superintendent of Business and Support</t>
  </si>
  <si>
    <t>eric.thompson@tempeschools.org</t>
  </si>
  <si>
    <t>Tiffiany</t>
  </si>
  <si>
    <t>Morse</t>
  </si>
  <si>
    <t>tiffiany.morse@tempeschools.org</t>
  </si>
  <si>
    <t>Federal Programs Coordinator</t>
  </si>
  <si>
    <t>Quarles</t>
  </si>
  <si>
    <t>dquarles@tempeschools.org</t>
  </si>
  <si>
    <t>Frank Elementary School</t>
  </si>
  <si>
    <t>'070403110</t>
  </si>
  <si>
    <t>Jacobo-Smith</t>
  </si>
  <si>
    <t>mjacobo@tempeschools.org</t>
  </si>
  <si>
    <t>Carminati School</t>
  </si>
  <si>
    <t>'070403111</t>
  </si>
  <si>
    <t>Broadmor Elementary School</t>
  </si>
  <si>
    <t>'070403113</t>
  </si>
  <si>
    <t>Flora Thew Elementary School</t>
  </si>
  <si>
    <t>'070403114</t>
  </si>
  <si>
    <t>Marissa</t>
  </si>
  <si>
    <t>Schneckloth</t>
  </si>
  <si>
    <t>'070403115</t>
  </si>
  <si>
    <t>'070403117</t>
  </si>
  <si>
    <t>Mira Nikolic</t>
  </si>
  <si>
    <t>Nikolic</t>
  </si>
  <si>
    <t>mnikolic@tempeschools.org</t>
  </si>
  <si>
    <t>Meyer Montessori</t>
  </si>
  <si>
    <t>'070403118</t>
  </si>
  <si>
    <t>Quilici</t>
  </si>
  <si>
    <t>dquilici@tempeschools.org</t>
  </si>
  <si>
    <t>Hudson Elementary School</t>
  </si>
  <si>
    <t>'070403120</t>
  </si>
  <si>
    <t>'070403121</t>
  </si>
  <si>
    <t>Curry Elementary School</t>
  </si>
  <si>
    <t>'070403122</t>
  </si>
  <si>
    <t>Arredondo Elementary School</t>
  </si>
  <si>
    <t>'070403123</t>
  </si>
  <si>
    <t>Bruening</t>
  </si>
  <si>
    <t>abruenin@tempeschools.org</t>
  </si>
  <si>
    <t>Nevitt Elementary School</t>
  </si>
  <si>
    <t>'070403126</t>
  </si>
  <si>
    <t>Wood School</t>
  </si>
  <si>
    <t>'070403127</t>
  </si>
  <si>
    <t>Aguilar School</t>
  </si>
  <si>
    <t>'070403128</t>
  </si>
  <si>
    <t>Rover Elementary School</t>
  </si>
  <si>
    <t>'070403129</t>
  </si>
  <si>
    <t>Fuller Elementary School</t>
  </si>
  <si>
    <t>'070403130</t>
  </si>
  <si>
    <t>michelle.hart@tempeschools.org</t>
  </si>
  <si>
    <t>'070403143</t>
  </si>
  <si>
    <t>JoLyn</t>
  </si>
  <si>
    <t>Gibbons</t>
  </si>
  <si>
    <t>Jolyn.gibbons@tempeschools.org</t>
  </si>
  <si>
    <t>Connolly Middle School</t>
  </si>
  <si>
    <t>'070403144</t>
  </si>
  <si>
    <t>Fees College Preparatory Middle School</t>
  </si>
  <si>
    <t>'070403145</t>
  </si>
  <si>
    <t>Ward Traditional Academy</t>
  </si>
  <si>
    <t>'070403161</t>
  </si>
  <si>
    <t>Taime</t>
  </si>
  <si>
    <t>Bengochea</t>
  </si>
  <si>
    <t>tbengochea@tempeschools.org</t>
  </si>
  <si>
    <t>McKemy Academy of InternationalÂ  Studies</t>
  </si>
  <si>
    <t>'070403162</t>
  </si>
  <si>
    <t>Getz School</t>
  </si>
  <si>
    <t>'070403198</t>
  </si>
  <si>
    <t>'070405000</t>
  </si>
  <si>
    <t>Mario</t>
  </si>
  <si>
    <t>Ventura</t>
  </si>
  <si>
    <t>mventura@isaacschools.org</t>
  </si>
  <si>
    <t>saponte@isaacschools.org</t>
  </si>
  <si>
    <t>Designated User/Admin Asst</t>
  </si>
  <si>
    <t>Lang</t>
  </si>
  <si>
    <t>llang@isaacschools.org</t>
  </si>
  <si>
    <t>Cheif Financial Officer</t>
  </si>
  <si>
    <t>Erendira</t>
  </si>
  <si>
    <t>Motta</t>
  </si>
  <si>
    <t>emotta@isaacschools.org</t>
  </si>
  <si>
    <t>SAID Data Specialist/Designated User</t>
  </si>
  <si>
    <t>'070405101</t>
  </si>
  <si>
    <t>Bree</t>
  </si>
  <si>
    <t>Honeycutt</t>
  </si>
  <si>
    <t>bhoneycutt@isaacschools.org</t>
  </si>
  <si>
    <t>Mondragon</t>
  </si>
  <si>
    <t>rmondragon@isaacschools.org</t>
  </si>
  <si>
    <t>'070405102</t>
  </si>
  <si>
    <t>mchavez@isaacschools.org</t>
  </si>
  <si>
    <t>cclark@isaacschools.org</t>
  </si>
  <si>
    <t>'070405103</t>
  </si>
  <si>
    <t>Jeanne</t>
  </si>
  <si>
    <t>Valdez</t>
  </si>
  <si>
    <t>jvaldez@isaaceld.k12.az.us</t>
  </si>
  <si>
    <t>Marco</t>
  </si>
  <si>
    <t>maruiz@isaacschools.org</t>
  </si>
  <si>
    <t>System Analyst</t>
  </si>
  <si>
    <t xml:space="preserve">Rueda          </t>
  </si>
  <si>
    <t>lrueda@isaacschools.org</t>
  </si>
  <si>
    <t>'070405104</t>
  </si>
  <si>
    <t>Hutson</t>
  </si>
  <si>
    <t>dhutson@isaacschools.org</t>
  </si>
  <si>
    <t>Jacqulyne</t>
  </si>
  <si>
    <t>Hardiesty</t>
  </si>
  <si>
    <t>jhardiesty@isaacschools.org</t>
  </si>
  <si>
    <t>Chelsia</t>
  </si>
  <si>
    <t>Stallworth</t>
  </si>
  <si>
    <t>cstallworth@isaacschools.org</t>
  </si>
  <si>
    <t>Edith</t>
  </si>
  <si>
    <t xml:space="preserve">Mojica          </t>
  </si>
  <si>
    <t>emojica@isaacschools.org</t>
  </si>
  <si>
    <t>Angelita</t>
  </si>
  <si>
    <t>Nunez</t>
  </si>
  <si>
    <t>'070405105</t>
  </si>
  <si>
    <t>Gerard</t>
  </si>
  <si>
    <t>ghernandez@isaacschools.org</t>
  </si>
  <si>
    <t>Stella</t>
  </si>
  <si>
    <t xml:space="preserve">Angulo         </t>
  </si>
  <si>
    <t>sangulo@isaacschools.org</t>
  </si>
  <si>
    <t>Mitchell Elementary School</t>
  </si>
  <si>
    <t>'070405106</t>
  </si>
  <si>
    <t>Araceli</t>
  </si>
  <si>
    <t>Montoya</t>
  </si>
  <si>
    <t>agmontoya@isaacschools.org</t>
  </si>
  <si>
    <t>Chritina</t>
  </si>
  <si>
    <t>Wong</t>
  </si>
  <si>
    <t>cwong@isaacschools.org</t>
  </si>
  <si>
    <t>Carrizoza</t>
  </si>
  <si>
    <t>scarrizoza@isaacschools.org</t>
  </si>
  <si>
    <t>'070405108</t>
  </si>
  <si>
    <t>Bret Tarver Education Complex</t>
  </si>
  <si>
    <t>'070405109</t>
  </si>
  <si>
    <t>Noreen</t>
  </si>
  <si>
    <t>Didonna</t>
  </si>
  <si>
    <t>ndidonna@isaacschools.org</t>
  </si>
  <si>
    <t>Lopez</t>
  </si>
  <si>
    <t>alopez@isaacschools.org</t>
  </si>
  <si>
    <t>'070405111</t>
  </si>
  <si>
    <t>Armando</t>
  </si>
  <si>
    <t>achavez@isaacschools.org</t>
  </si>
  <si>
    <t>Quesada</t>
  </si>
  <si>
    <t>Morris K. Udall Escuela de Bellas Artes</t>
  </si>
  <si>
    <t>'070405112</t>
  </si>
  <si>
    <t>Amanda</t>
  </si>
  <si>
    <t>Guerrero</t>
  </si>
  <si>
    <t>aguerrero@isaacschools.org</t>
  </si>
  <si>
    <t>Foster</t>
  </si>
  <si>
    <t>Leaf</t>
  </si>
  <si>
    <t>fleaf@isaacschools.org</t>
  </si>
  <si>
    <t>rasanchez@isaacschools.org</t>
  </si>
  <si>
    <t>Fatima</t>
  </si>
  <si>
    <t>Longoria</t>
  </si>
  <si>
    <t>flongoria@isaacschools.org</t>
  </si>
  <si>
    <t>Moya Elementary</t>
  </si>
  <si>
    <t>'070405114</t>
  </si>
  <si>
    <t>Washington</t>
  </si>
  <si>
    <t>lwashington@isaacschools.org</t>
  </si>
  <si>
    <t>Dezzy</t>
  </si>
  <si>
    <t>druiz@isaacschools.org</t>
  </si>
  <si>
    <t>Operations Manager</t>
  </si>
  <si>
    <t>David Kazan Family Educational Center</t>
  </si>
  <si>
    <t>'070405117</t>
  </si>
  <si>
    <t>'070406000</t>
  </si>
  <si>
    <t>Stanton</t>
  </si>
  <si>
    <t>paul.stanton@wesdschools.org</t>
  </si>
  <si>
    <t>Cathy</t>
  </si>
  <si>
    <t>cathy.thompson@wesdschools.org</t>
  </si>
  <si>
    <t>david.velazquez@wesdschools.org</t>
  </si>
  <si>
    <t>Lea</t>
  </si>
  <si>
    <t>Fultz</t>
  </si>
  <si>
    <t>lea.fultz@wesdschools.org</t>
  </si>
  <si>
    <t>Rochelle</t>
  </si>
  <si>
    <t>Corry</t>
  </si>
  <si>
    <t>rochelle.corry@wesdschools.org</t>
  </si>
  <si>
    <t>Char Lynn</t>
  </si>
  <si>
    <t>CharLynn.Wood@wesdschools.org</t>
  </si>
  <si>
    <t xml:space="preserve">Budget Manager </t>
  </si>
  <si>
    <t>Acacia Elementary School</t>
  </si>
  <si>
    <t>'070406114</t>
  </si>
  <si>
    <t>Hollingsworth</t>
  </si>
  <si>
    <t>christine.hollingsworth@wesdschools.org</t>
  </si>
  <si>
    <t>'070406116</t>
  </si>
  <si>
    <t>Aronowitz</t>
  </si>
  <si>
    <t>carla.aronowitz@wesdschools.org</t>
  </si>
  <si>
    <t>Arroyo Elementary School</t>
  </si>
  <si>
    <t>'070406118</t>
  </si>
  <si>
    <t>Liles</t>
  </si>
  <si>
    <t>'070406120</t>
  </si>
  <si>
    <t>Kaylene</t>
  </si>
  <si>
    <t>Ashbridge</t>
  </si>
  <si>
    <t>kaylene.ashbridge@wesdschools.org</t>
  </si>
  <si>
    <t>'070406122</t>
  </si>
  <si>
    <t>Schofield</t>
  </si>
  <si>
    <t>ken.schofield@wesdschools.org</t>
  </si>
  <si>
    <t>Cholla Middle School</t>
  </si>
  <si>
    <t>'070406124</t>
  </si>
  <si>
    <t>brenda.case@wesdschools.org</t>
  </si>
  <si>
    <t>Garitson</t>
  </si>
  <si>
    <t>phil.garitson@wesdschools.org</t>
  </si>
  <si>
    <t>Desert Foothills Middle School</t>
  </si>
  <si>
    <t>'070406126</t>
  </si>
  <si>
    <t>james.hall@wesdschools.org</t>
  </si>
  <si>
    <t>'070406128</t>
  </si>
  <si>
    <t>Rocio</t>
  </si>
  <si>
    <t>Ramirez</t>
  </si>
  <si>
    <t>rocio.ramirez@wesdschools.org</t>
  </si>
  <si>
    <t>Office Technician</t>
  </si>
  <si>
    <t>Maria</t>
  </si>
  <si>
    <t>Farmer</t>
  </si>
  <si>
    <t>Ironwood Elementary School</t>
  </si>
  <si>
    <t>'070406130</t>
  </si>
  <si>
    <t>Trevillion</t>
  </si>
  <si>
    <t>michael.trevillion@wesdschools.org</t>
  </si>
  <si>
    <t>Polly</t>
  </si>
  <si>
    <t>John Jacobs Elementary School</t>
  </si>
  <si>
    <t>'070406131</t>
  </si>
  <si>
    <t>Candace</t>
  </si>
  <si>
    <t>Isherwood</t>
  </si>
  <si>
    <t>candace.isherwood@wesdschools.org</t>
  </si>
  <si>
    <t>Gupton</t>
  </si>
  <si>
    <t>Lakeview Elementary School</t>
  </si>
  <si>
    <t>'070406132</t>
  </si>
  <si>
    <t>Tejada</t>
  </si>
  <si>
    <t>jaime.tejada@wesdschools.org</t>
  </si>
  <si>
    <t>Woodward</t>
  </si>
  <si>
    <t>Lookout Mountain School</t>
  </si>
  <si>
    <t>'070406134</t>
  </si>
  <si>
    <t>Heller</t>
  </si>
  <si>
    <t>tricia.heller@wesdschools.org</t>
  </si>
  <si>
    <t>Audry</t>
  </si>
  <si>
    <t>Damon</t>
  </si>
  <si>
    <t>audrey.damon@wesdschools.org</t>
  </si>
  <si>
    <t>Manzanita Elementary School</t>
  </si>
  <si>
    <t>'070406136</t>
  </si>
  <si>
    <t>maria.farmer@wesdschools.org</t>
  </si>
  <si>
    <t>Fountain</t>
  </si>
  <si>
    <t>'070406138</t>
  </si>
  <si>
    <t>adele.russell@wesdschools.org</t>
  </si>
  <si>
    <t>ann.roberts@wesdschools.org</t>
  </si>
  <si>
    <t>Rebeccah</t>
  </si>
  <si>
    <t>Potavin</t>
  </si>
  <si>
    <t>'070406140</t>
  </si>
  <si>
    <t>Palmer</t>
  </si>
  <si>
    <t>marylou.palmer@wesdschools.org</t>
  </si>
  <si>
    <t>Mountain Sky Middle School</t>
  </si>
  <si>
    <t>'070406141</t>
  </si>
  <si>
    <t>'070406142</t>
  </si>
  <si>
    <t>Negron</t>
  </si>
  <si>
    <t>alice.pickel@wesdschools.org</t>
  </si>
  <si>
    <t>Sandy</t>
  </si>
  <si>
    <t>Dyke</t>
  </si>
  <si>
    <t>sandra.dyke@wesdschools.org</t>
  </si>
  <si>
    <t>Waters</t>
  </si>
  <si>
    <t>Ocotillo School</t>
  </si>
  <si>
    <t>'070406144</t>
  </si>
  <si>
    <t>Murosky</t>
  </si>
  <si>
    <t>'070406146</t>
  </si>
  <si>
    <t>Andree</t>
  </si>
  <si>
    <t>Charlson</t>
  </si>
  <si>
    <t>andree.charlson@wesdschools.org</t>
  </si>
  <si>
    <t>Ima</t>
  </si>
  <si>
    <t>Dolan</t>
  </si>
  <si>
    <t>imajean.dolan@wesdschools.org</t>
  </si>
  <si>
    <t>Palo Verde Middle School</t>
  </si>
  <si>
    <t>'070406148</t>
  </si>
  <si>
    <t>Shaffer</t>
  </si>
  <si>
    <t>sheila.shaffer@wesdschools.org</t>
  </si>
  <si>
    <t>'070406150</t>
  </si>
  <si>
    <t>Paczosa</t>
  </si>
  <si>
    <t>jim.paczosa@wesdschools.org</t>
  </si>
  <si>
    <t>Bonnette</t>
  </si>
  <si>
    <t>'070406152</t>
  </si>
  <si>
    <t>Menaugh</t>
  </si>
  <si>
    <t>karen.menaugh@wesdschools.org</t>
  </si>
  <si>
    <t>McWhirter</t>
  </si>
  <si>
    <t>'070406154</t>
  </si>
  <si>
    <t>Leonard</t>
  </si>
  <si>
    <t>Hoover</t>
  </si>
  <si>
    <t>lenny.hoover@wesdschools.org</t>
  </si>
  <si>
    <t>Keefer</t>
  </si>
  <si>
    <t>Sahuaro School</t>
  </si>
  <si>
    <t>'070406156</t>
  </si>
  <si>
    <t>dave.anderson@wesdschools.org</t>
  </si>
  <si>
    <t>'070406160</t>
  </si>
  <si>
    <t>tracy.maynard@wesdschools.org</t>
  </si>
  <si>
    <t>Sunburst School</t>
  </si>
  <si>
    <t>'070406162</t>
  </si>
  <si>
    <t>mike.christensen@wesdschools.org</t>
  </si>
  <si>
    <t>Rhonda</t>
  </si>
  <si>
    <t>Warren</t>
  </si>
  <si>
    <t>Sweetwater School</t>
  </si>
  <si>
    <t>'070406163</t>
  </si>
  <si>
    <t>Luanne</t>
  </si>
  <si>
    <t>Herman</t>
  </si>
  <si>
    <t>luanne.herman@wesdschools.org</t>
  </si>
  <si>
    <t>'070406164</t>
  </si>
  <si>
    <t>Ritz</t>
  </si>
  <si>
    <t>lori.ritz@wesdschools.org</t>
  </si>
  <si>
    <t>Katz</t>
  </si>
  <si>
    <t>cindy.katz@wesdschools.org</t>
  </si>
  <si>
    <t>Sunset School</t>
  </si>
  <si>
    <t>'070406165</t>
  </si>
  <si>
    <t>Betty</t>
  </si>
  <si>
    <t>Paterson</t>
  </si>
  <si>
    <t>betty.paterson@wesdschools.org</t>
  </si>
  <si>
    <t>Tumbleweed Elementary School</t>
  </si>
  <si>
    <t>'070406166</t>
  </si>
  <si>
    <t>Abraham Lincoln Traditional School</t>
  </si>
  <si>
    <t>'070406167</t>
  </si>
  <si>
    <t>Mayole</t>
  </si>
  <si>
    <t>tara.mayole@wesdschools.org</t>
  </si>
  <si>
    <t>'070406168</t>
  </si>
  <si>
    <t>Carney</t>
  </si>
  <si>
    <t>Camacho</t>
  </si>
  <si>
    <t>maria.camacho@wesdschools.org</t>
  </si>
  <si>
    <t>'070407000</t>
  </si>
  <si>
    <t>Antonio</t>
  </si>
  <si>
    <t>antonio.sanchez@wsd.k12.az.us</t>
  </si>
  <si>
    <t>Willey</t>
  </si>
  <si>
    <t>Rebecca.willey@wsd.k12.az.us</t>
  </si>
  <si>
    <t>Strickler</t>
  </si>
  <si>
    <t>Beth.Strickler@wsd.k12.az.us</t>
  </si>
  <si>
    <t>Usebia</t>
  </si>
  <si>
    <t>usebia.joyce@wsd.k12.az.us</t>
  </si>
  <si>
    <t>Executive Assistant/Data Coordinator</t>
  </si>
  <si>
    <t>'070407101</t>
  </si>
  <si>
    <t>Campton</t>
  </si>
  <si>
    <t>cindy.campton@wsd.k12.az.us</t>
  </si>
  <si>
    <t>'070407102</t>
  </si>
  <si>
    <t>Cecena</t>
  </si>
  <si>
    <t>araceli.cecena@wsd.k12.az.us</t>
  </si>
  <si>
    <t>'070408000</t>
  </si>
  <si>
    <t>McNany</t>
  </si>
  <si>
    <t>rmcnany@osbornnet.org</t>
  </si>
  <si>
    <t>SPED Census</t>
  </si>
  <si>
    <t>Hyche</t>
  </si>
  <si>
    <t>chyche@osbornsd.org</t>
  </si>
  <si>
    <t>School Intervention Specialist</t>
  </si>
  <si>
    <t>Buruato</t>
  </si>
  <si>
    <t>rburuato@osbornsd.org</t>
  </si>
  <si>
    <t>Data Manager</t>
  </si>
  <si>
    <t>Clarendon School</t>
  </si>
  <si>
    <t>'070408102</t>
  </si>
  <si>
    <t>Nickolich</t>
  </si>
  <si>
    <t>tnickoli@osbornnet.org</t>
  </si>
  <si>
    <t>Encanto School</t>
  </si>
  <si>
    <t>'070408103</t>
  </si>
  <si>
    <t>'070408104</t>
  </si>
  <si>
    <t>Marty</t>
  </si>
  <si>
    <t>Makar</t>
  </si>
  <si>
    <t>mmakar@osbornnet.org</t>
  </si>
  <si>
    <t>Montecito Community School</t>
  </si>
  <si>
    <t>'070408105</t>
  </si>
  <si>
    <t>Shuss</t>
  </si>
  <si>
    <t>vshuss@osbornsd.org</t>
  </si>
  <si>
    <t>Director of Special Services</t>
  </si>
  <si>
    <t>'070408106</t>
  </si>
  <si>
    <t>Epps</t>
  </si>
  <si>
    <t>kepps@osbornnet.org</t>
  </si>
  <si>
    <t>Hamill</t>
  </si>
  <si>
    <t>rhamill@osbornsd.org</t>
  </si>
  <si>
    <t>'070408107</t>
  </si>
  <si>
    <t>Mary Jo</t>
  </si>
  <si>
    <t>Eldridge</t>
  </si>
  <si>
    <t>meldridg@osbornnet.org</t>
  </si>
  <si>
    <t>'070414000</t>
  </si>
  <si>
    <t>dlewis@creightonschools.org</t>
  </si>
  <si>
    <t>jmann@creightonschools.org</t>
  </si>
  <si>
    <t>Pederson</t>
  </si>
  <si>
    <t>spederson@creightonschools.org</t>
  </si>
  <si>
    <t>Burkhardt</t>
  </si>
  <si>
    <t>pburkhardt@creightonschools.org</t>
  </si>
  <si>
    <t>Director of Effective Schools</t>
  </si>
  <si>
    <t>Cartier</t>
  </si>
  <si>
    <t>kcartier@creightonschools.org</t>
  </si>
  <si>
    <t>Deanna</t>
  </si>
  <si>
    <t>Dumolien</t>
  </si>
  <si>
    <t>ddumolien@creightonschools.org</t>
  </si>
  <si>
    <t>Business Services Manager</t>
  </si>
  <si>
    <t>Griffith</t>
  </si>
  <si>
    <t>rgriffith@creightonschools.org</t>
  </si>
  <si>
    <t>Dodson</t>
  </si>
  <si>
    <t>jdodson@creightonschools.org</t>
  </si>
  <si>
    <t>Compass Center</t>
  </si>
  <si>
    <t>'070414099</t>
  </si>
  <si>
    <t>Weinberger</t>
  </si>
  <si>
    <t>dweinberger@creightonschools.org</t>
  </si>
  <si>
    <t>The Creighton Academy</t>
  </si>
  <si>
    <t>'070414110</t>
  </si>
  <si>
    <t>Rosemary</t>
  </si>
  <si>
    <t>Agneessens</t>
  </si>
  <si>
    <t>ragneessens@creightonschools.org</t>
  </si>
  <si>
    <t>Munoz</t>
  </si>
  <si>
    <t>jmunoz@creightonschools.org</t>
  </si>
  <si>
    <t>Ellen</t>
  </si>
  <si>
    <t>eheller@creightonschools.org</t>
  </si>
  <si>
    <t>avilez</t>
  </si>
  <si>
    <t>javilez@creightonschools.org</t>
  </si>
  <si>
    <t>Ivan</t>
  </si>
  <si>
    <t>Carvajal</t>
  </si>
  <si>
    <t>ivarvajal@creightonschools.org</t>
  </si>
  <si>
    <t>'070414120</t>
  </si>
  <si>
    <t>Hannafin</t>
  </si>
  <si>
    <t>smhannafin@creightonschools.org</t>
  </si>
  <si>
    <t>icarvajal@creightonschools.org</t>
  </si>
  <si>
    <t>Duprey</t>
  </si>
  <si>
    <t>aduprey@creightonschools.org</t>
  </si>
  <si>
    <t>Tally</t>
  </si>
  <si>
    <t>jtally@creightonschools.org</t>
  </si>
  <si>
    <t>'070414130</t>
  </si>
  <si>
    <t>shannafin@creightonschools.org</t>
  </si>
  <si>
    <t>agutierrez@creightonschools.org</t>
  </si>
  <si>
    <t>Winona</t>
  </si>
  <si>
    <t>Considine</t>
  </si>
  <si>
    <t>wconsidine@creightonschools.org</t>
  </si>
  <si>
    <t>KAdams@creightonschools.org</t>
  </si>
  <si>
    <t>'070414140</t>
  </si>
  <si>
    <t>Bobbi</t>
  </si>
  <si>
    <t>bfisher@creightonschools.org</t>
  </si>
  <si>
    <t>'070414150</t>
  </si>
  <si>
    <t>Dueppen</t>
  </si>
  <si>
    <t>edueppen@creightonschools.org</t>
  </si>
  <si>
    <t>Frost</t>
  </si>
  <si>
    <t>jfrost@creightonschools.org</t>
  </si>
  <si>
    <t>Thai</t>
  </si>
  <si>
    <t>Nguyen</t>
  </si>
  <si>
    <t>tnguyen@creightonschools.org</t>
  </si>
  <si>
    <t>'070414160</t>
  </si>
  <si>
    <t>Madison</t>
  </si>
  <si>
    <t>mmadison@creightonschools.org</t>
  </si>
  <si>
    <t>Groves</t>
  </si>
  <si>
    <t>agroves@creightonschools.org</t>
  </si>
  <si>
    <t>'070414170</t>
  </si>
  <si>
    <t>mritz@creightonschools.org</t>
  </si>
  <si>
    <t>Biltmore Preparatory Academy</t>
  </si>
  <si>
    <t>'070414180</t>
  </si>
  <si>
    <t>'070414190</t>
  </si>
  <si>
    <t>Twist</t>
  </si>
  <si>
    <t>dtwist@creightonschools.org</t>
  </si>
  <si>
    <t>Berg</t>
  </si>
  <si>
    <t>MBerg@creightonschools.org</t>
  </si>
  <si>
    <t>kayla</t>
  </si>
  <si>
    <t>daley</t>
  </si>
  <si>
    <t>kdaley@creightonschools.org</t>
  </si>
  <si>
    <t>'070417000</t>
  </si>
  <si>
    <t>Myriam</t>
  </si>
  <si>
    <t>Roa</t>
  </si>
  <si>
    <t>mroa@tesd17.org</t>
  </si>
  <si>
    <t>Serbin</t>
  </si>
  <si>
    <t>jserbin@tesd.k12.az.us</t>
  </si>
  <si>
    <t>Executive Director of Business Services</t>
  </si>
  <si>
    <t>Malone</t>
  </si>
  <si>
    <t>vmalone@tesd.k12.az.us</t>
  </si>
  <si>
    <t>Willekens</t>
  </si>
  <si>
    <t>kwillekens@test17.org</t>
  </si>
  <si>
    <t>Medrano</t>
  </si>
  <si>
    <t>smedrano@tesd.k12.az.us</t>
  </si>
  <si>
    <t>TECHNOLOGY FACILITATOR</t>
  </si>
  <si>
    <t>Porfirio H. Gonzales Elementary School</t>
  </si>
  <si>
    <t>'070417101</t>
  </si>
  <si>
    <t>'070417102</t>
  </si>
  <si>
    <t>'070417103</t>
  </si>
  <si>
    <t>Scudder</t>
  </si>
  <si>
    <t>jscudder@tesd.k12.az.us</t>
  </si>
  <si>
    <t xml:space="preserve">Principal     </t>
  </si>
  <si>
    <t>Marze</t>
  </si>
  <si>
    <t>mmarze@tesd.k12.az.us</t>
  </si>
  <si>
    <t>'070417104</t>
  </si>
  <si>
    <t>'070421000</t>
  </si>
  <si>
    <t>mlopez@msdaz.org</t>
  </si>
  <si>
    <t>Executive Administrative Assistant</t>
  </si>
  <si>
    <t>Dennis</t>
  </si>
  <si>
    <t>Goodwin</t>
  </si>
  <si>
    <t>dgoodwin@msdaz.org</t>
  </si>
  <si>
    <t>Adriana</t>
  </si>
  <si>
    <t>amorales@msdaz.org</t>
  </si>
  <si>
    <t>Transportation Clerk</t>
  </si>
  <si>
    <t>Cordova</t>
  </si>
  <si>
    <t>lcordova@msdaz.org</t>
  </si>
  <si>
    <t>Natalie</t>
  </si>
  <si>
    <t>Carrillo</t>
  </si>
  <si>
    <t>ncarillo@msdaz.org</t>
  </si>
  <si>
    <t>VanZanten</t>
  </si>
  <si>
    <t>mvanzanten@msdaz.org</t>
  </si>
  <si>
    <t>Director of Federal Programs</t>
  </si>
  <si>
    <t>'070421101</t>
  </si>
  <si>
    <t>Jack L Kuban Elementary School</t>
  </si>
  <si>
    <t>'070421102</t>
  </si>
  <si>
    <t>Trevizo</t>
  </si>
  <si>
    <t>jtrevizo@msdaz.org</t>
  </si>
  <si>
    <t>'070421103</t>
  </si>
  <si>
    <t>Yolanda</t>
  </si>
  <si>
    <t>Damian</t>
  </si>
  <si>
    <t>ydamian@msdaz.org</t>
  </si>
  <si>
    <t>Angelica</t>
  </si>
  <si>
    <t>Guillen</t>
  </si>
  <si>
    <t>aguillen@msdaz.org</t>
  </si>
  <si>
    <t>Liberty Elementary District</t>
  </si>
  <si>
    <t>'070425000</t>
  </si>
  <si>
    <t>jgray@liberty25.org</t>
  </si>
  <si>
    <t>Liberty Principal</t>
  </si>
  <si>
    <t>Mathew</t>
  </si>
  <si>
    <t>Flagg</t>
  </si>
  <si>
    <t>jmoreno@liberty25.org</t>
  </si>
  <si>
    <t>Director of Information Systems</t>
  </si>
  <si>
    <t>Baysinger</t>
  </si>
  <si>
    <t>kbaysinger@liberty.k12.az.us</t>
  </si>
  <si>
    <t>'070425101</t>
  </si>
  <si>
    <t>Glassick</t>
  </si>
  <si>
    <t>eglassick@liberty.k12.az.us</t>
  </si>
  <si>
    <t>Estrella Mountain Elementary School</t>
  </si>
  <si>
    <t>'070425102</t>
  </si>
  <si>
    <t>Marine</t>
  </si>
  <si>
    <t>smarine@liberty25.org</t>
  </si>
  <si>
    <t>Rainbow Valley Elementary School</t>
  </si>
  <si>
    <t>'070425103</t>
  </si>
  <si>
    <t>Matteson</t>
  </si>
  <si>
    <t>tmatteson@liberty25.org</t>
  </si>
  <si>
    <t>Westar Elementary School</t>
  </si>
  <si>
    <t>'070425104</t>
  </si>
  <si>
    <t>Bogart</t>
  </si>
  <si>
    <t>dbogart@liberty25.org</t>
  </si>
  <si>
    <t>Freedom Elementary School</t>
  </si>
  <si>
    <t>'070425105</t>
  </si>
  <si>
    <t>Robinson</t>
  </si>
  <si>
    <t>crobinson@liberty.k12.az.us</t>
  </si>
  <si>
    <t>Cary</t>
  </si>
  <si>
    <t>ccary@liberty.k12.az.us</t>
  </si>
  <si>
    <t>Las Brisas Academy</t>
  </si>
  <si>
    <t>'070425106</t>
  </si>
  <si>
    <t>Liberty Online School</t>
  </si>
  <si>
    <t>'070425900</t>
  </si>
  <si>
    <t>kbaysinger@liberty25.org</t>
  </si>
  <si>
    <t>Executive Director of Finance</t>
  </si>
  <si>
    <t>Kyrene Elementary District</t>
  </si>
  <si>
    <t>'070428000</t>
  </si>
  <si>
    <t>Flanagan</t>
  </si>
  <si>
    <t>cflanagan@kyrene.org</t>
  </si>
  <si>
    <t>Applications and Systems Coordinator</t>
  </si>
  <si>
    <t>Toenjes</t>
  </si>
  <si>
    <t>ltoenjes@kyrene.org</t>
  </si>
  <si>
    <t>c</t>
  </si>
  <si>
    <t>b</t>
  </si>
  <si>
    <t>Test User</t>
  </si>
  <si>
    <t>Thorsen</t>
  </si>
  <si>
    <t>jthors@kyrene.org</t>
  </si>
  <si>
    <t>Lockery</t>
  </si>
  <si>
    <t>BLockery@kyrene.org</t>
  </si>
  <si>
    <t>Neil</t>
  </si>
  <si>
    <t>hneil@kyrene.org</t>
  </si>
  <si>
    <t>Belding</t>
  </si>
  <si>
    <t>jgbelding@kyrene.org</t>
  </si>
  <si>
    <t>Kyrene Aprende Middle School</t>
  </si>
  <si>
    <t>'070428136</t>
  </si>
  <si>
    <t>Kyrene Altadena Middle School</t>
  </si>
  <si>
    <t>'070428137</t>
  </si>
  <si>
    <t>Kyrene Akimel A-Al Middle School</t>
  </si>
  <si>
    <t>'070428138</t>
  </si>
  <si>
    <t>Kyrene Centennial Middle School</t>
  </si>
  <si>
    <t>'070428139</t>
  </si>
  <si>
    <t>Kyrene del Pueblo Middle School</t>
  </si>
  <si>
    <t>'070428140</t>
  </si>
  <si>
    <t>Kyrene Middle School</t>
  </si>
  <si>
    <t>'070428141</t>
  </si>
  <si>
    <t>C I Waggoner School</t>
  </si>
  <si>
    <t>'070428142</t>
  </si>
  <si>
    <t>lisagibson@kyrene.org</t>
  </si>
  <si>
    <t>Kyrene del Norte School</t>
  </si>
  <si>
    <t>'070428143</t>
  </si>
  <si>
    <t>jmattinen@kyrene.org</t>
  </si>
  <si>
    <t>Kyrene de las Lomas School</t>
  </si>
  <si>
    <t>'070428144</t>
  </si>
  <si>
    <t>bgibso@kyrene.org</t>
  </si>
  <si>
    <t>Kyrene de los Ninos School</t>
  </si>
  <si>
    <t>'070428145</t>
  </si>
  <si>
    <t>Tonja</t>
  </si>
  <si>
    <t>Yalung</t>
  </si>
  <si>
    <t>tyalun@kyrene.org</t>
  </si>
  <si>
    <t>Kyrene del Cielo School</t>
  </si>
  <si>
    <t>'070428146</t>
  </si>
  <si>
    <t>Kyrene de la Paloma School</t>
  </si>
  <si>
    <t>'070428147</t>
  </si>
  <si>
    <t>jtobia@kyrene.org</t>
  </si>
  <si>
    <t>Kyrene de la Colina School</t>
  </si>
  <si>
    <t>'070428148</t>
  </si>
  <si>
    <t>Brunner</t>
  </si>
  <si>
    <t>kbrunner@kyrene.org</t>
  </si>
  <si>
    <t>Kyrene Traditional Academy</t>
  </si>
  <si>
    <t>'070428149</t>
  </si>
  <si>
    <t>Marianne</t>
  </si>
  <si>
    <t>Lescher</t>
  </si>
  <si>
    <t>mlesch@kyrene.org</t>
  </si>
  <si>
    <t>Kyrene de la Mariposa School</t>
  </si>
  <si>
    <t>'070428150</t>
  </si>
  <si>
    <t>Fallgatter</t>
  </si>
  <si>
    <t>Kyrene De Los Lagos School</t>
  </si>
  <si>
    <t>'070428151</t>
  </si>
  <si>
    <t>Gomez del Castillo, Ed.D.</t>
  </si>
  <si>
    <t>agomez@kyrene.org</t>
  </si>
  <si>
    <t>Kyrene Monte Vista School</t>
  </si>
  <si>
    <t>'070428152</t>
  </si>
  <si>
    <t>Kyrene de la Sierra School</t>
  </si>
  <si>
    <t>'070428153</t>
  </si>
  <si>
    <t>Kyrene de la Mirada School</t>
  </si>
  <si>
    <t>'070428154</t>
  </si>
  <si>
    <t>Branch</t>
  </si>
  <si>
    <t>nbranch@kyrene.org</t>
  </si>
  <si>
    <t>Kyrene de la Esperanza School</t>
  </si>
  <si>
    <t>'070428155</t>
  </si>
  <si>
    <t>cgreen@kyrene.org</t>
  </si>
  <si>
    <t>Kyrene de las Brisas School</t>
  </si>
  <si>
    <t>'070428156</t>
  </si>
  <si>
    <t>Winkelmann</t>
  </si>
  <si>
    <t>cwinke@kyrene.org</t>
  </si>
  <si>
    <t>Kyrene de los Cerritos School</t>
  </si>
  <si>
    <t>'070428157</t>
  </si>
  <si>
    <t>DiCosmo</t>
  </si>
  <si>
    <t>ddicosmo@kyrene.org</t>
  </si>
  <si>
    <t>Kyrene de la Estrella Elementary School</t>
  </si>
  <si>
    <t>'070428158</t>
  </si>
  <si>
    <t>Lamp</t>
  </si>
  <si>
    <t>Kyrene de las Manitas School</t>
  </si>
  <si>
    <t>'070428159</t>
  </si>
  <si>
    <t>Langston</t>
  </si>
  <si>
    <t>dlangs@kyrene.org</t>
  </si>
  <si>
    <t>Kyrene del Milenio</t>
  </si>
  <si>
    <t>'070428160</t>
  </si>
  <si>
    <t>Jaimie</t>
  </si>
  <si>
    <t>Kyrene Digital Academy</t>
  </si>
  <si>
    <t>'070428161</t>
  </si>
  <si>
    <t>'070431000</t>
  </si>
  <si>
    <t>Alexis</t>
  </si>
  <si>
    <t>awilson@balsz.org</t>
  </si>
  <si>
    <t>Assistant Superintendent of Administrative Services</t>
  </si>
  <si>
    <t>Price</t>
  </si>
  <si>
    <t>kprice@balsz.org</t>
  </si>
  <si>
    <t>Zeek</t>
  </si>
  <si>
    <t>Ojeh</t>
  </si>
  <si>
    <t>Zojeh@balsz.org</t>
  </si>
  <si>
    <t>Chief Finance Officer</t>
  </si>
  <si>
    <t>Rowe</t>
  </si>
  <si>
    <t>rrowe@balsz.org</t>
  </si>
  <si>
    <t>Pat Tillman Middle School</t>
  </si>
  <si>
    <t>'070431101</t>
  </si>
  <si>
    <t>Halpert</t>
  </si>
  <si>
    <t>mhalpert@balsz.org</t>
  </si>
  <si>
    <t>'070431102</t>
  </si>
  <si>
    <t>Jarret</t>
  </si>
  <si>
    <t>Sharp</t>
  </si>
  <si>
    <t>jsharp@balsz.org</t>
  </si>
  <si>
    <t>kbennett@balsz.org</t>
  </si>
  <si>
    <t>Griffith Elementary School</t>
  </si>
  <si>
    <t>'070431103</t>
  </si>
  <si>
    <t>kpeterson@balsz.org</t>
  </si>
  <si>
    <t>kelly</t>
  </si>
  <si>
    <t>bennett</t>
  </si>
  <si>
    <t>'070431105</t>
  </si>
  <si>
    <t>LoMonaco</t>
  </si>
  <si>
    <t>rlomonaco@balsz.org</t>
  </si>
  <si>
    <t>Orangedale Early Learning Center</t>
  </si>
  <si>
    <t>'070431106</t>
  </si>
  <si>
    <t>tleedy@balsz.org</t>
  </si>
  <si>
    <t>'070433000</t>
  </si>
  <si>
    <t>Sandvik</t>
  </si>
  <si>
    <t>ksandvik@besd33.org</t>
  </si>
  <si>
    <t>CJ</t>
  </si>
  <si>
    <t>Beckstrom</t>
  </si>
  <si>
    <t>cbeckstrom@besd33.org</t>
  </si>
  <si>
    <t>Bales Elementary School</t>
  </si>
  <si>
    <t>'070433102</t>
  </si>
  <si>
    <t>Lugo</t>
  </si>
  <si>
    <t>flugo@besd.k12.az.us</t>
  </si>
  <si>
    <t>'070433103</t>
  </si>
  <si>
    <t>Forgette</t>
  </si>
  <si>
    <t>nforgette@besd.k12.az.us</t>
  </si>
  <si>
    <t>'070433104</t>
  </si>
  <si>
    <t>Connolly</t>
  </si>
  <si>
    <t>pconnollu@besd.k12.az.us</t>
  </si>
  <si>
    <t>tcasey@besd.k12.az.us</t>
  </si>
  <si>
    <t>bwilliams@besd.k12.az.us</t>
  </si>
  <si>
    <t>Sundance Elementary</t>
  </si>
  <si>
    <t>'070433105</t>
  </si>
  <si>
    <t>Neva</t>
  </si>
  <si>
    <t>Berlingame</t>
  </si>
  <si>
    <t>nburlingame@besd.k12.az.us</t>
  </si>
  <si>
    <t>Marionneaux Elementary School</t>
  </si>
  <si>
    <t>'070433106</t>
  </si>
  <si>
    <t>Nate</t>
  </si>
  <si>
    <t>Bowler</t>
  </si>
  <si>
    <t>nbowler@besd33.org</t>
  </si>
  <si>
    <t>Inca Elementary School</t>
  </si>
  <si>
    <t>'070433107</t>
  </si>
  <si>
    <t>lwilson@besd33.org</t>
  </si>
  <si>
    <t>'070433109</t>
  </si>
  <si>
    <t>Lorrese</t>
  </si>
  <si>
    <t>Roer</t>
  </si>
  <si>
    <t>lroer@besd.k12.az.us</t>
  </si>
  <si>
    <t>BESD Virtual</t>
  </si>
  <si>
    <t>'070433191</t>
  </si>
  <si>
    <t>Madison Elementary District</t>
  </si>
  <si>
    <t>'070438000</t>
  </si>
  <si>
    <t>Nadene</t>
  </si>
  <si>
    <t>Alderman</t>
  </si>
  <si>
    <t>nalderman@madisoned.org</t>
  </si>
  <si>
    <t>Designated User/Secretary to the Assistant Superintendent</t>
  </si>
  <si>
    <t>Garvey</t>
  </si>
  <si>
    <t>lgarvey@madisoned.org</t>
  </si>
  <si>
    <t>Executive Director of Administrative Services</t>
  </si>
  <si>
    <t>Ella</t>
  </si>
  <si>
    <t>Conroy</t>
  </si>
  <si>
    <t>econroy@madisoned.org</t>
  </si>
  <si>
    <t>Madison #1 Elementary School</t>
  </si>
  <si>
    <t>'070438110</t>
  </si>
  <si>
    <t>Madison Traditional Academy</t>
  </si>
  <si>
    <t>'070438111</t>
  </si>
  <si>
    <t>Madison Camelview Elementary</t>
  </si>
  <si>
    <t>'070438120</t>
  </si>
  <si>
    <t>Winters</t>
  </si>
  <si>
    <t>mwinters@madisoned.org</t>
  </si>
  <si>
    <t>Nieves</t>
  </si>
  <si>
    <t>jnieves@msd38.org</t>
  </si>
  <si>
    <t>Madison Richard Simis School</t>
  </si>
  <si>
    <t>'070438130</t>
  </si>
  <si>
    <t>Flowers</t>
  </si>
  <si>
    <t>jflowers@msd38.org</t>
  </si>
  <si>
    <t>Madison Rose Lane School</t>
  </si>
  <si>
    <t>'070438140</t>
  </si>
  <si>
    <t>Peter</t>
  </si>
  <si>
    <t>Morkert</t>
  </si>
  <si>
    <t>pmorkert@msd38.org</t>
  </si>
  <si>
    <t>Madison Park School</t>
  </si>
  <si>
    <t>'070438150</t>
  </si>
  <si>
    <t>Madison Meadows School</t>
  </si>
  <si>
    <t>'070438160</t>
  </si>
  <si>
    <t>sdoyle@msd38.org</t>
  </si>
  <si>
    <t>Madison Heights Elementary School</t>
  </si>
  <si>
    <t>'070438180</t>
  </si>
  <si>
    <t>Priscilla</t>
  </si>
  <si>
    <t>Gossett</t>
  </si>
  <si>
    <t>pgossett@msd38.org</t>
  </si>
  <si>
    <t>'070440000</t>
  </si>
  <si>
    <t>Litwiller</t>
  </si>
  <si>
    <t>dlitwiller@gesd40.org</t>
  </si>
  <si>
    <t>Data Entry Coordinator</t>
  </si>
  <si>
    <t>Gerry</t>
  </si>
  <si>
    <t>Petersen-Incorvaia</t>
  </si>
  <si>
    <t>gpetersen@gesd40.org</t>
  </si>
  <si>
    <t>Director of Curriculum and Instruction</t>
  </si>
  <si>
    <t>Arellano</t>
  </si>
  <si>
    <t>aarellano@gesd40.org</t>
  </si>
  <si>
    <t>Leslee</t>
  </si>
  <si>
    <t>Miele</t>
  </si>
  <si>
    <t>lmiele@gesd40.org</t>
  </si>
  <si>
    <t>Director for Effective Schools</t>
  </si>
  <si>
    <t>mmarze@gesd40.org</t>
  </si>
  <si>
    <t>Human Resource Director</t>
  </si>
  <si>
    <t>Deby</t>
  </si>
  <si>
    <t>Valadez</t>
  </si>
  <si>
    <t>dvaladez@gesd40.org</t>
  </si>
  <si>
    <t>Assist Superintendent</t>
  </si>
  <si>
    <t>Caraveo</t>
  </si>
  <si>
    <t>vcaraveo@gesd40.org</t>
  </si>
  <si>
    <t>Director of Finance &amp; Purchasing</t>
  </si>
  <si>
    <t>Segotta-Jones</t>
  </si>
  <si>
    <t>csegottajones@gesd40.org</t>
  </si>
  <si>
    <t>Amber</t>
  </si>
  <si>
    <t>aarmenta@gesd40.org</t>
  </si>
  <si>
    <t>'070440101</t>
  </si>
  <si>
    <t>Pesch</t>
  </si>
  <si>
    <t>dpesch@gesd40.org</t>
  </si>
  <si>
    <t>Schmitz</t>
  </si>
  <si>
    <t>gschmitz@gesd40.org</t>
  </si>
  <si>
    <t>'070440102</t>
  </si>
  <si>
    <t>Rudisill</t>
  </si>
  <si>
    <t>krudisill@gesd40.org</t>
  </si>
  <si>
    <t>McCurley</t>
  </si>
  <si>
    <t>cmccurley@gesd40.org</t>
  </si>
  <si>
    <t>shartman@gesd40.org</t>
  </si>
  <si>
    <t>'070440103</t>
  </si>
  <si>
    <t>ralvarez@gesd40.org</t>
  </si>
  <si>
    <t>'070440104</t>
  </si>
  <si>
    <t>tmineer@gesd40.org</t>
  </si>
  <si>
    <t>'070440105</t>
  </si>
  <si>
    <t>Parcells</t>
  </si>
  <si>
    <t>dparcells@gesd40.org</t>
  </si>
  <si>
    <t>Don Mensendick School</t>
  </si>
  <si>
    <t>'070440106</t>
  </si>
  <si>
    <t>Vilardi</t>
  </si>
  <si>
    <t>jvilardi@gesd40.org</t>
  </si>
  <si>
    <t>Seu</t>
  </si>
  <si>
    <t>skim@gesd40.org</t>
  </si>
  <si>
    <t>Brady</t>
  </si>
  <si>
    <t>mbrady@gesd40.org</t>
  </si>
  <si>
    <t>Glenn F Burton School</t>
  </si>
  <si>
    <t>'070440107</t>
  </si>
  <si>
    <t>Northcott</t>
  </si>
  <si>
    <t>hnorthcott@gesd40.org</t>
  </si>
  <si>
    <t>Farrell</t>
  </si>
  <si>
    <t>mfarrell@gesd40.org</t>
  </si>
  <si>
    <t>'070440108</t>
  </si>
  <si>
    <t>Kellie</t>
  </si>
  <si>
    <t>kduguid@gesd40.org</t>
  </si>
  <si>
    <t>Troutt</t>
  </si>
  <si>
    <t>atroutt@gesd40.org</t>
  </si>
  <si>
    <t>Bicentennial North School</t>
  </si>
  <si>
    <t>'070440109</t>
  </si>
  <si>
    <t>kfleming@gesd40.org</t>
  </si>
  <si>
    <t>Horizon School</t>
  </si>
  <si>
    <t>'070440110</t>
  </si>
  <si>
    <t>Garner</t>
  </si>
  <si>
    <t>dgarner@gesd40.org</t>
  </si>
  <si>
    <t>Emerson</t>
  </si>
  <si>
    <t>cemerson@gesd40.org</t>
  </si>
  <si>
    <t>'070440111</t>
  </si>
  <si>
    <t>Tiffany</t>
  </si>
  <si>
    <t>tmolina@gesd40.org</t>
  </si>
  <si>
    <t>Bicentennial South School</t>
  </si>
  <si>
    <t>'070440112</t>
  </si>
  <si>
    <t>spederson@gesd40.org</t>
  </si>
  <si>
    <t>Gallimore</t>
  </si>
  <si>
    <t>jgallimore@gesd40.org</t>
  </si>
  <si>
    <t>Stockton</t>
  </si>
  <si>
    <t>mstockton@gesd40.org</t>
  </si>
  <si>
    <t>Laser</t>
  </si>
  <si>
    <t>claser@gesd40.org</t>
  </si>
  <si>
    <t>'070440113</t>
  </si>
  <si>
    <t>Alcantar</t>
  </si>
  <si>
    <t>lalcantar@gesd40.org</t>
  </si>
  <si>
    <t>test administrator</t>
  </si>
  <si>
    <t>Jamison</t>
  </si>
  <si>
    <t>bjamison@gesd40.org</t>
  </si>
  <si>
    <t>Norma</t>
  </si>
  <si>
    <t>Jauregui</t>
  </si>
  <si>
    <t>njauregui@gesd40.org</t>
  </si>
  <si>
    <t>'070440114</t>
  </si>
  <si>
    <t>Rusky</t>
  </si>
  <si>
    <t>jrusky@gesd40.org</t>
  </si>
  <si>
    <t>De La Huerta</t>
  </si>
  <si>
    <t>jdelahuerta@gesd40.org</t>
  </si>
  <si>
    <t>Coyote Ridge</t>
  </si>
  <si>
    <t>'070440115</t>
  </si>
  <si>
    <t>Abbott</t>
  </si>
  <si>
    <t>pabbott@gesd40.org</t>
  </si>
  <si>
    <t>Desert Spirit</t>
  </si>
  <si>
    <t>'070440116</t>
  </si>
  <si>
    <t>Horine</t>
  </si>
  <si>
    <t>jhorine@gesd40.org</t>
  </si>
  <si>
    <t>Gerald</t>
  </si>
  <si>
    <t>Petersen Incorvaia</t>
  </si>
  <si>
    <t>'070440117</t>
  </si>
  <si>
    <t>Hightower</t>
  </si>
  <si>
    <t>lhightower@gesd40.org</t>
  </si>
  <si>
    <t>Cunningham</t>
  </si>
  <si>
    <t>jcunningham@gesd40.org</t>
  </si>
  <si>
    <t>Richman</t>
  </si>
  <si>
    <t>brichman@gesd40.org</t>
  </si>
  <si>
    <t>Glendale Elementary Online (G.E.O.) Learning</t>
  </si>
  <si>
    <t>'070440118</t>
  </si>
  <si>
    <t>'070444000</t>
  </si>
  <si>
    <t>Hargrove</t>
  </si>
  <si>
    <t>bhargro@avondale.k12.az.us</t>
  </si>
  <si>
    <t>Dewall</t>
  </si>
  <si>
    <t>bdewall@avondale.k12.az.us</t>
  </si>
  <si>
    <t>kduguid@avondale.k12.az.us</t>
  </si>
  <si>
    <t>Director of Curriculum &amp; Innovation</t>
  </si>
  <si>
    <t>Dormer</t>
  </si>
  <si>
    <t>cdormer@avondale.k12.az.us</t>
  </si>
  <si>
    <t>Henson</t>
  </si>
  <si>
    <t>thenson@avondale.k12.az.us</t>
  </si>
  <si>
    <t>Michael Anderson</t>
  </si>
  <si>
    <t>'070444102</t>
  </si>
  <si>
    <t>Watkins</t>
  </si>
  <si>
    <t>rwatkin@avondale.k12.az.us</t>
  </si>
  <si>
    <t>Goslar</t>
  </si>
  <si>
    <t>lgoslar@avondale.k12.az.us</t>
  </si>
  <si>
    <t>Eliseo C. Felix School</t>
  </si>
  <si>
    <t>'070444103</t>
  </si>
  <si>
    <t>D'Alessio</t>
  </si>
  <si>
    <t>bdaless@avondale.k12.az.us</t>
  </si>
  <si>
    <t>'070444104</t>
  </si>
  <si>
    <t>Hangrove</t>
  </si>
  <si>
    <t>Barragan</t>
  </si>
  <si>
    <t>barrag@avondale.k12.az.us</t>
  </si>
  <si>
    <t>Scarpa</t>
  </si>
  <si>
    <t>pscarpa@avondale.k12.az.us</t>
  </si>
  <si>
    <t>Wildflower Accelerated Academy</t>
  </si>
  <si>
    <t>'070444106</t>
  </si>
  <si>
    <t>Desert Star</t>
  </si>
  <si>
    <t>'070444107</t>
  </si>
  <si>
    <t>Nygaard</t>
  </si>
  <si>
    <t>bnygaard@avondale.k12.az.us</t>
  </si>
  <si>
    <t>Cuellar</t>
  </si>
  <si>
    <t>lcuella@avondale.k12.az.us</t>
  </si>
  <si>
    <t>cwood1@avondale.k12.az.us</t>
  </si>
  <si>
    <t>Julia</t>
  </si>
  <si>
    <t>Tribbett</t>
  </si>
  <si>
    <t>Director Business Services</t>
  </si>
  <si>
    <t>Desert Thunder</t>
  </si>
  <si>
    <t>'070444108</t>
  </si>
  <si>
    <t>Wayne</t>
  </si>
  <si>
    <t>Deffenbaugh</t>
  </si>
  <si>
    <t>kdeffen@avondale.k12.az.us</t>
  </si>
  <si>
    <t>Worthington</t>
  </si>
  <si>
    <t>jworthi@avondale.k12.az.us</t>
  </si>
  <si>
    <t>Copper Trails</t>
  </si>
  <si>
    <t>'070444110</t>
  </si>
  <si>
    <t>tgreen@avondale.k12.az.us</t>
  </si>
  <si>
    <t>Tortora</t>
  </si>
  <si>
    <t>mtortor@avondale.k12.az.us</t>
  </si>
  <si>
    <t>Stacy</t>
  </si>
  <si>
    <t>Ellis</t>
  </si>
  <si>
    <t>sellis@avondale.k12.az.us</t>
  </si>
  <si>
    <t>Centerra Mirage STEM Academy</t>
  </si>
  <si>
    <t>'070444111</t>
  </si>
  <si>
    <t>TALMADGE</t>
  </si>
  <si>
    <t>TANKS</t>
  </si>
  <si>
    <t>ttanks@avondale.k12.az.us</t>
  </si>
  <si>
    <t>Cfrank@avondale.k12.az.us</t>
  </si>
  <si>
    <t>Avondale Middle School</t>
  </si>
  <si>
    <t>'070444112</t>
  </si>
  <si>
    <t>phagro@avondale.k12.az.us</t>
  </si>
  <si>
    <t>Lillian</t>
  </si>
  <si>
    <t>Linn</t>
  </si>
  <si>
    <t>buvari@avondale.k12.az.us</t>
  </si>
  <si>
    <t>Espinoza</t>
  </si>
  <si>
    <t>respino@avondale.k12.az.us</t>
  </si>
  <si>
    <t>'070445000</t>
  </si>
  <si>
    <t>Marvene</t>
  </si>
  <si>
    <t>Lobato</t>
  </si>
  <si>
    <t>mlobato@fesd.org</t>
  </si>
  <si>
    <t>Ulloa</t>
  </si>
  <si>
    <t>nulloa@fesd.org</t>
  </si>
  <si>
    <t>Assistant Superintendent for Business Services</t>
  </si>
  <si>
    <t>cmiller@fesd.org</t>
  </si>
  <si>
    <t>Loza</t>
  </si>
  <si>
    <t>vloza@fesd.org</t>
  </si>
  <si>
    <t>SAIS Data Technician</t>
  </si>
  <si>
    <t>'070445101</t>
  </si>
  <si>
    <t>Altavilla</t>
  </si>
  <si>
    <t>raltavilla@fesd.org</t>
  </si>
  <si>
    <t>Karina</t>
  </si>
  <si>
    <t>klopez@fesd.org</t>
  </si>
  <si>
    <t>ELL Tester</t>
  </si>
  <si>
    <t>Sunridge Elementary School</t>
  </si>
  <si>
    <t>'070445102</t>
  </si>
  <si>
    <t>Ostrom</t>
  </si>
  <si>
    <t>costrom@fesd.org</t>
  </si>
  <si>
    <t>Santa Maria Middle School</t>
  </si>
  <si>
    <t>'070445103</t>
  </si>
  <si>
    <t>Marisol</t>
  </si>
  <si>
    <t>msilva@fesd.org</t>
  </si>
  <si>
    <t>Beatrice</t>
  </si>
  <si>
    <t>bmora@fesd.org</t>
  </si>
  <si>
    <t>Castillo</t>
  </si>
  <si>
    <t>Dcastillo@fesd.org</t>
  </si>
  <si>
    <t>Sun Canyon School</t>
  </si>
  <si>
    <t>'070445104</t>
  </si>
  <si>
    <t>Rohloff</t>
  </si>
  <si>
    <t>jrohloff@fesd.org</t>
  </si>
  <si>
    <t>Krenkel</t>
  </si>
  <si>
    <t>akrenkel@fesd.org</t>
  </si>
  <si>
    <t>'070445105</t>
  </si>
  <si>
    <t>mruiz@fesd.org</t>
  </si>
  <si>
    <t>'070445106</t>
  </si>
  <si>
    <t>tlyon@fesd.org</t>
  </si>
  <si>
    <t>Evelyn</t>
  </si>
  <si>
    <t>egarcia@fesd.org</t>
  </si>
  <si>
    <t>Principal on Special Assignment</t>
  </si>
  <si>
    <t>Tuscano Elementary School</t>
  </si>
  <si>
    <t>'070445107</t>
  </si>
  <si>
    <t>Mannelly</t>
  </si>
  <si>
    <t>mmannelly@fesd.org</t>
  </si>
  <si>
    <t>Osorio</t>
  </si>
  <si>
    <t>rosorio@fesd.org</t>
  </si>
  <si>
    <t>Fowler Elementary School District Virtual Academy</t>
  </si>
  <si>
    <t>'070445108</t>
  </si>
  <si>
    <t>Arlington Elementary District</t>
  </si>
  <si>
    <t>'070447000</t>
  </si>
  <si>
    <t>chadt@arlingtonk8.org</t>
  </si>
  <si>
    <t>Finchum</t>
  </si>
  <si>
    <t>mfinchum@arlingtonk8.org</t>
  </si>
  <si>
    <t>Admin Asst</t>
  </si>
  <si>
    <t>Arlington Elementary School</t>
  </si>
  <si>
    <t>'070447101</t>
  </si>
  <si>
    <t>chadt@maricopa.k12.az.us</t>
  </si>
  <si>
    <t>kturner@arlingtonk8.org</t>
  </si>
  <si>
    <t>Palo Verde Elementary District</t>
  </si>
  <si>
    <t>'070449000</t>
  </si>
  <si>
    <t>Aldridge</t>
  </si>
  <si>
    <t>raldridge@pvesd.org</t>
  </si>
  <si>
    <t>SWilson@pvesd.org</t>
  </si>
  <si>
    <t>ttreece@pvesd.org</t>
  </si>
  <si>
    <t>Palo Verde Elementary School</t>
  </si>
  <si>
    <t>'070449101</t>
  </si>
  <si>
    <t>'070459000</t>
  </si>
  <si>
    <t>bjohnson@laveeneld.org</t>
  </si>
  <si>
    <t>Flores</t>
  </si>
  <si>
    <t>mflores2@laveeneld.org</t>
  </si>
  <si>
    <t xml:space="preserve">Student Information Systems Specialist </t>
  </si>
  <si>
    <t>Percell</t>
  </si>
  <si>
    <t>apercell@laveeneld.org</t>
  </si>
  <si>
    <t>Hegarty</t>
  </si>
  <si>
    <t>Khegarty@laveeneld.org</t>
  </si>
  <si>
    <t>Executive Director of Business and Operations</t>
  </si>
  <si>
    <t>De La O</t>
  </si>
  <si>
    <t>rdelao@laveeneld.org</t>
  </si>
  <si>
    <t>Student Information System Coordinator</t>
  </si>
  <si>
    <t>'070459101</t>
  </si>
  <si>
    <t>Roselle</t>
  </si>
  <si>
    <t>jroselle@laveeneld.org</t>
  </si>
  <si>
    <t>Maurice C. Cash Elementary School</t>
  </si>
  <si>
    <t>'070459102</t>
  </si>
  <si>
    <t>Sandomir</t>
  </si>
  <si>
    <t>lsandomir@laveeneld.org</t>
  </si>
  <si>
    <t>Vista del Sur Accelerated</t>
  </si>
  <si>
    <t>'070459103</t>
  </si>
  <si>
    <t>Kristy</t>
  </si>
  <si>
    <t>Pashley</t>
  </si>
  <si>
    <t>kpashley@laveeneld.org</t>
  </si>
  <si>
    <t>Cheatham Elementary School</t>
  </si>
  <si>
    <t>'070459104</t>
  </si>
  <si>
    <t>Trailside Point Performing Arts Academy</t>
  </si>
  <si>
    <t>'070459105</t>
  </si>
  <si>
    <t>Dalessio</t>
  </si>
  <si>
    <t>BDalessio@laveeneld.org</t>
  </si>
  <si>
    <t>Desert Meadows Elementary School</t>
  </si>
  <si>
    <t>'070459106</t>
  </si>
  <si>
    <t>Preis</t>
  </si>
  <si>
    <t>SPreis@laveeneld.org</t>
  </si>
  <si>
    <t>Rogers Ranch School</t>
  </si>
  <si>
    <t>'070459107</t>
  </si>
  <si>
    <t>tthomas@laveeneld.org</t>
  </si>
  <si>
    <t>LeAnn</t>
  </si>
  <si>
    <t>Lburns@laveeneld.org</t>
  </si>
  <si>
    <t>Paseo Pointe School</t>
  </si>
  <si>
    <t>'070459108</t>
  </si>
  <si>
    <t xml:space="preserve"> Entity Administrator</t>
  </si>
  <si>
    <t>Estrella Foothills Global Academy</t>
  </si>
  <si>
    <t>'070459109</t>
  </si>
  <si>
    <t>Union Elementary District</t>
  </si>
  <si>
    <t>'070462000</t>
  </si>
  <si>
    <t>Kristine</t>
  </si>
  <si>
    <t>Morris</t>
  </si>
  <si>
    <t>kmorris@uesd.org</t>
  </si>
  <si>
    <t>O'Rielly</t>
  </si>
  <si>
    <t>sorielly@uesd.org</t>
  </si>
  <si>
    <t>Union Elementary School</t>
  </si>
  <si>
    <t>'070462101</t>
  </si>
  <si>
    <t>Welsh</t>
  </si>
  <si>
    <t>mwelsh@uesd.org</t>
  </si>
  <si>
    <t>Hurley Ranch Elementary</t>
  </si>
  <si>
    <t>'070462102</t>
  </si>
  <si>
    <t>Georgia</t>
  </si>
  <si>
    <t>Perron</t>
  </si>
  <si>
    <t>Tommie</t>
  </si>
  <si>
    <t>Dyer</t>
  </si>
  <si>
    <t>tdyer@uesd.org</t>
  </si>
  <si>
    <t>rwatkins@uesd.org</t>
  </si>
  <si>
    <t>Dos Rios Elementary</t>
  </si>
  <si>
    <t>'070462103</t>
  </si>
  <si>
    <t>Reed</t>
  </si>
  <si>
    <t>mreed@uesd.org</t>
  </si>
  <si>
    <t>skennedy@uesd.org</t>
  </si>
  <si>
    <t>mcollins@UESD.org</t>
  </si>
  <si>
    <t>jstewart@uesd.org</t>
  </si>
  <si>
    <t>'070465000</t>
  </si>
  <si>
    <t>Freeman</t>
  </si>
  <si>
    <t>Freeman.Roger@littletonaz.org</t>
  </si>
  <si>
    <t>Atuahene</t>
  </si>
  <si>
    <t>French</t>
  </si>
  <si>
    <t>french.ryan@littletonaz.org</t>
  </si>
  <si>
    <t>Phyllis</t>
  </si>
  <si>
    <t>Kinder</t>
  </si>
  <si>
    <t>kinder.phyllis@littletonaz.org</t>
  </si>
  <si>
    <t>Exec Director of Business Services</t>
  </si>
  <si>
    <t>'070465101</t>
  </si>
  <si>
    <t>Juliet</t>
  </si>
  <si>
    <t>Mendez</t>
  </si>
  <si>
    <t>jmendez@littletonaz.org</t>
  </si>
  <si>
    <t>Chebultz</t>
  </si>
  <si>
    <t>lchebultz@littletonaz.org</t>
  </si>
  <si>
    <t>Chance</t>
  </si>
  <si>
    <t>Whiteman</t>
  </si>
  <si>
    <t>cwhiteman@littletonaz.org</t>
  </si>
  <si>
    <t>Underdown Learning Center</t>
  </si>
  <si>
    <t>'070465102</t>
  </si>
  <si>
    <t>Lenora</t>
  </si>
  <si>
    <t>Owoyemi</t>
  </si>
  <si>
    <t>lowoyemi@littletonaz.org</t>
  </si>
  <si>
    <t>Collier Elementary School</t>
  </si>
  <si>
    <t>'070465104</t>
  </si>
  <si>
    <t>Gioia</t>
  </si>
  <si>
    <t>Pitts</t>
  </si>
  <si>
    <t>gpitts@littletonaz.org</t>
  </si>
  <si>
    <t>'070465105</t>
  </si>
  <si>
    <t>Jazmine</t>
  </si>
  <si>
    <t>Pacheco</t>
  </si>
  <si>
    <t>jpacheco@littletonaz.org</t>
  </si>
  <si>
    <t>Couret</t>
  </si>
  <si>
    <t>lcouret@littletonaz.org</t>
  </si>
  <si>
    <t>Country Place Elementary</t>
  </si>
  <si>
    <t>'070465106</t>
  </si>
  <si>
    <t>Stinnett</t>
  </si>
  <si>
    <t>rstinnett@littletonaz.org</t>
  </si>
  <si>
    <t>ggardner@littletonaz.org</t>
  </si>
  <si>
    <t>Estrella Vista Elementary School</t>
  </si>
  <si>
    <t>'070465107</t>
  </si>
  <si>
    <t>Halley</t>
  </si>
  <si>
    <t>mhalley@littletonaz.org</t>
  </si>
  <si>
    <t>Ramos</t>
  </si>
  <si>
    <t>Tres Rios Elementary School</t>
  </si>
  <si>
    <t>'070465108</t>
  </si>
  <si>
    <t>Faulkner</t>
  </si>
  <si>
    <t>tfaulkner@littletonaz.org</t>
  </si>
  <si>
    <t>Macdonald</t>
  </si>
  <si>
    <t>smacdonald@littletonaz.org</t>
  </si>
  <si>
    <t>Seu Hee</t>
  </si>
  <si>
    <t>Ledet</t>
  </si>
  <si>
    <t>Fine Arts Academy</t>
  </si>
  <si>
    <t>'070465109</t>
  </si>
  <si>
    <t>'070466000</t>
  </si>
  <si>
    <t>Shenell</t>
  </si>
  <si>
    <t>shenell.alexander@rsd.k12.az.us</t>
  </si>
  <si>
    <t>Treena</t>
  </si>
  <si>
    <t>treena.bradley@rsd.k12.az.us</t>
  </si>
  <si>
    <t>Maricela</t>
  </si>
  <si>
    <t>Lerma</t>
  </si>
  <si>
    <t>Maricela.Lerma@rsd.k12.az.us</t>
  </si>
  <si>
    <t>Sareena</t>
  </si>
  <si>
    <t>Cheriakakramcherry</t>
  </si>
  <si>
    <t>sareena.cheriakakram@rsd.k12.az.us</t>
  </si>
  <si>
    <t xml:space="preserve"> Director of Federal Programs</t>
  </si>
  <si>
    <t>Karla</t>
  </si>
  <si>
    <t>karla.soto@rsd.k12.az.us</t>
  </si>
  <si>
    <t>Lydia</t>
  </si>
  <si>
    <t>Gonzalez</t>
  </si>
  <si>
    <t>602.243.48</t>
  </si>
  <si>
    <t>lydia.gonzalez@rsd.k12.az.us</t>
  </si>
  <si>
    <t>SIS Clerk III</t>
  </si>
  <si>
    <t>Jean.Cook@rsd.k12.az.us</t>
  </si>
  <si>
    <t>Pupil Personnel Supervisor</t>
  </si>
  <si>
    <t>'070466002</t>
  </si>
  <si>
    <t>Ivette</t>
  </si>
  <si>
    <t>ivette.rodriguez@rsd.k12.az.us</t>
  </si>
  <si>
    <t>Groeninger</t>
  </si>
  <si>
    <t>andrea.groeninger@rsd.k12.az.us</t>
  </si>
  <si>
    <t>'070466003</t>
  </si>
  <si>
    <t>Nicole</t>
  </si>
  <si>
    <t>Shamblin</t>
  </si>
  <si>
    <t>nicole.shamblin@rsd.k12.az.us</t>
  </si>
  <si>
    <t>Sunland Elementary School</t>
  </si>
  <si>
    <t>'070466004</t>
  </si>
  <si>
    <t>Raymond</t>
  </si>
  <si>
    <t>Gardea</t>
  </si>
  <si>
    <t>Raymond.Gardea@rsd.k12.az.us</t>
  </si>
  <si>
    <t>Valley View School</t>
  </si>
  <si>
    <t>'070466006</t>
  </si>
  <si>
    <t>bryce.mcclellan@rsd.k12.az.us</t>
  </si>
  <si>
    <t>Theresa.Lerma@rsd.k12.az.us</t>
  </si>
  <si>
    <t>'070466007</t>
  </si>
  <si>
    <t>Luckie</t>
  </si>
  <si>
    <t>joyce.luckie@rsd.k12.az.us</t>
  </si>
  <si>
    <t>Irene Lopez School</t>
  </si>
  <si>
    <t>'070466009</t>
  </si>
  <si>
    <t>Gestson</t>
  </si>
  <si>
    <t>Megan.Gestson@rsd.k12.az.us</t>
  </si>
  <si>
    <t>Martin Luther King Early Childhood Center</t>
  </si>
  <si>
    <t>'070466011</t>
  </si>
  <si>
    <t>micheal.turner@rsd.k12.az.us</t>
  </si>
  <si>
    <t>Jack</t>
  </si>
  <si>
    <t>Day</t>
  </si>
  <si>
    <t>jack.day@rsd.k12.az.us</t>
  </si>
  <si>
    <t>'070466012</t>
  </si>
  <si>
    <t>Payton</t>
  </si>
  <si>
    <t>McFarland</t>
  </si>
  <si>
    <t>AnitaM@rsd.k12.az.us</t>
  </si>
  <si>
    <t>'070466013</t>
  </si>
  <si>
    <t>Aida</t>
  </si>
  <si>
    <t>Frietz</t>
  </si>
  <si>
    <t>Aida.Frietz@rsd.k12.az.us</t>
  </si>
  <si>
    <t>Stuart</t>
  </si>
  <si>
    <t>Starky</t>
  </si>
  <si>
    <t>'070466014</t>
  </si>
  <si>
    <t>Amy L. Houston Academy</t>
  </si>
  <si>
    <t>'070466015</t>
  </si>
  <si>
    <t>Stephenson</t>
  </si>
  <si>
    <t>lynette.stephenson@rsd.k12.az.us</t>
  </si>
  <si>
    <t>Prichett</t>
  </si>
  <si>
    <t>Diana.Prickett@rsd.k12.az.us</t>
  </si>
  <si>
    <t>caroline.montoya@rsd.k12.az.us</t>
  </si>
  <si>
    <t>Kassandra</t>
  </si>
  <si>
    <t>Spurlock</t>
  </si>
  <si>
    <t>kassandra.spurlock@rsd.k12.az.us</t>
  </si>
  <si>
    <t>'070466016</t>
  </si>
  <si>
    <t>stuart.starky@rsd.k12.az.us</t>
  </si>
  <si>
    <t>'070466017</t>
  </si>
  <si>
    <t>benjamin.roat@rsd.k12.az.us</t>
  </si>
  <si>
    <t>'070466018</t>
  </si>
  <si>
    <t>anitam@rsd.k12.az.us</t>
  </si>
  <si>
    <t>'070466019</t>
  </si>
  <si>
    <t>Norwood</t>
  </si>
  <si>
    <t>lisa.norwood@rsd.k12.az.us</t>
  </si>
  <si>
    <t>Felipe</t>
  </si>
  <si>
    <t>Carranza</t>
  </si>
  <si>
    <t>felipe.carranza@rsd.k12.az.us</t>
  </si>
  <si>
    <t>Southwest Elementary School</t>
  </si>
  <si>
    <t>'070466020</t>
  </si>
  <si>
    <t>Sierra</t>
  </si>
  <si>
    <t>juan.sierra@rsd.k12.az.us</t>
  </si>
  <si>
    <t>'070466021</t>
  </si>
  <si>
    <t>Acosta</t>
  </si>
  <si>
    <t>stephanie.acosta@rsd.k12.az.us</t>
  </si>
  <si>
    <t>Mendoza</t>
  </si>
  <si>
    <t>Paul.Mendoza@rsd.k12.az.us</t>
  </si>
  <si>
    <t>'070466022</t>
  </si>
  <si>
    <t>william.collins@rsd.k12.az.us</t>
  </si>
  <si>
    <t>Bernard Black Elementary School</t>
  </si>
  <si>
    <t>'070466024</t>
  </si>
  <si>
    <t>audra.gibson@rsd.k12.az.us</t>
  </si>
  <si>
    <t>Bernacki</t>
  </si>
  <si>
    <t>Cynthia.Bernacki@rsd.k12.az.us</t>
  </si>
  <si>
    <t>iAmRSDOnline Academy</t>
  </si>
  <si>
    <t>'070466027</t>
  </si>
  <si>
    <t>'070468000</t>
  </si>
  <si>
    <t>Lavonda</t>
  </si>
  <si>
    <t>Walls</t>
  </si>
  <si>
    <t>lavondawalls@alhambraesd.org</t>
  </si>
  <si>
    <t>Mandi</t>
  </si>
  <si>
    <t>Bilyou</t>
  </si>
  <si>
    <t>mandibilyou@alhambraesd.org</t>
  </si>
  <si>
    <t>Assistant Superintendent of Academic Services</t>
  </si>
  <si>
    <t>Heusman</t>
  </si>
  <si>
    <t>scottheusman@alhambraesd.org</t>
  </si>
  <si>
    <t>Kandi</t>
  </si>
  <si>
    <t>Swift</t>
  </si>
  <si>
    <t>kandiswift@alhambraesd.org</t>
  </si>
  <si>
    <t>SIS Supervisor</t>
  </si>
  <si>
    <t>Alhambra Traditional School</t>
  </si>
  <si>
    <t>'070468101</t>
  </si>
  <si>
    <t>Tracey</t>
  </si>
  <si>
    <t>Lopeman</t>
  </si>
  <si>
    <t>traceylopeman@alhambraesd.org</t>
  </si>
  <si>
    <t>James W. Rice Elementary School</t>
  </si>
  <si>
    <t>'070468103</t>
  </si>
  <si>
    <t>'070468104</t>
  </si>
  <si>
    <t>Paige</t>
  </si>
  <si>
    <t>Brill</t>
  </si>
  <si>
    <t>paigebrill@alhambraesd.org</t>
  </si>
  <si>
    <t>Carol G. Peck Elementary School</t>
  </si>
  <si>
    <t>'070468105</t>
  </si>
  <si>
    <t>Schlosser</t>
  </si>
  <si>
    <t>melindaschlosser@alhambraesd.org</t>
  </si>
  <si>
    <t>Catalina Ventura School</t>
  </si>
  <si>
    <t>'070468106</t>
  </si>
  <si>
    <t>Gonzales</t>
  </si>
  <si>
    <t>melissagonzales@alhambraesd.org</t>
  </si>
  <si>
    <t>'070468107</t>
  </si>
  <si>
    <t>Spearman</t>
  </si>
  <si>
    <t>sharonspearman@alhambraesd.org</t>
  </si>
  <si>
    <t>Belinda</t>
  </si>
  <si>
    <t>Quezada</t>
  </si>
  <si>
    <t>Granada Elementary School-East Campus</t>
  </si>
  <si>
    <t>'070468109</t>
  </si>
  <si>
    <t>randymartinez@alhambraesd.org</t>
  </si>
  <si>
    <t>Granada Elementary School-West Campus</t>
  </si>
  <si>
    <t>'070468110</t>
  </si>
  <si>
    <t>Killingsworth</t>
  </si>
  <si>
    <t>theresakillingworth@alhambraesd.org</t>
  </si>
  <si>
    <t>Sevilla Elementary School-East Campus</t>
  </si>
  <si>
    <t>'070468112</t>
  </si>
  <si>
    <t>Caudill</t>
  </si>
  <si>
    <t>mandicaudill@alhambraesd.org</t>
  </si>
  <si>
    <t>Choice Learning Academy</t>
  </si>
  <si>
    <t>'070468113</t>
  </si>
  <si>
    <t>Stengel</t>
  </si>
  <si>
    <t>karenstengel@alhambraesd.org</t>
  </si>
  <si>
    <t>'070468114</t>
  </si>
  <si>
    <t>Weiss</t>
  </si>
  <si>
    <t>loriweiss@alhambraesd.org</t>
  </si>
  <si>
    <t>Sevilla Elementary School-West Campus</t>
  </si>
  <si>
    <t>'070468115</t>
  </si>
  <si>
    <t>Garry</t>
  </si>
  <si>
    <t>Glay</t>
  </si>
  <si>
    <t>garryglay@alhambraesd.org</t>
  </si>
  <si>
    <t>'070468116</t>
  </si>
  <si>
    <t>'070468117</t>
  </si>
  <si>
    <t>Global Academy of Phoenix</t>
  </si>
  <si>
    <t>'070468118</t>
  </si>
  <si>
    <t>Alhambra Elementary Online Learning School</t>
  </si>
  <si>
    <t>'070468120</t>
  </si>
  <si>
    <t>Girls Innovation Academy</t>
  </si>
  <si>
    <t>'070468121</t>
  </si>
  <si>
    <t>Litchfield Elementary District</t>
  </si>
  <si>
    <t>'070479000</t>
  </si>
  <si>
    <t>Qualls</t>
  </si>
  <si>
    <t>qualls@lesd.k12.az.us</t>
  </si>
  <si>
    <t>Gunning</t>
  </si>
  <si>
    <t>gunning@lesd.k12.az.us</t>
  </si>
  <si>
    <t>Pearson</t>
  </si>
  <si>
    <t>pearson@lesd.k12.az.us</t>
  </si>
  <si>
    <t>Director of Curriculum</t>
  </si>
  <si>
    <t>Savage</t>
  </si>
  <si>
    <t>(623)535-6</t>
  </si>
  <si>
    <t>savage@lesd.k12.az.us</t>
  </si>
  <si>
    <t>Absence/ADM/SAIS Technology Coordinator</t>
  </si>
  <si>
    <t>Litchfield Elementary School</t>
  </si>
  <si>
    <t>'070479101</t>
  </si>
  <si>
    <t>Sabine</t>
  </si>
  <si>
    <t>Hopper</t>
  </si>
  <si>
    <t>Scott L Libby Elementary School</t>
  </si>
  <si>
    <t>'070479102</t>
  </si>
  <si>
    <t>Corby</t>
  </si>
  <si>
    <t>Naylor</t>
  </si>
  <si>
    <t>naylor@lesd.k12.az.us</t>
  </si>
  <si>
    <t>Western Sky Middle School</t>
  </si>
  <si>
    <t>'070479103</t>
  </si>
  <si>
    <t>Garrett</t>
  </si>
  <si>
    <t>garrett@lesd.k12.az.us</t>
  </si>
  <si>
    <t>Palm Valley Elementary</t>
  </si>
  <si>
    <t>'070479104</t>
  </si>
  <si>
    <t>Rancho Santa Fe Elementary School</t>
  </si>
  <si>
    <t>'070479105</t>
  </si>
  <si>
    <t>Zuniga</t>
  </si>
  <si>
    <t>zuniga@lesd.k12.az.us</t>
  </si>
  <si>
    <t>White Tanks Learning Center</t>
  </si>
  <si>
    <t>'070479106</t>
  </si>
  <si>
    <t>Weniger</t>
  </si>
  <si>
    <t>weniger@lesd.k12.az.us</t>
  </si>
  <si>
    <t>Wigwam Creek Middle School</t>
  </si>
  <si>
    <t>'070479107</t>
  </si>
  <si>
    <t>Tassin</t>
  </si>
  <si>
    <t>tassin@lesd.k12.az.us</t>
  </si>
  <si>
    <t>Corte Sierra Elementary School</t>
  </si>
  <si>
    <t>'070479108</t>
  </si>
  <si>
    <t>Rotteger</t>
  </si>
  <si>
    <t>rotteger@lesd.k12.az.us</t>
  </si>
  <si>
    <t>Dreaming Summit Elementary</t>
  </si>
  <si>
    <t>'070479109</t>
  </si>
  <si>
    <t>lewis@lesd.k12.az.us</t>
  </si>
  <si>
    <t>Verrado Middle School</t>
  </si>
  <si>
    <t>'070479110</t>
  </si>
  <si>
    <t>Barbara B. Robey Elementary School</t>
  </si>
  <si>
    <t>'070479111</t>
  </si>
  <si>
    <t>acosta@lesd.k12.az.us</t>
  </si>
  <si>
    <t>L. Thomas Heck Middle School</t>
  </si>
  <si>
    <t>'070479112</t>
  </si>
  <si>
    <t>Casillas</t>
  </si>
  <si>
    <t>casillas@lesd.k12.az.us</t>
  </si>
  <si>
    <t>Verrado Elementary School</t>
  </si>
  <si>
    <t>'070479113</t>
  </si>
  <si>
    <t>Jankee</t>
  </si>
  <si>
    <t>Mabel Padgett Elementary School</t>
  </si>
  <si>
    <t>'070479114</t>
  </si>
  <si>
    <t>Leslie</t>
  </si>
  <si>
    <t>willis@lesd.k12.az.us</t>
  </si>
  <si>
    <t>Verrado Heritage Elementary School</t>
  </si>
  <si>
    <t>'070479115</t>
  </si>
  <si>
    <t>Meredith</t>
  </si>
  <si>
    <t>Noce</t>
  </si>
  <si>
    <t>noce@lesd.k12.az.us</t>
  </si>
  <si>
    <t>Belen Soto Elementary School</t>
  </si>
  <si>
    <t>'070479116</t>
  </si>
  <si>
    <t>frazier@lesd.k12.az.us</t>
  </si>
  <si>
    <t>'070483000</t>
  </si>
  <si>
    <t>Osuna</t>
  </si>
  <si>
    <t>rebecca.osuna@csd83.org</t>
  </si>
  <si>
    <t>Assistant Supertendent of Administraive Services</t>
  </si>
  <si>
    <t>mary.morrison@csd83.org</t>
  </si>
  <si>
    <t>Santos</t>
  </si>
  <si>
    <t>christine.santos@csd83.org</t>
  </si>
  <si>
    <t>LeeAnn</t>
  </si>
  <si>
    <t>Aguilar Lawlor</t>
  </si>
  <si>
    <t>leeann.lawlor@csd83.org</t>
  </si>
  <si>
    <t>Chaparro</t>
  </si>
  <si>
    <t>leslie.chaparro@csd83.org</t>
  </si>
  <si>
    <t>Administrator of Transportation Operations</t>
  </si>
  <si>
    <t>sarah.hernandez@csd83.org</t>
  </si>
  <si>
    <t>gholland@csd83.org</t>
  </si>
  <si>
    <t>Kathi</t>
  </si>
  <si>
    <t>Marston</t>
  </si>
  <si>
    <t>kmarston@csd83.org</t>
  </si>
  <si>
    <t>Victoria</t>
  </si>
  <si>
    <t>Farrar</t>
  </si>
  <si>
    <t>victoria.farrar@csd83.org</t>
  </si>
  <si>
    <t>Assistant Director of Business Services</t>
  </si>
  <si>
    <t>Cartwright School</t>
  </si>
  <si>
    <t>'070483101</t>
  </si>
  <si>
    <t>Glenn L. Downs School</t>
  </si>
  <si>
    <t>'070483102</t>
  </si>
  <si>
    <t xml:space="preserve">Leslie 	</t>
  </si>
  <si>
    <t>lking@down.cartwright.k12.az.us</t>
  </si>
  <si>
    <t>Assistant Principals</t>
  </si>
  <si>
    <t>John F. Long</t>
  </si>
  <si>
    <t>'070483103</t>
  </si>
  <si>
    <t>Raul</t>
  </si>
  <si>
    <t>Pina</t>
  </si>
  <si>
    <t>raul.pina@csd83.org</t>
  </si>
  <si>
    <t>Justine Spitalny School</t>
  </si>
  <si>
    <t>'070483104</t>
  </si>
  <si>
    <t>Hecht</t>
  </si>
  <si>
    <t>jhecht@atki.cartwright.k12.az.us</t>
  </si>
  <si>
    <t>Holiday Park School</t>
  </si>
  <si>
    <t>'070483105</t>
  </si>
  <si>
    <t>'070483106</t>
  </si>
  <si>
    <t>Starlight Park School</t>
  </si>
  <si>
    <t>'070483107</t>
  </si>
  <si>
    <t>Felicia</t>
  </si>
  <si>
    <t>Durden</t>
  </si>
  <si>
    <t>felicia.durden@csd83.org</t>
  </si>
  <si>
    <t>Mach</t>
  </si>
  <si>
    <t>kevin.mach@csd83.org</t>
  </si>
  <si>
    <t>Charles W. Harris School</t>
  </si>
  <si>
    <t>'070483108</t>
  </si>
  <si>
    <t>Desert Sands Middle School</t>
  </si>
  <si>
    <t>'070483109</t>
  </si>
  <si>
    <t>kwells@sand.cartwright.k12.az.us</t>
  </si>
  <si>
    <t>Co-Principal</t>
  </si>
  <si>
    <t>Frank Borman School</t>
  </si>
  <si>
    <t>'070483110</t>
  </si>
  <si>
    <t>jbrownlie@borm.cartwright.k12.az.us</t>
  </si>
  <si>
    <t>pliles@borm.cartwright.k12.az.us</t>
  </si>
  <si>
    <t>Heatherbrae School</t>
  </si>
  <si>
    <t>'070483112</t>
  </si>
  <si>
    <t>eva.stevens@csd83.org</t>
  </si>
  <si>
    <t>jcase@heat.cartwright.k12.az.us</t>
  </si>
  <si>
    <t>Estrella Middle School</t>
  </si>
  <si>
    <t>'070483114</t>
  </si>
  <si>
    <t>randerson@estr.cartwright.k12.az.us</t>
  </si>
  <si>
    <t>Mayes</t>
  </si>
  <si>
    <t>bmayes@estr.cartwright.k12.az.us</t>
  </si>
  <si>
    <t>Palm Lane</t>
  </si>
  <si>
    <t>'070483115</t>
  </si>
  <si>
    <t>Mauran</t>
  </si>
  <si>
    <t>rmauran@palm.cartwright.k12.az.us</t>
  </si>
  <si>
    <t>dvaladez@palm.cartwright.k12.az.us</t>
  </si>
  <si>
    <t>Stephanie.Ward@csd83.org</t>
  </si>
  <si>
    <t>Peralta School</t>
  </si>
  <si>
    <t>'070483116</t>
  </si>
  <si>
    <t>Mary Kay</t>
  </si>
  <si>
    <t>Radavich</t>
  </si>
  <si>
    <t>mradavich@pera.cartwright.k12.az.us</t>
  </si>
  <si>
    <t>Byron A. Barry School</t>
  </si>
  <si>
    <t>'070483117</t>
  </si>
  <si>
    <t>Little</t>
  </si>
  <si>
    <t>dlittle@barr.cartwright.k12.az.us</t>
  </si>
  <si>
    <t>Tomahawk School</t>
  </si>
  <si>
    <t>'070483118</t>
  </si>
  <si>
    <t>Marilyn</t>
  </si>
  <si>
    <t>marilyn.bond@csd83.org</t>
  </si>
  <si>
    <t>G. Frank Davidson</t>
  </si>
  <si>
    <t>'070483120</t>
  </si>
  <si>
    <t>Bernhardt</t>
  </si>
  <si>
    <t>jbernhardt@mail.cartwright.k12.az.us</t>
  </si>
  <si>
    <t>theresa.trujillo@csd83.org</t>
  </si>
  <si>
    <t>Nevers</t>
  </si>
  <si>
    <t>snevers@davi.cartwright.k12.az.us</t>
  </si>
  <si>
    <t>Marc T. Atkinson Middle School</t>
  </si>
  <si>
    <t>'070483121</t>
  </si>
  <si>
    <t>swinters@atki.cartwright.k12.az.us</t>
  </si>
  <si>
    <t>District Administrator</t>
  </si>
  <si>
    <t xml:space="preserve">Carol 		</t>
  </si>
  <si>
    <t>carol.lettieri@csd83.org</t>
  </si>
  <si>
    <t>Assis. Principal</t>
  </si>
  <si>
    <t>Bret R. Tarver</t>
  </si>
  <si>
    <t>'070483122</t>
  </si>
  <si>
    <t>Joy</t>
  </si>
  <si>
    <t>joy.weiss@csd83.org</t>
  </si>
  <si>
    <t>Beth Jones</t>
  </si>
  <si>
    <t>bjones@tarv.cartwright.k12.az.us</t>
  </si>
  <si>
    <t>Manuel Pena Jr. School</t>
  </si>
  <si>
    <t>'070483123</t>
  </si>
  <si>
    <t>Cecilia</t>
  </si>
  <si>
    <t>csanchez@pena.cartwright.k12.az.us</t>
  </si>
  <si>
    <t>Jaclyn</t>
  </si>
  <si>
    <t>Farrerr</t>
  </si>
  <si>
    <t>jfarrerr@mail.cartwright.k12.az.us</t>
  </si>
  <si>
    <t>Raul H. Castro Middle School</t>
  </si>
  <si>
    <t>'070483129</t>
  </si>
  <si>
    <t xml:space="preserve">Jodi 	</t>
  </si>
  <si>
    <t>jbernhardt@cast.cartwright.k12.az.us</t>
  </si>
  <si>
    <t>to Assistant</t>
  </si>
  <si>
    <t>'070492000</t>
  </si>
  <si>
    <t>achristopher@pesd92.org</t>
  </si>
  <si>
    <t xml:space="preserve"> District Superintendent</t>
  </si>
  <si>
    <t>Poag</t>
  </si>
  <si>
    <t>mpoag@pesd92.org</t>
  </si>
  <si>
    <t>Joanne</t>
  </si>
  <si>
    <t>Fimbres</t>
  </si>
  <si>
    <t>jfimbres@pesd92.org</t>
  </si>
  <si>
    <t>Pendergast Elementary School</t>
  </si>
  <si>
    <t>'070492012</t>
  </si>
  <si>
    <t>Woolsey</t>
  </si>
  <si>
    <t>mwoolsey@pesd92.org</t>
  </si>
  <si>
    <t>'070492013</t>
  </si>
  <si>
    <t>Jaramillo</t>
  </si>
  <si>
    <t>sjaramillo@pesd92.org</t>
  </si>
  <si>
    <t>Debby</t>
  </si>
  <si>
    <t>decruz@pesd92.org</t>
  </si>
  <si>
    <t>Villa De Paz Elementary School</t>
  </si>
  <si>
    <t>'070492015</t>
  </si>
  <si>
    <t>Danelina</t>
  </si>
  <si>
    <t>Portilo</t>
  </si>
  <si>
    <t>dportillo@pesd92.org</t>
  </si>
  <si>
    <t>Shakira</t>
  </si>
  <si>
    <t>ssimmons@pesd92.org</t>
  </si>
  <si>
    <t>Garden Lakes Elementary School</t>
  </si>
  <si>
    <t>'070492016</t>
  </si>
  <si>
    <t>Waltman</t>
  </si>
  <si>
    <t>hwaltman@pesd92.org</t>
  </si>
  <si>
    <t>Helland</t>
  </si>
  <si>
    <t>jhelland@pesd92.org</t>
  </si>
  <si>
    <t>Desert Mirage Elementary School</t>
  </si>
  <si>
    <t>'070492017</t>
  </si>
  <si>
    <t>Susie</t>
  </si>
  <si>
    <t>Torrejos</t>
  </si>
  <si>
    <t>storrejos@pesd92.org</t>
  </si>
  <si>
    <t>Copper King Elementary</t>
  </si>
  <si>
    <t>'070492018</t>
  </si>
  <si>
    <t>Janine</t>
  </si>
  <si>
    <t>Ambrose</t>
  </si>
  <si>
    <t>Jambrose@pesd92.org</t>
  </si>
  <si>
    <t>Canyon Breeze Elementary</t>
  </si>
  <si>
    <t>'070492019</t>
  </si>
  <si>
    <t>Byrnes</t>
  </si>
  <si>
    <t>jbyrnes@pesd92.org</t>
  </si>
  <si>
    <t>lpizzo@pesd92.org</t>
  </si>
  <si>
    <t>claser@pesd92.org</t>
  </si>
  <si>
    <t>'070492020</t>
  </si>
  <si>
    <t>krmorris@pesd92.org</t>
  </si>
  <si>
    <t>sward@pesd92.org</t>
  </si>
  <si>
    <t>jjacobo@pesd92.org</t>
  </si>
  <si>
    <t>'070492021</t>
  </si>
  <si>
    <t>Siobhan</t>
  </si>
  <si>
    <t>McCarthy</t>
  </si>
  <si>
    <t>smccarthy@pesd92.org</t>
  </si>
  <si>
    <t>Sunset Ridge Elementary School</t>
  </si>
  <si>
    <t>'070492022</t>
  </si>
  <si>
    <t>afrazier@pesd92.org</t>
  </si>
  <si>
    <t>Jef</t>
  </si>
  <si>
    <t>Heredia</t>
  </si>
  <si>
    <t>Jheredia@pesd92.org</t>
  </si>
  <si>
    <t>Westwind Elementary School</t>
  </si>
  <si>
    <t>'070492023</t>
  </si>
  <si>
    <t>Natasha</t>
  </si>
  <si>
    <t>Camp</t>
  </si>
  <si>
    <t>ncamp@pesd92.org</t>
  </si>
  <si>
    <t>Rod</t>
  </si>
  <si>
    <t>Henkel</t>
  </si>
  <si>
    <t>rhenkel@pesd92.org</t>
  </si>
  <si>
    <t>Amberlea Elementary School</t>
  </si>
  <si>
    <t>'070492024</t>
  </si>
  <si>
    <t>bmartin@pesd92.org</t>
  </si>
  <si>
    <t>Winefsky</t>
  </si>
  <si>
    <t>bwinefsky@pesd92.org</t>
  </si>
  <si>
    <t>cberg@pesd92.org</t>
  </si>
  <si>
    <t>Buckeye Union High School District</t>
  </si>
  <si>
    <t>'070501000</t>
  </si>
  <si>
    <t>Godfrey</t>
  </si>
  <si>
    <t>egodfrey@buhsd.org</t>
  </si>
  <si>
    <t>Colbert</t>
  </si>
  <si>
    <t>623.386.97</t>
  </si>
  <si>
    <t>lcolbert@buhsd.org</t>
  </si>
  <si>
    <t>Budget Director</t>
  </si>
  <si>
    <t>jsimmons@buhsd.org</t>
  </si>
  <si>
    <t>Auwen</t>
  </si>
  <si>
    <t>jauwen@buhsd.org</t>
  </si>
  <si>
    <t>SAIS TEchnology Coordinator</t>
  </si>
  <si>
    <t>Buckeye Union High School</t>
  </si>
  <si>
    <t>'070501201</t>
  </si>
  <si>
    <t>Tawn</t>
  </si>
  <si>
    <t>Argeris</t>
  </si>
  <si>
    <t>targeris@buhsd.org</t>
  </si>
  <si>
    <t>Associate Superintendent of Operations</t>
  </si>
  <si>
    <t>Estrella Foothills High School</t>
  </si>
  <si>
    <t>'070501202</t>
  </si>
  <si>
    <t>ericg@BUHSD.org</t>
  </si>
  <si>
    <t>Standerfer</t>
  </si>
  <si>
    <t>lstanderfer@buhsd.org</t>
  </si>
  <si>
    <t>The Buckeye Academy</t>
  </si>
  <si>
    <t>'070501203</t>
  </si>
  <si>
    <t>Bernie</t>
  </si>
  <si>
    <t>bgarcia@buhsd.org</t>
  </si>
  <si>
    <t>Youngker High School</t>
  </si>
  <si>
    <t>'070501204</t>
  </si>
  <si>
    <t>Stillman</t>
  </si>
  <si>
    <t>rstillman@buhsd.org</t>
  </si>
  <si>
    <t>BUHSD Institute of Online Learning</t>
  </si>
  <si>
    <t>'070501205</t>
  </si>
  <si>
    <t>'070505000</t>
  </si>
  <si>
    <t>Capistran</t>
  </si>
  <si>
    <t>brian.capistran@guhsdaz.org</t>
  </si>
  <si>
    <t>nathan.bowler@guhsdaz.org</t>
  </si>
  <si>
    <t>Dane</t>
  </si>
  <si>
    <t>Baxter</t>
  </si>
  <si>
    <t>dane.baxter@guhsdaz.org</t>
  </si>
  <si>
    <t>Peck</t>
  </si>
  <si>
    <t>jean.peck@guhsdaz.org</t>
  </si>
  <si>
    <t>Data Processor</t>
  </si>
  <si>
    <t>Barclay</t>
  </si>
  <si>
    <t>chad.barclay@guhsdaz.org</t>
  </si>
  <si>
    <t>SAIS TECHNOLOGY</t>
  </si>
  <si>
    <t>Guidry</t>
  </si>
  <si>
    <t>benjamin.guidry@guhsdaz.org</t>
  </si>
  <si>
    <t>Greenberg</t>
  </si>
  <si>
    <t>Kevin.Greenberg@guhsdaz.org</t>
  </si>
  <si>
    <t>Northern Academy</t>
  </si>
  <si>
    <t>'070505020</t>
  </si>
  <si>
    <t>'070505201</t>
  </si>
  <si>
    <t>Cashatt</t>
  </si>
  <si>
    <t>Kevin.Cashatt@guhsdaz.org</t>
  </si>
  <si>
    <t>Sunnyslope High School</t>
  </si>
  <si>
    <t>'070505202</t>
  </si>
  <si>
    <t>Ducey</t>
  </si>
  <si>
    <t>steve.ducey@guhsdaz.org</t>
  </si>
  <si>
    <t>Washington High School</t>
  </si>
  <si>
    <t>'070505203</t>
  </si>
  <si>
    <t>Strege</t>
  </si>
  <si>
    <t>tami.strege@guhsdaz.org</t>
  </si>
  <si>
    <t>Cortez High School</t>
  </si>
  <si>
    <t>'070505204</t>
  </si>
  <si>
    <t>Obrian</t>
  </si>
  <si>
    <t>joann.obrien@guhsdaz.org</t>
  </si>
  <si>
    <t>Special Education Clerk</t>
  </si>
  <si>
    <t>Sampson</t>
  </si>
  <si>
    <t>Walter.Sampson@guhsdaz.org</t>
  </si>
  <si>
    <t>Moon Valley High School</t>
  </si>
  <si>
    <t>'070505205</t>
  </si>
  <si>
    <t>Kleve</t>
  </si>
  <si>
    <t>nathan.kleve@guhsdaz.org</t>
  </si>
  <si>
    <t>Apollo High School</t>
  </si>
  <si>
    <t>'070505206</t>
  </si>
  <si>
    <t>Pierzchaia</t>
  </si>
  <si>
    <t>jjpierzc@guhsdaz.org</t>
  </si>
  <si>
    <t>Parsons</t>
  </si>
  <si>
    <t>Brooke.Parsons@guhsdaz.org</t>
  </si>
  <si>
    <t>Thunderbird High School</t>
  </si>
  <si>
    <t>'070505207</t>
  </si>
  <si>
    <t>Pilar</t>
  </si>
  <si>
    <t>Vasquez</t>
  </si>
  <si>
    <t>pilar.vazquez@guhsdaz.org</t>
  </si>
  <si>
    <t>Jeannie</t>
  </si>
  <si>
    <t>Paparella</t>
  </si>
  <si>
    <t>Jeannie.Paparella@guhsdaz.org</t>
  </si>
  <si>
    <t>Greenway High School</t>
  </si>
  <si>
    <t>'070505208</t>
  </si>
  <si>
    <t>Edward</t>
  </si>
  <si>
    <t>Barnes</t>
  </si>
  <si>
    <t>Edward.Barnes@guhsdaz.org</t>
  </si>
  <si>
    <t>Independence High School</t>
  </si>
  <si>
    <t>'070505209</t>
  </si>
  <si>
    <t>RWAMBROS@guhsdaz.org</t>
  </si>
  <si>
    <t>Glendale Union High School District Online Learning Academy</t>
  </si>
  <si>
    <t>'070505210</t>
  </si>
  <si>
    <t>cckelly@guhsdaz.org</t>
  </si>
  <si>
    <t>Glendale Union Online</t>
  </si>
  <si>
    <t>'070505211</t>
  </si>
  <si>
    <t>Lord</t>
  </si>
  <si>
    <t>christine.lord@guhsdaz.org</t>
  </si>
  <si>
    <t>Administrator of Online Learning</t>
  </si>
  <si>
    <t>'070510000</t>
  </si>
  <si>
    <t>gestson@phoenixunion.org</t>
  </si>
  <si>
    <t>Celaya</t>
  </si>
  <si>
    <t>scelaya@Phoenixunion.org</t>
  </si>
  <si>
    <t>Isela</t>
  </si>
  <si>
    <t>Rivas-Reyes</t>
  </si>
  <si>
    <t>rivas-reyes@phoenixunion.org</t>
  </si>
  <si>
    <t>Executive Assistant to the Superintendent</t>
  </si>
  <si>
    <t>Gloria</t>
  </si>
  <si>
    <t>gbutler@PhoenixUnion.ORG</t>
  </si>
  <si>
    <t>Carmen</t>
  </si>
  <si>
    <t>cmartinez@phoenixunion.org</t>
  </si>
  <si>
    <t>Pruiz@PhoenixUnion.org</t>
  </si>
  <si>
    <t>Budget Specialist</t>
  </si>
  <si>
    <t>Hacker</t>
  </si>
  <si>
    <t>hacker@PhoenixUnion.org</t>
  </si>
  <si>
    <t>Director of State and Federal Programs</t>
  </si>
  <si>
    <t>Shegun</t>
  </si>
  <si>
    <t>Sholola</t>
  </si>
  <si>
    <t>sholola@phoenixunion.org</t>
  </si>
  <si>
    <t>Lili</t>
  </si>
  <si>
    <t>lmolina@phoenixunion.org</t>
  </si>
  <si>
    <t>Systems Analyst, Data Processing</t>
  </si>
  <si>
    <t>Esteban</t>
  </si>
  <si>
    <t>Ortiz</t>
  </si>
  <si>
    <t>eortiz@phoenixunion.org</t>
  </si>
  <si>
    <t>Phoenix Union-Wilson College Preparatory</t>
  </si>
  <si>
    <t>'070510011</t>
  </si>
  <si>
    <t>Keoni</t>
  </si>
  <si>
    <t>Dang</t>
  </si>
  <si>
    <t>kdang@phoenixunion.org</t>
  </si>
  <si>
    <t>Alhambra High School</t>
  </si>
  <si>
    <t>'070510210</t>
  </si>
  <si>
    <t>gestson@Phoenixunion.org</t>
  </si>
  <si>
    <t>Alaina</t>
  </si>
  <si>
    <t>aadams@PhoenixUnion.org</t>
  </si>
  <si>
    <t>Assistant Principal Instruction</t>
  </si>
  <si>
    <t>Metro Tech High School</t>
  </si>
  <si>
    <t>'070510212</t>
  </si>
  <si>
    <t>Reynoso</t>
  </si>
  <si>
    <t>breynoso@phoenixunion.org</t>
  </si>
  <si>
    <t>Shawna</t>
  </si>
  <si>
    <t>swright@PhoenixUnion.org</t>
  </si>
  <si>
    <t>Assistant Principal of Instruction</t>
  </si>
  <si>
    <t>'070510214</t>
  </si>
  <si>
    <t>'070510220</t>
  </si>
  <si>
    <t>'070510225</t>
  </si>
  <si>
    <t>'070510230</t>
  </si>
  <si>
    <t>Desiderata Program</t>
  </si>
  <si>
    <t>'070510238</t>
  </si>
  <si>
    <t>PXU City</t>
  </si>
  <si>
    <t>'070510239</t>
  </si>
  <si>
    <t>'070510245</t>
  </si>
  <si>
    <t>'070510250</t>
  </si>
  <si>
    <t>North High School</t>
  </si>
  <si>
    <t>'070510255</t>
  </si>
  <si>
    <t>'070510260</t>
  </si>
  <si>
    <t>'070510270</t>
  </si>
  <si>
    <t>Tibbs</t>
  </si>
  <si>
    <t>tibbs@phoenixunion.org</t>
  </si>
  <si>
    <t>Assistant Principal Instruction, Admin</t>
  </si>
  <si>
    <t>'070510280</t>
  </si>
  <si>
    <t>Franklin Police and Fire High School</t>
  </si>
  <si>
    <t>'070510281</t>
  </si>
  <si>
    <t>Lorenzo</t>
  </si>
  <si>
    <t>Cabrera</t>
  </si>
  <si>
    <t>lcabrera@phxhs.k12.az.us</t>
  </si>
  <si>
    <t>Phoenix Coding Academy</t>
  </si>
  <si>
    <t>'070510283</t>
  </si>
  <si>
    <t>Seth</t>
  </si>
  <si>
    <t>Beute</t>
  </si>
  <si>
    <t>beute@PhoenixUnion.org</t>
  </si>
  <si>
    <t>Phoenix Union Bioscience High School</t>
  </si>
  <si>
    <t>'070510284</t>
  </si>
  <si>
    <t>Batsell</t>
  </si>
  <si>
    <t>batsell@PhoenixUnion.org</t>
  </si>
  <si>
    <t>Betty Fairfax High School</t>
  </si>
  <si>
    <t>'070510290</t>
  </si>
  <si>
    <t>Superitnendent</t>
  </si>
  <si>
    <t>PXU Digital Academy</t>
  </si>
  <si>
    <t>'070510291</t>
  </si>
  <si>
    <t>Tempe Union High School District</t>
  </si>
  <si>
    <t>'070513000</t>
  </si>
  <si>
    <t>Meulemans</t>
  </si>
  <si>
    <t>dmeulemans@tuhsd.k12.az.us</t>
  </si>
  <si>
    <t>CFO/Business Manager</t>
  </si>
  <si>
    <t>Robison</t>
  </si>
  <si>
    <t>mrobison@tuhsd.k12.az.us</t>
  </si>
  <si>
    <t>Student Information Systems Specialist</t>
  </si>
  <si>
    <t>Tempe High School</t>
  </si>
  <si>
    <t>'070513091</t>
  </si>
  <si>
    <t>Yslas</t>
  </si>
  <si>
    <t>myslas.ths@tuhsd.k12.az.us</t>
  </si>
  <si>
    <t>Mcclintock High School</t>
  </si>
  <si>
    <t>'070513092</t>
  </si>
  <si>
    <t>Marcos De Niza High School</t>
  </si>
  <si>
    <t>'070513093</t>
  </si>
  <si>
    <t>Mirizio</t>
  </si>
  <si>
    <t>fmirizio.mdn@tuhsd.k12.az.us</t>
  </si>
  <si>
    <t>Corona Del Sol High School</t>
  </si>
  <si>
    <t>'070513094</t>
  </si>
  <si>
    <t>bbrown@tuhsd.k12.az.us</t>
  </si>
  <si>
    <t>Mountain Pointe High School</t>
  </si>
  <si>
    <t>'070513095</t>
  </si>
  <si>
    <t>Kipper</t>
  </si>
  <si>
    <t>bkipper.mtp@tuhsd.k12.az.us</t>
  </si>
  <si>
    <t>Desert Vista High School</t>
  </si>
  <si>
    <t>'070513096</t>
  </si>
  <si>
    <t>Battle</t>
  </si>
  <si>
    <t>abattle.dvh@tuhsd.k12.az.us</t>
  </si>
  <si>
    <t>Compadre High School</t>
  </si>
  <si>
    <t>'070513097</t>
  </si>
  <si>
    <t>McDonald</t>
  </si>
  <si>
    <t>smcdonald.chs@tuhsd.k12.az.us</t>
  </si>
  <si>
    <t>TAPBI</t>
  </si>
  <si>
    <t>'070513098</t>
  </si>
  <si>
    <t>'070514000</t>
  </si>
  <si>
    <t>Council</t>
  </si>
  <si>
    <t>joyce.council@tuhsd.org</t>
  </si>
  <si>
    <t xml:space="preserve">Director of Business Services </t>
  </si>
  <si>
    <t>Bounds</t>
  </si>
  <si>
    <t>patricia.bounds@tuhsd.org</t>
  </si>
  <si>
    <t>Nora.gutierrez@tuhsd.org</t>
  </si>
  <si>
    <t>Calles</t>
  </si>
  <si>
    <t>jeremy.calles@tuhsd.org</t>
  </si>
  <si>
    <t>Tolleson Union High School</t>
  </si>
  <si>
    <t>'070514201</t>
  </si>
  <si>
    <t>tom.hernandez@tuhsd.org</t>
  </si>
  <si>
    <t>Ernie</t>
  </si>
  <si>
    <t>ernie.molina@tuhsd.org</t>
  </si>
  <si>
    <t>Westview High School</t>
  </si>
  <si>
    <t>'070514202</t>
  </si>
  <si>
    <t>'070514203</t>
  </si>
  <si>
    <t>Haskins</t>
  </si>
  <si>
    <t>brandi.haskins@tuhsd.org</t>
  </si>
  <si>
    <t>Copper Canyon High School</t>
  </si>
  <si>
    <t>'070514204</t>
  </si>
  <si>
    <t>Wagner</t>
  </si>
  <si>
    <t>coppercanyon@tuhsd.org</t>
  </si>
  <si>
    <t>Alan</t>
  </si>
  <si>
    <t>Potts</t>
  </si>
  <si>
    <t>alan.potts@tuhsd.org</t>
  </si>
  <si>
    <t>'070514205</t>
  </si>
  <si>
    <t>Madrid</t>
  </si>
  <si>
    <t>Tim.Madrid@tuhsd.org</t>
  </si>
  <si>
    <t>West Point High School</t>
  </si>
  <si>
    <t>'070514206</t>
  </si>
  <si>
    <t>University High School</t>
  </si>
  <si>
    <t>'070514207</t>
  </si>
  <si>
    <t>courtney.stevens@tuhsd.org</t>
  </si>
  <si>
    <t>Academic Dean</t>
  </si>
  <si>
    <t>Tolleson Virtual High School</t>
  </si>
  <si>
    <t>'070514208</t>
  </si>
  <si>
    <t>travis.johnson@tuhsd.org</t>
  </si>
  <si>
    <t>Agua Fria Union High School District</t>
  </si>
  <si>
    <t>'070516000</t>
  </si>
  <si>
    <t>Barker</t>
  </si>
  <si>
    <t>pbarker@aguafria.org</t>
  </si>
  <si>
    <t>Runyan</t>
  </si>
  <si>
    <t>drunyan@aguafria.org</t>
  </si>
  <si>
    <t>Phillip</t>
  </si>
  <si>
    <t>Nowlin</t>
  </si>
  <si>
    <t>pnowlin@aguafria.org</t>
  </si>
  <si>
    <t>administrator</t>
  </si>
  <si>
    <t>Quay</t>
  </si>
  <si>
    <t>Bolton-Lattari</t>
  </si>
  <si>
    <t>qboltonlattari@aguafria.org</t>
  </si>
  <si>
    <t>Shelle</t>
  </si>
  <si>
    <t>sschlosser@aguafria.org</t>
  </si>
  <si>
    <t>Sorenson</t>
  </si>
  <si>
    <t>ssorenson@aguafria.org</t>
  </si>
  <si>
    <t>HR Director</t>
  </si>
  <si>
    <t>mrodriguez@aguafria.org</t>
  </si>
  <si>
    <t>Agua Fria High School</t>
  </si>
  <si>
    <t>'070516201</t>
  </si>
  <si>
    <t>Millennium High School</t>
  </si>
  <si>
    <t>'070516202</t>
  </si>
  <si>
    <t>Tamee</t>
  </si>
  <si>
    <t>Gressett</t>
  </si>
  <si>
    <t>tgressett@aguafria.org</t>
  </si>
  <si>
    <t>Desert Edge High School</t>
  </si>
  <si>
    <t>'070516203</t>
  </si>
  <si>
    <t>jjones@aguafria.org</t>
  </si>
  <si>
    <t>Verrado High School</t>
  </si>
  <si>
    <t>'070516204</t>
  </si>
  <si>
    <t>Canyon View High School</t>
  </si>
  <si>
    <t>'070516206</t>
  </si>
  <si>
    <t>East Valley Institute of Technology</t>
  </si>
  <si>
    <t>'070801000</t>
  </si>
  <si>
    <t>Downey</t>
  </si>
  <si>
    <t>sdowney@evit.com</t>
  </si>
  <si>
    <t>edperez@evit.com</t>
  </si>
  <si>
    <t>Faye</t>
  </si>
  <si>
    <t>Claridge</t>
  </si>
  <si>
    <t>fclaridge@evit.com</t>
  </si>
  <si>
    <t>Assistant Business Manager</t>
  </si>
  <si>
    <t>EVIT - East Valley Institute of Technology</t>
  </si>
  <si>
    <t>'070801001</t>
  </si>
  <si>
    <t>EVIT - Chandler High School</t>
  </si>
  <si>
    <t>'070801003</t>
  </si>
  <si>
    <t>EVIT - Apache Junction High School</t>
  </si>
  <si>
    <t>'070801005</t>
  </si>
  <si>
    <t>EVIT - Fountain Hills Vocational Center</t>
  </si>
  <si>
    <t>'070801007</t>
  </si>
  <si>
    <t>EVIT - Higley High School</t>
  </si>
  <si>
    <t>'070801009</t>
  </si>
  <si>
    <t>EVIT - Hamilton High School</t>
  </si>
  <si>
    <t>'070801010</t>
  </si>
  <si>
    <t>EVIT - Basha High School</t>
  </si>
  <si>
    <t>'070801011</t>
  </si>
  <si>
    <t>EVIT - Queen Creek High School</t>
  </si>
  <si>
    <t>'070801012</t>
  </si>
  <si>
    <t>EVIT - East Campus</t>
  </si>
  <si>
    <t>'070801013</t>
  </si>
  <si>
    <t>jfisher@evit.com</t>
  </si>
  <si>
    <t>Campus Director</t>
  </si>
  <si>
    <t>EVIT - Tempe High School</t>
  </si>
  <si>
    <t>'070801091</t>
  </si>
  <si>
    <t>EVIT - McClintock High School</t>
  </si>
  <si>
    <t>'070801092</t>
  </si>
  <si>
    <t>EVIT - Marcos De Niza High School</t>
  </si>
  <si>
    <t>'070801093</t>
  </si>
  <si>
    <t>EVIT - Corona Del Sol High School</t>
  </si>
  <si>
    <t>'070801094</t>
  </si>
  <si>
    <t>EVIT - Mountain Pointe High School</t>
  </si>
  <si>
    <t>'070801095</t>
  </si>
  <si>
    <t>EVIT - Desert Vista High School</t>
  </si>
  <si>
    <t>'070801096</t>
  </si>
  <si>
    <t>EVIT - Compadre High School</t>
  </si>
  <si>
    <t>'070801097</t>
  </si>
  <si>
    <t>EVIT - Gilbert High School</t>
  </si>
  <si>
    <t>'070801210</t>
  </si>
  <si>
    <t>EVIT - Highland High School</t>
  </si>
  <si>
    <t>'070801211</t>
  </si>
  <si>
    <t>EVIT - Mesquite High School</t>
  </si>
  <si>
    <t>'070801212</t>
  </si>
  <si>
    <t>EVIT - Desert Ridge High School</t>
  </si>
  <si>
    <t>'070801213</t>
  </si>
  <si>
    <t>EVIT - Campo Verde High School</t>
  </si>
  <si>
    <t>'070801214</t>
  </si>
  <si>
    <t>EVIT Cactus Shadows High School</t>
  </si>
  <si>
    <t>'070801215</t>
  </si>
  <si>
    <t>EVIT Eastmark High School</t>
  </si>
  <si>
    <t>'070801216</t>
  </si>
  <si>
    <t>EVIT - Arizona College Prep Erie Campus</t>
  </si>
  <si>
    <t>'070801243</t>
  </si>
  <si>
    <t>EVIT - Mesa High School</t>
  </si>
  <si>
    <t>'070801271</t>
  </si>
  <si>
    <t>EVIT - Westwood High School</t>
  </si>
  <si>
    <t>'070801272</t>
  </si>
  <si>
    <t>EVIT - Mountain View High School</t>
  </si>
  <si>
    <t>'070801273</t>
  </si>
  <si>
    <t>EVIT - Dobson High School</t>
  </si>
  <si>
    <t>'070801274</t>
  </si>
  <si>
    <t>EVIT - Red Mountain High School</t>
  </si>
  <si>
    <t>'070801275</t>
  </si>
  <si>
    <t>EVIT - Skyline High School</t>
  </si>
  <si>
    <t>'070801276</t>
  </si>
  <si>
    <t>EVIT - Arcadia High School</t>
  </si>
  <si>
    <t>'070801292</t>
  </si>
  <si>
    <t>EVIT - Coronado High School</t>
  </si>
  <si>
    <t>'070801293</t>
  </si>
  <si>
    <t>EVIT - Saguaro High School</t>
  </si>
  <si>
    <t>'070801294</t>
  </si>
  <si>
    <t>EVIT - Chaparral High School</t>
  </si>
  <si>
    <t>'070801295</t>
  </si>
  <si>
    <t>EVIT - Desert Mountain High School</t>
  </si>
  <si>
    <t>'070801296</t>
  </si>
  <si>
    <t>EVIT - Perry High School</t>
  </si>
  <si>
    <t>'070801297</t>
  </si>
  <si>
    <t>EVIT - Williams Field High School</t>
  </si>
  <si>
    <t>'070801298</t>
  </si>
  <si>
    <t>EVIT - Combs High School</t>
  </si>
  <si>
    <t>'070801299</t>
  </si>
  <si>
    <t>EVIT - Casteel High School</t>
  </si>
  <si>
    <t>'070801300</t>
  </si>
  <si>
    <t>EVIT East Apache Junction</t>
  </si>
  <si>
    <t>'070801301</t>
  </si>
  <si>
    <t>EVIT North Fountain Hills</t>
  </si>
  <si>
    <t>'070801302</t>
  </si>
  <si>
    <t>West-MEC - Western Maricopa Education Center</t>
  </si>
  <si>
    <t>'070802000</t>
  </si>
  <si>
    <t>Donovan</t>
  </si>
  <si>
    <t>greg.donovan@west-mec.org</t>
  </si>
  <si>
    <t>Larkin</t>
  </si>
  <si>
    <t>andrea.larkin@west-mec.org</t>
  </si>
  <si>
    <t>barbara.thompson@west-mec.org</t>
  </si>
  <si>
    <t>West-MEC - Centennial High School</t>
  </si>
  <si>
    <t>'070802201</t>
  </si>
  <si>
    <t>West-MEC - Ironwood High School</t>
  </si>
  <si>
    <t>'070802202</t>
  </si>
  <si>
    <t>West-MEC - Cactus High School</t>
  </si>
  <si>
    <t>'070802203</t>
  </si>
  <si>
    <t>West-MEC - Peoria High School</t>
  </si>
  <si>
    <t>'070802204</t>
  </si>
  <si>
    <t>West-MEC - Sunrise Mountain High School</t>
  </si>
  <si>
    <t>'070802205</t>
  </si>
  <si>
    <t>West-MEC - Dysart High School</t>
  </si>
  <si>
    <t>'070802206</t>
  </si>
  <si>
    <t>West-MEC - Willow Canyon High School</t>
  </si>
  <si>
    <t>'070802207</t>
  </si>
  <si>
    <t>West-MEC - Millennium High School</t>
  </si>
  <si>
    <t>'070802208</t>
  </si>
  <si>
    <t>West-MEC - Desert Edge High School</t>
  </si>
  <si>
    <t>'070802209</t>
  </si>
  <si>
    <t>West-MEC - Agua Fria High School</t>
  </si>
  <si>
    <t>'070802210</t>
  </si>
  <si>
    <t>West-MEC - Buckeye Union High School</t>
  </si>
  <si>
    <t>'070802211</t>
  </si>
  <si>
    <t>West-MEC - Estrella Foothills High School</t>
  </si>
  <si>
    <t>'070802212</t>
  </si>
  <si>
    <t>West-MEC - Tonopah Valley High School</t>
  </si>
  <si>
    <t>'070802213</t>
  </si>
  <si>
    <t>West-MEC - Raymond S. Kellis</t>
  </si>
  <si>
    <t>'070802215</t>
  </si>
  <si>
    <t>West-MEC - Washington High School</t>
  </si>
  <si>
    <t>'070802217</t>
  </si>
  <si>
    <t>Bishop</t>
  </si>
  <si>
    <t>cindy.bishop@west-mec.org</t>
  </si>
  <si>
    <t>West-MEC - Thunderbird High School</t>
  </si>
  <si>
    <t>'070802218</t>
  </si>
  <si>
    <t>West-MEC - Sunnyslope High School</t>
  </si>
  <si>
    <t>'070802219</t>
  </si>
  <si>
    <t>West-MEC - Moon Valley High School</t>
  </si>
  <si>
    <t>'070802220</t>
  </si>
  <si>
    <t>West-MEC - Independence High School</t>
  </si>
  <si>
    <t>'070802221</t>
  </si>
  <si>
    <t>West-MEC - Greenway High School</t>
  </si>
  <si>
    <t>'070802222</t>
  </si>
  <si>
    <t>West-MEC - Glendale High School</t>
  </si>
  <si>
    <t>'070802223</t>
  </si>
  <si>
    <t>West-MEC - Cortez High School</t>
  </si>
  <si>
    <t>'070802224</t>
  </si>
  <si>
    <t>West-MEC - Apollo High School</t>
  </si>
  <si>
    <t>'070802225</t>
  </si>
  <si>
    <t>West-MEC - Boulder Creek High School</t>
  </si>
  <si>
    <t>'070802226</t>
  </si>
  <si>
    <t>West-MEC - Barry Goldwater High School</t>
  </si>
  <si>
    <t>'070802227</t>
  </si>
  <si>
    <t>West-MEC - Deer Valley High School</t>
  </si>
  <si>
    <t>'070802228</t>
  </si>
  <si>
    <t>West-MEC - Mountain Ridge High School</t>
  </si>
  <si>
    <t>'070802229</t>
  </si>
  <si>
    <t>West-MEC - Sandra Day O'Connor High School</t>
  </si>
  <si>
    <t>'070802230</t>
  </si>
  <si>
    <t>West-MEC - Wickenburg High School</t>
  </si>
  <si>
    <t>'070802231</t>
  </si>
  <si>
    <t>West-MEC - Central Campus</t>
  </si>
  <si>
    <t>'070802234</t>
  </si>
  <si>
    <t>West-MEC - Liberty High School</t>
  </si>
  <si>
    <t>'070802235</t>
  </si>
  <si>
    <t>West-MEC - Verrado High School</t>
  </si>
  <si>
    <t>'070802236</t>
  </si>
  <si>
    <t>West-MEC - Paradise Valley High School</t>
  </si>
  <si>
    <t>'070802237</t>
  </si>
  <si>
    <t>West-MEC - North Canyon High School</t>
  </si>
  <si>
    <t>'070802238</t>
  </si>
  <si>
    <t>West-MEC - Horizon High School</t>
  </si>
  <si>
    <t>'070802239</t>
  </si>
  <si>
    <t>Navajo</t>
  </si>
  <si>
    <t>West-MEC - Pinnacle High School</t>
  </si>
  <si>
    <t>'070802240</t>
  </si>
  <si>
    <t>West-MEC - Shadow Mountain High School</t>
  </si>
  <si>
    <t>'070802241</t>
  </si>
  <si>
    <t>West-MEC - Valley Vista High School</t>
  </si>
  <si>
    <t>'070802242</t>
  </si>
  <si>
    <t>West-MEC - Youngker High School</t>
  </si>
  <si>
    <t>'070802243</t>
  </si>
  <si>
    <t>West-MEC - Shadow Ridge High School</t>
  </si>
  <si>
    <t>'070802245</t>
  </si>
  <si>
    <t>West-MEC - Copper Canyon High School</t>
  </si>
  <si>
    <t>'070802246</t>
  </si>
  <si>
    <t>West-MEC - La Joya High School</t>
  </si>
  <si>
    <t>'070802247</t>
  </si>
  <si>
    <t>West-MEC - West View High School</t>
  </si>
  <si>
    <t>'070802248</t>
  </si>
  <si>
    <t>West-MEC - Sierra Linda High School</t>
  </si>
  <si>
    <t>'070802249</t>
  </si>
  <si>
    <t>West-MEC - Tolleson Union High School</t>
  </si>
  <si>
    <t>'070802250</t>
  </si>
  <si>
    <t>Northwest Campus</t>
  </si>
  <si>
    <t>'070802251</t>
  </si>
  <si>
    <t>West-MEC Canyon View High School</t>
  </si>
  <si>
    <t>'070802252</t>
  </si>
  <si>
    <t>West-MEC West Point High School</t>
  </si>
  <si>
    <t>'070802253</t>
  </si>
  <si>
    <t>West-MEC Gateway Community College</t>
  </si>
  <si>
    <t>'070802280</t>
  </si>
  <si>
    <t>Northeast Campus</t>
  </si>
  <si>
    <t>'070802283</t>
  </si>
  <si>
    <t>West-MEC Glendale Community College</t>
  </si>
  <si>
    <t>'070802284</t>
  </si>
  <si>
    <t>West-MEC Estrella Mountain Community College</t>
  </si>
  <si>
    <t>'070802285</t>
  </si>
  <si>
    <t>West-MEC Glendale Community College - North</t>
  </si>
  <si>
    <t>'070802286</t>
  </si>
  <si>
    <t>West-MEC Western School Science Technology</t>
  </si>
  <si>
    <t>'070802287</t>
  </si>
  <si>
    <t>Start Campus</t>
  </si>
  <si>
    <t>'070802294</t>
  </si>
  <si>
    <t>Southwest Campus</t>
  </si>
  <si>
    <t>'070802350</t>
  </si>
  <si>
    <t>Leading Edge Academy Queen Creek</t>
  </si>
  <si>
    <t>'078101000</t>
  </si>
  <si>
    <t>Pinal</t>
  </si>
  <si>
    <t>Becki</t>
  </si>
  <si>
    <t>Krueger</t>
  </si>
  <si>
    <t>bkrueger@leadingedgeacademy.com</t>
  </si>
  <si>
    <t>Ron</t>
  </si>
  <si>
    <t>Body</t>
  </si>
  <si>
    <t>rbody@leadingedgeacademy.com</t>
  </si>
  <si>
    <t>Borja</t>
  </si>
  <si>
    <t>Leading Edge Academy Mountain View</t>
  </si>
  <si>
    <t>'078101001</t>
  </si>
  <si>
    <t>Harriet</t>
  </si>
  <si>
    <t>Chenoweth</t>
  </si>
  <si>
    <t>hchenoweth@leadingedgeacademy.com</t>
  </si>
  <si>
    <t>Butcher</t>
  </si>
  <si>
    <t>sbutcher@leadingedgeacademy.com</t>
  </si>
  <si>
    <t>'078103000</t>
  </si>
  <si>
    <t>yruiz@espiritu.org</t>
  </si>
  <si>
    <t>Ruiz Jr.</t>
  </si>
  <si>
    <t>mruiz@espiritu.org</t>
  </si>
  <si>
    <t>Nayely</t>
  </si>
  <si>
    <t>Larios</t>
  </si>
  <si>
    <t>nlarios@espiritu.org</t>
  </si>
  <si>
    <t>HR Manager</t>
  </si>
  <si>
    <t>Marlene</t>
  </si>
  <si>
    <t>msharp@espiritu.org</t>
  </si>
  <si>
    <t>Eliserio</t>
  </si>
  <si>
    <t>celiserio@espiritu.org</t>
  </si>
  <si>
    <t>LEPS</t>
  </si>
  <si>
    <t>'078103001</t>
  </si>
  <si>
    <t>adrianruiz@espiritu.org</t>
  </si>
  <si>
    <t>Valor Preparatory Academy, LLC</t>
  </si>
  <si>
    <t>'078104000</t>
  </si>
  <si>
    <t>Eskelsen</t>
  </si>
  <si>
    <t>chase.eskelsen@ptlceducation.org</t>
  </si>
  <si>
    <t xml:space="preserve">Director of Policy and Compliance </t>
  </si>
  <si>
    <t>Tamara.Becker@strongmind.com</t>
  </si>
  <si>
    <t>nicole.hofmann@educationalschoolservices.com</t>
  </si>
  <si>
    <t>Allan</t>
  </si>
  <si>
    <t>Alvarado</t>
  </si>
  <si>
    <t>allan.alvarado@strongmind.com</t>
  </si>
  <si>
    <t>Marzolf</t>
  </si>
  <si>
    <t>howard.marzolf@strongmind.com</t>
  </si>
  <si>
    <t>May</t>
  </si>
  <si>
    <t>john.may@strongmind.com</t>
  </si>
  <si>
    <t>Valor Preparatory Academy</t>
  </si>
  <si>
    <t>'078104001</t>
  </si>
  <si>
    <t>EAGLE College Prep Harmony, LLC</t>
  </si>
  <si>
    <t>'078202000</t>
  </si>
  <si>
    <t>kyle.anderson@openskyeducation.org</t>
  </si>
  <si>
    <t>Pierson</t>
  </si>
  <si>
    <t>willis.pierson@openskyeducation.org</t>
  </si>
  <si>
    <t xml:space="preserve">Financial Reporting and Compliance Manager </t>
  </si>
  <si>
    <t>EAGLE College Prep Phoenix South</t>
  </si>
  <si>
    <t>'078202001</t>
  </si>
  <si>
    <t>Sarka</t>
  </si>
  <si>
    <t>White</t>
  </si>
  <si>
    <t>Sarka.white@eagleharmony.org</t>
  </si>
  <si>
    <t>'078204000</t>
  </si>
  <si>
    <t>Dreifus</t>
  </si>
  <si>
    <t>marilyn@csiaz.net</t>
  </si>
  <si>
    <t>Danita</t>
  </si>
  <si>
    <t>480-488-93</t>
  </si>
  <si>
    <t>dhall@hirschaz.org</t>
  </si>
  <si>
    <t>Assistant School Director</t>
  </si>
  <si>
    <t>'078204001</t>
  </si>
  <si>
    <t>Brizeida</t>
  </si>
  <si>
    <t>bespinoza@hirschaz.org</t>
  </si>
  <si>
    <t>ASU Preparatory Academy</t>
  </si>
  <si>
    <t>'078205000</t>
  </si>
  <si>
    <t>Fawn</t>
  </si>
  <si>
    <t>Eaton</t>
  </si>
  <si>
    <t>Fawn.eaton@asu.edu</t>
  </si>
  <si>
    <t>Donna.peterson.1@asu.edu</t>
  </si>
  <si>
    <t>Holtrop</t>
  </si>
  <si>
    <t>pilar.holtrop@asu.edu</t>
  </si>
  <si>
    <t>Executive Director of Talent Management</t>
  </si>
  <si>
    <t>Gilmer</t>
  </si>
  <si>
    <t>lillian.gilmer@asu.edu</t>
  </si>
  <si>
    <t>Finance</t>
  </si>
  <si>
    <t>Forrest</t>
  </si>
  <si>
    <t>Valora</t>
  </si>
  <si>
    <t>lynn.Romero@asu.edu</t>
  </si>
  <si>
    <t>ASU Preparatory Academy-Polytechnic Elementary</t>
  </si>
  <si>
    <t>'078205001</t>
  </si>
  <si>
    <t>claudia.mendoza@asu.edu</t>
  </si>
  <si>
    <t>Director of Elementary Learning</t>
  </si>
  <si>
    <t>Nielsen</t>
  </si>
  <si>
    <t>Erin.Nielsen.1@asu.edu</t>
  </si>
  <si>
    <t>The Paideia Academies, Inc</t>
  </si>
  <si>
    <t>'078206000</t>
  </si>
  <si>
    <t>The Paideia Academy of South Phoenix</t>
  </si>
  <si>
    <t>'078206001</t>
  </si>
  <si>
    <t>Paideia Virtual Academy</t>
  </si>
  <si>
    <t>'078206002</t>
  </si>
  <si>
    <t>'078207000</t>
  </si>
  <si>
    <t>ASU Preparatory Academy- Phoenix High School</t>
  </si>
  <si>
    <t>'078207001</t>
  </si>
  <si>
    <t>'078208000</t>
  </si>
  <si>
    <t xml:space="preserve">Federal Programs Coordinator </t>
  </si>
  <si>
    <t>ASU Preparatory Academy-Polytechnic High School</t>
  </si>
  <si>
    <t>'078208001</t>
  </si>
  <si>
    <t>Chrystal</t>
  </si>
  <si>
    <t>Keller</t>
  </si>
  <si>
    <t>Chrystal.Keller@asu.edu</t>
  </si>
  <si>
    <t>Director of Secondary Learning</t>
  </si>
  <si>
    <t>Herriman</t>
  </si>
  <si>
    <t>patricia.herriman@asu.edu</t>
  </si>
  <si>
    <t xml:space="preserve">Dean of Students </t>
  </si>
  <si>
    <t>Reid Traditional Schools' Painted Rock Academy Inc.</t>
  </si>
  <si>
    <t>'078209000</t>
  </si>
  <si>
    <t>hmitchell@reidtraditional.com</t>
  </si>
  <si>
    <t>CEO</t>
  </si>
  <si>
    <t>Saucedo</t>
  </si>
  <si>
    <t>ASaucedo@PaintedRockAcademy.com</t>
  </si>
  <si>
    <t>Blanca</t>
  </si>
  <si>
    <t>Aguirre</t>
  </si>
  <si>
    <t>Blanca.Aguirre@PaintedRockAcademy.com</t>
  </si>
  <si>
    <t>ADE Application User</t>
  </si>
  <si>
    <t>mwilliams@reidtraditional.com</t>
  </si>
  <si>
    <t>Reid Traditional Schools' Painted Rock Academy</t>
  </si>
  <si>
    <t>'078209001</t>
  </si>
  <si>
    <t>Szostak</t>
  </si>
  <si>
    <t>lszostak@paintedrockacademy.com</t>
  </si>
  <si>
    <t>Bauer</t>
  </si>
  <si>
    <t>JBauer@PaintedRockAcademy.com</t>
  </si>
  <si>
    <t>Incito Schools</t>
  </si>
  <si>
    <t>'078210000</t>
  </si>
  <si>
    <t>Jelleson</t>
  </si>
  <si>
    <t>amanda.jelleson@incitoschools.org</t>
  </si>
  <si>
    <t>Exective Director</t>
  </si>
  <si>
    <t>Alf</t>
  </si>
  <si>
    <t>dalf@unifiedcharters.net</t>
  </si>
  <si>
    <t>Tayler</t>
  </si>
  <si>
    <t>'078210001</t>
  </si>
  <si>
    <t>ajelleson@yahoo.com</t>
  </si>
  <si>
    <t>jayson.black@incitoschools.org</t>
  </si>
  <si>
    <t>tayler.ross@incitoschools.org</t>
  </si>
  <si>
    <t>Dacey</t>
  </si>
  <si>
    <t>robert.dacey@incitoschools.org</t>
  </si>
  <si>
    <t>Incito Schools-Phoenix</t>
  </si>
  <si>
    <t>'078210002</t>
  </si>
  <si>
    <t>'078212000</t>
  </si>
  <si>
    <t>BASIS Ahwatukee</t>
  </si>
  <si>
    <t>'078212001</t>
  </si>
  <si>
    <t>Kamp</t>
  </si>
  <si>
    <t>Nicole.kamp@basisahwatukee.org</t>
  </si>
  <si>
    <t>Head of Operations</t>
  </si>
  <si>
    <t>The Farm at Mission Montessori Academy</t>
  </si>
  <si>
    <t>'078213000</t>
  </si>
  <si>
    <t>JoDene</t>
  </si>
  <si>
    <t>Tryon</t>
  </si>
  <si>
    <t>jdtryon@missionmontessori.com</t>
  </si>
  <si>
    <t>Board President</t>
  </si>
  <si>
    <t>'078213001</t>
  </si>
  <si>
    <t>Archway Classical Academy North Phoenix</t>
  </si>
  <si>
    <t>'078214000</t>
  </si>
  <si>
    <t>Penniman</t>
  </si>
  <si>
    <t>mpenniman@greatheartsaz.org</t>
  </si>
  <si>
    <t>Shearer</t>
  </si>
  <si>
    <t>ashearer@greatheartsaz.org</t>
  </si>
  <si>
    <t>Papke</t>
  </si>
  <si>
    <t>mpapke@greatheartsaz.org</t>
  </si>
  <si>
    <t>VP of Operations</t>
  </si>
  <si>
    <t>Mehdi</t>
  </si>
  <si>
    <t>Lasker</t>
  </si>
  <si>
    <t>mlasker@greatheartsaz.org</t>
  </si>
  <si>
    <t>Phelps</t>
  </si>
  <si>
    <t>602.386.18</t>
  </si>
  <si>
    <t>lphelps@greatheartsaz.org</t>
  </si>
  <si>
    <t>Designated User/SAIS Coordinator</t>
  </si>
  <si>
    <t>Klahn</t>
  </si>
  <si>
    <t>602.438.70</t>
  </si>
  <si>
    <t>aklahn@greatheartsaz.org</t>
  </si>
  <si>
    <t>SAIS/AzEDS Coordinator</t>
  </si>
  <si>
    <t>Great Hearts Academies - Archway North Phoenix</t>
  </si>
  <si>
    <t>'078214002</t>
  </si>
  <si>
    <t>Legacy Traditional School â€“ Laveen Village</t>
  </si>
  <si>
    <t>'078215000</t>
  </si>
  <si>
    <t>Lin</t>
  </si>
  <si>
    <t>sophia.lin@legacytraditional.org</t>
  </si>
  <si>
    <t>Student Data and State Reporting Administrator</t>
  </si>
  <si>
    <t>Vierkoetter</t>
  </si>
  <si>
    <t>liz.vierkoetter@legacytraditional.org</t>
  </si>
  <si>
    <t>Business Manager/District Registrar</t>
  </si>
  <si>
    <t>'078215001</t>
  </si>
  <si>
    <t>Adams-Bressler</t>
  </si>
  <si>
    <t>brandi.adams@legacytraditional.org</t>
  </si>
  <si>
    <t>Designated User/Compliance Director</t>
  </si>
  <si>
    <t>Pathways In Education-Arizona, Inc.</t>
  </si>
  <si>
    <t>'078216000</t>
  </si>
  <si>
    <t>jamiedonahue@pathwaysedu.org</t>
  </si>
  <si>
    <t>Ray-Hertzler</t>
  </si>
  <si>
    <t>jray@pathwaysmg.org</t>
  </si>
  <si>
    <t>Pathways in Education</t>
  </si>
  <si>
    <t>'078216001</t>
  </si>
  <si>
    <t>CASA Academy</t>
  </si>
  <si>
    <t>'078218000</t>
  </si>
  <si>
    <t>Tacey</t>
  </si>
  <si>
    <t>Clayton Cundy</t>
  </si>
  <si>
    <t>tacey.clayton@casaacademy.org</t>
  </si>
  <si>
    <t>Founder</t>
  </si>
  <si>
    <t>Mills</t>
  </si>
  <si>
    <t>laura@aspirebc.net</t>
  </si>
  <si>
    <t>heather@aspirebc.net</t>
  </si>
  <si>
    <t>'078218001</t>
  </si>
  <si>
    <t>Madison Highland Prep</t>
  </si>
  <si>
    <t>'078219000</t>
  </si>
  <si>
    <t>Kerry</t>
  </si>
  <si>
    <t>kclark@madisonhighlandprep.org</t>
  </si>
  <si>
    <t>steven.mack@madisonhighlandprep.org</t>
  </si>
  <si>
    <t>'078219001</t>
  </si>
  <si>
    <t>Western School of Science and Technology, Inc.</t>
  </si>
  <si>
    <t>'078221000</t>
  </si>
  <si>
    <t>lsimmons@wsst.school</t>
  </si>
  <si>
    <t>Data Administration</t>
  </si>
  <si>
    <t>Western School of Science and Technology</t>
  </si>
  <si>
    <t>'078221001</t>
  </si>
  <si>
    <t>EAGLE College Prep Maryvale, LLC</t>
  </si>
  <si>
    <t>'078222000</t>
  </si>
  <si>
    <t>Yesenia</t>
  </si>
  <si>
    <t>Fitzhugh</t>
  </si>
  <si>
    <t>yesenia.fitzhugh@eagleprep.org</t>
  </si>
  <si>
    <t>willis.pierson@eagleprep.org</t>
  </si>
  <si>
    <t>Manager of Financial Reporting &amp; Compliance</t>
  </si>
  <si>
    <t>EAGLE College Prep Maryvale</t>
  </si>
  <si>
    <t>'078222001</t>
  </si>
  <si>
    <t>Macias</t>
  </si>
  <si>
    <t>sandy.macias@eagleprep.org</t>
  </si>
  <si>
    <t>'078223000</t>
  </si>
  <si>
    <t>Alyse</t>
  </si>
  <si>
    <t>Birkemeyer</t>
  </si>
  <si>
    <t>alyse.birkemeyer@eagleprep.org</t>
  </si>
  <si>
    <t>Omar</t>
  </si>
  <si>
    <t>Tabb</t>
  </si>
  <si>
    <t>omar.tabb@eagleprep.org</t>
  </si>
  <si>
    <t>Mori</t>
  </si>
  <si>
    <t>Leyva</t>
  </si>
  <si>
    <t>mori.ley@eagleprep.org</t>
  </si>
  <si>
    <t>'078223001</t>
  </si>
  <si>
    <t>Vista College Preparatory, Inc.</t>
  </si>
  <si>
    <t>'078224000</t>
  </si>
  <si>
    <t>Meyerson</t>
  </si>
  <si>
    <t>jmeyerson@vistacollegeprep.org</t>
  </si>
  <si>
    <t>Kela</t>
  </si>
  <si>
    <t>kpowers@vistacollegeprep.org</t>
  </si>
  <si>
    <t>slawrence@vistacollegeprep.org</t>
  </si>
  <si>
    <t>wpierson@vistacollegeprep.org</t>
  </si>
  <si>
    <t>Charter Contract Signer</t>
  </si>
  <si>
    <t>Shimon</t>
  </si>
  <si>
    <t>nshimon@vistacollegeprep.org</t>
  </si>
  <si>
    <t>Vista College Preparatory</t>
  </si>
  <si>
    <t>'078224001</t>
  </si>
  <si>
    <t>Vista College Prep - Maryvale</t>
  </si>
  <si>
    <t>'078224002</t>
  </si>
  <si>
    <t>Vista College Prep - Middle School</t>
  </si>
  <si>
    <t>'078224003</t>
  </si>
  <si>
    <t>'078225000</t>
  </si>
  <si>
    <t>Anastasia.Korte@BASISed.com</t>
  </si>
  <si>
    <t>Compliance Manager</t>
  </si>
  <si>
    <t>BASIS Mesa</t>
  </si>
  <si>
    <t>'078225001</t>
  </si>
  <si>
    <t>Arizona Autism Charter Schools, Inc.</t>
  </si>
  <si>
    <t>'078226000</t>
  </si>
  <si>
    <t>Diaz</t>
  </si>
  <si>
    <t>602.487.04</t>
  </si>
  <si>
    <t>Diana@autismcharter.org</t>
  </si>
  <si>
    <t>Rosetta</t>
  </si>
  <si>
    <t>rosetta@autismcharter.org</t>
  </si>
  <si>
    <t>llong@autismcharter.org</t>
  </si>
  <si>
    <t>Arizona Autism Charter School</t>
  </si>
  <si>
    <t>'078226001</t>
  </si>
  <si>
    <t>Arizona Autism Charter School, Upper School Campus</t>
  </si>
  <si>
    <t>'078226002</t>
  </si>
  <si>
    <t>diana@autismcharter.org</t>
  </si>
  <si>
    <t>Founder/Executive Director</t>
  </si>
  <si>
    <t>'078228000</t>
  </si>
  <si>
    <t>Nancey</t>
  </si>
  <si>
    <t>Carter</t>
  </si>
  <si>
    <t>nancey.carter@rop.com</t>
  </si>
  <si>
    <t>ROP Business Manager</t>
  </si>
  <si>
    <t>Jenkins-Bower</t>
  </si>
  <si>
    <t>cj.bower@rop.com</t>
  </si>
  <si>
    <t>CFO of Rite of Passsage Inc.</t>
  </si>
  <si>
    <t>Geiger</t>
  </si>
  <si>
    <t>Philip.Geiger@rop.com</t>
  </si>
  <si>
    <t>Signorelli</t>
  </si>
  <si>
    <t>paula.signorelli@rop.com</t>
  </si>
  <si>
    <t>Van Doozer</t>
  </si>
  <si>
    <t>scott.vandoozer@rop.com</t>
  </si>
  <si>
    <t>IT Specialist</t>
  </si>
  <si>
    <t>'078228001</t>
  </si>
  <si>
    <t>Legacy Traditional School - Gilbert</t>
  </si>
  <si>
    <t>'078229000</t>
  </si>
  <si>
    <t>corey.kennedy@legacytraditional.org</t>
  </si>
  <si>
    <t>bill@legacytraditional.org</t>
  </si>
  <si>
    <t>Executive Director/Contract Signer</t>
  </si>
  <si>
    <t>Sliker</t>
  </si>
  <si>
    <t>heather.sliker@legacytraditional.org</t>
  </si>
  <si>
    <t>Brooks</t>
  </si>
  <si>
    <t>Legacy Traditional School â€“ Gilbert</t>
  </si>
  <si>
    <t>'078229001</t>
  </si>
  <si>
    <t>Compliance Director</t>
  </si>
  <si>
    <t>paula.jensen@legacytraditional.org</t>
  </si>
  <si>
    <t>Kaizen Education Foundation dba Discover U Elementary School</t>
  </si>
  <si>
    <t>'078230000</t>
  </si>
  <si>
    <t>michele.kaye@leonagroup.com</t>
  </si>
  <si>
    <t>Chief Operating Officer</t>
  </si>
  <si>
    <t>Coats</t>
  </si>
  <si>
    <t>Contract Holder</t>
  </si>
  <si>
    <t>shannon.williams@leonagroup.com</t>
  </si>
  <si>
    <t>Desert Mirage Preparatory Academy</t>
  </si>
  <si>
    <t>'078230001</t>
  </si>
  <si>
    <t>Mary.Berg@LeonaGroup.com</t>
  </si>
  <si>
    <t>'078231000</t>
  </si>
  <si>
    <t>Anastasia.korte@BASISed.com</t>
  </si>
  <si>
    <t>Compliance Manager and Contract Signer</t>
  </si>
  <si>
    <t>BASIS Phoenix Central Primary</t>
  </si>
  <si>
    <t>'078231001</t>
  </si>
  <si>
    <t>Horizon Community Learning Center, Inc.</t>
  </si>
  <si>
    <t>'078233000</t>
  </si>
  <si>
    <t>bill.thompson@horizonclc.org</t>
  </si>
  <si>
    <t>Horizon Honors Elementary School</t>
  </si>
  <si>
    <t>'078233001</t>
  </si>
  <si>
    <t>Archway Classical Academy Lincoln</t>
  </si>
  <si>
    <t>'078234000</t>
  </si>
  <si>
    <t>Designated User /SAIS Coordinator</t>
  </si>
  <si>
    <t>Great Hearts Academies - Archway Lincoln</t>
  </si>
  <si>
    <t>'078234001</t>
  </si>
  <si>
    <t>Reporting and Compliance Coordinator</t>
  </si>
  <si>
    <t>Lincoln Preparatory Academy</t>
  </si>
  <si>
    <t>'078235000</t>
  </si>
  <si>
    <t>Great Hearts Academies - Lincoln Prep</t>
  </si>
  <si>
    <t>'078235001</t>
  </si>
  <si>
    <t>'078236000</t>
  </si>
  <si>
    <t>Senior VP Schools Mgmt Services</t>
  </si>
  <si>
    <t>State Reporting Specialist</t>
  </si>
  <si>
    <t>anastasia.korte@basised.com</t>
  </si>
  <si>
    <t>BASIS Chandler Primary - North Campus</t>
  </si>
  <si>
    <t>'078236001</t>
  </si>
  <si>
    <t>Synergy Public School, Inc.</t>
  </si>
  <si>
    <t>'078237000</t>
  </si>
  <si>
    <t>lori.weiss@synergypublicschool.org</t>
  </si>
  <si>
    <t>Synergy Public School</t>
  </si>
  <si>
    <t>'078237001</t>
  </si>
  <si>
    <t>Pensar Academy</t>
  </si>
  <si>
    <t>'078238000</t>
  </si>
  <si>
    <t>Zupetz</t>
  </si>
  <si>
    <t>zupetz@pensaracademy.org</t>
  </si>
  <si>
    <t>garcia@pensaracademy.org</t>
  </si>
  <si>
    <t>Director of Operations</t>
  </si>
  <si>
    <t>Kies</t>
  </si>
  <si>
    <t>scott@aspirebc.net</t>
  </si>
  <si>
    <t>Accountant</t>
  </si>
  <si>
    <t>hsmith@hanesolutions.com</t>
  </si>
  <si>
    <t>SAIS Provider</t>
  </si>
  <si>
    <t>'078238001</t>
  </si>
  <si>
    <t>Estrella Educational Foundation</t>
  </si>
  <si>
    <t>'078239000</t>
  </si>
  <si>
    <t>rsanchez@mitglobalonline.org</t>
  </si>
  <si>
    <t>Maricopa Institute of Technology</t>
  </si>
  <si>
    <t>'078239001</t>
  </si>
  <si>
    <t>rg@mitglobalonline.org</t>
  </si>
  <si>
    <t>Kaizen Education Foundation dba Advance U</t>
  </si>
  <si>
    <t>'078240000</t>
  </si>
  <si>
    <t>Scott.Shelley@leonagroup.com</t>
  </si>
  <si>
    <t>Vice President of Academic</t>
  </si>
  <si>
    <t>Lorisa</t>
  </si>
  <si>
    <t>Pombo</t>
  </si>
  <si>
    <t>lorisa.pombo@leonagroup.com</t>
  </si>
  <si>
    <t xml:space="preserve">Entity Adminstration </t>
  </si>
  <si>
    <t>South Mountain Preparatory Academy</t>
  </si>
  <si>
    <t>'078240001</t>
  </si>
  <si>
    <t>'078242000</t>
  </si>
  <si>
    <t>Chayka</t>
  </si>
  <si>
    <t>kchayka@amstucson.org</t>
  </si>
  <si>
    <t>Charter Representative</t>
  </si>
  <si>
    <t>Hykes</t>
  </si>
  <si>
    <t>shykes@amstucson.org</t>
  </si>
  <si>
    <t>arodriguez@amsschools.org</t>
  </si>
  <si>
    <t>Sho</t>
  </si>
  <si>
    <t>Shiratori</t>
  </si>
  <si>
    <t>520.887.53</t>
  </si>
  <si>
    <t>sshiratori@amstucson.org</t>
  </si>
  <si>
    <t>Uphold</t>
  </si>
  <si>
    <t>luphold@amsschools.org</t>
  </si>
  <si>
    <t>'078242001</t>
  </si>
  <si>
    <t>hbrown@amsphoenix.org</t>
  </si>
  <si>
    <t>Academy of Math and Science Desert Sky</t>
  </si>
  <si>
    <t>'078242002</t>
  </si>
  <si>
    <t>Academy of Math and Science Peoria Advanced</t>
  </si>
  <si>
    <t>'078242003</t>
  </si>
  <si>
    <t>Academy of Math and Science Glendale</t>
  </si>
  <si>
    <t>'078242004</t>
  </si>
  <si>
    <t>Academy of Math and Science Avondale</t>
  </si>
  <si>
    <t>'078242005</t>
  </si>
  <si>
    <t>Academy of Math and Science South Mountain</t>
  </si>
  <si>
    <t>'078242006</t>
  </si>
  <si>
    <t>Scottsdale Country Day School</t>
  </si>
  <si>
    <t>'078243000</t>
  </si>
  <si>
    <t>Prahcharov</t>
  </si>
  <si>
    <t>steve@scdsaz.com</t>
  </si>
  <si>
    <t>'078243001</t>
  </si>
  <si>
    <t>Highland Prep</t>
  </si>
  <si>
    <t>'078244000</t>
  </si>
  <si>
    <t>Dustin</t>
  </si>
  <si>
    <t>602-745-38</t>
  </si>
  <si>
    <t>dgeorge@madisonhighlandprep.org</t>
  </si>
  <si>
    <t>Bagley</t>
  </si>
  <si>
    <t>jbagley@highlandprepaz.org</t>
  </si>
  <si>
    <t>billie@azcsc.com</t>
  </si>
  <si>
    <t>Consultant</t>
  </si>
  <si>
    <t>marilyn@azcsc.com</t>
  </si>
  <si>
    <t>Yomairis</t>
  </si>
  <si>
    <t>Gordon</t>
  </si>
  <si>
    <t>ygordon@highlandprepaz.org</t>
  </si>
  <si>
    <t>Coker</t>
  </si>
  <si>
    <t>ecoker@highlandprepaz.org</t>
  </si>
  <si>
    <t>'078244001</t>
  </si>
  <si>
    <t>Edkey, Inc. - Sequoia Pathway Academy</t>
  </si>
  <si>
    <t>'078246000</t>
  </si>
  <si>
    <t>mramos@edkey.org</t>
  </si>
  <si>
    <t>Designated User/Executive Assistant to the CEO</t>
  </si>
  <si>
    <t>Plitzuweit</t>
  </si>
  <si>
    <t>mplitzuweit@edkey.org</t>
  </si>
  <si>
    <t>CEO, Charter Representative, and Contract Signer</t>
  </si>
  <si>
    <t>Sequoia Pathway Academy</t>
  </si>
  <si>
    <t>'078246002</t>
  </si>
  <si>
    <t>Archway Classical Academy Arete</t>
  </si>
  <si>
    <t>'078247000</t>
  </si>
  <si>
    <t>Student Records and SAIS Coordinator Great Hearts Academies</t>
  </si>
  <si>
    <t>Designated User/SAIS Technology Coordinator</t>
  </si>
  <si>
    <t>Great Hearts Academies - Archway Arete</t>
  </si>
  <si>
    <t>'078247001</t>
  </si>
  <si>
    <t>Klan</t>
  </si>
  <si>
    <t>Archway Classical Academy Cicero</t>
  </si>
  <si>
    <t>'078248000</t>
  </si>
  <si>
    <t>ashaw@greatheartsaz.org</t>
  </si>
  <si>
    <t>Designated User/Records and Compliance Coordinator/SAIS Tech</t>
  </si>
  <si>
    <t>Great Hearts Academies - Archway Cicero</t>
  </si>
  <si>
    <t>'078248001</t>
  </si>
  <si>
    <t>Cicero Preparatory Academy</t>
  </si>
  <si>
    <t>'078249000</t>
  </si>
  <si>
    <t>Great Hearts Academies - Cicero Prep</t>
  </si>
  <si>
    <t>'078249001</t>
  </si>
  <si>
    <t>'078250000</t>
  </si>
  <si>
    <t>Tougas</t>
  </si>
  <si>
    <t>natalie.tougas@asu.edu</t>
  </si>
  <si>
    <t>ASU Preparatory Academy - Phoenix Middle School</t>
  </si>
  <si>
    <t>'078250001</t>
  </si>
  <si>
    <t>'078251000</t>
  </si>
  <si>
    <t>ASU Preparatory Academy-Polytechnic Middle School</t>
  </si>
  <si>
    <t>'078251001</t>
  </si>
  <si>
    <t>Ethos Academy - A Challenge Foundation Academy</t>
  </si>
  <si>
    <t>'078254000</t>
  </si>
  <si>
    <t>Salko</t>
  </si>
  <si>
    <t>tsalko@ethosacademy.school</t>
  </si>
  <si>
    <t>School Director</t>
  </si>
  <si>
    <t>Reginald</t>
  </si>
  <si>
    <t>rpowell@ethosacademy.school</t>
  </si>
  <si>
    <t xml:space="preserve">Dean of Academics </t>
  </si>
  <si>
    <t>Ethos Academy- A Challenge Foundation Academy</t>
  </si>
  <si>
    <t>'078254001</t>
  </si>
  <si>
    <t>Self Development Academy-Phoenix</t>
  </si>
  <si>
    <t>'078256000</t>
  </si>
  <si>
    <t>Asif</t>
  </si>
  <si>
    <t>Majeed</t>
  </si>
  <si>
    <t>asifmajeedk@yahoo.com</t>
  </si>
  <si>
    <t>Anjum</t>
  </si>
  <si>
    <t>anjumajeed@yahoo.com</t>
  </si>
  <si>
    <t>'078256101</t>
  </si>
  <si>
    <t>Heritage Academy Queen Creek, Inc.</t>
  </si>
  <si>
    <t>'078258000</t>
  </si>
  <si>
    <t>jtaylor@heritageacademyaz.com</t>
  </si>
  <si>
    <t>Bryon</t>
  </si>
  <si>
    <t>Deselms</t>
  </si>
  <si>
    <t>bdeselms@heritageacademyaz.com</t>
  </si>
  <si>
    <t>Heritage Academy Queen Creek</t>
  </si>
  <si>
    <t>'078258001</t>
  </si>
  <si>
    <t>Heritage Academy Laveen, Inc.</t>
  </si>
  <si>
    <t>'078259000</t>
  </si>
  <si>
    <t>Heritage Academy Laveen</t>
  </si>
  <si>
    <t>'078259001</t>
  </si>
  <si>
    <t>Arizona Language Preparatory</t>
  </si>
  <si>
    <t>'078260000</t>
  </si>
  <si>
    <t>renita.myers@azlanguageprep.org</t>
  </si>
  <si>
    <t>'078260001</t>
  </si>
  <si>
    <t>'078261000</t>
  </si>
  <si>
    <t>Friedermann</t>
  </si>
  <si>
    <t>jfriedermann@noahwebster.org</t>
  </si>
  <si>
    <t>Charter Rep/Principal</t>
  </si>
  <si>
    <t>Rodenbaugh</t>
  </si>
  <si>
    <t>rrodenbaugh@noahwebster.org</t>
  </si>
  <si>
    <t>Dry</t>
  </si>
  <si>
    <t>480-291-69</t>
  </si>
  <si>
    <t>vdry@noahwebster.org</t>
  </si>
  <si>
    <t>'078261001</t>
  </si>
  <si>
    <t>'078263000</t>
  </si>
  <si>
    <t>nilknarf@cableone.net</t>
  </si>
  <si>
    <t>Gabaldon</t>
  </si>
  <si>
    <t>cgabaldon@franklinphoneticschool.com</t>
  </si>
  <si>
    <t>mccrillis_2@msn.com</t>
  </si>
  <si>
    <t>SAIS Administrator/Office Manager/Designated User</t>
  </si>
  <si>
    <t>Alva</t>
  </si>
  <si>
    <t>aalva@cableone.net</t>
  </si>
  <si>
    <t>'078263001</t>
  </si>
  <si>
    <t>Denette</t>
  </si>
  <si>
    <t>Archway Classical Academy Trivium East</t>
  </si>
  <si>
    <t>'078266000</t>
  </si>
  <si>
    <t>Great Hearts Academies - Archway Trivium East</t>
  </si>
  <si>
    <t>'078266001</t>
  </si>
  <si>
    <t>Scoggin</t>
  </si>
  <si>
    <t>dscoggin@greatheartsaz.org</t>
  </si>
  <si>
    <t>'078267000</t>
  </si>
  <si>
    <t>jess.ward@asu.edu</t>
  </si>
  <si>
    <t>Director of School Operations</t>
  </si>
  <si>
    <t>dtwist@asu.edu</t>
  </si>
  <si>
    <t xml:space="preserve">Ex. Director of Human Capital </t>
  </si>
  <si>
    <t>fawn.eaton@asu.edu</t>
  </si>
  <si>
    <t>Director of Student Support Services</t>
  </si>
  <si>
    <t>donna.peterson.1@asu.edu</t>
  </si>
  <si>
    <t>ASU Preparatory Academy - South Phoenix Primary</t>
  </si>
  <si>
    <t>'078267001</t>
  </si>
  <si>
    <t>Fawn.Eaton@asu.edu</t>
  </si>
  <si>
    <t>'078268000</t>
  </si>
  <si>
    <t>chris.morris@basised.com</t>
  </si>
  <si>
    <t>Powerschool Systems Administrator</t>
  </si>
  <si>
    <t>stephanie.savage@basised.com</t>
  </si>
  <si>
    <t>Head Of School</t>
  </si>
  <si>
    <t>BASIS Goodyear Primary</t>
  </si>
  <si>
    <t>'078268001</t>
  </si>
  <si>
    <t>'078269000</t>
  </si>
  <si>
    <t>BASIS Goodyear</t>
  </si>
  <si>
    <t>'078269001</t>
  </si>
  <si>
    <t>Academy of Mathematics and Science, Inc.</t>
  </si>
  <si>
    <t>'078270000</t>
  </si>
  <si>
    <t>Mahar</t>
  </si>
  <si>
    <t>smahar@amstucson.org</t>
  </si>
  <si>
    <t>Payne</t>
  </si>
  <si>
    <t>bpayne@amstucson.org</t>
  </si>
  <si>
    <t>Academic Coordinator / Grants Administrator</t>
  </si>
  <si>
    <t>adrodriguez@amsschools.org</t>
  </si>
  <si>
    <t>jhardiesty@amscamelback.org</t>
  </si>
  <si>
    <t>Dasilva</t>
  </si>
  <si>
    <t>ndasilva@amsschools.org</t>
  </si>
  <si>
    <t>Director of Grants</t>
  </si>
  <si>
    <t>Academy of Math and Science Camelback</t>
  </si>
  <si>
    <t>'078270001</t>
  </si>
  <si>
    <t>'078272000</t>
  </si>
  <si>
    <t>BASIS Scottsdale Primary - East Campus</t>
  </si>
  <si>
    <t>'078272001</t>
  </si>
  <si>
    <t>'078273000</t>
  </si>
  <si>
    <t>BASIS Chandler Primary- South Campus</t>
  </si>
  <si>
    <t>'078273001</t>
  </si>
  <si>
    <t>Legacy Traditional School - Surprise</t>
  </si>
  <si>
    <t>'078274000</t>
  </si>
  <si>
    <t>larry.larson@legacytraditional.org</t>
  </si>
  <si>
    <t>sophia.lin@legacytraditional.com</t>
  </si>
  <si>
    <t>'078274001</t>
  </si>
  <si>
    <t>Espiritu Schools</t>
  </si>
  <si>
    <t>'078275000</t>
  </si>
  <si>
    <t>SIS Director</t>
  </si>
  <si>
    <t>Ruiz Jr</t>
  </si>
  <si>
    <t>adrian.ruiz@espiritu.org</t>
  </si>
  <si>
    <t>AIM Higher College Prep Academy</t>
  </si>
  <si>
    <t>'078275001</t>
  </si>
  <si>
    <t>'078277000</t>
  </si>
  <si>
    <t>Fawnya</t>
  </si>
  <si>
    <t>fawnya.eaton@asu.edu</t>
  </si>
  <si>
    <t>ASU Preparatory Academy - South Phoenix High School</t>
  </si>
  <si>
    <t>'078277001</t>
  </si>
  <si>
    <t>Painted Desert Montessori, LLC</t>
  </si>
  <si>
    <t>'078278000</t>
  </si>
  <si>
    <t>Yanez</t>
  </si>
  <si>
    <t>fyanez@cox.net</t>
  </si>
  <si>
    <t>President</t>
  </si>
  <si>
    <t>Bartlett</t>
  </si>
  <si>
    <t>mbartlett@pdma.education</t>
  </si>
  <si>
    <t>cynthiag@pdmabuckeye.org</t>
  </si>
  <si>
    <t>'078278001</t>
  </si>
  <si>
    <t>'078282000</t>
  </si>
  <si>
    <t>BASIS Phoenix South Primary</t>
  </si>
  <si>
    <t>'078282001</t>
  </si>
  <si>
    <t>'078283000</t>
  </si>
  <si>
    <t>BASIS Peoria Primary</t>
  </si>
  <si>
    <t>'078283001</t>
  </si>
  <si>
    <t>ASU Preparatory Academy Digital</t>
  </si>
  <si>
    <t>'078284000</t>
  </si>
  <si>
    <t>Van Deinse</t>
  </si>
  <si>
    <t>Dana.VanDeinse@asu.edu</t>
  </si>
  <si>
    <t>'078284001</t>
  </si>
  <si>
    <t>Marcie.Rodriguez@asu.edu</t>
  </si>
  <si>
    <t>AIBT Non-Profit Charter High School, Inc.</t>
  </si>
  <si>
    <t>'078286000</t>
  </si>
  <si>
    <t>Durand</t>
  </si>
  <si>
    <t>steve@durandtech.com</t>
  </si>
  <si>
    <t>cdouglas@adibiz.com</t>
  </si>
  <si>
    <t>Sawner</t>
  </si>
  <si>
    <t>jsawner@edopfoundation.org</t>
  </si>
  <si>
    <t>kristin@aspirebc.net</t>
  </si>
  <si>
    <t>RCB College Preparatory Academy</t>
  </si>
  <si>
    <t>'078286001</t>
  </si>
  <si>
    <t>Duncan</t>
  </si>
  <si>
    <t>Eduncan@eohighschool.com</t>
  </si>
  <si>
    <t>'078288000</t>
  </si>
  <si>
    <t>anastasia.korte@baasised.com</t>
  </si>
  <si>
    <t>Managing Director of Compliance</t>
  </si>
  <si>
    <t>BASIS Scottsdale Primary - West Campus</t>
  </si>
  <si>
    <t>'078288001</t>
  </si>
  <si>
    <t>Empower College Prep</t>
  </si>
  <si>
    <t>'078401000</t>
  </si>
  <si>
    <t>Holman</t>
  </si>
  <si>
    <t>brian.holman@empowercollegeprep.org</t>
  </si>
  <si>
    <t>Eich</t>
  </si>
  <si>
    <t>angela.eich@empowercollegeprep.org</t>
  </si>
  <si>
    <t>Director of Finance and Operations</t>
  </si>
  <si>
    <t>'078401001</t>
  </si>
  <si>
    <t>angela.ortega@empowercollegeprep.org</t>
  </si>
  <si>
    <t>Grants and Finance Manager</t>
  </si>
  <si>
    <t>Crespo</t>
  </si>
  <si>
    <t>angela.crespo@empowercollegeprep.org</t>
  </si>
  <si>
    <t>Empower College Prep High School</t>
  </si>
  <si>
    <t>'078401002</t>
  </si>
  <si>
    <t>angela.f.crespo@gmail.com</t>
  </si>
  <si>
    <t>Manager of Finance and Operations</t>
  </si>
  <si>
    <t>'078403000</t>
  </si>
  <si>
    <t>BASIS Phoenix</t>
  </si>
  <si>
    <t>'078403001</t>
  </si>
  <si>
    <t>Cory</t>
  </si>
  <si>
    <t>Cyr</t>
  </si>
  <si>
    <t>cory.cyr@basisphoenix.org</t>
  </si>
  <si>
    <t>Archway Classical Academy Glendale</t>
  </si>
  <si>
    <t>'078406000</t>
  </si>
  <si>
    <t>Great Hearts Academies - Archway Glendale</t>
  </si>
  <si>
    <t>'078406001</t>
  </si>
  <si>
    <t>Legacy Traditional School - Peoria</t>
  </si>
  <si>
    <t>'078407000</t>
  </si>
  <si>
    <t>Larsen</t>
  </si>
  <si>
    <t>Legacy Traditional School â€“ Peoria</t>
  </si>
  <si>
    <t>'078407001</t>
  </si>
  <si>
    <t>Legacy Traditional School - Glendale</t>
  </si>
  <si>
    <t>'078408000</t>
  </si>
  <si>
    <t>cory.kennedy@legacytraditional.org</t>
  </si>
  <si>
    <t>larry.larsen@legacytraditional.org</t>
  </si>
  <si>
    <t>Tabatha</t>
  </si>
  <si>
    <t>Manley</t>
  </si>
  <si>
    <t>tabatha.manley@legacytraditional.org</t>
  </si>
  <si>
    <t>antonio.thompson@vertexeducation.com</t>
  </si>
  <si>
    <t>Legacy Traditional School â€“ Glendale</t>
  </si>
  <si>
    <t>'078408001</t>
  </si>
  <si>
    <t>Legacy Traditional School - North Chandler</t>
  </si>
  <si>
    <t>'078409000</t>
  </si>
  <si>
    <t>chris.brooks@legacytraditoinal.org</t>
  </si>
  <si>
    <t>Legacy Traditional School â€“ North Chandler</t>
  </si>
  <si>
    <t>'078409001</t>
  </si>
  <si>
    <t>'078410000</t>
  </si>
  <si>
    <t>Schuerman</t>
  </si>
  <si>
    <t>nick.schuerman@yahoo.com</t>
  </si>
  <si>
    <t xml:space="preserve">Authorized Charter Representative </t>
  </si>
  <si>
    <t>edu.compliance.svcs@gmail.com</t>
  </si>
  <si>
    <t>'078410001</t>
  </si>
  <si>
    <t>Business Consultant</t>
  </si>
  <si>
    <t>Think Through Academy</t>
  </si>
  <si>
    <t>'078411000</t>
  </si>
  <si>
    <t>Najat</t>
  </si>
  <si>
    <t>Benaoussar</t>
  </si>
  <si>
    <t>nbenaoussar@ttahs.com</t>
  </si>
  <si>
    <t>'078411201</t>
  </si>
  <si>
    <t>Arizona Agribusiness &amp; Equine Center INC.</t>
  </si>
  <si>
    <t>'078412000</t>
  </si>
  <si>
    <t>Rassi Drakes</t>
  </si>
  <si>
    <t>sdrakes@aaechighschools.com</t>
  </si>
  <si>
    <t>Donella</t>
  </si>
  <si>
    <t>Jurado</t>
  </si>
  <si>
    <t>djurado@aaechighschools.com</t>
  </si>
  <si>
    <t>Arizona Agribusiness &amp; Equine Center, Inc. - Mesa</t>
  </si>
  <si>
    <t>'078412201</t>
  </si>
  <si>
    <t>Legacy Traditional School - East Mesa</t>
  </si>
  <si>
    <t>'078413000</t>
  </si>
  <si>
    <t>sophia.lin@legacytradational.org</t>
  </si>
  <si>
    <t>anastasia.hawkins@vertexeducation.com</t>
  </si>
  <si>
    <t>'078413001</t>
  </si>
  <si>
    <t>Legacy Traditional School - Phoenix</t>
  </si>
  <si>
    <t>'078415000</t>
  </si>
  <si>
    <t>'078415001</t>
  </si>
  <si>
    <t>Legacy Traditional School - Avondale</t>
  </si>
  <si>
    <t>'078416000</t>
  </si>
  <si>
    <t>sophia.lin@legacytradtional.org</t>
  </si>
  <si>
    <t>'078416001</t>
  </si>
  <si>
    <t>Legacy Traditional School - Chandler</t>
  </si>
  <si>
    <t>'078417000</t>
  </si>
  <si>
    <t>McMillan</t>
  </si>
  <si>
    <t>Nicole.McMillian@LegacyTraditional.org</t>
  </si>
  <si>
    <t>Student Data and State Reporting Administrator/Designated Us</t>
  </si>
  <si>
    <t>'078417001</t>
  </si>
  <si>
    <t>'078418000</t>
  </si>
  <si>
    <t>Kinkaid</t>
  </si>
  <si>
    <t>amanda.kinkaid@basised.com</t>
  </si>
  <si>
    <t>BASIS Phoenix Primary</t>
  </si>
  <si>
    <t>'078418001</t>
  </si>
  <si>
    <t>Pillar Charter School</t>
  </si>
  <si>
    <t>'078504000</t>
  </si>
  <si>
    <t>rhay@edvantagepartners.com</t>
  </si>
  <si>
    <t>Contract Signer</t>
  </si>
  <si>
    <t>jperez@edvantagepartners.com</t>
  </si>
  <si>
    <t>Sexton</t>
  </si>
  <si>
    <t>nsexton@edvantagepartners.com</t>
  </si>
  <si>
    <t>Pillar Academy of Business &amp; Finance</t>
  </si>
  <si>
    <t>'078504201</t>
  </si>
  <si>
    <t>Porter</t>
  </si>
  <si>
    <t>Pillar Academy Online</t>
  </si>
  <si>
    <t>'078504202</t>
  </si>
  <si>
    <t>Legacy Education Group</t>
  </si>
  <si>
    <t>'078507000</t>
  </si>
  <si>
    <t>Tolman</t>
  </si>
  <si>
    <t>ktolman@evhigh.com</t>
  </si>
  <si>
    <t>sdouglas@evhigh.com</t>
  </si>
  <si>
    <t>East Valley High School</t>
  </si>
  <si>
    <t>'078507201</t>
  </si>
  <si>
    <t>Rosefield Charter Elementary School, Inc.</t>
  </si>
  <si>
    <t>'078508000</t>
  </si>
  <si>
    <t>Mecca</t>
  </si>
  <si>
    <t>james.mecca@imagineschools.com</t>
  </si>
  <si>
    <t>Director of Elementary Grades</t>
  </si>
  <si>
    <t>Muehlhausen</t>
  </si>
  <si>
    <t>carrie.muehlhausen@imagineschools.com</t>
  </si>
  <si>
    <t>Regional Associate/Powerschool Administrator</t>
  </si>
  <si>
    <t>Stout</t>
  </si>
  <si>
    <t>Michele.Stout@imagineschools.org</t>
  </si>
  <si>
    <t>Entity Admin.</t>
  </si>
  <si>
    <t>Imagine Rosefield</t>
  </si>
  <si>
    <t>'078508101</t>
  </si>
  <si>
    <t>James.Mecca@imagineschools.com</t>
  </si>
  <si>
    <t>East Mesa Charter Elementary School, Inc.</t>
  </si>
  <si>
    <t>'078509000</t>
  </si>
  <si>
    <t>Stackhouse</t>
  </si>
  <si>
    <t>maryann.stackhouse@imagineschools.com</t>
  </si>
  <si>
    <t>Regional Finance Director</t>
  </si>
  <si>
    <t>Lange</t>
  </si>
  <si>
    <t>annette.lange@imagineschools.com</t>
  </si>
  <si>
    <t>Imagine East Mesa Elementary</t>
  </si>
  <si>
    <t>'078509101</t>
  </si>
  <si>
    <t>Ruttinger</t>
  </si>
  <si>
    <t>Arizona Agribusiness &amp; Equine Center, Inc.</t>
  </si>
  <si>
    <t>'078510000</t>
  </si>
  <si>
    <t>Downing</t>
  </si>
  <si>
    <t>ldowning@aaechighschools.com</t>
  </si>
  <si>
    <t>jreed@aaechighschools.com</t>
  </si>
  <si>
    <t>Arizona Agribusiness &amp; Equine Center, Inc. - Red Mountain</t>
  </si>
  <si>
    <t>'078510201</t>
  </si>
  <si>
    <t>Arizona Connections Academy Charter School, Inc.</t>
  </si>
  <si>
    <t>'078511000</t>
  </si>
  <si>
    <t>Noto</t>
  </si>
  <si>
    <t>hnoto@aca.connectionsacademy.org</t>
  </si>
  <si>
    <t>Kozub</t>
  </si>
  <si>
    <t>donna.kozub@pearson.com</t>
  </si>
  <si>
    <t>Candler</t>
  </si>
  <si>
    <t>pcandler@connectionseducation.com</t>
  </si>
  <si>
    <t>SAIS/State Reporting Coordinator</t>
  </si>
  <si>
    <t>Arizona Connections Academy</t>
  </si>
  <si>
    <t>'078511101</t>
  </si>
  <si>
    <t>Country Gardens Charter Schools</t>
  </si>
  <si>
    <t>'078513000</t>
  </si>
  <si>
    <t>Goldie</t>
  </si>
  <si>
    <t>Burge</t>
  </si>
  <si>
    <t>gcountrygardens@aol.com</t>
  </si>
  <si>
    <t>Country Gardens Charter School</t>
  </si>
  <si>
    <t>'078513001</t>
  </si>
  <si>
    <t>Chandler Preparatory Academy</t>
  </si>
  <si>
    <t>'078515000</t>
  </si>
  <si>
    <t>Charter Holder, CEO</t>
  </si>
  <si>
    <t>Szafran</t>
  </si>
  <si>
    <t>dszafrab@greatheartsaz.org</t>
  </si>
  <si>
    <t>School Accountant</t>
  </si>
  <si>
    <t>Great Hearts Academies - Chandler Prep</t>
  </si>
  <si>
    <t>'078515001</t>
  </si>
  <si>
    <t>Sullivan</t>
  </si>
  <si>
    <t>Headmaster</t>
  </si>
  <si>
    <t>Prescott Valley Charter School</t>
  </si>
  <si>
    <t>'078516000</t>
  </si>
  <si>
    <t>Yavapai</t>
  </si>
  <si>
    <t>Prescott Valley School</t>
  </si>
  <si>
    <t>'078516002</t>
  </si>
  <si>
    <t>Monika</t>
  </si>
  <si>
    <t>monikaf@prescottvalleyschools.com</t>
  </si>
  <si>
    <t>Thomas-Fuller</t>
  </si>
  <si>
    <t>mfuller@azcharteracademy.com</t>
  </si>
  <si>
    <t>American Charter Schools Foundation d.b.a. South Ridge High School</t>
  </si>
  <si>
    <t>'078517000</t>
  </si>
  <si>
    <t>Britton</t>
  </si>
  <si>
    <t>Emily.britton@leonagroup.com</t>
  </si>
  <si>
    <t xml:space="preserve">Executive Vice President of AZ Operations   </t>
  </si>
  <si>
    <t>South Ridge High School</t>
  </si>
  <si>
    <t>'078517201</t>
  </si>
  <si>
    <t>Michele.Kaye@LeonaGroup.com</t>
  </si>
  <si>
    <t xml:space="preserve">Mary </t>
  </si>
  <si>
    <t xml:space="preserve">Berg    </t>
  </si>
  <si>
    <t xml:space="preserve"> mary.berg@leonagroup.com</t>
  </si>
  <si>
    <t>VP--Academic Support Services</t>
  </si>
  <si>
    <t>'078519000</t>
  </si>
  <si>
    <t>Ilse</t>
  </si>
  <si>
    <t>Roper</t>
  </si>
  <si>
    <t>Isle.Roper@imagineschools.org</t>
  </si>
  <si>
    <t>Mandy</t>
  </si>
  <si>
    <t>Metcalf</t>
  </si>
  <si>
    <t>mandy.metcalf@imagineschools.org</t>
  </si>
  <si>
    <t>'078519101</t>
  </si>
  <si>
    <t>Ilse.Roper@imagineschools.org</t>
  </si>
  <si>
    <t>'078520000</t>
  </si>
  <si>
    <t>Monte</t>
  </si>
  <si>
    <t>monte.lange@imagineschools.com</t>
  </si>
  <si>
    <t>Regional Director</t>
  </si>
  <si>
    <t>bradford.uchacz@imagineschools.com</t>
  </si>
  <si>
    <t>Associate Regional Director</t>
  </si>
  <si>
    <t>shannon.bishop@imagineschools.org</t>
  </si>
  <si>
    <t>Mandy.Metcalf@imagineschools.org</t>
  </si>
  <si>
    <t>'078520101</t>
  </si>
  <si>
    <t>Imagine Middle at East Mesa, Inc.</t>
  </si>
  <si>
    <t>'078521000</t>
  </si>
  <si>
    <t>sherry.ruttinger@imagineschools.com</t>
  </si>
  <si>
    <t>Grant Coordinator</t>
  </si>
  <si>
    <t>Business Administrator</t>
  </si>
  <si>
    <t>Imagine East Mesa Middle</t>
  </si>
  <si>
    <t>'078521001</t>
  </si>
  <si>
    <t xml:space="preserve">MaryAnn </t>
  </si>
  <si>
    <t xml:space="preserve">Stackhouse </t>
  </si>
  <si>
    <t>Imagine Middle at Surprise, Inc.</t>
  </si>
  <si>
    <t>'078522000</t>
  </si>
  <si>
    <t>McComb</t>
  </si>
  <si>
    <t>chris.mccomb@imagineschools.com</t>
  </si>
  <si>
    <t>Polk</t>
  </si>
  <si>
    <t>chris.polk@imagineschools.com</t>
  </si>
  <si>
    <t>Imagine Surprise Middle</t>
  </si>
  <si>
    <t>'078522101</t>
  </si>
  <si>
    <t>'078524000</t>
  </si>
  <si>
    <t>Duffy</t>
  </si>
  <si>
    <t>jduffy@csschools.com</t>
  </si>
  <si>
    <t>Charter Signer</t>
  </si>
  <si>
    <t>Macklin-Garcia</t>
  </si>
  <si>
    <t>emacklin@csschools.com</t>
  </si>
  <si>
    <t>'078524001</t>
  </si>
  <si>
    <t>Tech Campus</t>
  </si>
  <si>
    <t>'078524201</t>
  </si>
  <si>
    <t>Career Success Schools - STEM Academy 7-12</t>
  </si>
  <si>
    <t>'078524202</t>
  </si>
  <si>
    <t>Robert L. Duffy High School</t>
  </si>
  <si>
    <t>'078524203</t>
  </si>
  <si>
    <t>Regina</t>
  </si>
  <si>
    <t>Deanes</t>
  </si>
  <si>
    <t>rdeanes@csschools.com</t>
  </si>
  <si>
    <t>Anthem Preparatory Academy</t>
  </si>
  <si>
    <t>'078525000</t>
  </si>
  <si>
    <t>Great Hearts Academies - Anthem Prep</t>
  </si>
  <si>
    <t>'078525001</t>
  </si>
  <si>
    <t>Arete Preparatory Academy</t>
  </si>
  <si>
    <t>'078527000</t>
  </si>
  <si>
    <t>Designatied User/SAIS Coordinator</t>
  </si>
  <si>
    <t>Great Hearts Academies - Arete Prep</t>
  </si>
  <si>
    <t>'078527001</t>
  </si>
  <si>
    <t>rwagner@mesaprep.org</t>
  </si>
  <si>
    <t>Freedom Academy, Inc.</t>
  </si>
  <si>
    <t>'078528000</t>
  </si>
  <si>
    <t>Keven</t>
  </si>
  <si>
    <t>kbarker@ridgelineacademy.org</t>
  </si>
  <si>
    <t>Meyer</t>
  </si>
  <si>
    <t>lmeyer@diamondfinancialsolutions.org</t>
  </si>
  <si>
    <t>Freedom Academy</t>
  </si>
  <si>
    <t>'078528101</t>
  </si>
  <si>
    <t>Tamaree</t>
  </si>
  <si>
    <t>tmccarthy@freedom-academy.com</t>
  </si>
  <si>
    <t>Cavalcant</t>
  </si>
  <si>
    <t>JCavalcant@FreedomAcademy.org</t>
  </si>
  <si>
    <t>Freedom Academy North</t>
  </si>
  <si>
    <t>'078528102</t>
  </si>
  <si>
    <t>'078530000</t>
  </si>
  <si>
    <t>Roush-Meier</t>
  </si>
  <si>
    <t>mroushmeier@concordiacharter.org</t>
  </si>
  <si>
    <t>'078530101</t>
  </si>
  <si>
    <t>Concordia Charter School- Navajo Mission</t>
  </si>
  <si>
    <t>'078530103</t>
  </si>
  <si>
    <t>'078531000</t>
  </si>
  <si>
    <t>'078531101</t>
  </si>
  <si>
    <t>Imagine Desert West Middle, Inc.</t>
  </si>
  <si>
    <t>'078532000</t>
  </si>
  <si>
    <t>Imagine Desert West Middle</t>
  </si>
  <si>
    <t>'078532101</t>
  </si>
  <si>
    <t>Scottsdale Preparatory Academy</t>
  </si>
  <si>
    <t>'078533000</t>
  </si>
  <si>
    <t>Great Hearts Academies - Scottsdale Prep</t>
  </si>
  <si>
    <t>'078533001</t>
  </si>
  <si>
    <t>Chaney</t>
  </si>
  <si>
    <t>School Master</t>
  </si>
  <si>
    <t>Huseth</t>
  </si>
  <si>
    <t>whuseth@greatheartsaz.org</t>
  </si>
  <si>
    <t>Candeo Schools, Inc.</t>
  </si>
  <si>
    <t>'078534000</t>
  </si>
  <si>
    <t>Musser</t>
  </si>
  <si>
    <t>smusser@candeoschools.com</t>
  </si>
  <si>
    <t>Stroupe</t>
  </si>
  <si>
    <t>sstroupe@candeoschools.com</t>
  </si>
  <si>
    <t>Candeo Peoria</t>
  </si>
  <si>
    <t>'078534001</t>
  </si>
  <si>
    <t>Imagine Avondale Elementary, Inc.</t>
  </si>
  <si>
    <t>'078535000</t>
  </si>
  <si>
    <t>Agnew</t>
  </si>
  <si>
    <t>kim.agnew@imagineschools.com</t>
  </si>
  <si>
    <t>Ebony</t>
  </si>
  <si>
    <t>Shalley</t>
  </si>
  <si>
    <t>ebony.shalley@imagineschools.org</t>
  </si>
  <si>
    <t>Imagine Avondale Elementary</t>
  </si>
  <si>
    <t>'078535101</t>
  </si>
  <si>
    <t>'078536000</t>
  </si>
  <si>
    <t>darrin.anderson@imagineschools.com</t>
  </si>
  <si>
    <t>michele.stout@imagineschools.org</t>
  </si>
  <si>
    <t>Thigpen</t>
  </si>
  <si>
    <t>Clara.Thigpen@imagineschools.org</t>
  </si>
  <si>
    <t>MaryAnn</t>
  </si>
  <si>
    <t>Regional Finance Director (Designated User)</t>
  </si>
  <si>
    <t>'078536101</t>
  </si>
  <si>
    <t>Imagine Prep Superstition, Inc.</t>
  </si>
  <si>
    <t>'078537000</t>
  </si>
  <si>
    <t>Roulier</t>
  </si>
  <si>
    <t>tim.roulier@imagineschools.com</t>
  </si>
  <si>
    <t>Imagine Prep Superstition</t>
  </si>
  <si>
    <t>'078537101</t>
  </si>
  <si>
    <t>Stirpe</t>
  </si>
  <si>
    <t>frank.stirpe@imagineschools.com</t>
  </si>
  <si>
    <t>Imagine Prep Surprise, Inc.</t>
  </si>
  <si>
    <t>'078538000</t>
  </si>
  <si>
    <t>Imagine Prep Surprise</t>
  </si>
  <si>
    <t>'078538101</t>
  </si>
  <si>
    <t>San Tan Montessori School, Inc.</t>
  </si>
  <si>
    <t>'078539000</t>
  </si>
  <si>
    <t>Kristofer</t>
  </si>
  <si>
    <t>Sippel</t>
  </si>
  <si>
    <t>ksippel@santanlearningcenter.com</t>
  </si>
  <si>
    <t>President/Superintendent</t>
  </si>
  <si>
    <t>Lara</t>
  </si>
  <si>
    <t>lshaffer@santanlearningcenter.com</t>
  </si>
  <si>
    <t>Hodges</t>
  </si>
  <si>
    <t>Grace</t>
  </si>
  <si>
    <t>ghodges@santanlc.com</t>
  </si>
  <si>
    <t>San Tan Charter School</t>
  </si>
  <si>
    <t>'078539101</t>
  </si>
  <si>
    <t>Glendale Preparatory Academy</t>
  </si>
  <si>
    <t>'078540000</t>
  </si>
  <si>
    <t>Great Hearts Academies - Glendale Prep</t>
  </si>
  <si>
    <t>'078540101</t>
  </si>
  <si>
    <t>Brandon</t>
  </si>
  <si>
    <t>Crowe</t>
  </si>
  <si>
    <t>EAGLE South Mountain Charter, Inc.</t>
  </si>
  <si>
    <t>'078541000</t>
  </si>
  <si>
    <t>Inman</t>
  </si>
  <si>
    <t>steven.inman@educationalenterprises.org</t>
  </si>
  <si>
    <t>Charter Representative/Interim Exec. Director</t>
  </si>
  <si>
    <t>Danzy</t>
  </si>
  <si>
    <t>Crystal.Danzy@eagleprep.org</t>
  </si>
  <si>
    <t>Chelsea</t>
  </si>
  <si>
    <t>Knutson</t>
  </si>
  <si>
    <t>Chelsea.knutson@openskyeducation.org</t>
  </si>
  <si>
    <t>Assistant School Controller</t>
  </si>
  <si>
    <t>Frances</t>
  </si>
  <si>
    <t>DeWindt</t>
  </si>
  <si>
    <t>frances.dewindt@eagleprep.org</t>
  </si>
  <si>
    <t>EAGLE College Prep</t>
  </si>
  <si>
    <t>'078541101</t>
  </si>
  <si>
    <t>AZ Compass Schools, Inc.</t>
  </si>
  <si>
    <t>'078542000</t>
  </si>
  <si>
    <t>Ronda</t>
  </si>
  <si>
    <t>rowens@skylineschools.com</t>
  </si>
  <si>
    <t>AZ Compass Prep School</t>
  </si>
  <si>
    <t>'078542101</t>
  </si>
  <si>
    <t>Shipman</t>
  </si>
  <si>
    <t>Livesey</t>
  </si>
  <si>
    <t>dlivesey@skylineschools.com</t>
  </si>
  <si>
    <t>rodney</t>
  </si>
  <si>
    <t>james</t>
  </si>
  <si>
    <t>rjames@skylineschools.com</t>
  </si>
  <si>
    <t>Daisy Education Corporation dba Paragon Science Academy</t>
  </si>
  <si>
    <t>'078544000</t>
  </si>
  <si>
    <t>Tolga</t>
  </si>
  <si>
    <t>Ozel</t>
  </si>
  <si>
    <t>tozel@sonoranschools.org</t>
  </si>
  <si>
    <t>Data and School Information Systems Manager</t>
  </si>
  <si>
    <t>Farlinger</t>
  </si>
  <si>
    <t>cfarlinger@sonoranschools.org</t>
  </si>
  <si>
    <t>Paragon Science Academy</t>
  </si>
  <si>
    <t>'078544101</t>
  </si>
  <si>
    <t>Selim</t>
  </si>
  <si>
    <t>Tanyeri</t>
  </si>
  <si>
    <t>stanyeri@paragonscience.org</t>
  </si>
  <si>
    <t>Faith</t>
  </si>
  <si>
    <t>Karatas</t>
  </si>
  <si>
    <t>fkaratas@sonoranschools.org</t>
  </si>
  <si>
    <t>'078546000</t>
  </si>
  <si>
    <t>ASU Preparatory Academy- Phoenix Elementary</t>
  </si>
  <si>
    <t>'078546102</t>
  </si>
  <si>
    <t>Imagine Prep Coolidge, Inc.</t>
  </si>
  <si>
    <t>'078547000</t>
  </si>
  <si>
    <t>Monte.lange@imagineschools.org</t>
  </si>
  <si>
    <t>Darrin.anderson@imagineschools.com</t>
  </si>
  <si>
    <t>michele.stout@imagineschools.com</t>
  </si>
  <si>
    <t>angela.west@imagineschools.org</t>
  </si>
  <si>
    <t>Imagine Prep Coolidge</t>
  </si>
  <si>
    <t>'078547101</t>
  </si>
  <si>
    <t>West Valley Arts and Technology Academy, Inc.</t>
  </si>
  <si>
    <t>'078548000</t>
  </si>
  <si>
    <t>Hattrick</t>
  </si>
  <si>
    <t>jhattrick@riverbendprep.org</t>
  </si>
  <si>
    <t>Head of School</t>
  </si>
  <si>
    <t>Vickie</t>
  </si>
  <si>
    <t>Palafox</t>
  </si>
  <si>
    <t>vpalafox@RIVERBENDPREP.ORG</t>
  </si>
  <si>
    <t>jwhite@phoenixadvantage.org</t>
  </si>
  <si>
    <t>Riverbend Prep</t>
  </si>
  <si>
    <t>'078548101</t>
  </si>
  <si>
    <t>Jhattrick@riverbendprep.org</t>
  </si>
  <si>
    <t>Choice Academies, Inc.</t>
  </si>
  <si>
    <t>'078549000</t>
  </si>
  <si>
    <t>Fink</t>
  </si>
  <si>
    <t>lfink@choiceacademies.org</t>
  </si>
  <si>
    <t>Wilson-Smith</t>
  </si>
  <si>
    <t>awsmith@choiceacademies.org</t>
  </si>
  <si>
    <t>Loewer</t>
  </si>
  <si>
    <t>jloewer@jphschoice.org</t>
  </si>
  <si>
    <t>Schorer</t>
  </si>
  <si>
    <t>aschorer@atachoice.org</t>
  </si>
  <si>
    <t>Lainie</t>
  </si>
  <si>
    <t>Rankin</t>
  </si>
  <si>
    <t>lrainkin@atachoice.org</t>
  </si>
  <si>
    <t>Adams Traditional Academy</t>
  </si>
  <si>
    <t>'078549001</t>
  </si>
  <si>
    <t>Hayes</t>
  </si>
  <si>
    <t>khayes@atachoice.org</t>
  </si>
  <si>
    <t>Jefferson Preparatory High School</t>
  </si>
  <si>
    <t>'078549002</t>
  </si>
  <si>
    <t>Pioneer Preparatory School</t>
  </si>
  <si>
    <t>'078550000</t>
  </si>
  <si>
    <t>Best</t>
  </si>
  <si>
    <t>tony.best@ppslions.org</t>
  </si>
  <si>
    <t>laura.wilson@ppslions.org</t>
  </si>
  <si>
    <t>laura.simmons@ppslions.org</t>
  </si>
  <si>
    <t>Aracelia</t>
  </si>
  <si>
    <t>Arroyo</t>
  </si>
  <si>
    <t>araceli.arroyo@ppslions.org</t>
  </si>
  <si>
    <t>Pioneer Preparatory - A Challenge Foundation</t>
  </si>
  <si>
    <t>'078550001</t>
  </si>
  <si>
    <t>Nicky</t>
  </si>
  <si>
    <t>Huels</t>
  </si>
  <si>
    <t>nicky.huels@pioneer.teamcfa.org</t>
  </si>
  <si>
    <t>tony.best@pioneer.teamcfa.org</t>
  </si>
  <si>
    <t>Ogden</t>
  </si>
  <si>
    <t>liz.ogden@ppslions.org</t>
  </si>
  <si>
    <t>Vidaurazzaga</t>
  </si>
  <si>
    <t>erika.vidaurrazaga@ppslions.org</t>
  </si>
  <si>
    <t>Imagine Superstition Middle, Inc.</t>
  </si>
  <si>
    <t>'078552000</t>
  </si>
  <si>
    <t>Entity Admin</t>
  </si>
  <si>
    <t>Business Admin.</t>
  </si>
  <si>
    <t>Imagine Superstition Middle</t>
  </si>
  <si>
    <t>'078552001</t>
  </si>
  <si>
    <t>Imagine Avondale Middle, Inc.</t>
  </si>
  <si>
    <t>'078553000</t>
  </si>
  <si>
    <t>Ebony.Shalley@imagineschools.org</t>
  </si>
  <si>
    <t>Imagine Avondale Middle</t>
  </si>
  <si>
    <t>'078553001</t>
  </si>
  <si>
    <t>Morrison Education Group, Inc.</t>
  </si>
  <si>
    <t>'078556000</t>
  </si>
  <si>
    <t>Tanae</t>
  </si>
  <si>
    <t>TMorrison@sunvalleycharterschool.com</t>
  </si>
  <si>
    <t>Charter Contract Signer/Director</t>
  </si>
  <si>
    <t>Sun Valley Academy</t>
  </si>
  <si>
    <t>'078556001</t>
  </si>
  <si>
    <t>Educational Options Foundation</t>
  </si>
  <si>
    <t>'078558000</t>
  </si>
  <si>
    <t>eduncan@eohighschool.com</t>
  </si>
  <si>
    <t>Christol</t>
  </si>
  <si>
    <t>Mosley</t>
  </si>
  <si>
    <t>cmosley@eohighschool.com</t>
  </si>
  <si>
    <t>EdOptions Preparatory Academy</t>
  </si>
  <si>
    <t>'078558001</t>
  </si>
  <si>
    <t>Owen</t>
  </si>
  <si>
    <t>jowen@northstaraz.com</t>
  </si>
  <si>
    <t>EdOptions HS Learning Center</t>
  </si>
  <si>
    <t>'078558002</t>
  </si>
  <si>
    <t>'078559000</t>
  </si>
  <si>
    <t>ASU Preparatory Academy - South Phoenix Intermediate</t>
  </si>
  <si>
    <t>'078559001</t>
  </si>
  <si>
    <t>Research Based Education Corporation</t>
  </si>
  <si>
    <t>'078560000</t>
  </si>
  <si>
    <t>sextonjb@hotmail.com</t>
  </si>
  <si>
    <t>Curt</t>
  </si>
  <si>
    <t>cporter@edvantagepartners.com</t>
  </si>
  <si>
    <t>Paulden Community School</t>
  </si>
  <si>
    <t>'078560001</t>
  </si>
  <si>
    <t>The Odyssey Preparatory Academy, Inc.</t>
  </si>
  <si>
    <t>'078561000</t>
  </si>
  <si>
    <t>Elaine</t>
  </si>
  <si>
    <t>McCormack</t>
  </si>
  <si>
    <t>emccormack@topamail.com</t>
  </si>
  <si>
    <t>kolson@topamail.com</t>
  </si>
  <si>
    <t>Autrey</t>
  </si>
  <si>
    <t>623.202.81</t>
  </si>
  <si>
    <t>lautrey@topamail.com</t>
  </si>
  <si>
    <t>Zavala</t>
  </si>
  <si>
    <t>rzavala@topoamail.com</t>
  </si>
  <si>
    <t>The Odyssey Preparatory Academy</t>
  </si>
  <si>
    <t>'078561002</t>
  </si>
  <si>
    <t>The Odyssey Preparatory Academy Goodyear</t>
  </si>
  <si>
    <t>'078561003</t>
  </si>
  <si>
    <t>Odyssey Institute for Advanced and International Studies</t>
  </si>
  <si>
    <t>'078561004</t>
  </si>
  <si>
    <t>The Odyssey Preparatory Academy - Sienna Hills</t>
  </si>
  <si>
    <t>'078561006</t>
  </si>
  <si>
    <t>Vector School District, Inc.</t>
  </si>
  <si>
    <t>'078562000</t>
  </si>
  <si>
    <t>Vector Prep and Arts Academy</t>
  </si>
  <si>
    <t>'078562001</t>
  </si>
  <si>
    <t>CAFA, Inc. dba Learning Foundation and Performing Arts Gilbert</t>
  </si>
  <si>
    <t>'078564000</t>
  </si>
  <si>
    <t>learningfoundation@msn.com</t>
  </si>
  <si>
    <t>forrest@aspirebc.net</t>
  </si>
  <si>
    <t xml:space="preserve">Accountant </t>
  </si>
  <si>
    <t>Learning Foundation and Performing Arts Gilbert</t>
  </si>
  <si>
    <t>'078564001</t>
  </si>
  <si>
    <t>Learning Foundation and Performing Arts Warner</t>
  </si>
  <si>
    <t>'078564002</t>
  </si>
  <si>
    <t>CAFA, Inc. dba Learning Foundation and Performing Arts Alta Mesa</t>
  </si>
  <si>
    <t>'078565000</t>
  </si>
  <si>
    <t>Learning Foundation and Performing Arts Alta Mesa</t>
  </si>
  <si>
    <t>'078565001</t>
  </si>
  <si>
    <t>Nicki</t>
  </si>
  <si>
    <t>Triggs</t>
  </si>
  <si>
    <t>NTriggs@lfapa.org</t>
  </si>
  <si>
    <t xml:space="preserve">Site Director </t>
  </si>
  <si>
    <t>'078566000</t>
  </si>
  <si>
    <t>'078566001</t>
  </si>
  <si>
    <t>'078567000</t>
  </si>
  <si>
    <t>kim.velarde@leonagroup.com</t>
  </si>
  <si>
    <t>'078567001</t>
  </si>
  <si>
    <t>Michele.Kaye@leonagroup.com</t>
  </si>
  <si>
    <t>Kaizen Education Foundation dba Gilbert Arts Academy</t>
  </si>
  <si>
    <t>'078570000</t>
  </si>
  <si>
    <t>'078570001</t>
  </si>
  <si>
    <t>'078571000</t>
  </si>
  <si>
    <t>bill.coats@leonagroup.com</t>
  </si>
  <si>
    <t>'078571001</t>
  </si>
  <si>
    <t>Edison Project</t>
  </si>
  <si>
    <t>'078573000</t>
  </si>
  <si>
    <t>Edison</t>
  </si>
  <si>
    <t>erose@edisonschoolaz.org</t>
  </si>
  <si>
    <t>Operations Director</t>
  </si>
  <si>
    <t>Horne</t>
  </si>
  <si>
    <t>bhorne@edisonschoolaz.org</t>
  </si>
  <si>
    <t>Edison School of Innovation</t>
  </si>
  <si>
    <t>'078573101</t>
  </si>
  <si>
    <t>'078575000</t>
  </si>
  <si>
    <t>BASIS Oro Valley</t>
  </si>
  <si>
    <t>'078575301</t>
  </si>
  <si>
    <t>Kaizen Education Foundation dba Mission Heights Preparatory High School</t>
  </si>
  <si>
    <t>'078576000</t>
  </si>
  <si>
    <t>COO</t>
  </si>
  <si>
    <t>Mission Heights Preparatory High School</t>
  </si>
  <si>
    <t>'078576001</t>
  </si>
  <si>
    <t>Darla</t>
  </si>
  <si>
    <t>Darla.Eddy@LeonaGroup.com</t>
  </si>
  <si>
    <t>Director of Data Mgt.</t>
  </si>
  <si>
    <t>Daisy Education Corporation dba. Sonoran Science Academy Peoria</t>
  </si>
  <si>
    <t>'078577000</t>
  </si>
  <si>
    <t>Fatih</t>
  </si>
  <si>
    <t>McFann</t>
  </si>
  <si>
    <t>gmcfann@sonoranschools.org</t>
  </si>
  <si>
    <t>Chief Academic Officer</t>
  </si>
  <si>
    <t>Sonoran Science Academy-Peoria</t>
  </si>
  <si>
    <t>'078577001</t>
  </si>
  <si>
    <t>South Valley Academy, Inc.</t>
  </si>
  <si>
    <t>'078578000</t>
  </si>
  <si>
    <t>South Valley Prep and Arts School</t>
  </si>
  <si>
    <t>'078578301</t>
  </si>
  <si>
    <t>Maja</t>
  </si>
  <si>
    <t>mrodriguez@skylineschools.com</t>
  </si>
  <si>
    <t>Brandt</t>
  </si>
  <si>
    <t>sbrandt@skylineschools.com</t>
  </si>
  <si>
    <t>Kaizen Education Foundation dba Havasu Preparatory Academy</t>
  </si>
  <si>
    <t>'078580000</t>
  </si>
  <si>
    <t>Havasu Preparatory Academy</t>
  </si>
  <si>
    <t>'078580001</t>
  </si>
  <si>
    <t>mary.berg@leonagroup.com</t>
  </si>
  <si>
    <t>VP Academic Support Svcs.</t>
  </si>
  <si>
    <t>Director of Data Mgmt.</t>
  </si>
  <si>
    <t>Arizona Education Solutions</t>
  </si>
  <si>
    <t>'078582000</t>
  </si>
  <si>
    <t>Dominick</t>
  </si>
  <si>
    <t>Sirianni</t>
  </si>
  <si>
    <t>dom.sirianni@astravo.org</t>
  </si>
  <si>
    <t>amy.hardy@foundationlearning.org</t>
  </si>
  <si>
    <t>Diamond</t>
  </si>
  <si>
    <t>Astravo Online Academy</t>
  </si>
  <si>
    <t>'078582002</t>
  </si>
  <si>
    <t>'078582003</t>
  </si>
  <si>
    <t>North Phoenix Preparatory Academy</t>
  </si>
  <si>
    <t>'078584000</t>
  </si>
  <si>
    <t>McHenry</t>
  </si>
  <si>
    <t>cmchenry@northphoenixprep.org</t>
  </si>
  <si>
    <t>Great Hearts Academies - North Phoenix Prep</t>
  </si>
  <si>
    <t>'078584001</t>
  </si>
  <si>
    <t>George Gervin Youth Center, Inc.</t>
  </si>
  <si>
    <t>'078585000</t>
  </si>
  <si>
    <t>bdhawkins@gervin-school.org</t>
  </si>
  <si>
    <t>Boynes</t>
  </si>
  <si>
    <t>flee@gervin-school.org</t>
  </si>
  <si>
    <t>George Gervin Prep Academy</t>
  </si>
  <si>
    <t>'078585001</t>
  </si>
  <si>
    <t>mmadrid@gervinprepacademy.org</t>
  </si>
  <si>
    <t>Ball Charter Schools (Val Vista)</t>
  </si>
  <si>
    <t>'078586000</t>
  </si>
  <si>
    <t>AGilbert@ballcharterschools.org</t>
  </si>
  <si>
    <t>Londer</t>
  </si>
  <si>
    <t>glonder@ballcharterschools.org</t>
  </si>
  <si>
    <t>Terrian</t>
  </si>
  <si>
    <t>cterrian@ballcharterschools.org</t>
  </si>
  <si>
    <t xml:space="preserve">Business Specialist </t>
  </si>
  <si>
    <t>'078586001</t>
  </si>
  <si>
    <t>Andres</t>
  </si>
  <si>
    <t>arobles@dobsonacademy.org</t>
  </si>
  <si>
    <t>mhart@valvistaacademy.org</t>
  </si>
  <si>
    <t>'078587000</t>
  </si>
  <si>
    <t>Proctor Downing</t>
  </si>
  <si>
    <t>Otilia</t>
  </si>
  <si>
    <t>Cuevas</t>
  </si>
  <si>
    <t>ocuevas@aaechighschools.com</t>
  </si>
  <si>
    <t>Arizona Agribusiness &amp; Equine Center - Estrella</t>
  </si>
  <si>
    <t>'078587201</t>
  </si>
  <si>
    <t>Superinntendent</t>
  </si>
  <si>
    <t>Mona</t>
  </si>
  <si>
    <t>mramirez@aaechighschools.com</t>
  </si>
  <si>
    <t>'078588000</t>
  </si>
  <si>
    <t>mark.allen@basised.com</t>
  </si>
  <si>
    <t xml:space="preserve">Head of School/Site Contact </t>
  </si>
  <si>
    <t>Trower</t>
  </si>
  <si>
    <t>becky.trower@basised.com</t>
  </si>
  <si>
    <t xml:space="preserve">Head of Operations     </t>
  </si>
  <si>
    <t>BASIS Peoria</t>
  </si>
  <si>
    <t>'078588301</t>
  </si>
  <si>
    <t>'078589000</t>
  </si>
  <si>
    <t xml:space="preserve">State Reporting Specialist </t>
  </si>
  <si>
    <t>BASIS Chandler</t>
  </si>
  <si>
    <t>'078589301</t>
  </si>
  <si>
    <t>Archway Classical Academy Scottsdale</t>
  </si>
  <si>
    <t>'078590000</t>
  </si>
  <si>
    <t>Lauri</t>
  </si>
  <si>
    <t>lbenson@archwayscottsdale.org</t>
  </si>
  <si>
    <t>Great Hearts Academies - Archway Scottsdale</t>
  </si>
  <si>
    <t>'078590301</t>
  </si>
  <si>
    <t>Trivium Preparatory Academy</t>
  </si>
  <si>
    <t>'078591000</t>
  </si>
  <si>
    <t>CEO/Charter Contract Signer</t>
  </si>
  <si>
    <t>Kissell</t>
  </si>
  <si>
    <t>susie.kissell@triviumprep.org</t>
  </si>
  <si>
    <t>Great Hearts Academies - Trivium Prep</t>
  </si>
  <si>
    <t>'078591301</t>
  </si>
  <si>
    <t>Maryvale Preparatory Academy</t>
  </si>
  <si>
    <t>'078592000</t>
  </si>
  <si>
    <t>Business Operations Manager</t>
  </si>
  <si>
    <t>jsoto@maryvaleprep.org</t>
  </si>
  <si>
    <t>Great Hearts Academies - Maryvale Prep</t>
  </si>
  <si>
    <t>'078592001</t>
  </si>
  <si>
    <t>Happy Valley East</t>
  </si>
  <si>
    <t>'078594000</t>
  </si>
  <si>
    <t>Gaddie</t>
  </si>
  <si>
    <t>ggaddie@azbasicschools.org</t>
  </si>
  <si>
    <t xml:space="preserve">Desinated User/Grants Manager </t>
  </si>
  <si>
    <t>scott@aspirebc.co</t>
  </si>
  <si>
    <t>Happy Valley School East Campus</t>
  </si>
  <si>
    <t>'078594001</t>
  </si>
  <si>
    <t>jpalmer@hveast.com</t>
  </si>
  <si>
    <t>Archway Classical Academy Trivium West</t>
  </si>
  <si>
    <t>'078595000</t>
  </si>
  <si>
    <t>Great Hearts Academies - Archway Trivium West</t>
  </si>
  <si>
    <t>'078595301</t>
  </si>
  <si>
    <t>Beskar</t>
  </si>
  <si>
    <t>Archway Classical Academy Veritas</t>
  </si>
  <si>
    <t>'078596000</t>
  </si>
  <si>
    <t>Erik</t>
  </si>
  <si>
    <t>Great Hearts Academies - Archway Veritas</t>
  </si>
  <si>
    <t>'078596301</t>
  </si>
  <si>
    <t>Archway Classical Academy Chandler</t>
  </si>
  <si>
    <t>'078597000</t>
  </si>
  <si>
    <t>Great Hearts Academies - Archway Chandler</t>
  </si>
  <si>
    <t>'078597301</t>
  </si>
  <si>
    <t>Shanta</t>
  </si>
  <si>
    <t>SCampbell@Greatheartsaz.org</t>
  </si>
  <si>
    <t>'078599000</t>
  </si>
  <si>
    <t>'078599301</t>
  </si>
  <si>
    <t>dcoleman@skylineschools.com</t>
  </si>
  <si>
    <t>'078608000</t>
  </si>
  <si>
    <t>kwarren@flocrit.org</t>
  </si>
  <si>
    <t>CEO/Superintendent</t>
  </si>
  <si>
    <t>Kemp</t>
  </si>
  <si>
    <t>602.288.45</t>
  </si>
  <si>
    <t>rkemp@flocrit.org</t>
  </si>
  <si>
    <t>Sherrie</t>
  </si>
  <si>
    <t>Cantrell</t>
  </si>
  <si>
    <t>scantrell@flocrit.org</t>
  </si>
  <si>
    <t>'078608001</t>
  </si>
  <si>
    <t>Ridgeline Academy, Inc.</t>
  </si>
  <si>
    <t>'078609000</t>
  </si>
  <si>
    <t>Jenel</t>
  </si>
  <si>
    <t>McRoberts</t>
  </si>
  <si>
    <t>jmcroberts@RidgelineAcademy.org</t>
  </si>
  <si>
    <t>'078609101</t>
  </si>
  <si>
    <t>kbarker@RidgelineAcademy.org</t>
  </si>
  <si>
    <t>KBarker@RidgelineAcademy.org</t>
  </si>
  <si>
    <t>'078611000</t>
  </si>
  <si>
    <t>Gabriel</t>
  </si>
  <si>
    <t>gabriels@academiadelpueblo.org</t>
  </si>
  <si>
    <t>Sajib</t>
  </si>
  <si>
    <t>Prajapati</t>
  </si>
  <si>
    <t>sajib.prajapati@friendlyhouse.org</t>
  </si>
  <si>
    <t>Director of IT</t>
  </si>
  <si>
    <t>Federico</t>
  </si>
  <si>
    <t>federico.sanchez@friendlyhouse.org</t>
  </si>
  <si>
    <t>Senior IT Analyst</t>
  </si>
  <si>
    <t>'078611001</t>
  </si>
  <si>
    <t>Michael.Henderson@academiadelpueblo.org</t>
  </si>
  <si>
    <t>Franccesca</t>
  </si>
  <si>
    <t>Franccesca.cruz@friendlyhouse.org</t>
  </si>
  <si>
    <t>Senior Accountant</t>
  </si>
  <si>
    <t>Maria.Gonzales@academiadelpueblo.org</t>
  </si>
  <si>
    <t>Boys &amp; Girls Clubs of the East Valley dba Mesa Arts Academy</t>
  </si>
  <si>
    <t>'078613000</t>
  </si>
  <si>
    <t>Swati</t>
  </si>
  <si>
    <t>swatiw@clubzona.org</t>
  </si>
  <si>
    <t>Director of Finances</t>
  </si>
  <si>
    <t>Oyer</t>
  </si>
  <si>
    <t>joyce.oyer@clubzona.org</t>
  </si>
  <si>
    <t>Asst. Principal</t>
  </si>
  <si>
    <t>Crummey</t>
  </si>
  <si>
    <t>davidc@clubzona.org</t>
  </si>
  <si>
    <t>Sleigh</t>
  </si>
  <si>
    <t>allisons@clubzona.org</t>
  </si>
  <si>
    <t>Mesa Arts Academy</t>
  </si>
  <si>
    <t>'078613101</t>
  </si>
  <si>
    <t>sued@clubzona.org</t>
  </si>
  <si>
    <t>Administrator</t>
  </si>
  <si>
    <t>Kobold</t>
  </si>
  <si>
    <t>chadk@clubzona.org</t>
  </si>
  <si>
    <t>LePert</t>
  </si>
  <si>
    <t>cindy.lepert@clubznona.org</t>
  </si>
  <si>
    <t xml:space="preserve">Administrative Director </t>
  </si>
  <si>
    <t>dgoodwin@fundingschools.net</t>
  </si>
  <si>
    <t>Avondale Learning dba Precision Academy</t>
  </si>
  <si>
    <t>'078614000</t>
  </si>
  <si>
    <t>Finn</t>
  </si>
  <si>
    <t>Pfinn@precisionacademy.com</t>
  </si>
  <si>
    <t>Precision Academy</t>
  </si>
  <si>
    <t>'078614201</t>
  </si>
  <si>
    <t>carolinej@precisionacademy.com</t>
  </si>
  <si>
    <t>Kaleidoscope School</t>
  </si>
  <si>
    <t>'078616000</t>
  </si>
  <si>
    <t>Soare</t>
  </si>
  <si>
    <t>robin@ksk8.org</t>
  </si>
  <si>
    <t>jan@ksk8.org</t>
  </si>
  <si>
    <t>Wingo</t>
  </si>
  <si>
    <t>kwingo@ksk8.org</t>
  </si>
  <si>
    <t>'078616001</t>
  </si>
  <si>
    <t>New Horizon High School, Inc.</t>
  </si>
  <si>
    <t>'078617000</t>
  </si>
  <si>
    <t>Gallegos</t>
  </si>
  <si>
    <t>AnnetteGallegos@providencehighschool.org</t>
  </si>
  <si>
    <t>Gabrielle</t>
  </si>
  <si>
    <t>gabbyrogers@providencehighschool.org</t>
  </si>
  <si>
    <t xml:space="preserve">registrar </t>
  </si>
  <si>
    <t>Mindy</t>
  </si>
  <si>
    <t>mindy@providencehighschool.org</t>
  </si>
  <si>
    <t>benninger</t>
  </si>
  <si>
    <t>chelseabenninger@providencehighschool.org</t>
  </si>
  <si>
    <t>Providence High School</t>
  </si>
  <si>
    <t>'078617201</t>
  </si>
  <si>
    <t>annettegallegos@providencehighschool.org</t>
  </si>
  <si>
    <t>Edwin</t>
  </si>
  <si>
    <t>edwinramos@providencehighschool.org</t>
  </si>
  <si>
    <t>Desert Heights Charter Schools</t>
  </si>
  <si>
    <t>'078621000</t>
  </si>
  <si>
    <t>Jiles</t>
  </si>
  <si>
    <t>mark.jiles@dhschools.org</t>
  </si>
  <si>
    <t>Parra</t>
  </si>
  <si>
    <t>nancy.parra@dhschools.org</t>
  </si>
  <si>
    <t>Human Resources-Controller</t>
  </si>
  <si>
    <t>mdiamond@diamondfinancialsolutions.org</t>
  </si>
  <si>
    <t>Jordan</t>
  </si>
  <si>
    <t>cynthia.jordan@dhschools.org</t>
  </si>
  <si>
    <t>Desert Heights Charter School</t>
  </si>
  <si>
    <t>'078621101</t>
  </si>
  <si>
    <t>robert.brown@dhschools.org</t>
  </si>
  <si>
    <t>Somerset Academy Arizona, Inc.</t>
  </si>
  <si>
    <t>'078622000</t>
  </si>
  <si>
    <t>Ballou</t>
  </si>
  <si>
    <t>kim.ballou@academicanv.com</t>
  </si>
  <si>
    <t>Somerset Academy Skyway Campus</t>
  </si>
  <si>
    <t>'078622101</t>
  </si>
  <si>
    <t>Educational Models for Learning, Inc.</t>
  </si>
  <si>
    <t>'078623000</t>
  </si>
  <si>
    <t>Alipio</t>
  </si>
  <si>
    <t>admin@edmodels4learning.net</t>
  </si>
  <si>
    <t>Geoff</t>
  </si>
  <si>
    <t>Stemple</t>
  </si>
  <si>
    <t>gstemple@eml-az.com</t>
  </si>
  <si>
    <t>Educational Models for Learning â€“ Arizona</t>
  </si>
  <si>
    <t>'078623201</t>
  </si>
  <si>
    <t>Twenty First Century Charter School, Inc. Bennett Academy</t>
  </si>
  <si>
    <t>'078630000</t>
  </si>
  <si>
    <t>njbdirector@yahoo.com</t>
  </si>
  <si>
    <t>Rohrbacker</t>
  </si>
  <si>
    <t>jrohrbacker@bennettacademy.com</t>
  </si>
  <si>
    <t>Engle</t>
  </si>
  <si>
    <t>602-828-13</t>
  </si>
  <si>
    <t>judith.engle@yahoo.com</t>
  </si>
  <si>
    <t>fredlewb@yahoo.com</t>
  </si>
  <si>
    <t>Bennett Academy</t>
  </si>
  <si>
    <t>'078630001</t>
  </si>
  <si>
    <t>jimrohrbacker@gmail.com</t>
  </si>
  <si>
    <t>Lane</t>
  </si>
  <si>
    <t>SMLANE3@yahoo.com</t>
  </si>
  <si>
    <t>Wescott</t>
  </si>
  <si>
    <t>venture3and4@gmail.com</t>
  </si>
  <si>
    <t>Bennett Academy - Venture Site</t>
  </si>
  <si>
    <t>'078630003</t>
  </si>
  <si>
    <t>bennettacademy@juno.com</t>
  </si>
  <si>
    <t>Daivd</t>
  </si>
  <si>
    <t>STEP UP Schools, Inc.</t>
  </si>
  <si>
    <t>'078634000</t>
  </si>
  <si>
    <t>Robershotte</t>
  </si>
  <si>
    <t>lynn.robershotte@eduprizeschools.net</t>
  </si>
  <si>
    <t>Superintendent/Board President</t>
  </si>
  <si>
    <t>Fernichio</t>
  </si>
  <si>
    <t>diane.fernichio@stepupschoolsmesa.org</t>
  </si>
  <si>
    <t>Gould</t>
  </si>
  <si>
    <t>denise.gould@eduprizeschools.net</t>
  </si>
  <si>
    <t>Administration</t>
  </si>
  <si>
    <t>STEP UP SCHOOL</t>
  </si>
  <si>
    <t>'078634202</t>
  </si>
  <si>
    <t>Legacy Traditional School - Goodyear</t>
  </si>
  <si>
    <t>'078635000</t>
  </si>
  <si>
    <t>Yang</t>
  </si>
  <si>
    <t>richard.yang@vertexeducation.com</t>
  </si>
  <si>
    <t>'078635101</t>
  </si>
  <si>
    <t>Legacy Traditional School - West Surprise</t>
  </si>
  <si>
    <t>'078636000</t>
  </si>
  <si>
    <t>Anastasia.Hawkins@vertexeducation.com</t>
  </si>
  <si>
    <t>'078636001</t>
  </si>
  <si>
    <t>Legacy Traditional School - North Phoenix</t>
  </si>
  <si>
    <t>'078637000</t>
  </si>
  <si>
    <t>'078637001</t>
  </si>
  <si>
    <t>Freedom Preparatory Academy</t>
  </si>
  <si>
    <t>'078638000</t>
  </si>
  <si>
    <t>Sterling</t>
  </si>
  <si>
    <t>sterling@freedomk12.org</t>
  </si>
  <si>
    <t>Freedom Prep Academy - Mesa</t>
  </si>
  <si>
    <t>'078638001</t>
  </si>
  <si>
    <t>'078639000</t>
  </si>
  <si>
    <t>Candeo North Scottsdale</t>
  </si>
  <si>
    <t>'078639001</t>
  </si>
  <si>
    <t>'078640000</t>
  </si>
  <si>
    <t>Tanea</t>
  </si>
  <si>
    <t>Shiva</t>
  </si>
  <si>
    <t>Shojaei</t>
  </si>
  <si>
    <t>sshojaei@sunvalleyacademy.org</t>
  </si>
  <si>
    <t>Sun Valley Academy-Avondale</t>
  </si>
  <si>
    <t>'078640001</t>
  </si>
  <si>
    <t>'078647000</t>
  </si>
  <si>
    <t>smith@gatewaycc.edu</t>
  </si>
  <si>
    <t>debra.thompson@domail.maricopa.edu</t>
  </si>
  <si>
    <t>Vice Chancellor for Business Services</t>
  </si>
  <si>
    <t>michelle.paul@domail.maricopa.edu</t>
  </si>
  <si>
    <t>Supervisor of Sponsored Programs</t>
  </si>
  <si>
    <t>Kristina</t>
  </si>
  <si>
    <t>Winterstein</t>
  </si>
  <si>
    <t>kristina.winterstein@domail.maricopa.edu</t>
  </si>
  <si>
    <t>'078647201</t>
  </si>
  <si>
    <t>stacey.boyd@gatewaycc.edu</t>
  </si>
  <si>
    <t>Asti</t>
  </si>
  <si>
    <t>anthony.asti@gatewaycc.edu</t>
  </si>
  <si>
    <t>'078656000</t>
  </si>
  <si>
    <t>Mcintier</t>
  </si>
  <si>
    <t>chris.mcintier@srpmic-ed.org</t>
  </si>
  <si>
    <t>Special Projects and Contracts Manager</t>
  </si>
  <si>
    <t>Corlett</t>
  </si>
  <si>
    <t>victoria.corlett@srpmic-ed.org</t>
  </si>
  <si>
    <t xml:space="preserve">Principal/Exceptional Education Director </t>
  </si>
  <si>
    <t>Wyrick</t>
  </si>
  <si>
    <t>chris.wyrick@srpmic-ed.org</t>
  </si>
  <si>
    <t>Ulibarri</t>
  </si>
  <si>
    <t>jerry.ulibarri@srpmic-ed.org</t>
  </si>
  <si>
    <t>Brisbo</t>
  </si>
  <si>
    <t>shelley.brisbo@srpmic-ed.org</t>
  </si>
  <si>
    <t>'078656002</t>
  </si>
  <si>
    <t>'078679000</t>
  </si>
  <si>
    <t>Peggy</t>
  </si>
  <si>
    <t>Lynam</t>
  </si>
  <si>
    <t>plynam@schsaz.com</t>
  </si>
  <si>
    <t xml:space="preserve">Director of Student Information </t>
  </si>
  <si>
    <t>602-510-47</t>
  </si>
  <si>
    <t>scott.lopez@studentchoicehighschool.com</t>
  </si>
  <si>
    <t>'078679101</t>
  </si>
  <si>
    <t>garllc@eschelon.com</t>
  </si>
  <si>
    <t>'078679102</t>
  </si>
  <si>
    <t>peggy.lynam@studentchoicehighschool.com</t>
  </si>
  <si>
    <t>Eduprize Schools, LLC</t>
  </si>
  <si>
    <t>'078687000</t>
  </si>
  <si>
    <t>Eduprize School</t>
  </si>
  <si>
    <t>'078687101</t>
  </si>
  <si>
    <t>lynn.robershotte@edu-prize.com</t>
  </si>
  <si>
    <t>EDUPRIZE SCHOOL Gilbert</t>
  </si>
  <si>
    <t>'078687102</t>
  </si>
  <si>
    <t>lynn.robersotte@edu-prize.com</t>
  </si>
  <si>
    <t>Sage Academy, Inc.</t>
  </si>
  <si>
    <t>'078688000</t>
  </si>
  <si>
    <t>Lenny G.</t>
  </si>
  <si>
    <t>Letcher</t>
  </si>
  <si>
    <t>lenny@azatwork.com</t>
  </si>
  <si>
    <t>Chairman</t>
  </si>
  <si>
    <t>Alicia</t>
  </si>
  <si>
    <t>Roach</t>
  </si>
  <si>
    <t>aroach@sage-academy.org</t>
  </si>
  <si>
    <t>lynnette@sage-academy.org</t>
  </si>
  <si>
    <t>Sage Academy</t>
  </si>
  <si>
    <t>'078688101</t>
  </si>
  <si>
    <t>Lenny</t>
  </si>
  <si>
    <t>LLetcher@sage-academy.org</t>
  </si>
  <si>
    <t>New Learning Ventures, Inc.</t>
  </si>
  <si>
    <t>'078692000</t>
  </si>
  <si>
    <t>andrew@newlearningventures.org</t>
  </si>
  <si>
    <t>Kaplan</t>
  </si>
  <si>
    <t>charles@phoenixmodern.org</t>
  </si>
  <si>
    <t>Phoenix Modern</t>
  </si>
  <si>
    <t>'078692101</t>
  </si>
  <si>
    <t>Phoenix International Academy</t>
  </si>
  <si>
    <t>'078693000</t>
  </si>
  <si>
    <t>Rodriguez Marquez</t>
  </si>
  <si>
    <t>ivette@phoenixintacademy.org</t>
  </si>
  <si>
    <t>Authorized Representative</t>
  </si>
  <si>
    <t>'078693101</t>
  </si>
  <si>
    <t>Self Development Eastmark Academy</t>
  </si>
  <si>
    <t>'078694000</t>
  </si>
  <si>
    <t>sdcsamajeed@yahoo.com</t>
  </si>
  <si>
    <t>Harguess</t>
  </si>
  <si>
    <t>christinah@selfdevelopmentacademy.com</t>
  </si>
  <si>
    <t>'078694101</t>
  </si>
  <si>
    <t>Self Development Scottsdale Academy</t>
  </si>
  <si>
    <t>'078695000</t>
  </si>
  <si>
    <t>christinah@selfdevelopmentcademy.com</t>
  </si>
  <si>
    <t>'078695101</t>
  </si>
  <si>
    <t>The French American School of Arizona</t>
  </si>
  <si>
    <t>'078696000</t>
  </si>
  <si>
    <t>Patrice</t>
  </si>
  <si>
    <t>Arnout</t>
  </si>
  <si>
    <t>Patrice@frencham.org</t>
  </si>
  <si>
    <t>Chief Administration Officer</t>
  </si>
  <si>
    <t>shaw@frencham.org</t>
  </si>
  <si>
    <t>Financial Services Provider</t>
  </si>
  <si>
    <t>The French American Academy of Arizona</t>
  </si>
  <si>
    <t>'078696101</t>
  </si>
  <si>
    <t>Acclaim Charter School</t>
  </si>
  <si>
    <t>'078701000</t>
  </si>
  <si>
    <t>mpowers@acclaimacademy.org</t>
  </si>
  <si>
    <t>Takesha</t>
  </si>
  <si>
    <t>tturner@acclaimacademy.org</t>
  </si>
  <si>
    <t>cdouglas@adibiz.net</t>
  </si>
  <si>
    <t xml:space="preserve">business consultant </t>
  </si>
  <si>
    <t>Mwhite@azgm.org</t>
  </si>
  <si>
    <t>Grants</t>
  </si>
  <si>
    <t>ACCLAIM Academy</t>
  </si>
  <si>
    <t>'078701101</t>
  </si>
  <si>
    <t>Edkey, Inc. - Sequoia Choice Schools</t>
  </si>
  <si>
    <t>'078705000</t>
  </si>
  <si>
    <t>Patric</t>
  </si>
  <si>
    <t>patric.greer@edkey.org</t>
  </si>
  <si>
    <t>Sequoia Choice School Arizona Distance Learning School</t>
  </si>
  <si>
    <t>'078705201</t>
  </si>
  <si>
    <t>Chleborad</t>
  </si>
  <si>
    <t>cchleborad@edkey.org</t>
  </si>
  <si>
    <t>Sequoia Pathfinder Academy at Verrado Way and I-10</t>
  </si>
  <si>
    <t>'078705206</t>
  </si>
  <si>
    <t>'078707000</t>
  </si>
  <si>
    <t>Proctor-Downing</t>
  </si>
  <si>
    <t>Braly</t>
  </si>
  <si>
    <t>mbraly@aaechighschools.com</t>
  </si>
  <si>
    <t>AAEC - Paradise Valley</t>
  </si>
  <si>
    <t>'078707202</t>
  </si>
  <si>
    <t>dgray@aaechighschools.com</t>
  </si>
  <si>
    <t>Dr. Martha</t>
  </si>
  <si>
    <t>Genesis Program, Inc.</t>
  </si>
  <si>
    <t>'078708000</t>
  </si>
  <si>
    <t>Callahan</t>
  </si>
  <si>
    <t>kcallahan@genesiscity.org</t>
  </si>
  <si>
    <t>Luz</t>
  </si>
  <si>
    <t>lnelson@genesiscity.org</t>
  </si>
  <si>
    <t>Business Manager/ADM</t>
  </si>
  <si>
    <t>Tisha</t>
  </si>
  <si>
    <t>Crisler</t>
  </si>
  <si>
    <t>tcrisler@aol.com</t>
  </si>
  <si>
    <t>Genesis Academy</t>
  </si>
  <si>
    <t>'078708201</t>
  </si>
  <si>
    <t>International Commerce Secondary Schools, Inc.</t>
  </si>
  <si>
    <t>'078710000</t>
  </si>
  <si>
    <t>acohen@humsci.org</t>
  </si>
  <si>
    <t>Junkin</t>
  </si>
  <si>
    <t>Authorized User</t>
  </si>
  <si>
    <t>Humanities and Sciences High School - Phoenix</t>
  </si>
  <si>
    <t>'078710001</t>
  </si>
  <si>
    <t>Durkin</t>
  </si>
  <si>
    <t>SDurkin@humsci.org</t>
  </si>
  <si>
    <t>Curd</t>
  </si>
  <si>
    <t>mcurd@humsci.org</t>
  </si>
  <si>
    <t>dcurd@humsci.org</t>
  </si>
  <si>
    <t>achavez@humsci.org</t>
  </si>
  <si>
    <t>International Commerce High School - Phoenix</t>
  </si>
  <si>
    <t>'078710003</t>
  </si>
  <si>
    <t>sdurkin@humsci.org</t>
  </si>
  <si>
    <t>'078711000</t>
  </si>
  <si>
    <t>SAIS Director</t>
  </si>
  <si>
    <t>Arlahee</t>
  </si>
  <si>
    <t>Arlahee.Ruiz@espiritu.org</t>
  </si>
  <si>
    <t>aruiz@espiritu.org</t>
  </si>
  <si>
    <t>'078711001</t>
  </si>
  <si>
    <t>Heritage Academy, Inc.</t>
  </si>
  <si>
    <t>'078712000</t>
  </si>
  <si>
    <t>Scheduling/Development Coordinator</t>
  </si>
  <si>
    <t>Heritage Academy</t>
  </si>
  <si>
    <t>'078712001</t>
  </si>
  <si>
    <t>Heritage Academy Maricopa</t>
  </si>
  <si>
    <t>'078712003</t>
  </si>
  <si>
    <t>Humanities and Sciences Academy of the United States, Inc.</t>
  </si>
  <si>
    <t>'078713000</t>
  </si>
  <si>
    <t>International Commerce High School - Tempe</t>
  </si>
  <si>
    <t>'078713003</t>
  </si>
  <si>
    <t>admin@humsci.org</t>
  </si>
  <si>
    <t>Tafoya</t>
  </si>
  <si>
    <t>atafoya@humsci.org</t>
  </si>
  <si>
    <t>Humanities and Science High School - Tempe</t>
  </si>
  <si>
    <t>'078713004</t>
  </si>
  <si>
    <t>Humanities and Sciences Academy Arizona</t>
  </si>
  <si>
    <t>'078713005</t>
  </si>
  <si>
    <t>'078714000</t>
  </si>
  <si>
    <t>Leanne</t>
  </si>
  <si>
    <t>Bowley</t>
  </si>
  <si>
    <t>lbowley@mosaicaeducation.com</t>
  </si>
  <si>
    <t>Regional Vice President</t>
  </si>
  <si>
    <t>IPerez@MosaicaEducation.com</t>
  </si>
  <si>
    <t>superintendent/Principal</t>
  </si>
  <si>
    <t>Lucy</t>
  </si>
  <si>
    <t>glucy@phoenixadvantage.org</t>
  </si>
  <si>
    <t>Elliott</t>
  </si>
  <si>
    <t>relliott@phoenixadvantage.org</t>
  </si>
  <si>
    <t>CEO/Principal</t>
  </si>
  <si>
    <t>Loera</t>
  </si>
  <si>
    <t>mloera@phoenixadvantage.org</t>
  </si>
  <si>
    <t>Business Affairs Coordinator</t>
  </si>
  <si>
    <t>'078714001</t>
  </si>
  <si>
    <t>Villa Montessori Charter School</t>
  </si>
  <si>
    <t>'078715000</t>
  </si>
  <si>
    <t>Margo</t>
  </si>
  <si>
    <t>ONeill</t>
  </si>
  <si>
    <t>moneill@villamontessori.com</t>
  </si>
  <si>
    <t>Karns</t>
  </si>
  <si>
    <t>tkarns@villamontessori.com</t>
  </si>
  <si>
    <t xml:space="preserve">Controller </t>
  </si>
  <si>
    <t>Zimmerman</t>
  </si>
  <si>
    <t>jzimmerman@villamontessori.com</t>
  </si>
  <si>
    <t>Villa Montessori - Phoenix Campus</t>
  </si>
  <si>
    <t>'078715101</t>
  </si>
  <si>
    <t>Mayo</t>
  </si>
  <si>
    <t>Phoenix Education Management, LLC,</t>
  </si>
  <si>
    <t>'078716000</t>
  </si>
  <si>
    <t>Willie</t>
  </si>
  <si>
    <t>whenry@sabis.net</t>
  </si>
  <si>
    <t>pkrueger@sabis.net</t>
  </si>
  <si>
    <t>Mahdi</t>
  </si>
  <si>
    <t>Kansou</t>
  </si>
  <si>
    <t>mkansou@sabis.net</t>
  </si>
  <si>
    <t>Manager</t>
  </si>
  <si>
    <t>Braner</t>
  </si>
  <si>
    <t>dbraner@sabis.net</t>
  </si>
  <si>
    <t>IT Manager</t>
  </si>
  <si>
    <t>SABIS International</t>
  </si>
  <si>
    <t>'078716001</t>
  </si>
  <si>
    <t>LaPorte</t>
  </si>
  <si>
    <t>glaporte@sabis.net</t>
  </si>
  <si>
    <t>Schiltz</t>
  </si>
  <si>
    <t>tschiltz@sabis.net</t>
  </si>
  <si>
    <t>EduPreneurship, Inc.</t>
  </si>
  <si>
    <t>'078717000</t>
  </si>
  <si>
    <t>Salas</t>
  </si>
  <si>
    <t>dsalas@esckids.com</t>
  </si>
  <si>
    <t>EduPreneurship Student Center (ESC) Phoenix</t>
  </si>
  <si>
    <t>'078717102</t>
  </si>
  <si>
    <t>Sammans</t>
  </si>
  <si>
    <t>sammans@cox.net</t>
  </si>
  <si>
    <t>'078718000</t>
  </si>
  <si>
    <t>dave.miller@leonagroup.com</t>
  </si>
  <si>
    <t>Eddie</t>
  </si>
  <si>
    <t>eddie.wheeler@leonagroup.com</t>
  </si>
  <si>
    <t>Michele.kaye@leonagroup.com</t>
  </si>
  <si>
    <t>Executive Vice President of AZ Operations</t>
  </si>
  <si>
    <t>'078718212</t>
  </si>
  <si>
    <t>'078718215</t>
  </si>
  <si>
    <t>Darla.eddy@leonagroup.com</t>
  </si>
  <si>
    <t>Eddie.wheeler@leonagroup.com</t>
  </si>
  <si>
    <t>Laura.soto@leonagroup.com</t>
  </si>
  <si>
    <t>Arizona School For The Arts</t>
  </si>
  <si>
    <t>'078722000</t>
  </si>
  <si>
    <t>Fregulia</t>
  </si>
  <si>
    <t>lfregulia@goasa.org</t>
  </si>
  <si>
    <t>shaw@goasa.org</t>
  </si>
  <si>
    <t>'078722001</t>
  </si>
  <si>
    <t>Arizona Call-a-Teen Youth Resources, Inc.</t>
  </si>
  <si>
    <t>'078723000</t>
  </si>
  <si>
    <t>Ralph</t>
  </si>
  <si>
    <t>Weinberg</t>
  </si>
  <si>
    <t>ralphw@acyraz.org</t>
  </si>
  <si>
    <t>Sharlet</t>
  </si>
  <si>
    <t>Barnett</t>
  </si>
  <si>
    <t>sharletb@acyraz.org</t>
  </si>
  <si>
    <t>Tambie</t>
  </si>
  <si>
    <t>Cicerelli</t>
  </si>
  <si>
    <t>tambiec@acyraz.org</t>
  </si>
  <si>
    <t>Buisness Manager</t>
  </si>
  <si>
    <t>michaels@acyraz.org</t>
  </si>
  <si>
    <t>City View High School</t>
  </si>
  <si>
    <t>'078723201</t>
  </si>
  <si>
    <t>Sharletb@acyaz.org</t>
  </si>
  <si>
    <t>Allen-Cochran Enterprises, Inc.</t>
  </si>
  <si>
    <t>'078724000</t>
  </si>
  <si>
    <t>Cochran</t>
  </si>
  <si>
    <t>gcsc27@cox.net</t>
  </si>
  <si>
    <t>ceeschool@gmail.com</t>
  </si>
  <si>
    <t>Sais Coordinator</t>
  </si>
  <si>
    <t>Center for Educational Excellence</t>
  </si>
  <si>
    <t>'078724101</t>
  </si>
  <si>
    <t>American Leadership Academy, Inc.</t>
  </si>
  <si>
    <t>'078725000</t>
  </si>
  <si>
    <t>Glenn</t>
  </si>
  <si>
    <t>Way</t>
  </si>
  <si>
    <t>gway@alaschools.org</t>
  </si>
  <si>
    <t>enielsen@alaschools.org</t>
  </si>
  <si>
    <t>Ronna</t>
  </si>
  <si>
    <t>Krantzman</t>
  </si>
  <si>
    <t>rkrantzman@alaschools.org</t>
  </si>
  <si>
    <t>jpatterson@charter.one</t>
  </si>
  <si>
    <t>American Leadership Academy, Gilbert K-6</t>
  </si>
  <si>
    <t>'078725001</t>
  </si>
  <si>
    <t>American Leadership Academy, Queen Creek K-12</t>
  </si>
  <si>
    <t>'078725002</t>
  </si>
  <si>
    <t>Tommy</t>
  </si>
  <si>
    <t>troberts@alaschools.org</t>
  </si>
  <si>
    <t>Executive Director/Pincipal</t>
  </si>
  <si>
    <t>American Leadership Academy, San Tan Valley K-6</t>
  </si>
  <si>
    <t>'078725003</t>
  </si>
  <si>
    <t>McCleod</t>
  </si>
  <si>
    <t>cmccleod@alaschools.org</t>
  </si>
  <si>
    <t>Dirctor/Principal</t>
  </si>
  <si>
    <t>American Leadership Academy, Mesa K-6</t>
  </si>
  <si>
    <t>'078725004</t>
  </si>
  <si>
    <t>Irwin</t>
  </si>
  <si>
    <t>eirwin@alaschools.org</t>
  </si>
  <si>
    <t>Sinclair</t>
  </si>
  <si>
    <t>psinclair@alaschools.org</t>
  </si>
  <si>
    <t>sjensen@alaschools.org</t>
  </si>
  <si>
    <t>American Leadership Academy, Anthem K-6</t>
  </si>
  <si>
    <t>'078725006</t>
  </si>
  <si>
    <t>Enkey</t>
  </si>
  <si>
    <t>senkey@alaschools.org</t>
  </si>
  <si>
    <t>American Leadership Academy, Ironwood K12</t>
  </si>
  <si>
    <t>'078725007</t>
  </si>
  <si>
    <t>Guttery</t>
  </si>
  <si>
    <t>Bguttery@alaschools.org</t>
  </si>
  <si>
    <t>Executive Director/Principal</t>
  </si>
  <si>
    <t>American Leadership Academy, Gilbert South K-6</t>
  </si>
  <si>
    <t>'078725008</t>
  </si>
  <si>
    <t>American Leadership Academy, Gilbert North K-12</t>
  </si>
  <si>
    <t>'078725009</t>
  </si>
  <si>
    <t>American Leadership Academy Signal Butte K-6</t>
  </si>
  <si>
    <t>'078725010</t>
  </si>
  <si>
    <t>Pinnacle Education-Tempe, Inc.</t>
  </si>
  <si>
    <t>'078726000</t>
  </si>
  <si>
    <t>Muhammad</t>
  </si>
  <si>
    <t>Padela</t>
  </si>
  <si>
    <t>muhammad.padela@mgrm.com</t>
  </si>
  <si>
    <t>Vice President</t>
  </si>
  <si>
    <t>Pinnacle High School - Tempe</t>
  </si>
  <si>
    <t>'078726001</t>
  </si>
  <si>
    <t>Naresh</t>
  </si>
  <si>
    <t>Dhiman</t>
  </si>
  <si>
    <t>480-755-82</t>
  </si>
  <si>
    <t>naresh.dhiman@mgrm.com</t>
  </si>
  <si>
    <t>Pinnacle Online High School</t>
  </si>
  <si>
    <t>'078726009</t>
  </si>
  <si>
    <t>RSD Charter School, Inc.</t>
  </si>
  <si>
    <t>'078735000</t>
  </si>
  <si>
    <t>sandy@rsdcharterschool.com</t>
  </si>
  <si>
    <t>RSD High School</t>
  </si>
  <si>
    <t>'078735203</t>
  </si>
  <si>
    <t>Charter Operator</t>
  </si>
  <si>
    <t>'078736000</t>
  </si>
  <si>
    <t>BASIS Scottsdale</t>
  </si>
  <si>
    <t>'078736001</t>
  </si>
  <si>
    <t>McConaghy</t>
  </si>
  <si>
    <t>elizabeth.mcconaghy@basisscottsdale.org</t>
  </si>
  <si>
    <t>College Counselor</t>
  </si>
  <si>
    <t>Hadley</t>
  </si>
  <si>
    <t>Ruggles</t>
  </si>
  <si>
    <t>hadley.ruggles@basisscottsdale.org</t>
  </si>
  <si>
    <t xml:space="preserve">Head of School </t>
  </si>
  <si>
    <t>kristen.ramos@basiscottsdale.org</t>
  </si>
  <si>
    <t>Upper School Director</t>
  </si>
  <si>
    <t>Edkey, Inc. - Redwood Academy</t>
  </si>
  <si>
    <t>'078740000</t>
  </si>
  <si>
    <t>patricg@edkey.org</t>
  </si>
  <si>
    <t xml:space="preserve">Financial Officer  </t>
  </si>
  <si>
    <t>Arizona Conservatory for Arts and Academics Elementary School</t>
  </si>
  <si>
    <t>'078740101</t>
  </si>
  <si>
    <t>Intelli-School, Inc.</t>
  </si>
  <si>
    <t>'078741000</t>
  </si>
  <si>
    <t>pshaw@resolutions-esp.com</t>
  </si>
  <si>
    <t>Pollard</t>
  </si>
  <si>
    <t>dpollard@resolutions-esp.com</t>
  </si>
  <si>
    <t>Intelli-School - Paradise Valley</t>
  </si>
  <si>
    <t>'078741205</t>
  </si>
  <si>
    <t>Nely</t>
  </si>
  <si>
    <t>Reyes</t>
  </si>
  <si>
    <t>nreyes@resolutions-esp.com</t>
  </si>
  <si>
    <t>Edkey, Inc. - Pathfinder Academy</t>
  </si>
  <si>
    <t>'078742000</t>
  </si>
  <si>
    <t>jwhite@edkey.org</t>
  </si>
  <si>
    <t>Pathfinder Academy</t>
  </si>
  <si>
    <t>'078742001</t>
  </si>
  <si>
    <t>Stradling</t>
  </si>
  <si>
    <t>susans@edkey.org</t>
  </si>
  <si>
    <t>Edkey, Inc. - Pathfinder Academy - Sequoia Lehi</t>
  </si>
  <si>
    <t>'078742003</t>
  </si>
  <si>
    <t>Edkey Inc. - Pathfinder Academy at Eastmark</t>
  </si>
  <si>
    <t>'078742004</t>
  </si>
  <si>
    <t>MCCCD on behalf of Phoenix College Preparatory Academy</t>
  </si>
  <si>
    <t>'078743000</t>
  </si>
  <si>
    <t>keith.brown@phoenixcollege.edu</t>
  </si>
  <si>
    <t>Terra</t>
  </si>
  <si>
    <t>McShane</t>
  </si>
  <si>
    <t>terra.mcshane@phoenixcollege.edu</t>
  </si>
  <si>
    <t>Grants Specialist</t>
  </si>
  <si>
    <t>Manager, Restricted Programs</t>
  </si>
  <si>
    <t>carolina</t>
  </si>
  <si>
    <t>martinez</t>
  </si>
  <si>
    <t>carolina.martinez@phoenixcollege.edu</t>
  </si>
  <si>
    <t>Administrative Assistant/Registrar/Lunch Program Coordinator</t>
  </si>
  <si>
    <t>District Office Grants Accounting Manager</t>
  </si>
  <si>
    <t>Barner</t>
  </si>
  <si>
    <t>tiffany.barner@pcmail.maricopa.edu</t>
  </si>
  <si>
    <t>Phoenix College Preparatory Academy</t>
  </si>
  <si>
    <t>'078743201</t>
  </si>
  <si>
    <t>Elias</t>
  </si>
  <si>
    <t>Diane.Elias@phoenixcollege.edu</t>
  </si>
  <si>
    <t>Edkey, Inc. - Sequoia School for the Deaf and Hard of Hearing</t>
  </si>
  <si>
    <t>'078744000</t>
  </si>
  <si>
    <t>Edkey, Inc. - Sequoia Deaf School</t>
  </si>
  <si>
    <t>'078744001</t>
  </si>
  <si>
    <t>jennifer.reid@edkey.org</t>
  </si>
  <si>
    <t>Laine</t>
  </si>
  <si>
    <t>heather.laine@edkey.org</t>
  </si>
  <si>
    <t>KELLY</t>
  </si>
  <si>
    <t>'078744003</t>
  </si>
  <si>
    <t>pgreer@edkey.org</t>
  </si>
  <si>
    <t>Blueprint Education</t>
  </si>
  <si>
    <t>'078745000</t>
  </si>
  <si>
    <t>Markf@blueprinteducation.org</t>
  </si>
  <si>
    <t>Superintendent/CEO</t>
  </si>
  <si>
    <t>Buehnerkemper</t>
  </si>
  <si>
    <t>chrisb@blueprinteducation.org</t>
  </si>
  <si>
    <t>Grants Coordinator</t>
  </si>
  <si>
    <t>ODonnell</t>
  </si>
  <si>
    <t>carolo@blueprinteducation.org</t>
  </si>
  <si>
    <t xml:space="preserve">Administrative Assistant   </t>
  </si>
  <si>
    <t>Hope High School</t>
  </si>
  <si>
    <t>'078745201</t>
  </si>
  <si>
    <t>Krissyn</t>
  </si>
  <si>
    <t>Sumare</t>
  </si>
  <si>
    <t>Hope High School Online</t>
  </si>
  <si>
    <t>'078745202</t>
  </si>
  <si>
    <t>Horn</t>
  </si>
  <si>
    <t>morganb@blueprinteducation.org</t>
  </si>
  <si>
    <t>Reid Traditional Schools' Valley Academy, Inc.</t>
  </si>
  <si>
    <t>'078749000</t>
  </si>
  <si>
    <t>vwilber@valleyacademy.com</t>
  </si>
  <si>
    <t>Reid Traditional Schools' Valley Academy</t>
  </si>
  <si>
    <t>'078749001</t>
  </si>
  <si>
    <t>VWilber@valleyacademy.com</t>
  </si>
  <si>
    <t>Integrity Education Incorporated</t>
  </si>
  <si>
    <t>'078751000</t>
  </si>
  <si>
    <t>Mullan</t>
  </si>
  <si>
    <t>integed@gmail.com</t>
  </si>
  <si>
    <t>kenhmullan@hotmail.com</t>
  </si>
  <si>
    <t>integoffice@gmail.com</t>
  </si>
  <si>
    <t>Admin Assistant</t>
  </si>
  <si>
    <t>Integrity Education Centre</t>
  </si>
  <si>
    <t>'078751001</t>
  </si>
  <si>
    <t>'078752000</t>
  </si>
  <si>
    <t>Fera</t>
  </si>
  <si>
    <t>betsy.fera@horizonclc.org</t>
  </si>
  <si>
    <t>Rutherford</t>
  </si>
  <si>
    <t>beth.rutherford@horizonclc.org</t>
  </si>
  <si>
    <t>Allegra</t>
  </si>
  <si>
    <t>allegra.marshall@horizonclc.org</t>
  </si>
  <si>
    <t>Bev</t>
  </si>
  <si>
    <t>bev.carlson@horizonclc.org</t>
  </si>
  <si>
    <t>Horizon Honors Secondary School</t>
  </si>
  <si>
    <t>'078752003</t>
  </si>
  <si>
    <t>Wanstreet</t>
  </si>
  <si>
    <t>laura.wanstreet@horizonclc.org</t>
  </si>
  <si>
    <t>Shaheen</t>
  </si>
  <si>
    <t>cynthia.shaheen@horizonclc.org</t>
  </si>
  <si>
    <t>Benjamin Franklin Charter School - Queen Creek</t>
  </si>
  <si>
    <t>'078754000</t>
  </si>
  <si>
    <t>dfarnsworth@bfcsaz.com</t>
  </si>
  <si>
    <t>Bressler</t>
  </si>
  <si>
    <t>bbressler@bfcsaz.com</t>
  </si>
  <si>
    <t>Keeney</t>
  </si>
  <si>
    <t>lkeeney@bfcsaz.com</t>
  </si>
  <si>
    <t>Student Information Systems Administrator</t>
  </si>
  <si>
    <t>ksmith@bfcsaz.com</t>
  </si>
  <si>
    <t>cbrooks@bfcsaz.com</t>
  </si>
  <si>
    <t>Benjamin Franklin Charter School - Crismon</t>
  </si>
  <si>
    <t>'078754102</t>
  </si>
  <si>
    <t>Ball</t>
  </si>
  <si>
    <t>kball@bfcsaz.com</t>
  </si>
  <si>
    <t>Benjamin Franklin Charter School - Gilbert</t>
  </si>
  <si>
    <t>'078754103</t>
  </si>
  <si>
    <t>ddana@bfcsaz.com</t>
  </si>
  <si>
    <t>Benjamin Franklin Charter School - Power</t>
  </si>
  <si>
    <t>'078754104</t>
  </si>
  <si>
    <t>pjensen@bfscaz.com</t>
  </si>
  <si>
    <t>Benjamin Franklin High School</t>
  </si>
  <si>
    <t>'078754201</t>
  </si>
  <si>
    <t>Hutman</t>
  </si>
  <si>
    <t>jhutman@bfcsaz.com</t>
  </si>
  <si>
    <t>Fountain Hills Charter School</t>
  </si>
  <si>
    <t>'078755000</t>
  </si>
  <si>
    <t>Craig</t>
  </si>
  <si>
    <t>becca@fhcspto.org</t>
  </si>
  <si>
    <t>Bil</t>
  </si>
  <si>
    <t>Zeleny</t>
  </si>
  <si>
    <t>bil@chartermngmt.com</t>
  </si>
  <si>
    <t>'078755101</t>
  </si>
  <si>
    <t>Victory High School, Inc.</t>
  </si>
  <si>
    <t>'078757000</t>
  </si>
  <si>
    <t>Victory High School - West Campus</t>
  </si>
  <si>
    <t>'078757202</t>
  </si>
  <si>
    <t>Branham</t>
  </si>
  <si>
    <t>victoryhighschoo@qwest.net</t>
  </si>
  <si>
    <t>Montessori Day Public Schools Chartered, Inc.</t>
  </si>
  <si>
    <t>'078758000</t>
  </si>
  <si>
    <t>Huffman</t>
  </si>
  <si>
    <t>phuffman@mdpsc.org</t>
  </si>
  <si>
    <t xml:space="preserve">Superintendent   </t>
  </si>
  <si>
    <t>ehuffman@mdpsc.org</t>
  </si>
  <si>
    <t>rcmayo@yahoo.com</t>
  </si>
  <si>
    <t>Hollinger</t>
  </si>
  <si>
    <t>cmhollinger@mdpsc.org</t>
  </si>
  <si>
    <t>Montessori Day Public Schools Chartered - Tempe</t>
  </si>
  <si>
    <t>'078758001</t>
  </si>
  <si>
    <t>Montessori Day Public Schools Chartered - Mountainside</t>
  </si>
  <si>
    <t>'078758003</t>
  </si>
  <si>
    <t>pfreeman@mdpsc.org</t>
  </si>
  <si>
    <t>Khalsa Montessori Elementary Schools</t>
  </si>
  <si>
    <t>'078759000</t>
  </si>
  <si>
    <t>Satwant</t>
  </si>
  <si>
    <t>Khalsa</t>
  </si>
  <si>
    <t>satwant@khalsamontessori.org</t>
  </si>
  <si>
    <t>Keerat</t>
  </si>
  <si>
    <t>Giordano</t>
  </si>
  <si>
    <t>Khalsa Montessori Elementary School - Phoenix</t>
  </si>
  <si>
    <t>'078759101</t>
  </si>
  <si>
    <t>Dick</t>
  </si>
  <si>
    <t>kms@khalsamontessori.org</t>
  </si>
  <si>
    <t>keerat@khalsamontessori.org</t>
  </si>
  <si>
    <t>New World Educational Center</t>
  </si>
  <si>
    <t>'078760000</t>
  </si>
  <si>
    <t>Jesus</t>
  </si>
  <si>
    <t>jarmenta@nweccharter.com</t>
  </si>
  <si>
    <t>Yvonne</t>
  </si>
  <si>
    <t>Sandidge</t>
  </si>
  <si>
    <t>yvonnesandidge@nweccharter.com</t>
  </si>
  <si>
    <t>Admin Assist</t>
  </si>
  <si>
    <t>'078760001</t>
  </si>
  <si>
    <t>Ilstrup</t>
  </si>
  <si>
    <t>gfilstrup@nweccharter.com</t>
  </si>
  <si>
    <t>Tempe Preparatory Academy</t>
  </si>
  <si>
    <t>'078761000</t>
  </si>
  <si>
    <t>Veenstra</t>
  </si>
  <si>
    <t>dbaum@tempeprep.org</t>
  </si>
  <si>
    <t>Rink</t>
  </si>
  <si>
    <t>trink@tempeprep.org</t>
  </si>
  <si>
    <t>wporter@tempprep.org</t>
  </si>
  <si>
    <t>Drake</t>
  </si>
  <si>
    <t>cdrake@tempeprep.org</t>
  </si>
  <si>
    <t>Dannette</t>
  </si>
  <si>
    <t>Gastelo</t>
  </si>
  <si>
    <t>dgastelo@tempeprep.org</t>
  </si>
  <si>
    <t>Registrar consultant</t>
  </si>
  <si>
    <t>'078761001</t>
  </si>
  <si>
    <t>wporter@tempeprep.org</t>
  </si>
  <si>
    <t>Headmaster/principal</t>
  </si>
  <si>
    <t>Bright Beginnings School, Inc.</t>
  </si>
  <si>
    <t>'078762000</t>
  </si>
  <si>
    <t>PFrench@bbschl.com</t>
  </si>
  <si>
    <t>Bright Beginnings School #1</t>
  </si>
  <si>
    <t>'078762101</t>
  </si>
  <si>
    <t>pfrench@bbschl.com</t>
  </si>
  <si>
    <t>Cho</t>
  </si>
  <si>
    <t>scho@bbschl.com</t>
  </si>
  <si>
    <t>Montessori Education Centre Charter School</t>
  </si>
  <si>
    <t>'078763000</t>
  </si>
  <si>
    <t>Whiting</t>
  </si>
  <si>
    <t>twhiting@montessorictr.org</t>
  </si>
  <si>
    <t>Trey</t>
  </si>
  <si>
    <t>Whitting</t>
  </si>
  <si>
    <t>twhiting@montessori.org</t>
  </si>
  <si>
    <t>Sinnott</t>
  </si>
  <si>
    <t>dsinnott@montessorictr.org</t>
  </si>
  <si>
    <t>Montessori Education Centre Charter School - Mesa</t>
  </si>
  <si>
    <t>'078763001</t>
  </si>
  <si>
    <t>tammywhiting@montessorictr.org</t>
  </si>
  <si>
    <t>Sheen</t>
  </si>
  <si>
    <t>msheen@montessorictr.org</t>
  </si>
  <si>
    <t>Montessori Education Centre Charter School - North Campus</t>
  </si>
  <si>
    <t>'078763002</t>
  </si>
  <si>
    <t>'078765000</t>
  </si>
  <si>
    <t>'078765103</t>
  </si>
  <si>
    <t>Gayle.Taylor@leonagroup.com</t>
  </si>
  <si>
    <t>Benchmark School, Inc.</t>
  </si>
  <si>
    <t>'078766000</t>
  </si>
  <si>
    <t>wbrady@benchmarkschool.net</t>
  </si>
  <si>
    <t>Etchebarren</t>
  </si>
  <si>
    <t>Metchebarren@benchmarkschool.net</t>
  </si>
  <si>
    <t>Benchmark School</t>
  </si>
  <si>
    <t>'078766101</t>
  </si>
  <si>
    <t>Darroch</t>
  </si>
  <si>
    <t>bobbie@benchmarkschool.net</t>
  </si>
  <si>
    <t>Ombudsman Educational Services, Ltd.,a subsidiary of Educational Services of Ame</t>
  </si>
  <si>
    <t>'078767000</t>
  </si>
  <si>
    <t>aoneillcharter@esa-education.com</t>
  </si>
  <si>
    <t>Damask</t>
  </si>
  <si>
    <t>cdamask@ombudsman.com</t>
  </si>
  <si>
    <t>Downs</t>
  </si>
  <si>
    <t>adowns@esa-education.com</t>
  </si>
  <si>
    <t>Ombudsman - Charter West</t>
  </si>
  <si>
    <t>'078767002</t>
  </si>
  <si>
    <t>Langfeldt</t>
  </si>
  <si>
    <t>VP of Program Operations</t>
  </si>
  <si>
    <t>Ombudsman - Charter Metro</t>
  </si>
  <si>
    <t>'078767003</t>
  </si>
  <si>
    <t xml:space="preserve">VP President of Operations </t>
  </si>
  <si>
    <t>Ombudsman - Charter Northeast</t>
  </si>
  <si>
    <t>'078767004</t>
  </si>
  <si>
    <t>Ombudsman - Charter Northwest</t>
  </si>
  <si>
    <t>'078767006</t>
  </si>
  <si>
    <t>Ombudsman - Charter East</t>
  </si>
  <si>
    <t>'078767009</t>
  </si>
  <si>
    <t>adowns@ombudsman.com</t>
  </si>
  <si>
    <t>Ombudsman - Charter East II</t>
  </si>
  <si>
    <t>'078767010</t>
  </si>
  <si>
    <t>Ombudsman - Charter Valencia</t>
  </si>
  <si>
    <t>'078767011</t>
  </si>
  <si>
    <t>Cambridge Academy  East,  Inc</t>
  </si>
  <si>
    <t>'078768000</t>
  </si>
  <si>
    <t>Julio</t>
  </si>
  <si>
    <t>juliolinda@yahoo.com</t>
  </si>
  <si>
    <t>mramirez@cambridgeacademyaz.com</t>
  </si>
  <si>
    <t>Principal/CFO</t>
  </si>
  <si>
    <t>diamondfinancialsolutions@msn.com</t>
  </si>
  <si>
    <t>Cambridge Academy East</t>
  </si>
  <si>
    <t>'078768101</t>
  </si>
  <si>
    <t>'078768102</t>
  </si>
  <si>
    <t>'078771000</t>
  </si>
  <si>
    <t>Wyler</t>
  </si>
  <si>
    <t>jwyler@nhorizon.net</t>
  </si>
  <si>
    <t>Director/Co-Principal</t>
  </si>
  <si>
    <t>Jann</t>
  </si>
  <si>
    <t>jann@nhorizon.net</t>
  </si>
  <si>
    <t>'078771001</t>
  </si>
  <si>
    <t>Challenge School, Inc.</t>
  </si>
  <si>
    <t>'078772000</t>
  </si>
  <si>
    <t>pmiller@challengecharterschool.net</t>
  </si>
  <si>
    <t>Ex. Director</t>
  </si>
  <si>
    <t>wmiller@challengecharterschool.net</t>
  </si>
  <si>
    <t>CEO &amp; Principal</t>
  </si>
  <si>
    <t>MacNamara</t>
  </si>
  <si>
    <t>602.938.54</t>
  </si>
  <si>
    <t>JMacNamara@ChallengeCharterSchool.net</t>
  </si>
  <si>
    <t>Compliance Officer &amp; Registrar</t>
  </si>
  <si>
    <t>Challenge Charter School</t>
  </si>
  <si>
    <t>'078772001</t>
  </si>
  <si>
    <t>gmiller@challengecharterschool.net</t>
  </si>
  <si>
    <t>jmacnamara@challengecharterschool.net</t>
  </si>
  <si>
    <t xml:space="preserve">Compliance Officer </t>
  </si>
  <si>
    <t>Neitch</t>
  </si>
  <si>
    <t>tneitch@challengecharterschool.net</t>
  </si>
  <si>
    <t>Gem Charter School, Inc.</t>
  </si>
  <si>
    <t>'078774000</t>
  </si>
  <si>
    <t>Nelleke</t>
  </si>
  <si>
    <t>Van Savooyen</t>
  </si>
  <si>
    <t>Nellekegem@yahoo.com</t>
  </si>
  <si>
    <t>sherri@heartwoodaz.org</t>
  </si>
  <si>
    <t>Rima</t>
  </si>
  <si>
    <t>Abdouni</t>
  </si>
  <si>
    <t>rimabdouni@yahoo.com</t>
  </si>
  <si>
    <t>Gem Charter School</t>
  </si>
  <si>
    <t>'078774001</t>
  </si>
  <si>
    <t>Holzer</t>
  </si>
  <si>
    <t>holzergem@gmail.com</t>
  </si>
  <si>
    <t>Phoenix School of Academic Excellence The</t>
  </si>
  <si>
    <t>'078776000</t>
  </si>
  <si>
    <t>Palma</t>
  </si>
  <si>
    <t>mrnpalma@psae-edu.org</t>
  </si>
  <si>
    <t>Learning Institute, The</t>
  </si>
  <si>
    <t>'078776002</t>
  </si>
  <si>
    <t>mrspalma@psae-edu.org</t>
  </si>
  <si>
    <t xml:space="preserve">President of PSAE Governing Board </t>
  </si>
  <si>
    <t>natepalma@aol.com</t>
  </si>
  <si>
    <t>Keystone Montessori Charter School, Inc.</t>
  </si>
  <si>
    <t>'078779000</t>
  </si>
  <si>
    <t>Maschoff</t>
  </si>
  <si>
    <t>cindy@keystonemontessori.com</t>
  </si>
  <si>
    <t>Hertzler</t>
  </si>
  <si>
    <t>Laura@keystonemontessori.com</t>
  </si>
  <si>
    <t>Keystone Montessori Charter School</t>
  </si>
  <si>
    <t>'078779001</t>
  </si>
  <si>
    <t>sherri@keystonemontessori.com</t>
  </si>
  <si>
    <t>Stepping Stones Academy</t>
  </si>
  <si>
    <t>'078781000</t>
  </si>
  <si>
    <t>Dedre</t>
  </si>
  <si>
    <t>Alliger</t>
  </si>
  <si>
    <t>alliger@steppingstonesacademy.org</t>
  </si>
  <si>
    <t>'078781101</t>
  </si>
  <si>
    <t>'078784000</t>
  </si>
  <si>
    <t>jparker@ltsphoenix.org</t>
  </si>
  <si>
    <t>Oscar</t>
  </si>
  <si>
    <t>oromero@ltsdouglas.org</t>
  </si>
  <si>
    <t>jtprincipal@hotmail.com</t>
  </si>
  <si>
    <t>Vera</t>
  </si>
  <si>
    <t>mvera@ltsphoenix.org</t>
  </si>
  <si>
    <t>Sais Uploader</t>
  </si>
  <si>
    <t>Montserrat</t>
  </si>
  <si>
    <t>Saldana</t>
  </si>
  <si>
    <t>msaldana@ltsphoenix.org</t>
  </si>
  <si>
    <t>'078784101</t>
  </si>
  <si>
    <t>Raena</t>
  </si>
  <si>
    <t>Janes</t>
  </si>
  <si>
    <t>rj@arizonacharterschools.org</t>
  </si>
  <si>
    <t>Liberty Traditional Charter School - Saddleback</t>
  </si>
  <si>
    <t>'078784104</t>
  </si>
  <si>
    <t>'078785000</t>
  </si>
  <si>
    <t>Sawyer</t>
  </si>
  <si>
    <t>msawyer@championschools.org</t>
  </si>
  <si>
    <t>'078785101</t>
  </si>
  <si>
    <t>Kenny</t>
  </si>
  <si>
    <t>kdub46@earthlink.net</t>
  </si>
  <si>
    <t>Champion Chandler</t>
  </si>
  <si>
    <t>'078785103</t>
  </si>
  <si>
    <t>Carolyne</t>
  </si>
  <si>
    <t>csawyer@championschools.org</t>
  </si>
  <si>
    <t>Champion San Tan</t>
  </si>
  <si>
    <t>'078785104</t>
  </si>
  <si>
    <t>Milestones Charter School</t>
  </si>
  <si>
    <t>'078791000</t>
  </si>
  <si>
    <t>Cabardo</t>
  </si>
  <si>
    <t>taracab@yahoo.com</t>
  </si>
  <si>
    <t>Steadman</t>
  </si>
  <si>
    <t>steadyd1@yahoo.com</t>
  </si>
  <si>
    <t>Board Member - Principal</t>
  </si>
  <si>
    <t>Mishelof</t>
  </si>
  <si>
    <t>lmishelof@cox.net</t>
  </si>
  <si>
    <t>'078791101</t>
  </si>
  <si>
    <t>Pathfinder Charter School Foundation</t>
  </si>
  <si>
    <t>'078792000</t>
  </si>
  <si>
    <t>Whitaker</t>
  </si>
  <si>
    <t>jason.whitaker@imagineschools.com</t>
  </si>
  <si>
    <t>Blitch</t>
  </si>
  <si>
    <t>thomas.blitch@imagineschools.org</t>
  </si>
  <si>
    <t>Murray</t>
  </si>
  <si>
    <t>Laurie.Murray@imagineschools.org</t>
  </si>
  <si>
    <t>Karon</t>
  </si>
  <si>
    <t>Boor</t>
  </si>
  <si>
    <t>Karon.Boor@imagineschools.org</t>
  </si>
  <si>
    <t>Chris.Polk@imagineschools.org</t>
  </si>
  <si>
    <t>Imagine Cortez Park Elementary</t>
  </si>
  <si>
    <t>'078792101</t>
  </si>
  <si>
    <t>Archuleta</t>
  </si>
  <si>
    <t>jason.archuleta@imagineschools.com</t>
  </si>
  <si>
    <t>AIBT Non-Profit Charter High School - Phoenix</t>
  </si>
  <si>
    <t>'078793000</t>
  </si>
  <si>
    <t>Marge</t>
  </si>
  <si>
    <t>Salow</t>
  </si>
  <si>
    <t>masalow1@aol.com</t>
  </si>
  <si>
    <t>Career and College Prep</t>
  </si>
  <si>
    <t>'078793201</t>
  </si>
  <si>
    <t>MASalow1@aol.com</t>
  </si>
  <si>
    <t>Diana Sotomayor</t>
  </si>
  <si>
    <t>dsrodriguez@rcbhighschool.com</t>
  </si>
  <si>
    <t>Academy with Community Partners  Inc</t>
  </si>
  <si>
    <t>'078794000</t>
  </si>
  <si>
    <t>Williamson</t>
  </si>
  <si>
    <t>mtwilliamson@acpathope.org</t>
  </si>
  <si>
    <t>Superintendent / President</t>
  </si>
  <si>
    <t>Aston</t>
  </si>
  <si>
    <t>928.821.12</t>
  </si>
  <si>
    <t>kristy@bssarizona.com</t>
  </si>
  <si>
    <t>Beris</t>
  </si>
  <si>
    <t>Godinez</t>
  </si>
  <si>
    <t>blgodinez@acpathope.org</t>
  </si>
  <si>
    <t>Admin. Executive</t>
  </si>
  <si>
    <t>dustin@reddesksolutions.com</t>
  </si>
  <si>
    <t>Academy with Community Partners</t>
  </si>
  <si>
    <t>'078794201</t>
  </si>
  <si>
    <t>mtwilliamson@acpathope.com</t>
  </si>
  <si>
    <t>James Madison Preparatory School</t>
  </si>
  <si>
    <t>'078795000</t>
  </si>
  <si>
    <t>Batchelder</t>
  </si>
  <si>
    <t>dbatchelder@madisonprep.org</t>
  </si>
  <si>
    <t>Grant</t>
  </si>
  <si>
    <t>pgrant@madisonprep.org</t>
  </si>
  <si>
    <t>'078795201</t>
  </si>
  <si>
    <t>madisonprep@aol.com</t>
  </si>
  <si>
    <t>Self Development Charter School</t>
  </si>
  <si>
    <t>'078796000</t>
  </si>
  <si>
    <t>rah85219@hotmail.com</t>
  </si>
  <si>
    <t xml:space="preserve">Jo Ann </t>
  </si>
  <si>
    <t>jramirezsdcs@yahoo.com</t>
  </si>
  <si>
    <t>'078796101</t>
  </si>
  <si>
    <t>Excalibur Charter Schools, Inc.</t>
  </si>
  <si>
    <t>'078901000</t>
  </si>
  <si>
    <t>mmccord@excaliburschools.org</t>
  </si>
  <si>
    <t>Grant Contact</t>
  </si>
  <si>
    <t>Janette</t>
  </si>
  <si>
    <t>Benziger</t>
  </si>
  <si>
    <t>jbenziger@excaliburschools.org</t>
  </si>
  <si>
    <t>Avalon Elementary</t>
  </si>
  <si>
    <t>'078901003</t>
  </si>
  <si>
    <t>janette_benziger@yahoo.com</t>
  </si>
  <si>
    <t>msheen@excaliburschools.org</t>
  </si>
  <si>
    <t>New School For The Arts</t>
  </si>
  <si>
    <t>'078903000</t>
  </si>
  <si>
    <t>Cardenas</t>
  </si>
  <si>
    <t>kcardenas@aznsa.com</t>
  </si>
  <si>
    <t>Executive Dean</t>
  </si>
  <si>
    <t>DeGruccio</t>
  </si>
  <si>
    <t>barbara@aznsa.com</t>
  </si>
  <si>
    <t>New School for the Arts</t>
  </si>
  <si>
    <t>'078903201</t>
  </si>
  <si>
    <t>kfcardenas@msn.com</t>
  </si>
  <si>
    <t>Paramount Education Studies Inc</t>
  </si>
  <si>
    <t>'078905000</t>
  </si>
  <si>
    <t>Cline</t>
  </si>
  <si>
    <t>dcline@paramountacademy.com</t>
  </si>
  <si>
    <t>paramountaccounting@gmail.com</t>
  </si>
  <si>
    <t>lunch@paramountacademy.com</t>
  </si>
  <si>
    <t>Paramount Academy</t>
  </si>
  <si>
    <t>'078905102</t>
  </si>
  <si>
    <t>Metropolitan Arts Institute, Inc.</t>
  </si>
  <si>
    <t>'078906000</t>
  </si>
  <si>
    <t>Baker</t>
  </si>
  <si>
    <t>Matt@metro-arts.org</t>
  </si>
  <si>
    <t>Rosenmiller</t>
  </si>
  <si>
    <t>betsymetro@gmail.com</t>
  </si>
  <si>
    <t>Metropolitan Arts Institute</t>
  </si>
  <si>
    <t>'078906201</t>
  </si>
  <si>
    <t>matt@metro-arts.org</t>
  </si>
  <si>
    <t>P.L.C. Charter Schools</t>
  </si>
  <si>
    <t>'078907000</t>
  </si>
  <si>
    <t>Gasperone</t>
  </si>
  <si>
    <t>egasperone@plccharterschools.org</t>
  </si>
  <si>
    <t>Steele-Haynes</t>
  </si>
  <si>
    <t>ksteele@plccharterschools.org</t>
  </si>
  <si>
    <t>Charter Contract Singer</t>
  </si>
  <si>
    <t>Claire.Nyce@nau.edu</t>
  </si>
  <si>
    <t>Arts Academy at Estrella Mountain</t>
  </si>
  <si>
    <t>'078907103</t>
  </si>
  <si>
    <t>Calibre Academy</t>
  </si>
  <si>
    <t>'078909000</t>
  </si>
  <si>
    <t>Timothy</t>
  </si>
  <si>
    <t>timothy.smith@learningmatters.org</t>
  </si>
  <si>
    <t>Rebeca</t>
  </si>
  <si>
    <t>Venegas</t>
  </si>
  <si>
    <t>rebeca.venegas@learningmatters.org</t>
  </si>
  <si>
    <t>Rubea</t>
  </si>
  <si>
    <t>Esparza</t>
  </si>
  <si>
    <t>rubea.esparza@learningmatters.org</t>
  </si>
  <si>
    <t>Calibre Academy Surprise</t>
  </si>
  <si>
    <t>'078909102</t>
  </si>
  <si>
    <t>Hounsell</t>
  </si>
  <si>
    <t>Sharon.kaplan@learningmatters.org</t>
  </si>
  <si>
    <t>E-Institute Charter Schools, Inc.</t>
  </si>
  <si>
    <t>'078911000</t>
  </si>
  <si>
    <t>Monique</t>
  </si>
  <si>
    <t>Terrazas</t>
  </si>
  <si>
    <t>E-Institute at Union Hills</t>
  </si>
  <si>
    <t>'078911201</t>
  </si>
  <si>
    <t>Zennis</t>
  </si>
  <si>
    <t>zennis.lee@learningmatters.org</t>
  </si>
  <si>
    <t>E-Institute at Surprise</t>
  </si>
  <si>
    <t>'078911202</t>
  </si>
  <si>
    <t>Burke</t>
  </si>
  <si>
    <t>william.burke@learningmatters.org</t>
  </si>
  <si>
    <t>E-Institute at Metro</t>
  </si>
  <si>
    <t>'078911203</t>
  </si>
  <si>
    <t>Luthi</t>
  </si>
  <si>
    <t>eric.luthi@learningmatters.org</t>
  </si>
  <si>
    <t>E-Institute at Grovers</t>
  </si>
  <si>
    <t>'078911204</t>
  </si>
  <si>
    <t>E-Institute at Buckeye</t>
  </si>
  <si>
    <t>'078911205</t>
  </si>
  <si>
    <t>E-Institute at Taylion</t>
  </si>
  <si>
    <t>'078911206</t>
  </si>
  <si>
    <t>Blake</t>
  </si>
  <si>
    <t>Creamer</t>
  </si>
  <si>
    <t>bcreamer@taylion.com</t>
  </si>
  <si>
    <t>E-Institute at Avondale</t>
  </si>
  <si>
    <t>'078911207</t>
  </si>
  <si>
    <t>Paragon Management, Inc.</t>
  </si>
  <si>
    <t>'078912000</t>
  </si>
  <si>
    <t>tgonzales@paradiseschools.org</t>
  </si>
  <si>
    <t>Bigler</t>
  </si>
  <si>
    <t>dbigler@paradiseschools.org</t>
  </si>
  <si>
    <t>Merritt</t>
  </si>
  <si>
    <t>dmerritt@paradiseschools.org</t>
  </si>
  <si>
    <t>jinfantolino@paradiseschools.org</t>
  </si>
  <si>
    <t>Paradise Honors Elementary School</t>
  </si>
  <si>
    <t>'078912101</t>
  </si>
  <si>
    <t>tobrien@pecschools.org</t>
  </si>
  <si>
    <t>Paradise Honors High School</t>
  </si>
  <si>
    <t>'078912103</t>
  </si>
  <si>
    <t>Sears</t>
  </si>
  <si>
    <t>msears@paradiseschools.org</t>
  </si>
  <si>
    <t>dmerritt@pecschools.org</t>
  </si>
  <si>
    <t>Admin Asst.</t>
  </si>
  <si>
    <t>Skyline Schools, Inc.</t>
  </si>
  <si>
    <t>'078914000</t>
  </si>
  <si>
    <t>Skyline Prep High School</t>
  </si>
  <si>
    <t>'078914201</t>
  </si>
  <si>
    <t>MOLLY</t>
  </si>
  <si>
    <t>RYAN</t>
  </si>
  <si>
    <t>mryan@skylineths.com</t>
  </si>
  <si>
    <t>Carl</t>
  </si>
  <si>
    <t>chill@skylineschools.com</t>
  </si>
  <si>
    <t>Kelsey</t>
  </si>
  <si>
    <t>Saint</t>
  </si>
  <si>
    <t>Khardt@skylineschools.com</t>
  </si>
  <si>
    <t>'078915000</t>
  </si>
  <si>
    <t xml:space="preserve">CEO, Charter Representative, and Contract Signer </t>
  </si>
  <si>
    <t>Sequoia Secondary School</t>
  </si>
  <si>
    <t>'078915001</t>
  </si>
  <si>
    <t>marla.ramos@edkey.org</t>
  </si>
  <si>
    <t>Sequoia Elementary School</t>
  </si>
  <si>
    <t>'078915005</t>
  </si>
  <si>
    <t>Stranton</t>
  </si>
  <si>
    <t>Edkey, Inc. - Sequoia Village School</t>
  </si>
  <si>
    <t>'078917000</t>
  </si>
  <si>
    <t>Sequoia Village School</t>
  </si>
  <si>
    <t>'078917001</t>
  </si>
  <si>
    <t>George Washington Academy</t>
  </si>
  <si>
    <t>'078917004</t>
  </si>
  <si>
    <t>Sequoia Village High School</t>
  </si>
  <si>
    <t>'078917005</t>
  </si>
  <si>
    <t>Pinnacle Education-WMCB, Inc.</t>
  </si>
  <si>
    <t>'078920000</t>
  </si>
  <si>
    <t>Naresh.dhiman@mgrm.com</t>
  </si>
  <si>
    <t>muhammd.padela@mgrm.com</t>
  </si>
  <si>
    <t>Pinnacle Online - WMCB</t>
  </si>
  <si>
    <t>'078920007</t>
  </si>
  <si>
    <t>Pinnacle Charter High School</t>
  </si>
  <si>
    <t>'078920008</t>
  </si>
  <si>
    <t>Crown Charter School, Inc</t>
  </si>
  <si>
    <t>'078921000</t>
  </si>
  <si>
    <t>Shade</t>
  </si>
  <si>
    <t>crownschoolaz@gmail.com</t>
  </si>
  <si>
    <t>Crown Charter School</t>
  </si>
  <si>
    <t>'078921101</t>
  </si>
  <si>
    <t>crowncharter4u@aol.com</t>
  </si>
  <si>
    <t>Success School</t>
  </si>
  <si>
    <t>'078924000</t>
  </si>
  <si>
    <t>atigroup@cox.net</t>
  </si>
  <si>
    <t>Buenrrostro</t>
  </si>
  <si>
    <t>ebuenrrostro@azcharter.com</t>
  </si>
  <si>
    <t>Arizona Charter Academy</t>
  </si>
  <si>
    <t>'078924001</t>
  </si>
  <si>
    <t>hhenderson@azcharteracademy.com</t>
  </si>
  <si>
    <t>Holdaway</t>
  </si>
  <si>
    <t>mholdaway@azcharteracademy.com</t>
  </si>
  <si>
    <t>jwatson@azcharter.com</t>
  </si>
  <si>
    <t>Pointe Schools</t>
  </si>
  <si>
    <t>'078925000</t>
  </si>
  <si>
    <t>jwilliamson@pointeschools.org</t>
  </si>
  <si>
    <t>Debi</t>
  </si>
  <si>
    <t>Richardson</t>
  </si>
  <si>
    <t>drichardson@diamondfinancialsolutions.org</t>
  </si>
  <si>
    <t>North Pointe Preparatory</t>
  </si>
  <si>
    <t>'078925001</t>
  </si>
  <si>
    <t>jjohnson@pointeschools.org</t>
  </si>
  <si>
    <t>Canyon Pointe Academy</t>
  </si>
  <si>
    <t>'078925002</t>
  </si>
  <si>
    <t>jjohnson@pesaz.org</t>
  </si>
  <si>
    <t>Pinnacle Pointe Academy</t>
  </si>
  <si>
    <t>'078925003</t>
  </si>
  <si>
    <t>American Virtual Academy</t>
  </si>
  <si>
    <t>'078926000</t>
  </si>
  <si>
    <t>john.may@primaveratech.org</t>
  </si>
  <si>
    <t>tamara.becker@primaveratech.org</t>
  </si>
  <si>
    <t>Charlotte</t>
  </si>
  <si>
    <t>charlotte.mcfarland@strongmind.com</t>
  </si>
  <si>
    <t>Compliance Coordinator</t>
  </si>
  <si>
    <t>Tourville</t>
  </si>
  <si>
    <t>jason.tourville@primaveratech.org</t>
  </si>
  <si>
    <t>Executive Director of Academics</t>
  </si>
  <si>
    <t>Primavera - Online</t>
  </si>
  <si>
    <t>'078926202</t>
  </si>
  <si>
    <t>Allan.Alvarado@strongmind.com</t>
  </si>
  <si>
    <t>James Sandoval Preparatory High School</t>
  </si>
  <si>
    <t>'078928000</t>
  </si>
  <si>
    <t>Crown Point High School</t>
  </si>
  <si>
    <t>'078928201</t>
  </si>
  <si>
    <t xml:space="preserve">Entity Administrator </t>
  </si>
  <si>
    <t>claudia.ramirez@crownpoinths.net</t>
  </si>
  <si>
    <t>Noah Webster Schools - Mesa</t>
  </si>
  <si>
    <t>'078930000</t>
  </si>
  <si>
    <t>Eason</t>
  </si>
  <si>
    <t>480-986-23</t>
  </si>
  <si>
    <t>eeason@noahwebster.org</t>
  </si>
  <si>
    <t>Noah Webster Schools- Mesa</t>
  </si>
  <si>
    <t>'078930101</t>
  </si>
  <si>
    <t>vicki@noahwebster.org</t>
  </si>
  <si>
    <t>Deer Valley Charter Schools, Inc.</t>
  </si>
  <si>
    <t>'078934000</t>
  </si>
  <si>
    <t>Seekins</t>
  </si>
  <si>
    <t>kseekins4@q.com</t>
  </si>
  <si>
    <t>Hoyer</t>
  </si>
  <si>
    <t>lindahoyer26@AOL.com</t>
  </si>
  <si>
    <t xml:space="preserve">Director of Curriculum </t>
  </si>
  <si>
    <t>Willette</t>
  </si>
  <si>
    <t>NULL</t>
  </si>
  <si>
    <t>cwillette@deervalleyacademy.org</t>
  </si>
  <si>
    <t xml:space="preserve">Counselor/ Asst Principal </t>
  </si>
  <si>
    <t>Dalicandro</t>
  </si>
  <si>
    <t>bdalicandro@deervalleyacademy.org</t>
  </si>
  <si>
    <t xml:space="preserve">Executive Director  </t>
  </si>
  <si>
    <t>Ilianna</t>
  </si>
  <si>
    <t>Vilaire</t>
  </si>
  <si>
    <t>ivilaire@deervalleyacademy.org</t>
  </si>
  <si>
    <t>Administrative Asst</t>
  </si>
  <si>
    <t>kristin@aspirebc.co</t>
  </si>
  <si>
    <t>Payroll Contact</t>
  </si>
  <si>
    <t xml:space="preserve">CW </t>
  </si>
  <si>
    <t>cwp@heinfeldmeech.com</t>
  </si>
  <si>
    <t>Deer Valley Academy</t>
  </si>
  <si>
    <t>'078934201</t>
  </si>
  <si>
    <t>West Gilbert Charter Elementary School, Inc.</t>
  </si>
  <si>
    <t>'078935000</t>
  </si>
  <si>
    <t>michael.halpert@imagineschools.org</t>
  </si>
  <si>
    <t>laurie.murray@imagineschools.com</t>
  </si>
  <si>
    <t>DeCasas</t>
  </si>
  <si>
    <t>Cecilia.decasas@imagineschools.com</t>
  </si>
  <si>
    <t>Registration &amp; Compliance Associate</t>
  </si>
  <si>
    <t>Imagine Academy of Phoenix</t>
  </si>
  <si>
    <t>'078935102</t>
  </si>
  <si>
    <t>Micheal</t>
  </si>
  <si>
    <t>'078939000</t>
  </si>
  <si>
    <t>cramos@premierhighschool.com</t>
  </si>
  <si>
    <t>dpetersen@premierhighschool.com</t>
  </si>
  <si>
    <t>vhernandez_75@yahoo.com</t>
  </si>
  <si>
    <t xml:space="preserve">Sais Coordinator </t>
  </si>
  <si>
    <t>'078939201</t>
  </si>
  <si>
    <t>Vhernandez_75@yahoo.com</t>
  </si>
  <si>
    <t>'078940000</t>
  </si>
  <si>
    <t>'078940101</t>
  </si>
  <si>
    <t>Pasos</t>
  </si>
  <si>
    <t>mpasos2@aol.com</t>
  </si>
  <si>
    <t>North Star Charter School, Inc.</t>
  </si>
  <si>
    <t>'078945000</t>
  </si>
  <si>
    <t>Arizona Preparatory Academy</t>
  </si>
  <si>
    <t>'078945201</t>
  </si>
  <si>
    <t>Kurt</t>
  </si>
  <si>
    <t>Huzar</t>
  </si>
  <si>
    <t>HuzarCPA@aol.com</t>
  </si>
  <si>
    <t>Birney</t>
  </si>
  <si>
    <t>birney28@yahoo.com</t>
  </si>
  <si>
    <t>edwinjdawson55@gmail.com</t>
  </si>
  <si>
    <t>Kaizen Education Foundation dba Vista Grove Preparatory Academy Middle School</t>
  </si>
  <si>
    <t>'078946000</t>
  </si>
  <si>
    <t>Abelardo</t>
  </si>
  <si>
    <t>Batista</t>
  </si>
  <si>
    <t>Abelardo.batista@leonagroup.com</t>
  </si>
  <si>
    <t>Vista Grove Preparatory Academy Middle School</t>
  </si>
  <si>
    <t>'078946001</t>
  </si>
  <si>
    <t xml:space="preserve">  VP--Academic Support Services</t>
  </si>
  <si>
    <t>'078947000</t>
  </si>
  <si>
    <t>School Leader</t>
  </si>
  <si>
    <t xml:space="preserve">Executive Vice President of AZ Operations </t>
  </si>
  <si>
    <t>'078947001</t>
  </si>
  <si>
    <t>'078948000</t>
  </si>
  <si>
    <t>'078948001</t>
  </si>
  <si>
    <t>'078949000</t>
  </si>
  <si>
    <t>'078949001</t>
  </si>
  <si>
    <t>'078950000</t>
  </si>
  <si>
    <t>'078950001</t>
  </si>
  <si>
    <t>'078951000</t>
  </si>
  <si>
    <t>'078951001</t>
  </si>
  <si>
    <t>'078952000</t>
  </si>
  <si>
    <t>Sigman</t>
  </si>
  <si>
    <t>James.sigman@leonagroup.com</t>
  </si>
  <si>
    <t>'078952001</t>
  </si>
  <si>
    <t xml:space="preserve"> VP--Academic Support Services</t>
  </si>
  <si>
    <t>'078953000</t>
  </si>
  <si>
    <t>'078953001</t>
  </si>
  <si>
    <t>Procopio</t>
  </si>
  <si>
    <t>Joe.Procopio@leonagroupaz.com</t>
  </si>
  <si>
    <t>'078954000</t>
  </si>
  <si>
    <t>'078954001</t>
  </si>
  <si>
    <t xml:space="preserve">  mary.berg@leonagroup.com</t>
  </si>
  <si>
    <t>'078956000</t>
  </si>
  <si>
    <t>'078956001</t>
  </si>
  <si>
    <t>Alex.horton@leonagroup.com</t>
  </si>
  <si>
    <t>Challenger Basic School, Inc.</t>
  </si>
  <si>
    <t>'078957000</t>
  </si>
  <si>
    <t>jbtobin1@cox.net</t>
  </si>
  <si>
    <t>Charter Director</t>
  </si>
  <si>
    <t>Deanne</t>
  </si>
  <si>
    <t>busygal7@yahoo.com</t>
  </si>
  <si>
    <t>NSexton@edvantagepartners.com</t>
  </si>
  <si>
    <t>Challenger Basic School</t>
  </si>
  <si>
    <t>'078957001</t>
  </si>
  <si>
    <t>Camelback Education, Inc</t>
  </si>
  <si>
    <t>'078959000</t>
  </si>
  <si>
    <t>Kordon</t>
  </si>
  <si>
    <t>kkordon@cbak8.com</t>
  </si>
  <si>
    <t>Camelback Academy</t>
  </si>
  <si>
    <t>'078959001</t>
  </si>
  <si>
    <t>Vista Charter School</t>
  </si>
  <si>
    <t>'078960000</t>
  </si>
  <si>
    <t>Midtown High School</t>
  </si>
  <si>
    <t>'078960002</t>
  </si>
  <si>
    <t>jw@precisionacademy.com</t>
  </si>
  <si>
    <t>SC Jensen Corporation, Inc. dba Intelli-School</t>
  </si>
  <si>
    <t>'078962000</t>
  </si>
  <si>
    <t>Childress</t>
  </si>
  <si>
    <t>schildress@resolutions-esp.com</t>
  </si>
  <si>
    <t>DeLoera</t>
  </si>
  <si>
    <t>kdeloera@intellischool.org</t>
  </si>
  <si>
    <t>Intelli-School</t>
  </si>
  <si>
    <t>'078962201</t>
  </si>
  <si>
    <t>jowen@intellischool.org</t>
  </si>
  <si>
    <t>schildress@intellischool.org</t>
  </si>
  <si>
    <t>PAS Charter, Inc., dba Intelli-School</t>
  </si>
  <si>
    <t>'078963000</t>
  </si>
  <si>
    <t>Carlos</t>
  </si>
  <si>
    <t>cbill@intellischool.org</t>
  </si>
  <si>
    <t>Intelli-School - Metro Center</t>
  </si>
  <si>
    <t>'078963201</t>
  </si>
  <si>
    <t>Patrica</t>
  </si>
  <si>
    <t>Intelli-School Glendale</t>
  </si>
  <si>
    <t>'078963202</t>
  </si>
  <si>
    <t>Valley of the Sun Waldorf Education Association, dba Desert Marigold School</t>
  </si>
  <si>
    <t>'078964000</t>
  </si>
  <si>
    <t>Schneider</t>
  </si>
  <si>
    <t>gschneider@desertmarigold.org</t>
  </si>
  <si>
    <t>Garza</t>
  </si>
  <si>
    <t>priscilla@aspirebc.net</t>
  </si>
  <si>
    <t>Consultant/Designated User</t>
  </si>
  <si>
    <t>Hendrix</t>
  </si>
  <si>
    <t>dmsoffice@desertmarigold.org</t>
  </si>
  <si>
    <t>Cummings</t>
  </si>
  <si>
    <t>pcummings@desertmarigold.org</t>
  </si>
  <si>
    <t>clee@desertmarigold.org</t>
  </si>
  <si>
    <t>Desert Marigold School</t>
  </si>
  <si>
    <t>'078964101</t>
  </si>
  <si>
    <t>Bird</t>
  </si>
  <si>
    <t>amyb@arizonawaldorf.org</t>
  </si>
  <si>
    <t>All Aboard Charter School</t>
  </si>
  <si>
    <t>'078967000</t>
  </si>
  <si>
    <t>Newton</t>
  </si>
  <si>
    <t>allaboardcharterschool@cox.net</t>
  </si>
  <si>
    <t>sonia</t>
  </si>
  <si>
    <t>garcia</t>
  </si>
  <si>
    <t>sgarcia@allaboardcharter.com</t>
  </si>
  <si>
    <t>'078967101</t>
  </si>
  <si>
    <t>LEAD Charter Schools</t>
  </si>
  <si>
    <t>'078968000</t>
  </si>
  <si>
    <t>Delmer</t>
  </si>
  <si>
    <t>Geesey</t>
  </si>
  <si>
    <t>district@leadingedgeacademy.com</t>
  </si>
  <si>
    <t>RBody@leadingedgeacademy.com</t>
  </si>
  <si>
    <t>District Operations Assistant</t>
  </si>
  <si>
    <t>mborja@leadingedgeacademy.com</t>
  </si>
  <si>
    <t>Leading Edge Academy Gilbert Elementary</t>
  </si>
  <si>
    <t>'078968101</t>
  </si>
  <si>
    <t>Arnie</t>
  </si>
  <si>
    <t>Ziegler</t>
  </si>
  <si>
    <t>aziegler@leadingedgeacademy.com</t>
  </si>
  <si>
    <t>Leading Edge Academy at East Mesa</t>
  </si>
  <si>
    <t>'078968103</t>
  </si>
  <si>
    <t>Jamerson</t>
  </si>
  <si>
    <t>djamerson@leadingedgeacademy.com</t>
  </si>
  <si>
    <t>Leading Edge Academy Gilbert Early College</t>
  </si>
  <si>
    <t>'078968201</t>
  </si>
  <si>
    <t>Hallam</t>
  </si>
  <si>
    <t>vhallam@leadingedgeacademy.com</t>
  </si>
  <si>
    <t>jgarcia@leadingedgeacademy.com</t>
  </si>
  <si>
    <t>Leading Edge Academy Online</t>
  </si>
  <si>
    <t>'078968202</t>
  </si>
  <si>
    <t>Edkey, Inc. - Arizona Conservatory for Arts and Academics</t>
  </si>
  <si>
    <t>'078971000</t>
  </si>
  <si>
    <t>Foged</t>
  </si>
  <si>
    <t>hfoged@edkey.org</t>
  </si>
  <si>
    <t>Arizona Conservatory for Arts and Academics</t>
  </si>
  <si>
    <t>'078971001</t>
  </si>
  <si>
    <t>Arizona Conservatory for Arts and Academics Middle School</t>
  </si>
  <si>
    <t>'078971002</t>
  </si>
  <si>
    <t>holly.foged@edkey.org</t>
  </si>
  <si>
    <t>Bell Canyon Charter School, Inc</t>
  </si>
  <si>
    <t>'078972000</t>
  </si>
  <si>
    <t>Bradford</t>
  </si>
  <si>
    <t>ilse.roper@imagineschools.com</t>
  </si>
  <si>
    <t>cecilia.decasas@imagineschools.com</t>
  </si>
  <si>
    <t>Vanessa.english@imagineschools.com</t>
  </si>
  <si>
    <t>NSLP Sponsor Representative/Compliance Associate</t>
  </si>
  <si>
    <t>Imagine Bell Canyon</t>
  </si>
  <si>
    <t>'078972101</t>
  </si>
  <si>
    <t>West Gilbert Charter Middle School, Inc.</t>
  </si>
  <si>
    <t>'078974000</t>
  </si>
  <si>
    <t>Imagine West Gilbert Middle</t>
  </si>
  <si>
    <t>'078974101</t>
  </si>
  <si>
    <t>monte.lange@imagineschools.org</t>
  </si>
  <si>
    <t>Executive Vice President</t>
  </si>
  <si>
    <t>Cortez Park Charter Middle School, Inc.</t>
  </si>
  <si>
    <t>'078975000</t>
  </si>
  <si>
    <t xml:space="preserve">Entity Admin. </t>
  </si>
  <si>
    <t>Imagine Cortez Park Middle</t>
  </si>
  <si>
    <t>'078975101</t>
  </si>
  <si>
    <t>'078976000</t>
  </si>
  <si>
    <t>midtownprimaryschool@hotmail.com</t>
  </si>
  <si>
    <t>Suggs</t>
  </si>
  <si>
    <t>'078976101</t>
  </si>
  <si>
    <t>Montessori Academy, Inc.</t>
  </si>
  <si>
    <t>'078977000</t>
  </si>
  <si>
    <t>Newman</t>
  </si>
  <si>
    <t>juli.newman@montessoriacademyaz.org</t>
  </si>
  <si>
    <t>Principal/Charter Rep</t>
  </si>
  <si>
    <t>Cross</t>
  </si>
  <si>
    <t>krista.cross@montessoriacademyaz.org</t>
  </si>
  <si>
    <t xml:space="preserve">Director of Education / Charter Holder   </t>
  </si>
  <si>
    <t>Adamson</t>
  </si>
  <si>
    <t>freada44@yahoo.com</t>
  </si>
  <si>
    <t>Montessori Academy</t>
  </si>
  <si>
    <t>'078977101</t>
  </si>
  <si>
    <t>jlewis@azma.org</t>
  </si>
  <si>
    <t>Accelerated Learning Center, Inc.</t>
  </si>
  <si>
    <t>'078979000</t>
  </si>
  <si>
    <t>Canady</t>
  </si>
  <si>
    <t>602-485-03</t>
  </si>
  <si>
    <t>scanady@canadyalc.com</t>
  </si>
  <si>
    <t xml:space="preserve">President </t>
  </si>
  <si>
    <t>Accelerated Learning Center</t>
  </si>
  <si>
    <t>'078979201</t>
  </si>
  <si>
    <t>fcanady@canadyalc.com</t>
  </si>
  <si>
    <t>New School for the Arts Middle School</t>
  </si>
  <si>
    <t>'078981000</t>
  </si>
  <si>
    <t xml:space="preserve">Business Manager   </t>
  </si>
  <si>
    <t>'078981001</t>
  </si>
  <si>
    <t>ryan</t>
  </si>
  <si>
    <t>anthony</t>
  </si>
  <si>
    <t>ranthony@aznsa.com</t>
  </si>
  <si>
    <t>Adademic Director</t>
  </si>
  <si>
    <t>'078983000</t>
  </si>
  <si>
    <t>'078983201</t>
  </si>
  <si>
    <t>McGill</t>
  </si>
  <si>
    <t>larry.mcgill@leonagroup.com</t>
  </si>
  <si>
    <t>Veritas Preparatory Academy</t>
  </si>
  <si>
    <t>'078984000</t>
  </si>
  <si>
    <t>Great Hearts Academies - Veritas Prep</t>
  </si>
  <si>
    <t>'078984001</t>
  </si>
  <si>
    <t>Minson</t>
  </si>
  <si>
    <t>Heritage Elementary School</t>
  </si>
  <si>
    <t>'078985000</t>
  </si>
  <si>
    <t>Rubasch</t>
  </si>
  <si>
    <t>wrubasch@hotmail.com</t>
  </si>
  <si>
    <t>'078985101</t>
  </si>
  <si>
    <t>Heritage Elementary - Williams</t>
  </si>
  <si>
    <t>'078985103</t>
  </si>
  <si>
    <t>Ball Charter Schools (Hearn)</t>
  </si>
  <si>
    <t>'078987000</t>
  </si>
  <si>
    <t>Gaye</t>
  </si>
  <si>
    <t>Leo</t>
  </si>
  <si>
    <t>gleo@ballcharterschools.org</t>
  </si>
  <si>
    <t>agilbert@ballcharterschools.org</t>
  </si>
  <si>
    <t>KHegarty@ballcharterschools.org</t>
  </si>
  <si>
    <t>Werner</t>
  </si>
  <si>
    <t>jwerner@ballcharterschools.org</t>
  </si>
  <si>
    <t>Hearn Academy, The - A Ball Charter School</t>
  </si>
  <si>
    <t>'078987103</t>
  </si>
  <si>
    <t>mkennedy@ballcharterschools.org</t>
  </si>
  <si>
    <t>Ball Charter Schools (Dobson)</t>
  </si>
  <si>
    <t>'078988000</t>
  </si>
  <si>
    <t>Sweet</t>
  </si>
  <si>
    <t>lsweet@ballcharterschools.org</t>
  </si>
  <si>
    <t>Dobson Academy, The - A Ball Charter School</t>
  </si>
  <si>
    <t>'078988102</t>
  </si>
  <si>
    <t>tbengochea@dobsonacademy.org</t>
  </si>
  <si>
    <t>American Basic Schools LLC</t>
  </si>
  <si>
    <t>'078989000</t>
  </si>
  <si>
    <t>ggaddie@burkebasicschool.com</t>
  </si>
  <si>
    <t>Director/Authorized Signer</t>
  </si>
  <si>
    <t>Designated User/Entitlement Specialist</t>
  </si>
  <si>
    <t>Burke Basic School</t>
  </si>
  <si>
    <t>'078989101</t>
  </si>
  <si>
    <t>Arizona Montessori Charter School at Anthem</t>
  </si>
  <si>
    <t>'078991000</t>
  </si>
  <si>
    <t>Dameon</t>
  </si>
  <si>
    <t>Blair</t>
  </si>
  <si>
    <t>dameon.blair@caurusacademy.org</t>
  </si>
  <si>
    <t>623-551-50</t>
  </si>
  <si>
    <t>joan.miller@caurusacademy.org</t>
  </si>
  <si>
    <t>Rie</t>
  </si>
  <si>
    <t>Nakamura</t>
  </si>
  <si>
    <t>rie.nakamura@caurasacademy.org</t>
  </si>
  <si>
    <t>AMCS at Anthem dba Caurus Academy</t>
  </si>
  <si>
    <t>'078991101</t>
  </si>
  <si>
    <t>'078993000</t>
  </si>
  <si>
    <t>AAEC - SMCC Campus</t>
  </si>
  <si>
    <t>'078993201</t>
  </si>
  <si>
    <t>Torres Conley</t>
  </si>
  <si>
    <t>wconley@aaechighschools.com</t>
  </si>
  <si>
    <t>'078994000</t>
  </si>
  <si>
    <t>grsmith1959@gmail.com</t>
  </si>
  <si>
    <t xml:space="preserve">President   </t>
  </si>
  <si>
    <t>casey@cornerstonehs.org</t>
  </si>
  <si>
    <t>'078994001</t>
  </si>
  <si>
    <t>gnjaz@qwest.net</t>
  </si>
  <si>
    <t>casey@mail.gsmith.org</t>
  </si>
  <si>
    <t>Cholla Academy</t>
  </si>
  <si>
    <t>'078995000</t>
  </si>
  <si>
    <t>Kathryn</t>
  </si>
  <si>
    <t>Couch</t>
  </si>
  <si>
    <t>kcouch@westlandschool.net</t>
  </si>
  <si>
    <t>Westland School</t>
  </si>
  <si>
    <t>'078995001</t>
  </si>
  <si>
    <t>Westland School Brighton Campus</t>
  </si>
  <si>
    <t>'078995002</t>
  </si>
  <si>
    <t>Little Lamb Community School</t>
  </si>
  <si>
    <t>'078997000</t>
  </si>
  <si>
    <t>Vogt</t>
  </si>
  <si>
    <t>jvogt@missionmontessori.com</t>
  </si>
  <si>
    <t>Mission Montessori Academy</t>
  </si>
  <si>
    <t>'078997101</t>
  </si>
  <si>
    <t>Happy Valley School, Inc.</t>
  </si>
  <si>
    <t>'078998000</t>
  </si>
  <si>
    <t>McKinney</t>
  </si>
  <si>
    <t>JMcKinney@happyvalleyschool.org</t>
  </si>
  <si>
    <t>Projects Manager</t>
  </si>
  <si>
    <t>billiearmenta@gmail.com</t>
  </si>
  <si>
    <t>Jeannine</t>
  </si>
  <si>
    <t>jmcdonald@happyvalleyschool.org</t>
  </si>
  <si>
    <t>Happy Valley School</t>
  </si>
  <si>
    <t>'078998001</t>
  </si>
  <si>
    <t>ronna@burkebasicschool.com</t>
  </si>
  <si>
    <t>Heim</t>
  </si>
  <si>
    <t>sheim@happyvalleyschool.org</t>
  </si>
  <si>
    <t>'078999000</t>
  </si>
  <si>
    <t>'078999001</t>
  </si>
  <si>
    <t>Delores</t>
  </si>
  <si>
    <t>Jones-Bell</t>
  </si>
  <si>
    <t>Delores.jones-bell@leonagroup.com</t>
  </si>
  <si>
    <t xml:space="preserve">School Leader </t>
  </si>
  <si>
    <t xml:space="preserve">  VP--Academic Support Services:</t>
  </si>
  <si>
    <t>Lake Havasu Unified District</t>
  </si>
  <si>
    <t>'080201000</t>
  </si>
  <si>
    <t>Mohave</t>
  </si>
  <si>
    <t>Youso</t>
  </si>
  <si>
    <t>myouso@lhusd.org</t>
  </si>
  <si>
    <t>mmurray@havasu.k12.az.us</t>
  </si>
  <si>
    <t>rebecca.stone@lhusd.org</t>
  </si>
  <si>
    <t>Smoketree Elementary School</t>
  </si>
  <si>
    <t>'080201101</t>
  </si>
  <si>
    <t>Thunderbolt Middle School</t>
  </si>
  <si>
    <t>'080201102</t>
  </si>
  <si>
    <t>Havasupai Elementary School</t>
  </si>
  <si>
    <t>'080201103</t>
  </si>
  <si>
    <t>tyates@lhusd.org</t>
  </si>
  <si>
    <t>Starline Elementary School</t>
  </si>
  <si>
    <t>'080201104</t>
  </si>
  <si>
    <t>Triassi</t>
  </si>
  <si>
    <t>ctriassi@lhusd.org</t>
  </si>
  <si>
    <t>Nautilus Elementary School</t>
  </si>
  <si>
    <t>'080201105</t>
  </si>
  <si>
    <t>Oro Grande Classical Academy</t>
  </si>
  <si>
    <t>'080201106</t>
  </si>
  <si>
    <t>Jamaica Elementary School</t>
  </si>
  <si>
    <t>'080201109</t>
  </si>
  <si>
    <t>Helart</t>
  </si>
  <si>
    <t>ahelart@havasu.k12.az.us</t>
  </si>
  <si>
    <t>Lake Havasu High School</t>
  </si>
  <si>
    <t>'080201207</t>
  </si>
  <si>
    <t>sbecker@havasu.k12.az.us</t>
  </si>
  <si>
    <t>Havasuonline</t>
  </si>
  <si>
    <t>'080201210</t>
  </si>
  <si>
    <t>'080208000</t>
  </si>
  <si>
    <t>herrerag@psusd8.org</t>
  </si>
  <si>
    <t>Accounts Payable/Payroll</t>
  </si>
  <si>
    <t>Pearl</t>
  </si>
  <si>
    <t>Claus</t>
  </si>
  <si>
    <t>clausp@psusd8.org</t>
  </si>
  <si>
    <t xml:space="preserve">Accounts Payable </t>
  </si>
  <si>
    <t>'080208001</t>
  </si>
  <si>
    <t>Klain</t>
  </si>
  <si>
    <t>klainv@psusd.k12.az.us</t>
  </si>
  <si>
    <t>Littlefield Unified District</t>
  </si>
  <si>
    <t>'080209000</t>
  </si>
  <si>
    <t>Lael</t>
  </si>
  <si>
    <t>Calton</t>
  </si>
  <si>
    <t>lcalton@lusd9.com</t>
  </si>
  <si>
    <t>Superintendent and High School Principal</t>
  </si>
  <si>
    <t>McCauley</t>
  </si>
  <si>
    <t>dmccauley@lusd9.com</t>
  </si>
  <si>
    <t>Boyer</t>
  </si>
  <si>
    <t>kboyer@lusd9.com</t>
  </si>
  <si>
    <t>Beaver Dam Elementary</t>
  </si>
  <si>
    <t>'080209001</t>
  </si>
  <si>
    <t>pleavitt@lusd9.com</t>
  </si>
  <si>
    <t>Beaver Dam High School</t>
  </si>
  <si>
    <t>'080209201</t>
  </si>
  <si>
    <t>mcoleman@lusd9.com</t>
  </si>
  <si>
    <t>mrobison@lusd9.com</t>
  </si>
  <si>
    <t>Colorado City Unified District</t>
  </si>
  <si>
    <t>'080214000</t>
  </si>
  <si>
    <t>Timpson</t>
  </si>
  <si>
    <t>ctimpson@elcap.us</t>
  </si>
  <si>
    <t>Geoffrey</t>
  </si>
  <si>
    <t>Tubbs</t>
  </si>
  <si>
    <t>gtubbs@bullheadschools.com</t>
  </si>
  <si>
    <t>mary@elcap.us</t>
  </si>
  <si>
    <t>El Capitan Public School</t>
  </si>
  <si>
    <t>'080214101</t>
  </si>
  <si>
    <t>Cottonwood Elementary</t>
  </si>
  <si>
    <t>'080214102</t>
  </si>
  <si>
    <t>'080220000</t>
  </si>
  <si>
    <t>Dorner</t>
  </si>
  <si>
    <t>gdorner@kusd.org</t>
  </si>
  <si>
    <t>Cobrun</t>
  </si>
  <si>
    <t>ccoburn@kusd.org</t>
  </si>
  <si>
    <t>Reading Achievement Leader</t>
  </si>
  <si>
    <t>O'Neill</t>
  </si>
  <si>
    <t>moneill@kusd.org</t>
  </si>
  <si>
    <t>Oestmann</t>
  </si>
  <si>
    <t>soestmann@kusd.org</t>
  </si>
  <si>
    <t>Ahron</t>
  </si>
  <si>
    <t>asherman@kusd.org</t>
  </si>
  <si>
    <t>Katharine</t>
  </si>
  <si>
    <t>kwilliams@kusd.org</t>
  </si>
  <si>
    <t>Kufleitner</t>
  </si>
  <si>
    <t>wkufleitner@kusd.org</t>
  </si>
  <si>
    <t>SAIS/Synergy Tech</t>
  </si>
  <si>
    <t>Gaul</t>
  </si>
  <si>
    <t>jgaul@kusd.org</t>
  </si>
  <si>
    <t>Sizemore</t>
  </si>
  <si>
    <t>scoombssizemore@kusd.org</t>
  </si>
  <si>
    <t>Higbee</t>
  </si>
  <si>
    <t>bhigbee@kusd.org</t>
  </si>
  <si>
    <t>Hualapai Elementary</t>
  </si>
  <si>
    <t>'080220110</t>
  </si>
  <si>
    <t>Nutt</t>
  </si>
  <si>
    <t>cnutt@kusd.org</t>
  </si>
  <si>
    <t>Curran</t>
  </si>
  <si>
    <t>Arave</t>
  </si>
  <si>
    <t>jarave@kusd.org</t>
  </si>
  <si>
    <t>La Senita Elementary</t>
  </si>
  <si>
    <t>'080220111</t>
  </si>
  <si>
    <t>Hamilton</t>
  </si>
  <si>
    <t>shamilton@kusd.org</t>
  </si>
  <si>
    <t>Manzanita Elementary</t>
  </si>
  <si>
    <t>'080220112</t>
  </si>
  <si>
    <t>Jeri</t>
  </si>
  <si>
    <t>Wolsey</t>
  </si>
  <si>
    <t>jwolsey@kusd.org</t>
  </si>
  <si>
    <t>swhite@kusd.org</t>
  </si>
  <si>
    <t>Pietri</t>
  </si>
  <si>
    <t>'080220114</t>
  </si>
  <si>
    <t>Seward</t>
  </si>
  <si>
    <t>jseward@kusd.org</t>
  </si>
  <si>
    <t>Burton</t>
  </si>
  <si>
    <t>dburton@kusd.org</t>
  </si>
  <si>
    <t>mtortora@kusd.org</t>
  </si>
  <si>
    <t>Cerbat Elementary</t>
  </si>
  <si>
    <t>'080220115</t>
  </si>
  <si>
    <t>Victory</t>
  </si>
  <si>
    <t>tvictory@kusd.org</t>
  </si>
  <si>
    <t>'080220116</t>
  </si>
  <si>
    <t>bcollins@kusd.org</t>
  </si>
  <si>
    <t>Mt Tipton Elementary School</t>
  </si>
  <si>
    <t>'080220117</t>
  </si>
  <si>
    <t>Harness</t>
  </si>
  <si>
    <t>bharness@kusd.org</t>
  </si>
  <si>
    <t>Starr</t>
  </si>
  <si>
    <t>sjensen@kusd.org</t>
  </si>
  <si>
    <t>Immel</t>
  </si>
  <si>
    <t>jimmel@kusd.org</t>
  </si>
  <si>
    <t>White Cliffs Middle School</t>
  </si>
  <si>
    <t>'080220118</t>
  </si>
  <si>
    <t>Venenga</t>
  </si>
  <si>
    <t>jvenenga@kusd.org</t>
  </si>
  <si>
    <t>Cliff</t>
  </si>
  <si>
    <t>Angle</t>
  </si>
  <si>
    <t>cangle@kusd.org</t>
  </si>
  <si>
    <t>Tonia</t>
  </si>
  <si>
    <t>Cobanovich</t>
  </si>
  <si>
    <t>tcobanovich@kusd.org</t>
  </si>
  <si>
    <t>'080220119</t>
  </si>
  <si>
    <t>Jacks</t>
  </si>
  <si>
    <t>kshaw@kusd.org</t>
  </si>
  <si>
    <t>SAIS/SIRS District Coordinator</t>
  </si>
  <si>
    <t>Kingman High School</t>
  </si>
  <si>
    <t>'080220202</t>
  </si>
  <si>
    <t>Mickelson</t>
  </si>
  <si>
    <t>pmickelson@kusd.org</t>
  </si>
  <si>
    <t>Carey</t>
  </si>
  <si>
    <t>pcarey@kusd.org</t>
  </si>
  <si>
    <t>Thofson</t>
  </si>
  <si>
    <t>bthofson@kusd.org</t>
  </si>
  <si>
    <t>Casson</t>
  </si>
  <si>
    <t>tcasson@kusd.org</t>
  </si>
  <si>
    <t>Lee Williams High School</t>
  </si>
  <si>
    <t>'080220203</t>
  </si>
  <si>
    <t>Elwood</t>
  </si>
  <si>
    <t>selwood@kusd.org</t>
  </si>
  <si>
    <t>Hubbard</t>
  </si>
  <si>
    <t>whubbard@kusd.org</t>
  </si>
  <si>
    <t>cwilliams@kusd.org</t>
  </si>
  <si>
    <t>rbuchanan@kusd.org</t>
  </si>
  <si>
    <t>Hackberry School District</t>
  </si>
  <si>
    <t>'080303000</t>
  </si>
  <si>
    <t>Prince</t>
  </si>
  <si>
    <t>aprince@hesd.net</t>
  </si>
  <si>
    <t>Joni</t>
  </si>
  <si>
    <t>Bullock</t>
  </si>
  <si>
    <t>jbullock@hesd.net</t>
  </si>
  <si>
    <t>Cedar Hills School</t>
  </si>
  <si>
    <t>'080303002</t>
  </si>
  <si>
    <t>Owens School District No.6</t>
  </si>
  <si>
    <t>'080306000</t>
  </si>
  <si>
    <t>Gurney</t>
  </si>
  <si>
    <t>lee.g@owens-whitney.org</t>
  </si>
  <si>
    <t>Bullington</t>
  </si>
  <si>
    <t>bryan.b@owens-whitney.org</t>
  </si>
  <si>
    <t>Asstrid</t>
  </si>
  <si>
    <t>asstrid.b@owens-whitney.org</t>
  </si>
  <si>
    <t>Owens Elementary School</t>
  </si>
  <si>
    <t>'080306101</t>
  </si>
  <si>
    <t>Yucca Elementary District</t>
  </si>
  <si>
    <t>'080313000</t>
  </si>
  <si>
    <t>Vincent</t>
  </si>
  <si>
    <t>928.766.25</t>
  </si>
  <si>
    <t>debbie.vincent@mohavecounty.us</t>
  </si>
  <si>
    <t>Macomb</t>
  </si>
  <si>
    <t>928-766-25</t>
  </si>
  <si>
    <t>rmacomb@yuccaschool.com</t>
  </si>
  <si>
    <t>Yucca Elementary School</t>
  </si>
  <si>
    <t>'080313101</t>
  </si>
  <si>
    <t>dvincent@mcss.k12.az.us</t>
  </si>
  <si>
    <t>Valentine Elementary District</t>
  </si>
  <si>
    <t>'080322000</t>
  </si>
  <si>
    <t>928-769-23</t>
  </si>
  <si>
    <t>cliff.angle@mohavecounty.us</t>
  </si>
  <si>
    <t>Valentine Elementary School</t>
  </si>
  <si>
    <t>'080322001</t>
  </si>
  <si>
    <t>McPherson</t>
  </si>
  <si>
    <t>valschl2@ctaz.com</t>
  </si>
  <si>
    <t>'080412000</t>
  </si>
  <si>
    <t>jwarren@topockschool.com</t>
  </si>
  <si>
    <t xml:space="preserve">Superintendent  </t>
  </si>
  <si>
    <t>emarquez@topockschool.com</t>
  </si>
  <si>
    <t>Villamor</t>
  </si>
  <si>
    <t>tvillamor@topockschool.com</t>
  </si>
  <si>
    <t>Administrative Secretary</t>
  </si>
  <si>
    <t>'080412012</t>
  </si>
  <si>
    <t>Bullhead City School District</t>
  </si>
  <si>
    <t>'080415000</t>
  </si>
  <si>
    <t>Kendra</t>
  </si>
  <si>
    <t>ktaylor@crsk12.org</t>
  </si>
  <si>
    <t>SAIS Coord. Designated User</t>
  </si>
  <si>
    <t>cstewart@crsk12.org</t>
  </si>
  <si>
    <t>Molly</t>
  </si>
  <si>
    <t>Madueno</t>
  </si>
  <si>
    <t>mmadueno@crsk12.org</t>
  </si>
  <si>
    <t>Coyote Canyon School</t>
  </si>
  <si>
    <t>'080415103</t>
  </si>
  <si>
    <t>Buffy</t>
  </si>
  <si>
    <t>SANDRA P</t>
  </si>
  <si>
    <t>sbrown@bullheadschools.com</t>
  </si>
  <si>
    <t>Sunrise Elementary</t>
  </si>
  <si>
    <t>'080415104</t>
  </si>
  <si>
    <t>Flatten</t>
  </si>
  <si>
    <t>jflatten@bullheadschools.com</t>
  </si>
  <si>
    <t>Desert Valley School</t>
  </si>
  <si>
    <t>'080415105</t>
  </si>
  <si>
    <t>ccochran@bullheadschools.com</t>
  </si>
  <si>
    <t>Diamondback Elementary School</t>
  </si>
  <si>
    <t>'080415107</t>
  </si>
  <si>
    <t>jgoodman@bullheadsschools.com</t>
  </si>
  <si>
    <t>Muecke</t>
  </si>
  <si>
    <t>mmuecke@bullheadschools.com</t>
  </si>
  <si>
    <t>Kym</t>
  </si>
  <si>
    <t>kgodwin@crsk12.org</t>
  </si>
  <si>
    <t>Fox Creek Jr High School</t>
  </si>
  <si>
    <t>'080415110</t>
  </si>
  <si>
    <t>rcasey@bullheadschools.com</t>
  </si>
  <si>
    <t>Karena</t>
  </si>
  <si>
    <t>kblack@bullheadschools.com</t>
  </si>
  <si>
    <t>Lester</t>
  </si>
  <si>
    <t>Eastman</t>
  </si>
  <si>
    <t>leastman@crsk12.org</t>
  </si>
  <si>
    <t>Bullhead City Middle School</t>
  </si>
  <si>
    <t>'080415130</t>
  </si>
  <si>
    <t>pyoung@bullheadschools.com</t>
  </si>
  <si>
    <t>Mohave Valley Elementary District</t>
  </si>
  <si>
    <t>'080416000</t>
  </si>
  <si>
    <t>Hurns</t>
  </si>
  <si>
    <t>hurnsp@mvdistrict.net</t>
  </si>
  <si>
    <t>Transportation Director</t>
  </si>
  <si>
    <t>Cole</t>
  </si>
  <si>
    <t>youngc@mvdistrict.net</t>
  </si>
  <si>
    <t>Jenette</t>
  </si>
  <si>
    <t>kingj@mvdistrict.net</t>
  </si>
  <si>
    <t>Doolin</t>
  </si>
  <si>
    <t>doolind@mvdistrict.net</t>
  </si>
  <si>
    <t>AzEDS Coordinator</t>
  </si>
  <si>
    <t>Mohave Valley Junior High School</t>
  </si>
  <si>
    <t>'080416103</t>
  </si>
  <si>
    <t>Whitney</t>
  </si>
  <si>
    <t>Crow</t>
  </si>
  <si>
    <t>croww@mvdistrict.net</t>
  </si>
  <si>
    <t>Fort Mohave Elementary School</t>
  </si>
  <si>
    <t>'080416104</t>
  </si>
  <si>
    <t>Ferguson</t>
  </si>
  <si>
    <t>fergusons@mvdistrict.net</t>
  </si>
  <si>
    <t>Camp Mohave Elementary School</t>
  </si>
  <si>
    <t>'080416105</t>
  </si>
  <si>
    <t>Laurent</t>
  </si>
  <si>
    <t>laurentj@mvdistrict.net</t>
  </si>
  <si>
    <t>stela</t>
  </si>
  <si>
    <t>calaunana</t>
  </si>
  <si>
    <t>calaunans@mvdistrict.net</t>
  </si>
  <si>
    <t>Cottrell</t>
  </si>
  <si>
    <t>cottrellr@mvdistrict.net</t>
  </si>
  <si>
    <t>Colorado River Union High School District</t>
  </si>
  <si>
    <t>'080502000</t>
  </si>
  <si>
    <t>Riley</t>
  </si>
  <si>
    <t>Frei</t>
  </si>
  <si>
    <t>rfrei@cruhsd.org</t>
  </si>
  <si>
    <t>Roni</t>
  </si>
  <si>
    <t>rhart@cruhsd.org</t>
  </si>
  <si>
    <t>Dorn</t>
  </si>
  <si>
    <t>Wilcox</t>
  </si>
  <si>
    <t>dwilcox@crsk12.org</t>
  </si>
  <si>
    <t>Kinsler</t>
  </si>
  <si>
    <t>kkinsler@cruhsd.org</t>
  </si>
  <si>
    <t>Darolene</t>
  </si>
  <si>
    <t>dbrown@crsk12.org</t>
  </si>
  <si>
    <t>Director of Curriculum and Instructional Technology</t>
  </si>
  <si>
    <t>Mohave High School</t>
  </si>
  <si>
    <t>'080502001</t>
  </si>
  <si>
    <t>Leuck</t>
  </si>
  <si>
    <t>mleuck@cruhsd.org</t>
  </si>
  <si>
    <t>slawrence@cruhsd.org</t>
  </si>
  <si>
    <t>Garland</t>
  </si>
  <si>
    <t>pgarland@cruhsd.org</t>
  </si>
  <si>
    <t>Armijo</t>
  </si>
  <si>
    <t>jarmijo@cruhsd.org</t>
  </si>
  <si>
    <t>River Valley High School</t>
  </si>
  <si>
    <t>'080502002</t>
  </si>
  <si>
    <t>Scully</t>
  </si>
  <si>
    <t>bscully@cruhsd.org</t>
  </si>
  <si>
    <t>dwilcox@cruhsd.org</t>
  </si>
  <si>
    <t>CRUHSD Academy</t>
  </si>
  <si>
    <t>'080502004</t>
  </si>
  <si>
    <t>droach@cruhsd.org</t>
  </si>
  <si>
    <t>Western Arizona Vocational District #50</t>
  </si>
  <si>
    <t>'080850000</t>
  </si>
  <si>
    <t>awest@wavejted.org</t>
  </si>
  <si>
    <t>Goolsby</t>
  </si>
  <si>
    <t>bgoolsby@wavejted.org</t>
  </si>
  <si>
    <t>WAVE - Lake Havasu High School</t>
  </si>
  <si>
    <t>'080850001</t>
  </si>
  <si>
    <t>WAVE - Mohave High School</t>
  </si>
  <si>
    <t>'080850002</t>
  </si>
  <si>
    <t>WAVE - River Valley High School</t>
  </si>
  <si>
    <t>'080850003</t>
  </si>
  <si>
    <t>WAVE - Kingman High School</t>
  </si>
  <si>
    <t>'080850004</t>
  </si>
  <si>
    <t>WAVE - Parker High School</t>
  </si>
  <si>
    <t>'080850005</t>
  </si>
  <si>
    <t>WAVE- Lee Williams High School</t>
  </si>
  <si>
    <t>'080850006</t>
  </si>
  <si>
    <t>WAVE-Arizona Western College</t>
  </si>
  <si>
    <t>'080850007</t>
  </si>
  <si>
    <t>WAVE - Mohave Community College</t>
  </si>
  <si>
    <t>'080850008</t>
  </si>
  <si>
    <t>WAVE-Central Campus</t>
  </si>
  <si>
    <t>'080850009</t>
  </si>
  <si>
    <t>WAVE - Mohave Accelerated Learning Center</t>
  </si>
  <si>
    <t>'080850012</t>
  </si>
  <si>
    <t>Kingman Academy Of Learning</t>
  </si>
  <si>
    <t>'088620000</t>
  </si>
  <si>
    <t>Crowl</t>
  </si>
  <si>
    <t>scrowl@kaolaz.org</t>
  </si>
  <si>
    <t>Kingman Academy of Learning - Primary School</t>
  </si>
  <si>
    <t>'088620101</t>
  </si>
  <si>
    <t>Trudi</t>
  </si>
  <si>
    <t>Kingman Academy of Learning - Intermediate School</t>
  </si>
  <si>
    <t>'088620102</t>
  </si>
  <si>
    <t>Kingman Academy of Learning - Middle School</t>
  </si>
  <si>
    <t>'088620103</t>
  </si>
  <si>
    <t>Kingman Academy of Learning - High School</t>
  </si>
  <si>
    <t>'088620204</t>
  </si>
  <si>
    <t>Lillis</t>
  </si>
  <si>
    <t>Matthews</t>
  </si>
  <si>
    <t>Telesis Center for Learning, Inc.</t>
  </si>
  <si>
    <t>'088702000</t>
  </si>
  <si>
    <t>Breece</t>
  </si>
  <si>
    <t>sbreece@telesis-academy.org</t>
  </si>
  <si>
    <t>rbreece@telesis-academy.org</t>
  </si>
  <si>
    <t>Educational Technology Coordinator / Trainer</t>
  </si>
  <si>
    <t>Telesis Preparatory Academy</t>
  </si>
  <si>
    <t>'088702001</t>
  </si>
  <si>
    <t>Telesis Preparatory</t>
  </si>
  <si>
    <t>'088702002</t>
  </si>
  <si>
    <t>Mohave Accelerated Elementary School, Inc.</t>
  </si>
  <si>
    <t>'088703000</t>
  </si>
  <si>
    <t>vchristensen@mohavelearning.org</t>
  </si>
  <si>
    <t>ssmith@mohavelearning.org</t>
  </si>
  <si>
    <t>Corrie</t>
  </si>
  <si>
    <t>Ewing</t>
  </si>
  <si>
    <t>cewing@mohavelearning.org</t>
  </si>
  <si>
    <t>Nena</t>
  </si>
  <si>
    <t>nperez@mohavelearning.org</t>
  </si>
  <si>
    <t>Mohave Accelerated Elementary School</t>
  </si>
  <si>
    <t>'088703101</t>
  </si>
  <si>
    <t>Vickie.Christensen@usa.net</t>
  </si>
  <si>
    <t>Lavonne</t>
  </si>
  <si>
    <t>Beier</t>
  </si>
  <si>
    <t>Mulligan</t>
  </si>
  <si>
    <t>jmulligan@mohavelearning.org</t>
  </si>
  <si>
    <t>Mohave Accelerated Elementary School East</t>
  </si>
  <si>
    <t>'088703102</t>
  </si>
  <si>
    <t>bcooper@mohavelearning.org</t>
  </si>
  <si>
    <t>Academy of Building Industries, Inc.</t>
  </si>
  <si>
    <t>'088704000</t>
  </si>
  <si>
    <t>aobihs@aobihs.com</t>
  </si>
  <si>
    <t>Academy of Building Industries</t>
  </si>
  <si>
    <t>'088704201</t>
  </si>
  <si>
    <t>aobldgind@yahoo.com</t>
  </si>
  <si>
    <t>Desert Star Academy</t>
  </si>
  <si>
    <t>'088705000</t>
  </si>
  <si>
    <t>Margie</t>
  </si>
  <si>
    <t>mmontgomery629@gmail.com</t>
  </si>
  <si>
    <t>timmontgomery17@gmail.com</t>
  </si>
  <si>
    <t>'088705001</t>
  </si>
  <si>
    <t>Young Scholars Academy Charter School Corp.</t>
  </si>
  <si>
    <t>'088755000</t>
  </si>
  <si>
    <t>Tonnie</t>
  </si>
  <si>
    <t>ysacs@ctaz.com</t>
  </si>
  <si>
    <t>Authorized Signer</t>
  </si>
  <si>
    <t>Wielkie</t>
  </si>
  <si>
    <t>jwielkie@ysacs.org</t>
  </si>
  <si>
    <t>Young Scholars Academy</t>
  </si>
  <si>
    <t>'088755101</t>
  </si>
  <si>
    <t>Lynda</t>
  </si>
  <si>
    <t>Castenada</t>
  </si>
  <si>
    <t>lcastenada@ysacs.org</t>
  </si>
  <si>
    <t>Mohave Accelerated Learning Center</t>
  </si>
  <si>
    <t>'088758000</t>
  </si>
  <si>
    <t>cmulligan@mohavelearning.org</t>
  </si>
  <si>
    <t>Administrative Assistant/Designated User</t>
  </si>
  <si>
    <t>Valorie</t>
  </si>
  <si>
    <t>Rodgers-Merrigan</t>
  </si>
  <si>
    <t>vmerrigan@mohavelearning.org</t>
  </si>
  <si>
    <t>'088758001</t>
  </si>
  <si>
    <t>Masada Charter School, Inc.</t>
  </si>
  <si>
    <t>'088759000</t>
  </si>
  <si>
    <t>LeAnne</t>
  </si>
  <si>
    <t>leannet@masadaschool.com</t>
  </si>
  <si>
    <t>Boeing</t>
  </si>
  <si>
    <t>rboeing@etc-ms.com</t>
  </si>
  <si>
    <t>Masada Charter School</t>
  </si>
  <si>
    <t>'088759101</t>
  </si>
  <si>
    <t>leah</t>
  </si>
  <si>
    <t>dockstader</t>
  </si>
  <si>
    <t>leahd@masadaschool.com</t>
  </si>
  <si>
    <t>Susanne</t>
  </si>
  <si>
    <t>Hammon</t>
  </si>
  <si>
    <t>susanneh@masadaschool.com</t>
  </si>
  <si>
    <t>Navajo County Accommodation District #99</t>
  </si>
  <si>
    <t>'090199000</t>
  </si>
  <si>
    <t>Jalyn</t>
  </si>
  <si>
    <t>Gerlich</t>
  </si>
  <si>
    <t>jalyn.gerlich@navajocountyaz.gov</t>
  </si>
  <si>
    <t>Superintdent</t>
  </si>
  <si>
    <t>Arend</t>
  </si>
  <si>
    <t>nicole.arend@navajocountyaz.gov</t>
  </si>
  <si>
    <t>Director of Transporation</t>
  </si>
  <si>
    <t>Navajo County Instruction for Success (NCIS)</t>
  </si>
  <si>
    <t>'090199001</t>
  </si>
  <si>
    <t>narend.ras@frontiernet.net</t>
  </si>
  <si>
    <t>'090201000</t>
  </si>
  <si>
    <t>Cyndie</t>
  </si>
  <si>
    <t>Mattox</t>
  </si>
  <si>
    <t>cmattox@wusd1.org</t>
  </si>
  <si>
    <t>Zanin</t>
  </si>
  <si>
    <t>kzanin@wusd1.org</t>
  </si>
  <si>
    <t>Lomeli</t>
  </si>
  <si>
    <t>slomeli@wusd1.org</t>
  </si>
  <si>
    <t>Henling</t>
  </si>
  <si>
    <t>shenling@wusd1.org</t>
  </si>
  <si>
    <t>Bonnie Brennan School</t>
  </si>
  <si>
    <t>'090201102</t>
  </si>
  <si>
    <t>D Troy</t>
  </si>
  <si>
    <t>McReynolds</t>
  </si>
  <si>
    <t>'090201103</t>
  </si>
  <si>
    <t>Washington School</t>
  </si>
  <si>
    <t>'090201104</t>
  </si>
  <si>
    <t>Summerville</t>
  </si>
  <si>
    <t>jsummerville@winslowsd.k12.az.us</t>
  </si>
  <si>
    <t>Winslow Junior High School</t>
  </si>
  <si>
    <t>'090201105</t>
  </si>
  <si>
    <t>Winslow High School</t>
  </si>
  <si>
    <t>'090201206</t>
  </si>
  <si>
    <t>Joseph City Unified District</t>
  </si>
  <si>
    <t>'090202000</t>
  </si>
  <si>
    <t>Fields</t>
  </si>
  <si>
    <t>bryanf@jcusd.org</t>
  </si>
  <si>
    <t>stevenm@jcusd.org</t>
  </si>
  <si>
    <t>Joseph City Elementary School</t>
  </si>
  <si>
    <t>'090202001</t>
  </si>
  <si>
    <t>Hutchens</t>
  </si>
  <si>
    <t>danielh@josephcity2.az.k12.us.com</t>
  </si>
  <si>
    <t>Joseph City High School</t>
  </si>
  <si>
    <t>'090202002</t>
  </si>
  <si>
    <t>Joseph City Junior High School</t>
  </si>
  <si>
    <t>'090202003</t>
  </si>
  <si>
    <t>'090203000</t>
  </si>
  <si>
    <t>Robbie</t>
  </si>
  <si>
    <t>Koerperich</t>
  </si>
  <si>
    <t>koerp@holbrook.k12.az.us</t>
  </si>
  <si>
    <t>jfields@holbrook.k12.az.us</t>
  </si>
  <si>
    <t>NCLB / Federal Programs Coordinator</t>
  </si>
  <si>
    <t>Boyle</t>
  </si>
  <si>
    <t>jboyle@holbrook.k12.az.us</t>
  </si>
  <si>
    <t>Hancock</t>
  </si>
  <si>
    <t>chancock@holbrook.k12.az.us</t>
  </si>
  <si>
    <t>Pugh</t>
  </si>
  <si>
    <t>tpugh@holbrook.k12.az.us</t>
  </si>
  <si>
    <t>Hulet Elementary School</t>
  </si>
  <si>
    <t>'090203102</t>
  </si>
  <si>
    <t>Fosburgh</t>
  </si>
  <si>
    <t>Park Elementary School</t>
  </si>
  <si>
    <t>'090203103</t>
  </si>
  <si>
    <t>conniem@holbrook.k12.az.us</t>
  </si>
  <si>
    <t>'090203104</t>
  </si>
  <si>
    <t>Audrea</t>
  </si>
  <si>
    <t>Tomlin</t>
  </si>
  <si>
    <t>Holbrook Junior High School</t>
  </si>
  <si>
    <t>'090203106</t>
  </si>
  <si>
    <t>McKinnon</t>
  </si>
  <si>
    <t>Holbrook High School</t>
  </si>
  <si>
    <t>'090203207</t>
  </si>
  <si>
    <t>Phaturos</t>
  </si>
  <si>
    <t>phaturos@holbrook.k12.az.us</t>
  </si>
  <si>
    <t>'090204000</t>
  </si>
  <si>
    <t>Ostgaard</t>
  </si>
  <si>
    <t>COstgaard@pusdatsa.org</t>
  </si>
  <si>
    <t>Farrah</t>
  </si>
  <si>
    <t>Slim</t>
  </si>
  <si>
    <t>fslim@pusdatsa.org</t>
  </si>
  <si>
    <t>Chief Technology Officer</t>
  </si>
  <si>
    <t>jallen@pusdatsa.org</t>
  </si>
  <si>
    <t>Norm</t>
  </si>
  <si>
    <t>Purdy</t>
  </si>
  <si>
    <t>purdyn@vail.k12.az.us</t>
  </si>
  <si>
    <t>Pinon Eagles Online Academy</t>
  </si>
  <si>
    <t>'090204004</t>
  </si>
  <si>
    <t>'090204101</t>
  </si>
  <si>
    <t>'090204102</t>
  </si>
  <si>
    <t>LMChee@pusdatsa.org</t>
  </si>
  <si>
    <t>Principal - Middle School</t>
  </si>
  <si>
    <t>'090204203</t>
  </si>
  <si>
    <t>Jacquelyne</t>
  </si>
  <si>
    <t>Wauneka</t>
  </si>
  <si>
    <t>JWauneka@pusdatsa.org</t>
  </si>
  <si>
    <t>'090205000</t>
  </si>
  <si>
    <t>Hollis</t>
  </si>
  <si>
    <t>hollism@snowflake.k12.az.us</t>
  </si>
  <si>
    <t>Tenney</t>
  </si>
  <si>
    <t>ront@snowflake.k12.az.us</t>
  </si>
  <si>
    <t>Hoopes</t>
  </si>
  <si>
    <t>brianh@snowflake.k12.az.us</t>
  </si>
  <si>
    <t>Tohna</t>
  </si>
  <si>
    <t>tohnar@snowflake.k12.az.us</t>
  </si>
  <si>
    <t>Superintendent's Secretary</t>
  </si>
  <si>
    <t>Bentz</t>
  </si>
  <si>
    <t>jodyb@snowflake.k12.az.us</t>
  </si>
  <si>
    <t>Ollerton</t>
  </si>
  <si>
    <t>marko@snowflake.k12.az.us</t>
  </si>
  <si>
    <t>Brimhall</t>
  </si>
  <si>
    <t>tarab@snowflake.k12.az.us</t>
  </si>
  <si>
    <t>'090205001</t>
  </si>
  <si>
    <t>Shon</t>
  </si>
  <si>
    <t>Flake</t>
  </si>
  <si>
    <t>shonf@snowflake.k12.az.us</t>
  </si>
  <si>
    <t>Taylor Elementary School</t>
  </si>
  <si>
    <t>'090205002</t>
  </si>
  <si>
    <t>Evans</t>
  </si>
  <si>
    <t>dennis@snowflake.k12.az.us</t>
  </si>
  <si>
    <t>jeremyh@snowflake.k12.az.us</t>
  </si>
  <si>
    <t>Snowflake Junior High School</t>
  </si>
  <si>
    <t>'090205003</t>
  </si>
  <si>
    <t>klewis@snowflake.k12.az.us</t>
  </si>
  <si>
    <t>Taylor Intermediate School</t>
  </si>
  <si>
    <t>'090205004</t>
  </si>
  <si>
    <t>Muder</t>
  </si>
  <si>
    <t>debbiem@snowflake.k12.az.us</t>
  </si>
  <si>
    <t>Snowflake High School</t>
  </si>
  <si>
    <t>'090205005</t>
  </si>
  <si>
    <t>Titus</t>
  </si>
  <si>
    <t>larryt@snowflake.k12.az.us</t>
  </si>
  <si>
    <t>Highland Primary School</t>
  </si>
  <si>
    <t>'090205006</t>
  </si>
  <si>
    <t>royo@snowflake.k12.az.us</t>
  </si>
  <si>
    <t>Snowflake Preschool</t>
  </si>
  <si>
    <t>'090205007</t>
  </si>
  <si>
    <t>Heber-Overgaard Unified District</t>
  </si>
  <si>
    <t>'090206000</t>
  </si>
  <si>
    <t>ron.tenney@h-oschools.org</t>
  </si>
  <si>
    <t>Maner</t>
  </si>
  <si>
    <t>jim.maner@h-oschools.org</t>
  </si>
  <si>
    <t>Principal - Special Education Director</t>
  </si>
  <si>
    <t>Samon</t>
  </si>
  <si>
    <t>Mountain Meadows Primary</t>
  </si>
  <si>
    <t>'090206101</t>
  </si>
  <si>
    <t>Slade</t>
  </si>
  <si>
    <t>tim.slade@h-oSchools.org</t>
  </si>
  <si>
    <t>Capps Elementary School</t>
  </si>
  <si>
    <t>'090206102</t>
  </si>
  <si>
    <t>tim.slade@h-oschools.org</t>
  </si>
  <si>
    <t>Tomlinson</t>
  </si>
  <si>
    <t>928-535-46</t>
  </si>
  <si>
    <t>laura.tomlinson@h-oschools.org</t>
  </si>
  <si>
    <t>Mogollon Jr High School</t>
  </si>
  <si>
    <t>'090206103</t>
  </si>
  <si>
    <t>rtenney@h-o.k12.az.us</t>
  </si>
  <si>
    <t>tim.slade@h-o.k12.az.us</t>
  </si>
  <si>
    <t>Mogollon High School</t>
  </si>
  <si>
    <t>'090206201</t>
  </si>
  <si>
    <t>Show Low Unified District</t>
  </si>
  <si>
    <t>'090210000</t>
  </si>
  <si>
    <t>Shad</t>
  </si>
  <si>
    <t>Housley</t>
  </si>
  <si>
    <t>Shad.Housley@showlow.education</t>
  </si>
  <si>
    <t>tina.gray@showlow.education</t>
  </si>
  <si>
    <t>Schubert</t>
  </si>
  <si>
    <t>Greg.Schubert@showlow.education</t>
  </si>
  <si>
    <t>Venessa</t>
  </si>
  <si>
    <t>Beecroft</t>
  </si>
  <si>
    <t>venessa.beecroft@showlow.education</t>
  </si>
  <si>
    <t>shawn.west@showlow.education</t>
  </si>
  <si>
    <t>Galbreath</t>
  </si>
  <si>
    <t>shirleyg@show-low.k12.az.us</t>
  </si>
  <si>
    <t>Holladay</t>
  </si>
  <si>
    <t>DonnaH@show-low.k12.az.us</t>
  </si>
  <si>
    <t>Software Support Specialist</t>
  </si>
  <si>
    <t>Show Low Preschool</t>
  </si>
  <si>
    <t>'090210001</t>
  </si>
  <si>
    <t>Whipple Ranch Elementary School</t>
  </si>
  <si>
    <t>'090210111</t>
  </si>
  <si>
    <t>royo@show-low.k12.az.us</t>
  </si>
  <si>
    <t>Nikolaus Homestead Elementary School</t>
  </si>
  <si>
    <t>'090210115</t>
  </si>
  <si>
    <t>kevinh@show-low.k12.az.us</t>
  </si>
  <si>
    <t>Linden Elementary School</t>
  </si>
  <si>
    <t>'090210116</t>
  </si>
  <si>
    <t>kimp@show-low.k12.az.us</t>
  </si>
  <si>
    <t>Bortin</t>
  </si>
  <si>
    <t>kevinbo@show-low.k12.az.us</t>
  </si>
  <si>
    <t>Show Low Junior High School</t>
  </si>
  <si>
    <t>'090210120</t>
  </si>
  <si>
    <t>kbortin@gmail.com</t>
  </si>
  <si>
    <t>Show Low High School</t>
  </si>
  <si>
    <t>'090210225</t>
  </si>
  <si>
    <t>farrella@show-low.k12.az.us</t>
  </si>
  <si>
    <t>White Mountain Institute</t>
  </si>
  <si>
    <t>'090210226</t>
  </si>
  <si>
    <t>WMI ON LINE</t>
  </si>
  <si>
    <t>'090210227</t>
  </si>
  <si>
    <t>Seaman</t>
  </si>
  <si>
    <t>mikes@show-low.k12.az.us</t>
  </si>
  <si>
    <t>'090220000</t>
  </si>
  <si>
    <t>Sandie</t>
  </si>
  <si>
    <t>Sedillo</t>
  </si>
  <si>
    <t>ssedillo@wusd.us</t>
  </si>
  <si>
    <t>Pierre</t>
  </si>
  <si>
    <t>pdehombreux@wusd.us</t>
  </si>
  <si>
    <t>Technology Director</t>
  </si>
  <si>
    <t>Delyana</t>
  </si>
  <si>
    <t>Zhelev</t>
  </si>
  <si>
    <t>Delyana.Zhelev@wusd.us</t>
  </si>
  <si>
    <t>Dir of Student Info Systems</t>
  </si>
  <si>
    <t>'090220101</t>
  </si>
  <si>
    <t>Plath</t>
  </si>
  <si>
    <t>jplath@wusd.us</t>
  </si>
  <si>
    <t>Kasey</t>
  </si>
  <si>
    <t>bkasey@wusd.us</t>
  </si>
  <si>
    <t>'090220103</t>
  </si>
  <si>
    <t>jay.cox@wusd.us</t>
  </si>
  <si>
    <t>Vajra</t>
  </si>
  <si>
    <t>Vajra.Miller@wusd.us</t>
  </si>
  <si>
    <t>'090220106</t>
  </si>
  <si>
    <t>Castleberry</t>
  </si>
  <si>
    <t>pcastleberry@wusd.k12.az.us</t>
  </si>
  <si>
    <t>Warwick</t>
  </si>
  <si>
    <t>Virginia.warwick@wusd.us</t>
  </si>
  <si>
    <t>'090220107</t>
  </si>
  <si>
    <t>chad.greer@wusd.us</t>
  </si>
  <si>
    <t>'090220204</t>
  </si>
  <si>
    <t>Leeann</t>
  </si>
  <si>
    <t>Lacapa</t>
  </si>
  <si>
    <t>llacapa@wusd.us</t>
  </si>
  <si>
    <t>Swearengin</t>
  </si>
  <si>
    <t>richard.swearengin@wusd.us</t>
  </si>
  <si>
    <t>Blue Ridge K-12 Virtual Academy</t>
  </si>
  <si>
    <t>'090223106</t>
  </si>
  <si>
    <t>Ford</t>
  </si>
  <si>
    <t>mford@brusd.org</t>
  </si>
  <si>
    <t>Pico</t>
  </si>
  <si>
    <t>bpico@brusd.org</t>
  </si>
  <si>
    <t>Director of Native American Education and Grants</t>
  </si>
  <si>
    <t>mwright@brusd.org</t>
  </si>
  <si>
    <t>bthomas@brusd.org</t>
  </si>
  <si>
    <t>'090225000</t>
  </si>
  <si>
    <t>Daniels</t>
  </si>
  <si>
    <t>cindydaniels@msn.com</t>
  </si>
  <si>
    <t>Noggle</t>
  </si>
  <si>
    <t>dnoggle@CUSD25.K12.AZ.US</t>
  </si>
  <si>
    <t>hbegay@cusd25.k12.az.us</t>
  </si>
  <si>
    <t>Yazzie-Sloan</t>
  </si>
  <si>
    <t>nyazzie-sloan@cedarusd.org</t>
  </si>
  <si>
    <t>jjames@cedarusd.org</t>
  </si>
  <si>
    <t>business manager</t>
  </si>
  <si>
    <t>Corrina</t>
  </si>
  <si>
    <t>cbegay@cedarusd.org</t>
  </si>
  <si>
    <t>Haven</t>
  </si>
  <si>
    <t>bhaven@cusd25.k12.az.us</t>
  </si>
  <si>
    <t>Yellowhair</t>
  </si>
  <si>
    <t>pyellowhair@cusd25.k12.az.us</t>
  </si>
  <si>
    <t>'090225001</t>
  </si>
  <si>
    <t>kthomson@cusd25.k12.az.us</t>
  </si>
  <si>
    <t>Danny</t>
  </si>
  <si>
    <t>dwright@cusd25.k12.az.us</t>
  </si>
  <si>
    <t>White Cone High School</t>
  </si>
  <si>
    <t>'090225200</t>
  </si>
  <si>
    <t>gmattice@WhiteCone.org</t>
  </si>
  <si>
    <t>Jumper</t>
  </si>
  <si>
    <t>sjumper@cusd25.k12.az.us</t>
  </si>
  <si>
    <t>'090227000</t>
  </si>
  <si>
    <t>Gilmore</t>
  </si>
  <si>
    <t>Jack.Gilmore@kayenta.k12.az.us</t>
  </si>
  <si>
    <t>henrietta.keyannie@kayenta.k12.az.us</t>
  </si>
  <si>
    <t>CW</t>
  </si>
  <si>
    <t>cw.payne4@outlook.com</t>
  </si>
  <si>
    <t>michael.carbone@kayenta.k12.az.us</t>
  </si>
  <si>
    <t>Dayzie</t>
  </si>
  <si>
    <t>ruth.dayzie@kayenta.k12.az.us</t>
  </si>
  <si>
    <t>'090227102</t>
  </si>
  <si>
    <t>Hawley</t>
  </si>
  <si>
    <t>david.hawley@kayenta.k12.az.us</t>
  </si>
  <si>
    <t>Lelvis</t>
  </si>
  <si>
    <t>Gregory.lelvis@kayenta.k12.az.us</t>
  </si>
  <si>
    <t>'090227103</t>
  </si>
  <si>
    <t>Andree.Matthews@kayenta.k12.az.us</t>
  </si>
  <si>
    <t>hubbell-Espinosa</t>
  </si>
  <si>
    <t>Marsha.hubbel-espinoza@kayenta.k12.az.us</t>
  </si>
  <si>
    <t>'090227201</t>
  </si>
  <si>
    <t>jack.gilmore@kayenta.k12.az.us</t>
  </si>
  <si>
    <t>Blue Ridge Unified School District No. 32</t>
  </si>
  <si>
    <t>'090232000</t>
  </si>
  <si>
    <t>Mizner</t>
  </si>
  <si>
    <t>rmizner@brusd.org</t>
  </si>
  <si>
    <t>Manager of Finance Support</t>
  </si>
  <si>
    <t>Aguilera</t>
  </si>
  <si>
    <t>daguilera@brusd.org</t>
  </si>
  <si>
    <t>Director of Food Service and Procuremen</t>
  </si>
  <si>
    <t>Neill</t>
  </si>
  <si>
    <t>nneill@brusd.org</t>
  </si>
  <si>
    <t>SAIS Tech Coordinator</t>
  </si>
  <si>
    <t>Blue Ridge Elementary School</t>
  </si>
  <si>
    <t>'090232101</t>
  </si>
  <si>
    <t>P.</t>
  </si>
  <si>
    <t>Pullin</t>
  </si>
  <si>
    <t>rpullin@brusd.k12.az.us</t>
  </si>
  <si>
    <t>jpowell@brusd.k12.az.us</t>
  </si>
  <si>
    <t>Blue Ridge Jr High School</t>
  </si>
  <si>
    <t>'090232103</t>
  </si>
  <si>
    <t>Schalow</t>
  </si>
  <si>
    <t>gschalow@brusd.k12.az.us</t>
  </si>
  <si>
    <t>Loren</t>
  </si>
  <si>
    <t>lwebb@brusd.k12.az.us</t>
  </si>
  <si>
    <t>Blue Ridge High School Online</t>
  </si>
  <si>
    <t>'090232201</t>
  </si>
  <si>
    <t>bthomas@brusd.k12.az.us</t>
  </si>
  <si>
    <t>Director of Finance and Business Operations</t>
  </si>
  <si>
    <t>Blue Ridge High School</t>
  </si>
  <si>
    <t>'090232204</t>
  </si>
  <si>
    <t>dclark@brusd.k12.az.us</t>
  </si>
  <si>
    <t>ElementaryPrincipal</t>
  </si>
  <si>
    <t>Schimmel</t>
  </si>
  <si>
    <t>jcox@brusd.k12.az.us</t>
  </si>
  <si>
    <t>Northern Arizona Vocational Institute of Technology</t>
  </si>
  <si>
    <t>'090835000</t>
  </si>
  <si>
    <t>Weber</t>
  </si>
  <si>
    <t>mweber@navit.k12.az.us</t>
  </si>
  <si>
    <t>molly.stradling@navit.k12.az.us</t>
  </si>
  <si>
    <t>NAVIT - Snowflake High School</t>
  </si>
  <si>
    <t>'090835201</t>
  </si>
  <si>
    <t>NAVIT - Show Low High School</t>
  </si>
  <si>
    <t>'090835202</t>
  </si>
  <si>
    <t>NAVIT - Blue Ridge High School</t>
  </si>
  <si>
    <t>'090835203</t>
  </si>
  <si>
    <t>NAVIT - Round Valley High School</t>
  </si>
  <si>
    <t>'090835204</t>
  </si>
  <si>
    <t>Jerold</t>
  </si>
  <si>
    <t>Judd</t>
  </si>
  <si>
    <t>NAVIT - Mogollon High School (Heber-Overgaard)</t>
  </si>
  <si>
    <t>'090835205</t>
  </si>
  <si>
    <t>NAVIT - NAVIT Courses</t>
  </si>
  <si>
    <t>'090835206</t>
  </si>
  <si>
    <t>mclay@navit.k12.az.us</t>
  </si>
  <si>
    <t>NAVIT - St. Johns High School</t>
  </si>
  <si>
    <t>'090835207</t>
  </si>
  <si>
    <t>Barry</t>
  </si>
  <si>
    <t>NAVIT - Holbrook High School</t>
  </si>
  <si>
    <t>'090835208</t>
  </si>
  <si>
    <t>Haussman</t>
  </si>
  <si>
    <t>NAVIT - Joseph City High School</t>
  </si>
  <si>
    <t>'090835209</t>
  </si>
  <si>
    <t>NAVIT - Winslow High School</t>
  </si>
  <si>
    <t>'090835210</t>
  </si>
  <si>
    <t>NAVIT - Alchesay High School</t>
  </si>
  <si>
    <t>'090835211</t>
  </si>
  <si>
    <t>NAVIT - Northland Pioneer College WMC</t>
  </si>
  <si>
    <t>'090835212</t>
  </si>
  <si>
    <t>NAVIT - Northland Pioneer College SCC</t>
  </si>
  <si>
    <t>'090835213</t>
  </si>
  <si>
    <t>NAVIT - Northland Pioneer College PDC</t>
  </si>
  <si>
    <t>'090835214</t>
  </si>
  <si>
    <t>NAVIT - Northland Pioneer College LCC</t>
  </si>
  <si>
    <t>'090835215</t>
  </si>
  <si>
    <t>NAVIT - Northland Pioneer College STJ</t>
  </si>
  <si>
    <t>'090835216</t>
  </si>
  <si>
    <t>NAVIT - Gila Community College</t>
  </si>
  <si>
    <t>'090835217</t>
  </si>
  <si>
    <t>NAVIT - Northland Pioneer College SPE</t>
  </si>
  <si>
    <t>'090835218</t>
  </si>
  <si>
    <t>NAVIT - Payson High School</t>
  </si>
  <si>
    <t>'090835225</t>
  </si>
  <si>
    <t>Northeast Arizona Technological Institute of Vocational Education</t>
  </si>
  <si>
    <t>'090836000</t>
  </si>
  <si>
    <t>Ronlye</t>
  </si>
  <si>
    <t>rtsosie@native.k12.az.us</t>
  </si>
  <si>
    <t>Waite</t>
  </si>
  <si>
    <t>cwaite1@frontiernet.net</t>
  </si>
  <si>
    <t>Geraldine</t>
  </si>
  <si>
    <t>gerib@native.k12.az.us</t>
  </si>
  <si>
    <t>Arlene</t>
  </si>
  <si>
    <t>Laughter</t>
  </si>
  <si>
    <t>alaughter@native.k12.az.us</t>
  </si>
  <si>
    <t>NATIVE - Monument Valley High School</t>
  </si>
  <si>
    <t>'090836101</t>
  </si>
  <si>
    <t>NATIVE - Pinon High School</t>
  </si>
  <si>
    <t>'090836102</t>
  </si>
  <si>
    <t>NATIVE - Chinle High School</t>
  </si>
  <si>
    <t>'090836103</t>
  </si>
  <si>
    <t>NATIVE - Ganado High School</t>
  </si>
  <si>
    <t>'090836104</t>
  </si>
  <si>
    <t>NATIVE - Red Mesa High School</t>
  </si>
  <si>
    <t>'090836105</t>
  </si>
  <si>
    <t>NATIVE - Window Rock High School</t>
  </si>
  <si>
    <t>'090836106</t>
  </si>
  <si>
    <t>NATIVE - Sanders Valley High School</t>
  </si>
  <si>
    <t>'090836107</t>
  </si>
  <si>
    <t>Shakespeare</t>
  </si>
  <si>
    <t>NATIVE - Tuba City High School</t>
  </si>
  <si>
    <t>'090836108</t>
  </si>
  <si>
    <t>Lesher</t>
  </si>
  <si>
    <t>klesher@frontiernet.net</t>
  </si>
  <si>
    <t>NATIVE - Red Valley/Cove High School</t>
  </si>
  <si>
    <t>'090836109</t>
  </si>
  <si>
    <t>klesher@native.k12.az.us</t>
  </si>
  <si>
    <t>NATIVE Central Campus</t>
  </si>
  <si>
    <t>'090836110</t>
  </si>
  <si>
    <t>'098745000</t>
  </si>
  <si>
    <t>Klara</t>
  </si>
  <si>
    <t>Everson</t>
  </si>
  <si>
    <t>keverson@naacharter.org</t>
  </si>
  <si>
    <t>Carlyle</t>
  </si>
  <si>
    <t>acarlyle@naacharter.org</t>
  </si>
  <si>
    <t>Wally</t>
  </si>
  <si>
    <t>DeWitt</t>
  </si>
  <si>
    <t>wdewitt@naacharter.org</t>
  </si>
  <si>
    <t>Antonia</t>
  </si>
  <si>
    <t>Spex</t>
  </si>
  <si>
    <t>tspex@naacharter.org</t>
  </si>
  <si>
    <t>Northern AZ Academy for Career Dev. - Taylor</t>
  </si>
  <si>
    <t>'098745204</t>
  </si>
  <si>
    <t>cjohnson@naacharter.org</t>
  </si>
  <si>
    <t>Campus Manager</t>
  </si>
  <si>
    <t>'098746000</t>
  </si>
  <si>
    <t>Dewakuku</t>
  </si>
  <si>
    <t>928-672-35</t>
  </si>
  <si>
    <t>mdewakuku@shontoprep.org</t>
  </si>
  <si>
    <t>Interim Superintendent</t>
  </si>
  <si>
    <t>Yazzie</t>
  </si>
  <si>
    <t>amyazzie@shontoprep.org</t>
  </si>
  <si>
    <t>FEDERAL PROGRAMS COORDINATOR</t>
  </si>
  <si>
    <t>cdodson@shontoprep.org</t>
  </si>
  <si>
    <t>'098746001</t>
  </si>
  <si>
    <t>CAFA, Inc. dba Learning Foundation Performing Arts School</t>
  </si>
  <si>
    <t>'098749000</t>
  </si>
  <si>
    <t>Learningfoundation@msn.com</t>
  </si>
  <si>
    <t>Executive Director/Board President</t>
  </si>
  <si>
    <t>tracey_butcher@hotmail.com</t>
  </si>
  <si>
    <t>Treasurer</t>
  </si>
  <si>
    <t>Learning Foundation</t>
  </si>
  <si>
    <t>'098749002</t>
  </si>
  <si>
    <t>Pima Accommodation District</t>
  </si>
  <si>
    <t>'100100000</t>
  </si>
  <si>
    <t>shelly.duran@capetucson.com</t>
  </si>
  <si>
    <t>Sam</t>
  </si>
  <si>
    <t>Correa</t>
  </si>
  <si>
    <t>Sam.Correa@pima.gov</t>
  </si>
  <si>
    <t>Derika</t>
  </si>
  <si>
    <t>Louk</t>
  </si>
  <si>
    <t>Derika.louk@schools.pima.gov</t>
  </si>
  <si>
    <t xml:space="preserve">Administrative Services Manager </t>
  </si>
  <si>
    <t>Patsy</t>
  </si>
  <si>
    <t>MacKenzie Novak</t>
  </si>
  <si>
    <t>Patsy.MacKenzieNovak@CAPETucson.com</t>
  </si>
  <si>
    <t xml:space="preserve">Administrative Manager  </t>
  </si>
  <si>
    <t>CAPE School-Detention</t>
  </si>
  <si>
    <t>'100100002</t>
  </si>
  <si>
    <t>CAPE School-Jail</t>
  </si>
  <si>
    <t>'100100203</t>
  </si>
  <si>
    <t>'100201000</t>
  </si>
  <si>
    <t>Lybeck</t>
  </si>
  <si>
    <t>eric.lybeck@tusd1.org</t>
  </si>
  <si>
    <t xml:space="preserve">Grants Development Manager  </t>
  </si>
  <si>
    <t>Weatherless</t>
  </si>
  <si>
    <t>Irene.weatherless@tusd1.org</t>
  </si>
  <si>
    <t>gabriel.trujillo@tusd1.org</t>
  </si>
  <si>
    <t>Mueller</t>
  </si>
  <si>
    <t>Nancy.Mueller@tusd1.org</t>
  </si>
  <si>
    <t>Sr. Budget Analyst, Finance</t>
  </si>
  <si>
    <t>Laura N. Banks Elementary</t>
  </si>
  <si>
    <t>'100201120</t>
  </si>
  <si>
    <t>'100201125</t>
  </si>
  <si>
    <t>kelly.mack@tusd1.org</t>
  </si>
  <si>
    <t>'100201128</t>
  </si>
  <si>
    <t>Brunenkant</t>
  </si>
  <si>
    <t>lucinda.brunenkant@tusd1.org</t>
  </si>
  <si>
    <t>'100201131</t>
  </si>
  <si>
    <t>Schlasvone</t>
  </si>
  <si>
    <t>frank.schiavone@tusd1.org</t>
  </si>
  <si>
    <t>Booth Magnet Elementary School</t>
  </si>
  <si>
    <t>'100201137</t>
  </si>
  <si>
    <t>Borman Elementary School</t>
  </si>
  <si>
    <t>'100201140</t>
  </si>
  <si>
    <t>Sisler</t>
  </si>
  <si>
    <t>Katherine.Sisler@tusd1.org</t>
  </si>
  <si>
    <t>Borton Primary Magnet School</t>
  </si>
  <si>
    <t>'100201143</t>
  </si>
  <si>
    <t>denice.contreras@tusd1.org</t>
  </si>
  <si>
    <t>Carrillo Intermediate Magnet School</t>
  </si>
  <si>
    <t>'100201161</t>
  </si>
  <si>
    <t>'100201167</t>
  </si>
  <si>
    <t>Leeson</t>
  </si>
  <si>
    <t>carol.leeson@tusd1.org</t>
  </si>
  <si>
    <t>'100201170</t>
  </si>
  <si>
    <t>Langford</t>
  </si>
  <si>
    <t>lisa.langford@tusd1.org</t>
  </si>
  <si>
    <t>Cragin Elementary School</t>
  </si>
  <si>
    <t>'100201179</t>
  </si>
  <si>
    <t>Steele</t>
  </si>
  <si>
    <t>andrea.steele@tusd1.org</t>
  </si>
  <si>
    <t>Davidson Elementary School</t>
  </si>
  <si>
    <t>'100201185</t>
  </si>
  <si>
    <t>Andricopoulos</t>
  </si>
  <si>
    <t>sarah.andricopoulos@tusd1.org</t>
  </si>
  <si>
    <t>Davis Bilingual Magnet School</t>
  </si>
  <si>
    <t>'100201191</t>
  </si>
  <si>
    <t>Mary Meredith K-12 School</t>
  </si>
  <si>
    <t>'100201195</t>
  </si>
  <si>
    <t>Tenace</t>
  </si>
  <si>
    <t>theresa.tenace@tusd1.org</t>
  </si>
  <si>
    <t>'100201197</t>
  </si>
  <si>
    <t>Drachman Primary Magnet School</t>
  </si>
  <si>
    <t>'100201203</t>
  </si>
  <si>
    <t>Jesus.celaya@tusd1.org</t>
  </si>
  <si>
    <t>Dunham Elementary School</t>
  </si>
  <si>
    <t>'100201211</t>
  </si>
  <si>
    <t>Kathleen.Chandler@tusd1.org</t>
  </si>
  <si>
    <t>Irene Erickson Elementary School</t>
  </si>
  <si>
    <t>'100201215</t>
  </si>
  <si>
    <t>Dardis</t>
  </si>
  <si>
    <t>leah.dardis@tusd1.org</t>
  </si>
  <si>
    <t>erin.pier@tusd1.org</t>
  </si>
  <si>
    <t xml:space="preserve">Office Manager </t>
  </si>
  <si>
    <t>Ford Elementary</t>
  </si>
  <si>
    <t>'100201218</t>
  </si>
  <si>
    <t>Fruchthendler Elementary School</t>
  </si>
  <si>
    <t>'100201225</t>
  </si>
  <si>
    <t>mary.anderson@tusd1.org</t>
  </si>
  <si>
    <t>Florian</t>
  </si>
  <si>
    <t>laura.florian@tusd1.org</t>
  </si>
  <si>
    <t>Gale Elementary School</t>
  </si>
  <si>
    <t>'100201228</t>
  </si>
  <si>
    <t>Osollo</t>
  </si>
  <si>
    <t>Kathy.Osollo@tusd1.org</t>
  </si>
  <si>
    <t>'100201231</t>
  </si>
  <si>
    <t>Grivois-Shaw</t>
  </si>
  <si>
    <t>timothy.grivois-shah@tusd1.org</t>
  </si>
  <si>
    <t>'100201233</t>
  </si>
  <si>
    <t>Anna Henry Elementary School</t>
  </si>
  <si>
    <t>'100201238</t>
  </si>
  <si>
    <t>Thomas.Heminger@tusd1.org</t>
  </si>
  <si>
    <t>'100201239</t>
  </si>
  <si>
    <t>Tonya</t>
  </si>
  <si>
    <t>Stozier</t>
  </si>
  <si>
    <t>Tonya.Stozier@tusd1.org</t>
  </si>
  <si>
    <t>Howell Peter Elementary</t>
  </si>
  <si>
    <t>'100201245</t>
  </si>
  <si>
    <t>Jaquetta</t>
  </si>
  <si>
    <t>jaquetta.alexander@tusd1.org</t>
  </si>
  <si>
    <t>Hudlow Elementary School</t>
  </si>
  <si>
    <t>'100201251</t>
  </si>
  <si>
    <t>LaRochelle</t>
  </si>
  <si>
    <t>cheri.larochelle@tusd1.org</t>
  </si>
  <si>
    <t>Sam Hughes Elementary</t>
  </si>
  <si>
    <t>'100201257</t>
  </si>
  <si>
    <t>Bolasky</t>
  </si>
  <si>
    <t>Kathryn.Bolasky@tusd1.org</t>
  </si>
  <si>
    <t>Harriet Johnson Primary School</t>
  </si>
  <si>
    <t>'100201266</t>
  </si>
  <si>
    <t>Annie Kellond Elementary School</t>
  </si>
  <si>
    <t>'100201275</t>
  </si>
  <si>
    <t>Meneguin</t>
  </si>
  <si>
    <t>brenda.meneguin@tusd1.org</t>
  </si>
  <si>
    <t>'100201277</t>
  </si>
  <si>
    <t>Zulema</t>
  </si>
  <si>
    <t>Stanbrook</t>
  </si>
  <si>
    <t>Zulema.Stanbrook@tusd1.org</t>
  </si>
  <si>
    <t>Lineweaver Elementary School</t>
  </si>
  <si>
    <t>'100201281</t>
  </si>
  <si>
    <t>Lynn Urquides</t>
  </si>
  <si>
    <t>'100201287</t>
  </si>
  <si>
    <t>Marisa</t>
  </si>
  <si>
    <t>Salcido</t>
  </si>
  <si>
    <t>Marisa.Salcido@tusd1.org</t>
  </si>
  <si>
    <t>Maldonado Amelia Elementary School</t>
  </si>
  <si>
    <t>'100201290</t>
  </si>
  <si>
    <t>Manzo Elementary School</t>
  </si>
  <si>
    <t>'100201293</t>
  </si>
  <si>
    <t>LaTurco</t>
  </si>
  <si>
    <t>Steven.LaTurco@tusd1.org</t>
  </si>
  <si>
    <t>Marshall Elementary School</t>
  </si>
  <si>
    <t>'100201295</t>
  </si>
  <si>
    <t>Loya</t>
  </si>
  <si>
    <t>Christopher.Loya@tusd1.org</t>
  </si>
  <si>
    <t>Miles-Exploratory Learning Center</t>
  </si>
  <si>
    <t>'100201305</t>
  </si>
  <si>
    <t>Miller Elementary School</t>
  </si>
  <si>
    <t>'100201308</t>
  </si>
  <si>
    <t>Maricella</t>
  </si>
  <si>
    <t>Marisela.Carranza@tusd1.org</t>
  </si>
  <si>
    <t>'100201311</t>
  </si>
  <si>
    <t>Calkins</t>
  </si>
  <si>
    <t>Sandra.Calkins@tusd1.org</t>
  </si>
  <si>
    <t>'100201317</t>
  </si>
  <si>
    <t>'100201323</t>
  </si>
  <si>
    <t>RosaMaria</t>
  </si>
  <si>
    <t>DuarteRaub</t>
  </si>
  <si>
    <t>Rosamaria.DuarteRaub@tusd1.org</t>
  </si>
  <si>
    <t>Henry Hank Oyama</t>
  </si>
  <si>
    <t>'100201327</t>
  </si>
  <si>
    <t>Christopherson</t>
  </si>
  <si>
    <t>tamara.christopherson@tusd1.org</t>
  </si>
  <si>
    <t>Pueblo Gardens Elementary</t>
  </si>
  <si>
    <t>'100201329</t>
  </si>
  <si>
    <t>Robins Elementary School</t>
  </si>
  <si>
    <t>'100201351</t>
  </si>
  <si>
    <t>chandra.thomas@tusd1.org</t>
  </si>
  <si>
    <t>Paulina</t>
  </si>
  <si>
    <t>paulina.payne@tusd1.org</t>
  </si>
  <si>
    <t>'100201353</t>
  </si>
  <si>
    <t>'100201371</t>
  </si>
  <si>
    <t>Carmona-Alday</t>
  </si>
  <si>
    <t>alma.carmona@tusd1.org</t>
  </si>
  <si>
    <t>W Arthur Sewel Elementary School</t>
  </si>
  <si>
    <t>'100201395</t>
  </si>
  <si>
    <t>Jewett</t>
  </si>
  <si>
    <t>robert.jewett@tusd1.org</t>
  </si>
  <si>
    <t>Soleng Tom Elementary School</t>
  </si>
  <si>
    <t>'100201410</t>
  </si>
  <si>
    <t>Sonnleitner</t>
  </si>
  <si>
    <t>theresa.sonnleitner@tusd1.org</t>
  </si>
  <si>
    <t>Harold Steele Elementary School</t>
  </si>
  <si>
    <t>'100201413</t>
  </si>
  <si>
    <t>Tolson Elementary School</t>
  </si>
  <si>
    <t>'100201417</t>
  </si>
  <si>
    <t>Ryan.Wilson@tusd1.org</t>
  </si>
  <si>
    <t>'100201419</t>
  </si>
  <si>
    <t>'100201431</t>
  </si>
  <si>
    <t>Roberto</t>
  </si>
  <si>
    <t>Roberto.Thompson@tusd1.org</t>
  </si>
  <si>
    <t>Cortez</t>
  </si>
  <si>
    <t>karla.cortez@tusd1.org</t>
  </si>
  <si>
    <t>Vesey Elementary School</t>
  </si>
  <si>
    <t>'100201435</t>
  </si>
  <si>
    <t>Uhrig</t>
  </si>
  <si>
    <t>Jeffrey.Uhrig@tusd1.org</t>
  </si>
  <si>
    <t>lori.myers@tusd1.org</t>
  </si>
  <si>
    <t>Frances J Warren Elementary School</t>
  </si>
  <si>
    <t>'100201440</t>
  </si>
  <si>
    <t>Wheeler Elementary School</t>
  </si>
  <si>
    <t>'100201443</t>
  </si>
  <si>
    <t>John E White Elementary School</t>
  </si>
  <si>
    <t>'100201449</t>
  </si>
  <si>
    <t>marco.ruiz@tusd1.org</t>
  </si>
  <si>
    <t>W V Whitmore Elementary School</t>
  </si>
  <si>
    <t>'100201455</t>
  </si>
  <si>
    <t>Figueroa</t>
  </si>
  <si>
    <t>jennifer.figueroa@tusd1.org</t>
  </si>
  <si>
    <t>'100201461</t>
  </si>
  <si>
    <t>Ida Flood Dodge Traditional Middle Magnet School</t>
  </si>
  <si>
    <t>'100201502</t>
  </si>
  <si>
    <t>'100201505</t>
  </si>
  <si>
    <t>venessa.morales@tusd1.org</t>
  </si>
  <si>
    <t>Booth-Fickett Math/Science Magnet School</t>
  </si>
  <si>
    <t>'100201510</t>
  </si>
  <si>
    <t>Gridley Middle School</t>
  </si>
  <si>
    <t>'100201511</t>
  </si>
  <si>
    <t>Ortiz-Montoya</t>
  </si>
  <si>
    <t>rosanna.ortizmontoya@tusd1.org</t>
  </si>
  <si>
    <t>Magee Middle School</t>
  </si>
  <si>
    <t>'100201515</t>
  </si>
  <si>
    <t>Mansfeld Middle Magnet School</t>
  </si>
  <si>
    <t>'100201520</t>
  </si>
  <si>
    <t>Morgan Maxwell School</t>
  </si>
  <si>
    <t>'100201521</t>
  </si>
  <si>
    <t>Ortiz Montoya</t>
  </si>
  <si>
    <t>McCorkle PK-8</t>
  </si>
  <si>
    <t>'100201523</t>
  </si>
  <si>
    <t>Thiffault</t>
  </si>
  <si>
    <t>Sandra.thiffault@tusd1.org</t>
  </si>
  <si>
    <t>'100201525</t>
  </si>
  <si>
    <t>Bernadette</t>
  </si>
  <si>
    <t>Rosthenhausler Espinoza</t>
  </si>
  <si>
    <t>Bernasette.RosthenhauslerEspinoza@tusd1.org</t>
  </si>
  <si>
    <t>Pistor Middle School</t>
  </si>
  <si>
    <t>'100201527</t>
  </si>
  <si>
    <t>'100201535</t>
  </si>
  <si>
    <t>steve.gabaldon@tusd1.org</t>
  </si>
  <si>
    <t>'100201537</t>
  </si>
  <si>
    <t>Deborah.Garcia@tusd1.org</t>
  </si>
  <si>
    <t>'100201550</t>
  </si>
  <si>
    <t>Dunbar</t>
  </si>
  <si>
    <t>robin.dunbar@tusd1.org</t>
  </si>
  <si>
    <t>Alice Vail Middle School</t>
  </si>
  <si>
    <t>'100201555</t>
  </si>
  <si>
    <t>Nicolosi</t>
  </si>
  <si>
    <t>Tamara.Nicolosi@tusd1.org</t>
  </si>
  <si>
    <t>'100201557</t>
  </si>
  <si>
    <t>Patricia.acosta@tusd1.org</t>
  </si>
  <si>
    <t>Wakefield Middle School</t>
  </si>
  <si>
    <t>'100201560</t>
  </si>
  <si>
    <t>Roskruge Bilingual Magnet Middle School</t>
  </si>
  <si>
    <t>'100201595</t>
  </si>
  <si>
    <t>Yvonne.Torres@tusd1.org</t>
  </si>
  <si>
    <t>'100201610</t>
  </si>
  <si>
    <t>Antasio</t>
  </si>
  <si>
    <t>Holley</t>
  </si>
  <si>
    <t>antasio.holley@tusd1.org</t>
  </si>
  <si>
    <t>Geoff.Parks@tusd1.org</t>
  </si>
  <si>
    <t>Cholla High School</t>
  </si>
  <si>
    <t>'100201615</t>
  </si>
  <si>
    <t>Frank.Armenta@tusd1.org</t>
  </si>
  <si>
    <t>Bulleigh</t>
  </si>
  <si>
    <t>tara.bulleigh@tusd1.org</t>
  </si>
  <si>
    <t>Tariq</t>
  </si>
  <si>
    <t>Rasool</t>
  </si>
  <si>
    <t>tariq.rasool@tusd1.org</t>
  </si>
  <si>
    <t>Asssistant Principal</t>
  </si>
  <si>
    <t>Palo Verde High Magnet School</t>
  </si>
  <si>
    <t>'100201620</t>
  </si>
  <si>
    <t>Brock</t>
  </si>
  <si>
    <t>erik.brock@tusd1.org</t>
  </si>
  <si>
    <t>'100201630</t>
  </si>
  <si>
    <t>Rincon High School</t>
  </si>
  <si>
    <t>'100201640</t>
  </si>
  <si>
    <t>Sabino High School</t>
  </si>
  <si>
    <t>'100201645</t>
  </si>
  <si>
    <t>Doty</t>
  </si>
  <si>
    <t>Sahuaro High School</t>
  </si>
  <si>
    <t>'100201650</t>
  </si>
  <si>
    <t>Estrella</t>
  </si>
  <si>
    <t>roberto.estrella@tusd1.org</t>
  </si>
  <si>
    <t>Santa Rita High School</t>
  </si>
  <si>
    <t>'100201655</t>
  </si>
  <si>
    <t>tamara.ray@tusd1.org</t>
  </si>
  <si>
    <t>Tucson Magnet High School</t>
  </si>
  <si>
    <t>'100201660</t>
  </si>
  <si>
    <t>Shawna.rodriguez@tusd1.org</t>
  </si>
  <si>
    <t>Project More High School</t>
  </si>
  <si>
    <t>'100201674</t>
  </si>
  <si>
    <t>Israel</t>
  </si>
  <si>
    <t>Macias-Reyes</t>
  </si>
  <si>
    <t>Israel.maciasreyes@tusd1.org</t>
  </si>
  <si>
    <t>'100201675</t>
  </si>
  <si>
    <t>Cislak</t>
  </si>
  <si>
    <t>Amy.cislak@tusd1.org</t>
  </si>
  <si>
    <t>Teenage Parent Program - TAPP</t>
  </si>
  <si>
    <t>'100201676</t>
  </si>
  <si>
    <t>Dudley</t>
  </si>
  <si>
    <t>anne.dudley@tusd1.org</t>
  </si>
  <si>
    <t>Innovation Tech High School</t>
  </si>
  <si>
    <t>'100201683</t>
  </si>
  <si>
    <t>Catalina Online Learning Experience</t>
  </si>
  <si>
    <t>'100201684</t>
  </si>
  <si>
    <t>Wings on Words Preschool</t>
  </si>
  <si>
    <t>'100201905</t>
  </si>
  <si>
    <t>'100206000</t>
  </si>
  <si>
    <t>Dumler</t>
  </si>
  <si>
    <t>C.M.Dumler@maranausd.org</t>
  </si>
  <si>
    <t>Asst. SPED Superintendent</t>
  </si>
  <si>
    <t>d.d.wilson@maranausd.org</t>
  </si>
  <si>
    <t>Reidy</t>
  </si>
  <si>
    <t>k.l.reidy@maranausd.org</t>
  </si>
  <si>
    <t>Contorno</t>
  </si>
  <si>
    <t>D.J.Contorno@maranausd.org</t>
  </si>
  <si>
    <t>Bellew</t>
  </si>
  <si>
    <t>K.A.Bellew@maranausd.org</t>
  </si>
  <si>
    <t>S.L.Adams@maranausd.org</t>
  </si>
  <si>
    <t>Data Integrity</t>
  </si>
  <si>
    <t>A. C. E.</t>
  </si>
  <si>
    <t>'100206038</t>
  </si>
  <si>
    <t>MCAT High School</t>
  </si>
  <si>
    <t>'100206045</t>
  </si>
  <si>
    <t>Coronado</t>
  </si>
  <si>
    <t>d.m.coronado@maranausd.org</t>
  </si>
  <si>
    <t>Marana Distance Learning</t>
  </si>
  <si>
    <t>'100206050</t>
  </si>
  <si>
    <t>d.j.contorno@maranausd.org</t>
  </si>
  <si>
    <t>Degrazia Elementary School</t>
  </si>
  <si>
    <t>'100206111</t>
  </si>
  <si>
    <t>Bauschka</t>
  </si>
  <si>
    <t>M.J.Bauschka@maranausd.org</t>
  </si>
  <si>
    <t>Marjorie W Estes Elementary School</t>
  </si>
  <si>
    <t>'100206112</t>
  </si>
  <si>
    <t>Frederick</t>
  </si>
  <si>
    <t>C.B.Frederick@maranausd.org</t>
  </si>
  <si>
    <t>Butterfield Elementary School</t>
  </si>
  <si>
    <t>'100206114</t>
  </si>
  <si>
    <t>Bayne</t>
  </si>
  <si>
    <t>j.j.bayne@maranausd.org</t>
  </si>
  <si>
    <t>'100206115</t>
  </si>
  <si>
    <t>Brewer</t>
  </si>
  <si>
    <t>K.M.Brewer@maranausd.org</t>
  </si>
  <si>
    <t>Picture Rocks Elementary</t>
  </si>
  <si>
    <t>'100206116</t>
  </si>
  <si>
    <t>O-Hara-Perkins</t>
  </si>
  <si>
    <t>M.L.OHara@maranausd.org</t>
  </si>
  <si>
    <t>'100206117</t>
  </si>
  <si>
    <t>a.z.johnson@maranausd.org</t>
  </si>
  <si>
    <t>'100206118</t>
  </si>
  <si>
    <t>Divijak</t>
  </si>
  <si>
    <t>A.L.Divijak@maranausd.org</t>
  </si>
  <si>
    <t>Coyote Trail Elementary School</t>
  </si>
  <si>
    <t>'100206119</t>
  </si>
  <si>
    <t>d.a.johnson@maranausd.org</t>
  </si>
  <si>
    <t>Twin Peaks Elementary School</t>
  </si>
  <si>
    <t>'100206121</t>
  </si>
  <si>
    <t>Dondi</t>
  </si>
  <si>
    <t>Luce</t>
  </si>
  <si>
    <t>D.L.Luce@maranausd.org</t>
  </si>
  <si>
    <t>Rattlesnake Ridge Elementary</t>
  </si>
  <si>
    <t>'100206122</t>
  </si>
  <si>
    <t>Abney</t>
  </si>
  <si>
    <t>M.B.Abney@maranausd.org</t>
  </si>
  <si>
    <t>Gladden Farms Elementary</t>
  </si>
  <si>
    <t>'100206123</t>
  </si>
  <si>
    <t>Paddock</t>
  </si>
  <si>
    <t>n.l.paddock@maranausd.org</t>
  </si>
  <si>
    <t>Dove Mountain K-8</t>
  </si>
  <si>
    <t>'100206124</t>
  </si>
  <si>
    <t>a.l.divijak@maranausd.org</t>
  </si>
  <si>
    <t>Marana Middle School</t>
  </si>
  <si>
    <t>'100206130</t>
  </si>
  <si>
    <t>L.R.Prouty@maranausd.org</t>
  </si>
  <si>
    <t>Lerona</t>
  </si>
  <si>
    <t>Dickson</t>
  </si>
  <si>
    <t>L.L.Dickson@maranausd.org</t>
  </si>
  <si>
    <t>Tortolita Middle School</t>
  </si>
  <si>
    <t>'100206131</t>
  </si>
  <si>
    <t>Rex</t>
  </si>
  <si>
    <t>r.e.scott@maranausd.org</t>
  </si>
  <si>
    <t>Marana High School</t>
  </si>
  <si>
    <t>'100206240</t>
  </si>
  <si>
    <t>Mandel</t>
  </si>
  <si>
    <t>D.P.Mandel@maranausd.org</t>
  </si>
  <si>
    <t>'100206241</t>
  </si>
  <si>
    <t>Garelick</t>
  </si>
  <si>
    <t>T.S.Garelick@maranausd.org</t>
  </si>
  <si>
    <t>'100208000</t>
  </si>
  <si>
    <t>david.baker@fwusd.org</t>
  </si>
  <si>
    <t>Kimberley</t>
  </si>
  <si>
    <t>Parkinson</t>
  </si>
  <si>
    <t>kimberley.parkinson@fwusd.org</t>
  </si>
  <si>
    <t>Stoltzfus</t>
  </si>
  <si>
    <t>kevin.stoltzfus@fwusd.org</t>
  </si>
  <si>
    <t>Trueblood</t>
  </si>
  <si>
    <t>stacy.trueblood@fwusd.org</t>
  </si>
  <si>
    <t>Director of Business and Finance</t>
  </si>
  <si>
    <t>Quijada</t>
  </si>
  <si>
    <t>Laura.Quijada@fwusd.org</t>
  </si>
  <si>
    <t>Student Information System Specialist</t>
  </si>
  <si>
    <t>Miguel</t>
  </si>
  <si>
    <t>Escalante</t>
  </si>
  <si>
    <t>miguel.escalante@fwusd.org</t>
  </si>
  <si>
    <t>District Technology Administrator</t>
  </si>
  <si>
    <t>Sentinel Peak High School</t>
  </si>
  <si>
    <t>'100208020</t>
  </si>
  <si>
    <t>Schmidt</t>
  </si>
  <si>
    <t>alan.schmidt@fwusd.org</t>
  </si>
  <si>
    <t>Emily Meschter Early Learning Center</t>
  </si>
  <si>
    <t>'100208105</t>
  </si>
  <si>
    <t>Olsen</t>
  </si>
  <si>
    <t>snyderr@flowingwells.k12.az.us</t>
  </si>
  <si>
    <t>Shinn</t>
  </si>
  <si>
    <t>shinns@flowingwells.k12.az.us</t>
  </si>
  <si>
    <t>'100208110</t>
  </si>
  <si>
    <t>pattonl@flowingwells.k12.az.us</t>
  </si>
  <si>
    <t>kristine.dale@fwusd.org</t>
  </si>
  <si>
    <t>Homer Davis Elementary School</t>
  </si>
  <si>
    <t>'100208120</t>
  </si>
  <si>
    <t>Chad.Miller@fwusd.org</t>
  </si>
  <si>
    <t>Douglas Elementary School</t>
  </si>
  <si>
    <t>'100208130</t>
  </si>
  <si>
    <t>J Robert Hendricks Elementary School</t>
  </si>
  <si>
    <t>'100208140</t>
  </si>
  <si>
    <t>peter.wells@fwusd.org</t>
  </si>
  <si>
    <t>'100208150</t>
  </si>
  <si>
    <t>Jacqueline.Camacho@fwusd.org</t>
  </si>
  <si>
    <t>Robert Richardson Elementary School</t>
  </si>
  <si>
    <t>'100208160</t>
  </si>
  <si>
    <t>Lyle</t>
  </si>
  <si>
    <t>dunbarl@flowingwells.k12.az.us</t>
  </si>
  <si>
    <t>Flowing Wells Junior High School</t>
  </si>
  <si>
    <t>'100208170</t>
  </si>
  <si>
    <t>Flowing Wells High School</t>
  </si>
  <si>
    <t>'100208210</t>
  </si>
  <si>
    <t>james.brunenkant@fwusd.org</t>
  </si>
  <si>
    <t>Linker</t>
  </si>
  <si>
    <t>henry.linker@fwusd.org</t>
  </si>
  <si>
    <t>Flowing Wells Digital Campus</t>
  </si>
  <si>
    <t>'100208290</t>
  </si>
  <si>
    <t>'100210000</t>
  </si>
  <si>
    <t>tjaeger@amphi.com</t>
  </si>
  <si>
    <t>slittle@amphi.com</t>
  </si>
  <si>
    <t>Mansouri</t>
  </si>
  <si>
    <t>dmansouri@amphi.com</t>
  </si>
  <si>
    <t xml:space="preserve"> Interim Director of Title I</t>
  </si>
  <si>
    <t>McConnell</t>
  </si>
  <si>
    <t>Mmcconne@amphi.com</t>
  </si>
  <si>
    <t>Tong</t>
  </si>
  <si>
    <t>mtong@amphi.com</t>
  </si>
  <si>
    <t>Associate to the Superintendent and General Counsel</t>
  </si>
  <si>
    <t>Marion Donaldson Elementary School</t>
  </si>
  <si>
    <t>'100210106</t>
  </si>
  <si>
    <t>Weigold</t>
  </si>
  <si>
    <t>bweigold@amphi.com</t>
  </si>
  <si>
    <t>Winifred Harelson Elementary School</t>
  </si>
  <si>
    <t>'100210107</t>
  </si>
  <si>
    <t>Heinemann</t>
  </si>
  <si>
    <t>aheinemann@amphi.com</t>
  </si>
  <si>
    <t>Frances Owen Holaway Elementary School</t>
  </si>
  <si>
    <t>'100210108</t>
  </si>
  <si>
    <t>Ernest</t>
  </si>
  <si>
    <t>Galaz</t>
  </si>
  <si>
    <t>egalaz@amphi.com</t>
  </si>
  <si>
    <t>cgutierrez@amphi.com</t>
  </si>
  <si>
    <t>Helen Keeling Elementary School</t>
  </si>
  <si>
    <t>'100210109</t>
  </si>
  <si>
    <t>Stoner</t>
  </si>
  <si>
    <t>bstoner@amphi.com</t>
  </si>
  <si>
    <t>Tassi</t>
  </si>
  <si>
    <t>Call</t>
  </si>
  <si>
    <t>tcall@amphi.com</t>
  </si>
  <si>
    <t>'100210110</t>
  </si>
  <si>
    <t>Hehli</t>
  </si>
  <si>
    <t>rhehli@amphi.com</t>
  </si>
  <si>
    <t>'100210111</t>
  </si>
  <si>
    <t>Howe</t>
  </si>
  <si>
    <t>jhowe@amphi.com</t>
  </si>
  <si>
    <t>Sheber</t>
  </si>
  <si>
    <t>lsheber@amphi.com</t>
  </si>
  <si>
    <t>Lulu Walker School</t>
  </si>
  <si>
    <t>'100210112</t>
  </si>
  <si>
    <t>mmcconne@amphi.com</t>
  </si>
  <si>
    <t>Painted Sky Elementary School</t>
  </si>
  <si>
    <t>'100210114</t>
  </si>
  <si>
    <t>Wichers</t>
  </si>
  <si>
    <t>bwichers@amphi.com</t>
  </si>
  <si>
    <t>Coronado K-8 School</t>
  </si>
  <si>
    <t>'100210115</t>
  </si>
  <si>
    <t>Gerad</t>
  </si>
  <si>
    <t>gball@amphi.com</t>
  </si>
  <si>
    <t>Mesa Verde Elementary School</t>
  </si>
  <si>
    <t>'100210116</t>
  </si>
  <si>
    <t>Hepler</t>
  </si>
  <si>
    <t>fhepler@amphi.com</t>
  </si>
  <si>
    <t>Rio Vista Elementary School</t>
  </si>
  <si>
    <t>'100210117</t>
  </si>
  <si>
    <t>Dianna</t>
  </si>
  <si>
    <t>dkuhn@amphi.com</t>
  </si>
  <si>
    <t>'100210118</t>
  </si>
  <si>
    <t>dwalker@amphi.com</t>
  </si>
  <si>
    <t>The Innovation Academy</t>
  </si>
  <si>
    <t>'100210119</t>
  </si>
  <si>
    <t>Rillito Center</t>
  </si>
  <si>
    <t>'100210125</t>
  </si>
  <si>
    <t>Haller</t>
  </si>
  <si>
    <t>lhaller@amphi.com</t>
  </si>
  <si>
    <t>'100210165</t>
  </si>
  <si>
    <t>Gault</t>
  </si>
  <si>
    <t>ggault@amphi.com</t>
  </si>
  <si>
    <t>csulliva@amphi.com</t>
  </si>
  <si>
    <t>'100210166</t>
  </si>
  <si>
    <t>Bermudez</t>
  </si>
  <si>
    <t>cbermude@amphi.com</t>
  </si>
  <si>
    <t>Lawrence W Cross Middle School</t>
  </si>
  <si>
    <t>'100210167</t>
  </si>
  <si>
    <t>Vinyard</t>
  </si>
  <si>
    <t>rvinyard@amphi.com</t>
  </si>
  <si>
    <t>schandler@amphi.com</t>
  </si>
  <si>
    <t>Richard B Wilson Jr School</t>
  </si>
  <si>
    <t>'100210168</t>
  </si>
  <si>
    <t>Hannah</t>
  </si>
  <si>
    <t>ahannah@amphi.com</t>
  </si>
  <si>
    <t>Ironwood Ridge High School</t>
  </si>
  <si>
    <t>'100210280</t>
  </si>
  <si>
    <t>Bejarano</t>
  </si>
  <si>
    <t>mbejarano@amphi.com</t>
  </si>
  <si>
    <t>Szolowic</t>
  </si>
  <si>
    <t>Amphitheater High School</t>
  </si>
  <si>
    <t>'100210281</t>
  </si>
  <si>
    <t>Lansa</t>
  </si>
  <si>
    <t>jlansa@amphi.com</t>
  </si>
  <si>
    <t>Canyon Del Oro High School</t>
  </si>
  <si>
    <t>'100210282</t>
  </si>
  <si>
    <t>Marcia</t>
  </si>
  <si>
    <t>Volpe</t>
  </si>
  <si>
    <t>mvolpe@amphi.com</t>
  </si>
  <si>
    <t>Amphi Academy Online</t>
  </si>
  <si>
    <t>'100210285</t>
  </si>
  <si>
    <t>'100212000</t>
  </si>
  <si>
    <t>Josie</t>
  </si>
  <si>
    <t>josieg@susd12.org</t>
  </si>
  <si>
    <t>Holmes</t>
  </si>
  <si>
    <t>steveh@susd12.org</t>
  </si>
  <si>
    <t>Maloney</t>
  </si>
  <si>
    <t>Brendam@susd12.org</t>
  </si>
  <si>
    <t>Director of Financial Operations</t>
  </si>
  <si>
    <t>Hector</t>
  </si>
  <si>
    <t>Encinas</t>
  </si>
  <si>
    <t>HectorE@susd12.org</t>
  </si>
  <si>
    <t>Kmak</t>
  </si>
  <si>
    <t>kennethk@susd12.org</t>
  </si>
  <si>
    <t>Director - Business Operations</t>
  </si>
  <si>
    <t>Sunnyside Online Success Academy</t>
  </si>
  <si>
    <t>'100212001</t>
  </si>
  <si>
    <t>hectore@susd12.org</t>
  </si>
  <si>
    <t>Josieg@susd12.org</t>
  </si>
  <si>
    <t>Gallego Intermediate Fine Arts Magnet School</t>
  </si>
  <si>
    <t>'100212105</t>
  </si>
  <si>
    <t>Warmbrand</t>
  </si>
  <si>
    <t>AnnaW@susd12.org</t>
  </si>
  <si>
    <t>'100212106</t>
  </si>
  <si>
    <t>Rosas</t>
  </si>
  <si>
    <t>RosemaryR1@susd12.org</t>
  </si>
  <si>
    <t>Craycroft Elementary School</t>
  </si>
  <si>
    <t>'100212108</t>
  </si>
  <si>
    <t>Robertson</t>
  </si>
  <si>
    <t>johnr@susd12.org</t>
  </si>
  <si>
    <t>Ridge</t>
  </si>
  <si>
    <t>JamesR@susd12.org</t>
  </si>
  <si>
    <t>'100212112</t>
  </si>
  <si>
    <t>Lorena</t>
  </si>
  <si>
    <t>lorenae@susd12.org</t>
  </si>
  <si>
    <t>Eneida</t>
  </si>
  <si>
    <t>Orci</t>
  </si>
  <si>
    <t>EneidaO@susd12.org</t>
  </si>
  <si>
    <t>Encincas</t>
  </si>
  <si>
    <t>Elvira Elementary School</t>
  </si>
  <si>
    <t>'100212114</t>
  </si>
  <si>
    <t>Towsend</t>
  </si>
  <si>
    <t>AndyT@susd12.org</t>
  </si>
  <si>
    <t>'100212115</t>
  </si>
  <si>
    <t>Emma</t>
  </si>
  <si>
    <t>emmac@susd12.org</t>
  </si>
  <si>
    <t>Gallego</t>
  </si>
  <si>
    <t>corinnag@susd12.org</t>
  </si>
  <si>
    <t>Program Facilitator</t>
  </si>
  <si>
    <t>'100212116</t>
  </si>
  <si>
    <t>Gaxiola</t>
  </si>
  <si>
    <t>ClaudiaG@susd12.org</t>
  </si>
  <si>
    <t>'100212117</t>
  </si>
  <si>
    <t>Cristela</t>
  </si>
  <si>
    <t>Ahuero</t>
  </si>
  <si>
    <t>CristelaA@susd12.org</t>
  </si>
  <si>
    <t>cristelaa@susd12.org</t>
  </si>
  <si>
    <t>RhondaM@susd12.org</t>
  </si>
  <si>
    <t>'100212118</t>
  </si>
  <si>
    <t>Dedee</t>
  </si>
  <si>
    <t>Krause</t>
  </si>
  <si>
    <t>DedeeK@susd12.org</t>
  </si>
  <si>
    <t>'100212119</t>
  </si>
  <si>
    <t>Betten</t>
  </si>
  <si>
    <t>pamb@susd12.org</t>
  </si>
  <si>
    <t>Lopez-Miranda</t>
  </si>
  <si>
    <t>valerieLM@susd12.org</t>
  </si>
  <si>
    <t>Mission Manor Elementary School</t>
  </si>
  <si>
    <t>'100212122</t>
  </si>
  <si>
    <t>luza@susd12.org</t>
  </si>
  <si>
    <t>Instructional Tech Coach</t>
  </si>
  <si>
    <t>Summit View Elementary</t>
  </si>
  <si>
    <t>'100212123</t>
  </si>
  <si>
    <t>valeries@susd12.org</t>
  </si>
  <si>
    <t>Montano</t>
  </si>
  <si>
    <t>mariamo@susd12.org</t>
  </si>
  <si>
    <t>Rivera Elementary</t>
  </si>
  <si>
    <t>'100212124</t>
  </si>
  <si>
    <t>Patti</t>
  </si>
  <si>
    <t>Gamez</t>
  </si>
  <si>
    <t>pattig2@susd12.org</t>
  </si>
  <si>
    <t>Tomara</t>
  </si>
  <si>
    <t>Moss</t>
  </si>
  <si>
    <t>TomaraM@susd12.org</t>
  </si>
  <si>
    <t>Carbajal</t>
  </si>
  <si>
    <t>juanca@susd12.org</t>
  </si>
  <si>
    <t>annadm@susd12.org</t>
  </si>
  <si>
    <t>Administrative Director of Business &amp; Finance</t>
  </si>
  <si>
    <t>Santa Clara Elementary School</t>
  </si>
  <si>
    <t>'100212126</t>
  </si>
  <si>
    <t>Islas</t>
  </si>
  <si>
    <t>EddieI2@susd12.org</t>
  </si>
  <si>
    <t>'100212131</t>
  </si>
  <si>
    <t>Samorano</t>
  </si>
  <si>
    <t>DonnaS@susd12.org</t>
  </si>
  <si>
    <t>Fester</t>
  </si>
  <si>
    <t>michaelf@susd12.org</t>
  </si>
  <si>
    <t>'100212132</t>
  </si>
  <si>
    <t>Wil</t>
  </si>
  <si>
    <t>Roxana</t>
  </si>
  <si>
    <t>Rico</t>
  </si>
  <si>
    <t>RoxanaR@susd12.org</t>
  </si>
  <si>
    <t>Benavidez</t>
  </si>
  <si>
    <t>JohnB@susd12.org</t>
  </si>
  <si>
    <t>Billy Lane Lauffer Middle School</t>
  </si>
  <si>
    <t>'100212133</t>
  </si>
  <si>
    <t>bobm@susd12.org</t>
  </si>
  <si>
    <t>'100212134</t>
  </si>
  <si>
    <t>stevep@susd12.org</t>
  </si>
  <si>
    <t>'100212211</t>
  </si>
  <si>
    <t>Maddock-Pea</t>
  </si>
  <si>
    <t>dawnm@susd12.org</t>
  </si>
  <si>
    <t>Rosemary1@susd12.org</t>
  </si>
  <si>
    <t>Freshman Academy Principal</t>
  </si>
  <si>
    <t>'100212230</t>
  </si>
  <si>
    <t>Nido</t>
  </si>
  <si>
    <t>rauln@susd12.org</t>
  </si>
  <si>
    <t>Ybarra</t>
  </si>
  <si>
    <t>sybarra@susd12.org</t>
  </si>
  <si>
    <t>adrianam@susd12.org</t>
  </si>
  <si>
    <t>Prinipal</t>
  </si>
  <si>
    <t>Marcos</t>
  </si>
  <si>
    <t>Michaelm1@susd12.org</t>
  </si>
  <si>
    <t>STAR Academic High School</t>
  </si>
  <si>
    <t>'100212513</t>
  </si>
  <si>
    <t>Cornell</t>
  </si>
  <si>
    <t>pamelac@susd12.org</t>
  </si>
  <si>
    <t>Arturo</t>
  </si>
  <si>
    <t>Menchaca</t>
  </si>
  <si>
    <t>ArtM@susd12.org</t>
  </si>
  <si>
    <t>Tanque Verde Unified District</t>
  </si>
  <si>
    <t>'100213000</t>
  </si>
  <si>
    <t>Trish</t>
  </si>
  <si>
    <t>McCollom</t>
  </si>
  <si>
    <t>tmccollom@tanq.org</t>
  </si>
  <si>
    <t>Hagerman</t>
  </si>
  <si>
    <t>shagerman@tanq.org</t>
  </si>
  <si>
    <t>Armienti</t>
  </si>
  <si>
    <t>earmienti@tanq.org</t>
  </si>
  <si>
    <t>Emily Gray Junior High School</t>
  </si>
  <si>
    <t>'100213002</t>
  </si>
  <si>
    <t>gmiller@tanq.org</t>
  </si>
  <si>
    <t>Tanque Verde Elementary School</t>
  </si>
  <si>
    <t>'100213103</t>
  </si>
  <si>
    <t>Agua Caliente School</t>
  </si>
  <si>
    <t>'100213105</t>
  </si>
  <si>
    <t>srosalik@tanq.org</t>
  </si>
  <si>
    <t>Rietz</t>
  </si>
  <si>
    <t>crietz@tanq.org</t>
  </si>
  <si>
    <t>Tanque Verde High School</t>
  </si>
  <si>
    <t>'100213201</t>
  </si>
  <si>
    <t>AJ</t>
  </si>
  <si>
    <t>Malis</t>
  </si>
  <si>
    <t>amalis@tanq.org</t>
  </si>
  <si>
    <t>Ajo Unified District</t>
  </si>
  <si>
    <t>'100215000</t>
  </si>
  <si>
    <t>Dooley</t>
  </si>
  <si>
    <t>bdooley@tabletoptelephone.com</t>
  </si>
  <si>
    <t>eschultz@tabletoptelephone.com</t>
  </si>
  <si>
    <t>ahron@pgpc.org</t>
  </si>
  <si>
    <t>Grants Management</t>
  </si>
  <si>
    <t>Lupe</t>
  </si>
  <si>
    <t>Bandin</t>
  </si>
  <si>
    <t>lbandin@ajoschools.org</t>
  </si>
  <si>
    <t>lburns@tabletoptelephone.com</t>
  </si>
  <si>
    <t>jserbin@tabletoptelephone.com</t>
  </si>
  <si>
    <t>Ajo Elementary School</t>
  </si>
  <si>
    <t>'100215001</t>
  </si>
  <si>
    <t>MacKenzie</t>
  </si>
  <si>
    <t>bmackenzie@tabletoptelephone.com</t>
  </si>
  <si>
    <t>Grants Manager</t>
  </si>
  <si>
    <t>Ajo High School</t>
  </si>
  <si>
    <t>'100215002</t>
  </si>
  <si>
    <t>Carriere</t>
  </si>
  <si>
    <t>lcarriere@tabletoptelephone.com</t>
  </si>
  <si>
    <t>Catalina Foothills Unified District</t>
  </si>
  <si>
    <t>'100216000</t>
  </si>
  <si>
    <t>Kamerzell</t>
  </si>
  <si>
    <t>mkamerzell@cfsd16.org</t>
  </si>
  <si>
    <t>Conery</t>
  </si>
  <si>
    <t>mjc@cfsd16.org</t>
  </si>
  <si>
    <t>Assistant Superintendent/Designated Use</t>
  </si>
  <si>
    <t>sthompson@cfsd16.org</t>
  </si>
  <si>
    <t>Taetle</t>
  </si>
  <si>
    <t>ltaetle@cfsd16.org</t>
  </si>
  <si>
    <t>Heald</t>
  </si>
  <si>
    <t>vheald@cfsd16.org</t>
  </si>
  <si>
    <t>Inara</t>
  </si>
  <si>
    <t>Makhmudova</t>
  </si>
  <si>
    <t>imakhmudova@cfsd16.org</t>
  </si>
  <si>
    <t>Sunrise Drive Elementary School</t>
  </si>
  <si>
    <t>'100216101</t>
  </si>
  <si>
    <t>Davidson</t>
  </si>
  <si>
    <t>adavidson@cfsd16.org</t>
  </si>
  <si>
    <t>Manzanita School</t>
  </si>
  <si>
    <t>'100216102</t>
  </si>
  <si>
    <t>cnichols@cfsd.k12.az.us</t>
  </si>
  <si>
    <t>Orange Grove Middle School</t>
  </si>
  <si>
    <t>'100216103</t>
  </si>
  <si>
    <t>Rosenthal</t>
  </si>
  <si>
    <t>srosenthal@cfsd16.org</t>
  </si>
  <si>
    <t>Canyon View Elementary School</t>
  </si>
  <si>
    <t>'100216104</t>
  </si>
  <si>
    <t>Henikman</t>
  </si>
  <si>
    <t>rhenikman@cfsd16.org</t>
  </si>
  <si>
    <t>Catalina Foothills Valley View Early Learning Center</t>
  </si>
  <si>
    <t>'100216105</t>
  </si>
  <si>
    <t>Mulay</t>
  </si>
  <si>
    <t>Esperero Canyon Middle School</t>
  </si>
  <si>
    <t>'100216107</t>
  </si>
  <si>
    <t>Setliff</t>
  </si>
  <si>
    <t>msetliff@cfsd16.org</t>
  </si>
  <si>
    <t>Ventana Vista Elementary School</t>
  </si>
  <si>
    <t>'100216108</t>
  </si>
  <si>
    <t>Catalina Foothills High School</t>
  </si>
  <si>
    <t>'100216206</t>
  </si>
  <si>
    <t>Chomokos</t>
  </si>
  <si>
    <t>achomokos@cfsd16.org</t>
  </si>
  <si>
    <t>lbarnett@cfsd16.org</t>
  </si>
  <si>
    <t>Vail Unified District</t>
  </si>
  <si>
    <t>'100220000</t>
  </si>
  <si>
    <t>Calvin</t>
  </si>
  <si>
    <t>bakerc@vailschooldistrict.org</t>
  </si>
  <si>
    <t>Shana</t>
  </si>
  <si>
    <t>hills@vailschooldistrict.org</t>
  </si>
  <si>
    <t>CervantezL@vailschooldistrict.org</t>
  </si>
  <si>
    <t>Chief Administrative Officer</t>
  </si>
  <si>
    <t>quirozm@vailschooldistrict.org</t>
  </si>
  <si>
    <t>Miles</t>
  </si>
  <si>
    <t>milesl@vailschooldistrict.org</t>
  </si>
  <si>
    <t>SAIS Specialist</t>
  </si>
  <si>
    <t>Norman</t>
  </si>
  <si>
    <t>purdyn@vailschooldistrict.org</t>
  </si>
  <si>
    <t>Old Vail Middle School</t>
  </si>
  <si>
    <t>'100220104</t>
  </si>
  <si>
    <t>emeryl@vailschooldistrict.org</t>
  </si>
  <si>
    <t>'100220105</t>
  </si>
  <si>
    <t>Bryson</t>
  </si>
  <si>
    <t>brysond@vailschooldistrict.org</t>
  </si>
  <si>
    <t>'100220107</t>
  </si>
  <si>
    <t>Mayeux</t>
  </si>
  <si>
    <t>mayeuxb@vailschooldistrict.org</t>
  </si>
  <si>
    <t>'100220108</t>
  </si>
  <si>
    <t>Woolridge</t>
  </si>
  <si>
    <t>woolridges@vailschooldistrict.org</t>
  </si>
  <si>
    <t>Sycamore Elementary School</t>
  </si>
  <si>
    <t>'100220109</t>
  </si>
  <si>
    <t>Graff</t>
  </si>
  <si>
    <t>graffk@vailschooldistrict.org</t>
  </si>
  <si>
    <t>Corona Foothills Middle School</t>
  </si>
  <si>
    <t>'100220110</t>
  </si>
  <si>
    <t>Steuer</t>
  </si>
  <si>
    <t>steuerm@vailschooldistrict.org</t>
  </si>
  <si>
    <t>Ocotillo Ridge Elementary</t>
  </si>
  <si>
    <t>'100220112</t>
  </si>
  <si>
    <t>Holt</t>
  </si>
  <si>
    <t>Senita Valley Elementary School</t>
  </si>
  <si>
    <t>'100220113</t>
  </si>
  <si>
    <t>Rincon Vista Middle School</t>
  </si>
  <si>
    <t>'100220114</t>
  </si>
  <si>
    <t>Esmond Station School</t>
  </si>
  <si>
    <t>'100220115</t>
  </si>
  <si>
    <t>woodj@vailschooldistrict.org</t>
  </si>
  <si>
    <t>duncans@vailschooldistrict.org</t>
  </si>
  <si>
    <t>Copper Ridge Elementary</t>
  </si>
  <si>
    <t>'100220117</t>
  </si>
  <si>
    <t>Irby</t>
  </si>
  <si>
    <t>irbye@vailschooldistrict.org</t>
  </si>
  <si>
    <t>Civano Community K-8 School</t>
  </si>
  <si>
    <t>'100220118</t>
  </si>
  <si>
    <t>ericksonc@vailschooldistrict.org</t>
  </si>
  <si>
    <t>'100220119</t>
  </si>
  <si>
    <t>'100220120</t>
  </si>
  <si>
    <t>Filippelli</t>
  </si>
  <si>
    <t>filippellij@vailschooldistrict.org</t>
  </si>
  <si>
    <t>Vail Blended Learning</t>
  </si>
  <si>
    <t>'100220121</t>
  </si>
  <si>
    <t>Cienega High School</t>
  </si>
  <si>
    <t>'100220201</t>
  </si>
  <si>
    <t>penat@vailschooldistrict.org</t>
  </si>
  <si>
    <t>Lomax</t>
  </si>
  <si>
    <t>lomaxk@vailschooldistrict.org</t>
  </si>
  <si>
    <t xml:space="preserve">Special Ed </t>
  </si>
  <si>
    <t>Pantano High School</t>
  </si>
  <si>
    <t>'100220202</t>
  </si>
  <si>
    <t>Pletnick</t>
  </si>
  <si>
    <t>pletnickh@vailschooldistrict.org</t>
  </si>
  <si>
    <t>wrightmo@vailschooldistrict.org</t>
  </si>
  <si>
    <t>Empire High School</t>
  </si>
  <si>
    <t>'100220203</t>
  </si>
  <si>
    <t>Donaldson</t>
  </si>
  <si>
    <t>donaldsonm@vailschooldistrict.org</t>
  </si>
  <si>
    <t>Andrada Polytechnic High School</t>
  </si>
  <si>
    <t>'100220204</t>
  </si>
  <si>
    <t>filippelli@vailschooldistrict.org</t>
  </si>
  <si>
    <t>Vail Academy &amp; High School</t>
  </si>
  <si>
    <t>'100220205</t>
  </si>
  <si>
    <t>Mica Mountain High</t>
  </si>
  <si>
    <t>'100220206</t>
  </si>
  <si>
    <t>Vail Innovation Center</t>
  </si>
  <si>
    <t>'100220300</t>
  </si>
  <si>
    <t>robertsj@vailschooldistrict.org</t>
  </si>
  <si>
    <t>'100230000</t>
  </si>
  <si>
    <t>sdowns@sahuarita.net</t>
  </si>
  <si>
    <t>Gates</t>
  </si>
  <si>
    <t>cgates@sahuarita.net</t>
  </si>
  <si>
    <t>Blanco</t>
  </si>
  <si>
    <t>lblanco@sahuarita.k12.az.us</t>
  </si>
  <si>
    <t>Boone</t>
  </si>
  <si>
    <t>sboone@sahuarita.k12.az.us</t>
  </si>
  <si>
    <t>IT Director</t>
  </si>
  <si>
    <t>Sahuarita Primary School</t>
  </si>
  <si>
    <t>'100230101</t>
  </si>
  <si>
    <t>tanderson@sahuarita.net</t>
  </si>
  <si>
    <t>Ruvalcaba</t>
  </si>
  <si>
    <t>cruvalcaba@sahuarita.net</t>
  </si>
  <si>
    <t>'100230102</t>
  </si>
  <si>
    <t>Desi</t>
  </si>
  <si>
    <t>Raulston</t>
  </si>
  <si>
    <t>draulston@sahuarita.net</t>
  </si>
  <si>
    <t>Sahuarita Middle School</t>
  </si>
  <si>
    <t>'100230103</t>
  </si>
  <si>
    <t>Silman</t>
  </si>
  <si>
    <t>ssilman@sahuarita.net</t>
  </si>
  <si>
    <t>Copper View Elementary School</t>
  </si>
  <si>
    <t>'100230104</t>
  </si>
  <si>
    <t>Sahuarita Intermediate School</t>
  </si>
  <si>
    <t>'100230105</t>
  </si>
  <si>
    <t>Roman</t>
  </si>
  <si>
    <t>croman@sahuarita.k12.az.us</t>
  </si>
  <si>
    <t>Anza Trail</t>
  </si>
  <si>
    <t>'100230106</t>
  </si>
  <si>
    <t>Fanning</t>
  </si>
  <si>
    <t>jfanning@sahuarita.net</t>
  </si>
  <si>
    <t>Wrightson Ridge K-8 School</t>
  </si>
  <si>
    <t>'100230108</t>
  </si>
  <si>
    <t>Sahuarita High School</t>
  </si>
  <si>
    <t>'100230204</t>
  </si>
  <si>
    <t>kthompson@sahuarita.net</t>
  </si>
  <si>
    <t>Walden Grove High School</t>
  </si>
  <si>
    <t>'100230205</t>
  </si>
  <si>
    <t>thill@sahuarita.net</t>
  </si>
  <si>
    <t>'100240000</t>
  </si>
  <si>
    <t>Edna</t>
  </si>
  <si>
    <t>emorris@busd40.org</t>
  </si>
  <si>
    <t>joudom@busd40.org</t>
  </si>
  <si>
    <t>District Shepherd</t>
  </si>
  <si>
    <t>Clementina</t>
  </si>
  <si>
    <t>CCarlyle@busd40.org</t>
  </si>
  <si>
    <t>'100240101</t>
  </si>
  <si>
    <t>emorris@iobusd40.org</t>
  </si>
  <si>
    <t>Covington</t>
  </si>
  <si>
    <t>'100240103</t>
  </si>
  <si>
    <t>Ynunez@busd40.org</t>
  </si>
  <si>
    <t>Alternative Middle School (Indian Oasis Middle School)</t>
  </si>
  <si>
    <t>'100240105</t>
  </si>
  <si>
    <t>Burrola</t>
  </si>
  <si>
    <t>aburrola@busd40.org</t>
  </si>
  <si>
    <t>'100240106</t>
  </si>
  <si>
    <t>'100240204</t>
  </si>
  <si>
    <t>'100240205</t>
  </si>
  <si>
    <t>San Fernando Elementary District</t>
  </si>
  <si>
    <t>'100335000</t>
  </si>
  <si>
    <t>dustin.williams@schools.pima.gov</t>
  </si>
  <si>
    <t>sam.correa@pima.gov</t>
  </si>
  <si>
    <t>Acting CFO</t>
  </si>
  <si>
    <t>Financial Operations Manager</t>
  </si>
  <si>
    <t>Schaeffer</t>
  </si>
  <si>
    <t>Michael.Schaeffer@schools.pima.gov</t>
  </si>
  <si>
    <t>Smathers</t>
  </si>
  <si>
    <t>kasmathers@netzero.net</t>
  </si>
  <si>
    <t>San Fernando Elementary School</t>
  </si>
  <si>
    <t>'100335001</t>
  </si>
  <si>
    <t>Murtadza</t>
  </si>
  <si>
    <t>tbmaz2001@yahoo.com</t>
  </si>
  <si>
    <t>D Scott</t>
  </si>
  <si>
    <t xml:space="preserve">schools@schools.pima.gov </t>
  </si>
  <si>
    <t>Empire Elementary District</t>
  </si>
  <si>
    <t>'100337000</t>
  </si>
  <si>
    <t>michael.schaeffer@schools.pima.gov</t>
  </si>
  <si>
    <t>Derika.Louk@schools.pima.gov</t>
  </si>
  <si>
    <t>Admin Services Manager</t>
  </si>
  <si>
    <t>Continental Elementary District</t>
  </si>
  <si>
    <t>'100339000</t>
  </si>
  <si>
    <t>Roxana.Rico@csd39.org</t>
  </si>
  <si>
    <t>greg.schubert@csd39.org</t>
  </si>
  <si>
    <t>smatthews@csd39.org</t>
  </si>
  <si>
    <t>Dorame</t>
  </si>
  <si>
    <t>ndorame@csd39.org</t>
  </si>
  <si>
    <t>Continental Elementary School</t>
  </si>
  <si>
    <t>'100339001</t>
  </si>
  <si>
    <t>Continental On-Line Learning Technology School</t>
  </si>
  <si>
    <t>'100339002</t>
  </si>
  <si>
    <t>Redington Elementary District</t>
  </si>
  <si>
    <t>'100344000</t>
  </si>
  <si>
    <t>'100351000</t>
  </si>
  <si>
    <t>Dumon</t>
  </si>
  <si>
    <t>ddumon@avsd.org</t>
  </si>
  <si>
    <t>'100351100</t>
  </si>
  <si>
    <t>Judi</t>
  </si>
  <si>
    <t>cyoung@avsd.org</t>
  </si>
  <si>
    <t>'100351103</t>
  </si>
  <si>
    <t>jholt@avsd.org</t>
  </si>
  <si>
    <t>Peebles</t>
  </si>
  <si>
    <t>jpeebles@avsd.org</t>
  </si>
  <si>
    <t>Leiter</t>
  </si>
  <si>
    <t>pleiter@avsd.org</t>
  </si>
  <si>
    <t>Pima County JTED</t>
  </si>
  <si>
    <t>'100811000</t>
  </si>
  <si>
    <t>Prather</t>
  </si>
  <si>
    <t>kprather@pimajted.org</t>
  </si>
  <si>
    <t>Greenleaf</t>
  </si>
  <si>
    <t>pgreenleaf@pimajted.org</t>
  </si>
  <si>
    <t xml:space="preserve">Chief Academic Officer </t>
  </si>
  <si>
    <t>tnorton@pimajted.org</t>
  </si>
  <si>
    <t>Fiscal Agent / CFO</t>
  </si>
  <si>
    <t>PCJTED - Catalina High School</t>
  </si>
  <si>
    <t>'100811201</t>
  </si>
  <si>
    <t>Storm</t>
  </si>
  <si>
    <t>dlowery@pimajted.org</t>
  </si>
  <si>
    <t>PCJTED - Cholla High School</t>
  </si>
  <si>
    <t>'100811202</t>
  </si>
  <si>
    <t>PCJTED - Howenstine High School</t>
  </si>
  <si>
    <t>'100811203</t>
  </si>
  <si>
    <t>PCJTED - Palo Verde High School</t>
  </si>
  <si>
    <t>'100811204</t>
  </si>
  <si>
    <t>PCJTED - Pueblo High School</t>
  </si>
  <si>
    <t>'100811205</t>
  </si>
  <si>
    <t>PCJTED - Rincon High School</t>
  </si>
  <si>
    <t>'100811206</t>
  </si>
  <si>
    <t>PCJTED - University High School</t>
  </si>
  <si>
    <t>'100811207</t>
  </si>
  <si>
    <t>PCJTED - Sabino High School</t>
  </si>
  <si>
    <t>'100811208</t>
  </si>
  <si>
    <t>PCJTED - Sahuaro High School</t>
  </si>
  <si>
    <t>'100811209</t>
  </si>
  <si>
    <t>PCJTED - Santa Rita High School</t>
  </si>
  <si>
    <t>'100811210</t>
  </si>
  <si>
    <t>PCJTED - Tucson High School</t>
  </si>
  <si>
    <t>'100811211</t>
  </si>
  <si>
    <t>PCJTED - Project MORE</t>
  </si>
  <si>
    <t>'100811212</t>
  </si>
  <si>
    <t>PCJTED - Aztec Middle College East</t>
  </si>
  <si>
    <t>'100811213</t>
  </si>
  <si>
    <t>PCJTED - Aztec Middle College North West</t>
  </si>
  <si>
    <t>'100811214</t>
  </si>
  <si>
    <t>PCJTED - Aztec Middle College Desert Vista</t>
  </si>
  <si>
    <t>'100811215</t>
  </si>
  <si>
    <t>PCJTED - Aztec Middle College</t>
  </si>
  <si>
    <t>'100811216</t>
  </si>
  <si>
    <t>PCJTED - Walden Grove High School</t>
  </si>
  <si>
    <t>'100811217</t>
  </si>
  <si>
    <t>PCJTED - Amphitheater High School</t>
  </si>
  <si>
    <t>'100811220</t>
  </si>
  <si>
    <t>PCJTED - Canyon Del Oro High School</t>
  </si>
  <si>
    <t>'100811221</t>
  </si>
  <si>
    <t>PCJTED - Ironwood Ridge High School</t>
  </si>
  <si>
    <t>'100811222</t>
  </si>
  <si>
    <t>PCJTED - San Manuel High School</t>
  </si>
  <si>
    <t>'100811223</t>
  </si>
  <si>
    <t>PCJTED - TAPP High School</t>
  </si>
  <si>
    <t>'100811224</t>
  </si>
  <si>
    <t>PCJTED - Andrada Polytechnic High School</t>
  </si>
  <si>
    <t>'100811225</t>
  </si>
  <si>
    <t>Pima County JTED at Star</t>
  </si>
  <si>
    <t>'100811226</t>
  </si>
  <si>
    <t>'100811227</t>
  </si>
  <si>
    <t>PCJTED - Ajo High School</t>
  </si>
  <si>
    <t>'100811230</t>
  </si>
  <si>
    <t>Pima County JTED Annex</t>
  </si>
  <si>
    <t>'100811235</t>
  </si>
  <si>
    <t>Pima County at Walden Grove</t>
  </si>
  <si>
    <t>'100811236</t>
  </si>
  <si>
    <t>Beltran</t>
  </si>
  <si>
    <t>mbeltran@pimajted.org</t>
  </si>
  <si>
    <t>PCJTED- Nogales High School</t>
  </si>
  <si>
    <t>'100811237</t>
  </si>
  <si>
    <t>Santa Cruz</t>
  </si>
  <si>
    <t>PCJTED- Pierson High School</t>
  </si>
  <si>
    <t>'100811238</t>
  </si>
  <si>
    <t>PCJTED - Catalina Foothills High School</t>
  </si>
  <si>
    <t>'100811240</t>
  </si>
  <si>
    <t>Pima County JTED at Amphi Land Lab</t>
  </si>
  <si>
    <t>'100811243</t>
  </si>
  <si>
    <t>Pima County JTED at Flowing Wells</t>
  </si>
  <si>
    <t>'100811244</t>
  </si>
  <si>
    <t>Pima County JTED Cosmetology</t>
  </si>
  <si>
    <t>'100811245</t>
  </si>
  <si>
    <t>Pima County JTED at Camino Seco</t>
  </si>
  <si>
    <t>'100811246</t>
  </si>
  <si>
    <t>Dignum</t>
  </si>
  <si>
    <t>KDignum@PimaJTED.org</t>
  </si>
  <si>
    <t>Pima County JTED at Santa Rita</t>
  </si>
  <si>
    <t>'100811247</t>
  </si>
  <si>
    <t>Dignam</t>
  </si>
  <si>
    <t>kdignum@pimajted.org</t>
  </si>
  <si>
    <t>Pima County JTED at Indian Oasis</t>
  </si>
  <si>
    <t>'100811248</t>
  </si>
  <si>
    <t>Pima County JTED at Empire</t>
  </si>
  <si>
    <t>'100811249</t>
  </si>
  <si>
    <t>PCJTED - Flowing Wells High School</t>
  </si>
  <si>
    <t>'100811250</t>
  </si>
  <si>
    <t>Pima County JTED NW Campus</t>
  </si>
  <si>
    <t>'100811255</t>
  </si>
  <si>
    <t>PCJTED - Baboquivari High School</t>
  </si>
  <si>
    <t>'100811260</t>
  </si>
  <si>
    <t>PCJTED - Rio Rico High School</t>
  </si>
  <si>
    <t>'100811265</t>
  </si>
  <si>
    <t>tnorton@pimatjed.org</t>
  </si>
  <si>
    <t>PCJTED - Marana High School</t>
  </si>
  <si>
    <t>'100811270</t>
  </si>
  <si>
    <t>PCJTED - Mountain View High School</t>
  </si>
  <si>
    <t>'100811271</t>
  </si>
  <si>
    <t>PCJTED - Sahuarita High School</t>
  </si>
  <si>
    <t>'100811280</t>
  </si>
  <si>
    <t>PCJTED - Central Campus</t>
  </si>
  <si>
    <t>'100811285</t>
  </si>
  <si>
    <t>PCJTED - Mica Mountain High School</t>
  </si>
  <si>
    <t>'100811286</t>
  </si>
  <si>
    <t>PCJTED - Cienega High School</t>
  </si>
  <si>
    <t>'100811287</t>
  </si>
  <si>
    <t>PCJTED - Empire High School</t>
  </si>
  <si>
    <t>'100811288</t>
  </si>
  <si>
    <t>PCJTED - Vail High School</t>
  </si>
  <si>
    <t>'100811289</t>
  </si>
  <si>
    <t>PCJTED - Desert View High School</t>
  </si>
  <si>
    <t>'100811290</t>
  </si>
  <si>
    <t>PCJTED - Sunnyside High School</t>
  </si>
  <si>
    <t>'100811291</t>
  </si>
  <si>
    <t>JTED Innovative Learning Center @ the Bridges</t>
  </si>
  <si>
    <t>'100811295</t>
  </si>
  <si>
    <t>PCJTED - Tanque Verde High School</t>
  </si>
  <si>
    <t>'100811299</t>
  </si>
  <si>
    <t>PCJTED - Southwest Alt. High School</t>
  </si>
  <si>
    <t>'100811998</t>
  </si>
  <si>
    <t>'108227000</t>
  </si>
  <si>
    <t>Clark-Raines</t>
  </si>
  <si>
    <t>pamsuecr@gmail.com</t>
  </si>
  <si>
    <t>'108227001</t>
  </si>
  <si>
    <t>'108404000</t>
  </si>
  <si>
    <t>BASIS Oro Valley Primary</t>
  </si>
  <si>
    <t>'108404001</t>
  </si>
  <si>
    <t>Legacy Traditional School - Northwest Tucson</t>
  </si>
  <si>
    <t>'108414000</t>
  </si>
  <si>
    <t>'108414001</t>
  </si>
  <si>
    <t>Nalani</t>
  </si>
  <si>
    <t>Braun</t>
  </si>
  <si>
    <t>nalani.braun@vertexeducation.com</t>
  </si>
  <si>
    <t>Blue Adobe Project</t>
  </si>
  <si>
    <t>'108501000</t>
  </si>
  <si>
    <t>Sky Islands</t>
  </si>
  <si>
    <t>'108501101</t>
  </si>
  <si>
    <t>Shari</t>
  </si>
  <si>
    <t>Popen</t>
  </si>
  <si>
    <t>spopen@dakotacom.net</t>
  </si>
  <si>
    <t>Rosado</t>
  </si>
  <si>
    <t>office@skyislands.org</t>
  </si>
  <si>
    <t>Associate Director</t>
  </si>
  <si>
    <t>Daisy Education Corporation dba Sonoran Science Academy - Phoenix</t>
  </si>
  <si>
    <t>'108502000</t>
  </si>
  <si>
    <t>Tuncay</t>
  </si>
  <si>
    <t>Celik</t>
  </si>
  <si>
    <t>tcelik@sonoranacademy.org</t>
  </si>
  <si>
    <t>Sonoran Science Academy - Phoenix</t>
  </si>
  <si>
    <t>'108502101</t>
  </si>
  <si>
    <t>Satterlee</t>
  </si>
  <si>
    <t>jsatterlee@sonoranacademy.org</t>
  </si>
  <si>
    <t>Daisy Education Corporation dba Sonoran Science Academy East</t>
  </si>
  <si>
    <t>'108503000</t>
  </si>
  <si>
    <t>Sonoran Science Academy East</t>
  </si>
  <si>
    <t>'108503101</t>
  </si>
  <si>
    <t>Erdal</t>
  </si>
  <si>
    <t>Kocak</t>
  </si>
  <si>
    <t>ekocak@sonoranacademy.org</t>
  </si>
  <si>
    <t>Daisy Education Corporation dba. Sonoran Science Academy Davis Monthan</t>
  </si>
  <si>
    <t>'108504000</t>
  </si>
  <si>
    <t>Fontenot</t>
  </si>
  <si>
    <t>pfontenot@sonoranschools.org</t>
  </si>
  <si>
    <t>Sonoran Science Academy - Davis Monthan</t>
  </si>
  <si>
    <t>'108504001</t>
  </si>
  <si>
    <t>CPLC Community Schools dba Hiaki High School</t>
  </si>
  <si>
    <t>'108505000</t>
  </si>
  <si>
    <t>Hines</t>
  </si>
  <si>
    <t>joseph.hines@cplc.org</t>
  </si>
  <si>
    <t>Arvizu</t>
  </si>
  <si>
    <t>Tillie.arvizu@cplc.org</t>
  </si>
  <si>
    <t>Superintendent/Contract Signer</t>
  </si>
  <si>
    <t>Juan.Soto@cplc.org</t>
  </si>
  <si>
    <t>Magdalena</t>
  </si>
  <si>
    <t>Verdugo</t>
  </si>
  <si>
    <t>Magdalena.verdugo@cplc.org</t>
  </si>
  <si>
    <t>mario.molina@cplc.org</t>
  </si>
  <si>
    <t>daniel.morales@cplc.org</t>
  </si>
  <si>
    <t>Yizza</t>
  </si>
  <si>
    <t>Mares</t>
  </si>
  <si>
    <t>yizza.mares@cplc.org</t>
  </si>
  <si>
    <t>Federal &amp; State Programs Coordinator</t>
  </si>
  <si>
    <t>Ligia</t>
  </si>
  <si>
    <t>Burkett</t>
  </si>
  <si>
    <t>ligia.burkett@cplc.org</t>
  </si>
  <si>
    <t>Financial Analyst</t>
  </si>
  <si>
    <t>Sal</t>
  </si>
  <si>
    <t>sal.paz@cplc.org</t>
  </si>
  <si>
    <t>Student Data &amp; Records Manager</t>
  </si>
  <si>
    <t>Envision High School</t>
  </si>
  <si>
    <t>'108505001</t>
  </si>
  <si>
    <t>Ed Ahead</t>
  </si>
  <si>
    <t>'108506000</t>
  </si>
  <si>
    <t>Penczar</t>
  </si>
  <si>
    <t>jack.penczar@academyadventuresmidtown.com</t>
  </si>
  <si>
    <t>Academy Adventures Midtown</t>
  </si>
  <si>
    <t>'108506101</t>
  </si>
  <si>
    <t>information@academyadventuresmidtown.com</t>
  </si>
  <si>
    <t>'108507000</t>
  </si>
  <si>
    <t>Kidd</t>
  </si>
  <si>
    <t>ikidd@thepartnership.us</t>
  </si>
  <si>
    <t>HRoberts@copecommunityservices.org</t>
  </si>
  <si>
    <t>520-791-27</t>
  </si>
  <si>
    <t>lgarcia@thepartnership.us</t>
  </si>
  <si>
    <t>LMcMillan@copecommunityservices.org</t>
  </si>
  <si>
    <t>'108507001</t>
  </si>
  <si>
    <t>MDunbar@thepartnership.us</t>
  </si>
  <si>
    <t>CEO adi Business Solutions</t>
  </si>
  <si>
    <t>Teena</t>
  </si>
  <si>
    <t>tjoseph@thepartnership.us</t>
  </si>
  <si>
    <t>Special Education Coordinator</t>
  </si>
  <si>
    <t>Open Doors Community School, Inc.</t>
  </si>
  <si>
    <t>'108512000</t>
  </si>
  <si>
    <t>Carmelann</t>
  </si>
  <si>
    <t>cbarry@odcs.school</t>
  </si>
  <si>
    <t>Malangone</t>
  </si>
  <si>
    <t>lorim@azyp.org</t>
  </si>
  <si>
    <t>Lamy</t>
  </si>
  <si>
    <t>shirleyl@azyp.org</t>
  </si>
  <si>
    <t>Carroll</t>
  </si>
  <si>
    <t>jcarroll@odcs.school</t>
  </si>
  <si>
    <t>Open Doors Community School</t>
  </si>
  <si>
    <t>'108512001</t>
  </si>
  <si>
    <t>Danley</t>
  </si>
  <si>
    <t>jdanley@azyp.org</t>
  </si>
  <si>
    <t>Science Technology Engineering and Math Arizona</t>
  </si>
  <si>
    <t>'108514000</t>
  </si>
  <si>
    <t>info@davincitree.academy</t>
  </si>
  <si>
    <t>Da Vinci Tree Academy</t>
  </si>
  <si>
    <t>'108514101</t>
  </si>
  <si>
    <t>'108601000</t>
  </si>
  <si>
    <t>Laird-Lynch</t>
  </si>
  <si>
    <t>leslie.laird@pima.gov</t>
  </si>
  <si>
    <t>michele.ray@pima.gov</t>
  </si>
  <si>
    <t>eversokr@gmail.com</t>
  </si>
  <si>
    <t>Walsh</t>
  </si>
  <si>
    <t>betty.walsh@pima.gov</t>
  </si>
  <si>
    <t>Tech Director</t>
  </si>
  <si>
    <t>'108601201</t>
  </si>
  <si>
    <t>Proo</t>
  </si>
  <si>
    <t>gloria.proo@pima.gov</t>
  </si>
  <si>
    <t>Pima Rose Academy, Inc.</t>
  </si>
  <si>
    <t>'108602000</t>
  </si>
  <si>
    <t>lisa.cothrun@rosemanagement.com</t>
  </si>
  <si>
    <t>Cathleen</t>
  </si>
  <si>
    <t>Capen</t>
  </si>
  <si>
    <t>ccapen@rosemanagement.com</t>
  </si>
  <si>
    <t>Hurtado</t>
  </si>
  <si>
    <t>khurtado@rosemanagement.com</t>
  </si>
  <si>
    <t xml:space="preserve">Charter Representative </t>
  </si>
  <si>
    <t>Pima Rose Academy</t>
  </si>
  <si>
    <t>'108602001</t>
  </si>
  <si>
    <t>Edge School, Inc., The</t>
  </si>
  <si>
    <t>'108653000</t>
  </si>
  <si>
    <t>Barrette</t>
  </si>
  <si>
    <t>bbarrette@edgehighschool.org</t>
  </si>
  <si>
    <t>Pecharich</t>
  </si>
  <si>
    <t>robp@edgehighschool.org</t>
  </si>
  <si>
    <t>Edge High School - Himmel Park</t>
  </si>
  <si>
    <t>'108653001</t>
  </si>
  <si>
    <t>EDGE High School - Northwest</t>
  </si>
  <si>
    <t>'108653005</t>
  </si>
  <si>
    <t>Tucson Youth Development/ACE Charter High School</t>
  </si>
  <si>
    <t>'108660000</t>
  </si>
  <si>
    <t>Arnold</t>
  </si>
  <si>
    <t>Palacios</t>
  </si>
  <si>
    <t>arnold.palacios@acehs.org</t>
  </si>
  <si>
    <t>Bibby</t>
  </si>
  <si>
    <t>kathleen.bibby@acehs.org</t>
  </si>
  <si>
    <t>Homicki</t>
  </si>
  <si>
    <t>edward.homicki@acehs.org</t>
  </si>
  <si>
    <t>Alternative Computerized Education (ACE) Charter High School</t>
  </si>
  <si>
    <t>'108660201</t>
  </si>
  <si>
    <t>Slauter</t>
  </si>
  <si>
    <t>Jay.Slauter@acehs.org</t>
  </si>
  <si>
    <t>Cordier</t>
  </si>
  <si>
    <t>Youth Works Charter High School</t>
  </si>
  <si>
    <t>'108660202</t>
  </si>
  <si>
    <t>scott.cordier@acehs.org</t>
  </si>
  <si>
    <t>Academy of Tucson, Inc.</t>
  </si>
  <si>
    <t>'108665000</t>
  </si>
  <si>
    <t>Howard Bud</t>
  </si>
  <si>
    <t>bud@aoths.net</t>
  </si>
  <si>
    <t>jgarcia@aoths.net</t>
  </si>
  <si>
    <t>Bennie</t>
  </si>
  <si>
    <t>Gemello</t>
  </si>
  <si>
    <t>bgemello@aoths.net</t>
  </si>
  <si>
    <t>Academy of Tucson Middle School</t>
  </si>
  <si>
    <t>'108665101</t>
  </si>
  <si>
    <t>Speta</t>
  </si>
  <si>
    <t>lspeta@aoths.net</t>
  </si>
  <si>
    <t>Academy of Tucson Elementary School</t>
  </si>
  <si>
    <t>'108665102</t>
  </si>
  <si>
    <t>Academy of Tucson High School</t>
  </si>
  <si>
    <t>'108665201</t>
  </si>
  <si>
    <t>shari@at.tuccoxmail.com</t>
  </si>
  <si>
    <t>Wendi</t>
  </si>
  <si>
    <t>Allardice</t>
  </si>
  <si>
    <t>wallardice@aoths.net</t>
  </si>
  <si>
    <t>Daisy Education Corporation dba Sonoran Science Academy</t>
  </si>
  <si>
    <t>'108666000</t>
  </si>
  <si>
    <t>Chief Executive Officer</t>
  </si>
  <si>
    <t>Horewitch</t>
  </si>
  <si>
    <t>lhorewitch@sonoranschools.org</t>
  </si>
  <si>
    <t>SLP</t>
  </si>
  <si>
    <t>Recai</t>
  </si>
  <si>
    <t>Yilmaz</t>
  </si>
  <si>
    <t>ryilmaz@sonoranschools.org</t>
  </si>
  <si>
    <t xml:space="preserve">Vice Principal </t>
  </si>
  <si>
    <t>Florencia</t>
  </si>
  <si>
    <t>fruiz@sonoranschools.org</t>
  </si>
  <si>
    <t>Sonoran Science Academy - Tucson</t>
  </si>
  <si>
    <t>'108666001</t>
  </si>
  <si>
    <t>Charter Rep</t>
  </si>
  <si>
    <t>Bilal</t>
  </si>
  <si>
    <t>Dogan</t>
  </si>
  <si>
    <t>bdogan@sonoranacademy.org</t>
  </si>
  <si>
    <t>Adnan</t>
  </si>
  <si>
    <t>Doyuran</t>
  </si>
  <si>
    <t>adoyuran@sonoranacademy.org</t>
  </si>
  <si>
    <t>Hermosa Montessori Charter School</t>
  </si>
  <si>
    <t>'108701000</t>
  </si>
  <si>
    <t>Hermosa Montessori Charter</t>
  </si>
  <si>
    <t>'108701001</t>
  </si>
  <si>
    <t>Stolov</t>
  </si>
  <si>
    <t>sheilas@hermosaschool.org</t>
  </si>
  <si>
    <t>Montessori Schoolhouse of Tucson, Inc.</t>
  </si>
  <si>
    <t>'108703000</t>
  </si>
  <si>
    <t>Ebner</t>
  </si>
  <si>
    <t>mont1301@aol.com</t>
  </si>
  <si>
    <t>Busniness Manager</t>
  </si>
  <si>
    <t>Regine</t>
  </si>
  <si>
    <t>Montessori Schoolhouse</t>
  </si>
  <si>
    <t>'108703002</t>
  </si>
  <si>
    <t>'108703101</t>
  </si>
  <si>
    <t>Test</t>
  </si>
  <si>
    <t>'108706000</t>
  </si>
  <si>
    <t>'108706001</t>
  </si>
  <si>
    <t>'108707000</t>
  </si>
  <si>
    <t>Felix</t>
  </si>
  <si>
    <t>info@nosotrosacademy.org</t>
  </si>
  <si>
    <t>'108707001</t>
  </si>
  <si>
    <t>'108709000</t>
  </si>
  <si>
    <t>Reana</t>
  </si>
  <si>
    <t>swatins_05@msn.com</t>
  </si>
  <si>
    <t>Principal of La Paloma Academy Lakeside</t>
  </si>
  <si>
    <t>La Paloma Academy</t>
  </si>
  <si>
    <t>'108709101</t>
  </si>
  <si>
    <t>Billy</t>
  </si>
  <si>
    <t>brubasch@hotmail.com</t>
  </si>
  <si>
    <t>Brendan</t>
  </si>
  <si>
    <t>Ewald</t>
  </si>
  <si>
    <t>bewald33@yahoo.com</t>
  </si>
  <si>
    <t>La Paloma Academy (Lakeside)</t>
  </si>
  <si>
    <t>'108709103</t>
  </si>
  <si>
    <t>Emory</t>
  </si>
  <si>
    <t>mr.emory5@gmail.com</t>
  </si>
  <si>
    <t>'108709104</t>
  </si>
  <si>
    <t>Bummer</t>
  </si>
  <si>
    <t>pcbum@hotmail.com</t>
  </si>
  <si>
    <t>Pima Prevention Partnership dba Pima Partnership School, The</t>
  </si>
  <si>
    <t>'108711000</t>
  </si>
  <si>
    <t>McMillian</t>
  </si>
  <si>
    <t>Pima Prevention Partnership-Tucson</t>
  </si>
  <si>
    <t>'108711001</t>
  </si>
  <si>
    <t>Dr. Edith</t>
  </si>
  <si>
    <t>Garcia-Macklin</t>
  </si>
  <si>
    <t>egarciamacklin@thepartnership.us</t>
  </si>
  <si>
    <t>Pima Partnership School, The</t>
  </si>
  <si>
    <t>'108711201</t>
  </si>
  <si>
    <t>Mejia</t>
  </si>
  <si>
    <t>kmejia@thepartnership.us</t>
  </si>
  <si>
    <t>Associate Director of Business for Academic Services</t>
  </si>
  <si>
    <t>Rachelle</t>
  </si>
  <si>
    <t>Prosowski</t>
  </si>
  <si>
    <t>rprosowski@thepartnership.us</t>
  </si>
  <si>
    <t>'108713000</t>
  </si>
  <si>
    <t>KChayka@amstucson.org</t>
  </si>
  <si>
    <t>Lomeland</t>
  </si>
  <si>
    <t>slomeland@amstucson.org</t>
  </si>
  <si>
    <t>Academy of Math and Science</t>
  </si>
  <si>
    <t>'108713101</t>
  </si>
  <si>
    <t>Tatyana</t>
  </si>
  <si>
    <t>tchayka@amstucson.org</t>
  </si>
  <si>
    <t>'108714000</t>
  </si>
  <si>
    <t>jherrera@tucsoninternationalacademy.com</t>
  </si>
  <si>
    <t>Principal/CEO</t>
  </si>
  <si>
    <t>mwhite@azgm.org</t>
  </si>
  <si>
    <t>Tucson International Academy</t>
  </si>
  <si>
    <t>'108714101</t>
  </si>
  <si>
    <t>jherr520@aol.com</t>
  </si>
  <si>
    <t>Tucson International Academy Midvale</t>
  </si>
  <si>
    <t>'108714102</t>
  </si>
  <si>
    <t>TIA East</t>
  </si>
  <si>
    <t>'108714103</t>
  </si>
  <si>
    <t>'108714104</t>
  </si>
  <si>
    <t>Canyon Rose Academy, Inc.</t>
  </si>
  <si>
    <t>'108715000</t>
  </si>
  <si>
    <t>Canyon Rose Academy</t>
  </si>
  <si>
    <t>'108715201</t>
  </si>
  <si>
    <t>principal@canyonroseacademy.com</t>
  </si>
  <si>
    <t>Canyon Rose Academy-East</t>
  </si>
  <si>
    <t>'108715202</t>
  </si>
  <si>
    <t>Educational Impact, Inc.</t>
  </si>
  <si>
    <t>'108717000</t>
  </si>
  <si>
    <t>Adventure School</t>
  </si>
  <si>
    <t>'108717102</t>
  </si>
  <si>
    <t>maryann@academyadventures.com</t>
  </si>
  <si>
    <t>Satori, Inc.</t>
  </si>
  <si>
    <t>'108719000</t>
  </si>
  <si>
    <t>Honea</t>
  </si>
  <si>
    <t>jo@satorischool.org</t>
  </si>
  <si>
    <t>brian@satorischool.org</t>
  </si>
  <si>
    <t>Satori Charter School</t>
  </si>
  <si>
    <t>'108719101</t>
  </si>
  <si>
    <t>CITY Center for Collaborative Learning</t>
  </si>
  <si>
    <t>'108720000</t>
  </si>
  <si>
    <t>Fryer</t>
  </si>
  <si>
    <t>kelly@cityccl.org</t>
  </si>
  <si>
    <t>chadb@cityccl.org</t>
  </si>
  <si>
    <t>kathym@cityccl.org</t>
  </si>
  <si>
    <t>Brett</t>
  </si>
  <si>
    <t>Goble</t>
  </si>
  <si>
    <t>bgoble@cityhighschool.org</t>
  </si>
  <si>
    <t>Financial Director</t>
  </si>
  <si>
    <t>Fleury</t>
  </si>
  <si>
    <t>dan@cityccl.org</t>
  </si>
  <si>
    <t>Edwards</t>
  </si>
  <si>
    <t>lesliee@cityccl.org</t>
  </si>
  <si>
    <t>Paulo Freire Freedom School - University</t>
  </si>
  <si>
    <t>'108720101</t>
  </si>
  <si>
    <t>Carolyn (Carrie)</t>
  </si>
  <si>
    <t>carrie@cityccl.org</t>
  </si>
  <si>
    <t>cblair@paulofreireschool.org</t>
  </si>
  <si>
    <t>Paulo Freire Freedom School - Downtown</t>
  </si>
  <si>
    <t>'108720102</t>
  </si>
  <si>
    <t>Groh</t>
  </si>
  <si>
    <t>jgroh@paulofreireschool.org</t>
  </si>
  <si>
    <t>City High School</t>
  </si>
  <si>
    <t>'108720201</t>
  </si>
  <si>
    <t>carrie@cityhighschool.org</t>
  </si>
  <si>
    <t>Wolfe</t>
  </si>
  <si>
    <t>johnw@cityhighschool.org</t>
  </si>
  <si>
    <t>The Charter Foundation, Inc.</t>
  </si>
  <si>
    <t>'108722000</t>
  </si>
  <si>
    <t>Barr</t>
  </si>
  <si>
    <t>ctowner@amerischools.org</t>
  </si>
  <si>
    <t>Towner</t>
  </si>
  <si>
    <t>Administrative Assistant_Designated User</t>
  </si>
  <si>
    <t>dhinton@amerischools.org</t>
  </si>
  <si>
    <t>AmeriSchools Academy - Camelback</t>
  </si>
  <si>
    <t>'108722001</t>
  </si>
  <si>
    <t>AmeriSchools Academy - Yuma</t>
  </si>
  <si>
    <t>'108722004</t>
  </si>
  <si>
    <t>AmeriSchools Academy - Country Club</t>
  </si>
  <si>
    <t>'108722005</t>
  </si>
  <si>
    <t>Amerischools Academy North</t>
  </si>
  <si>
    <t>'108722008</t>
  </si>
  <si>
    <t>'108725000</t>
  </si>
  <si>
    <t>BASIS Tucson Primary</t>
  </si>
  <si>
    <t>'108725001</t>
  </si>
  <si>
    <t>Ha:san Educational Services</t>
  </si>
  <si>
    <t>'108726000</t>
  </si>
  <si>
    <t>Prezelski</t>
  </si>
  <si>
    <t>fprezelski@hasanprep.org</t>
  </si>
  <si>
    <t>Director Of Finance &amp; Operations</t>
  </si>
  <si>
    <t>Merino</t>
  </si>
  <si>
    <t>jmerino@hasanprep.org</t>
  </si>
  <si>
    <t>Pawson</t>
  </si>
  <si>
    <t>jpawson@hasanprep.org</t>
  </si>
  <si>
    <t>'108726001</t>
  </si>
  <si>
    <t>Desert Sky Community School, Inc.</t>
  </si>
  <si>
    <t>'108732000</t>
  </si>
  <si>
    <t>sadrian@desertskycommunityschool.org</t>
  </si>
  <si>
    <t xml:space="preserve">School Administrator  </t>
  </si>
  <si>
    <t>Alvarado Coady</t>
  </si>
  <si>
    <t>lacoady@arizonawaldorf.org</t>
  </si>
  <si>
    <t>Special Education Director</t>
  </si>
  <si>
    <t>Desert Sky Community School</t>
  </si>
  <si>
    <t>'108732101</t>
  </si>
  <si>
    <t>Academy Del Sol, Inc.</t>
  </si>
  <si>
    <t>'108734000</t>
  </si>
  <si>
    <t>Riegert</t>
  </si>
  <si>
    <t>krichards@gmail.com</t>
  </si>
  <si>
    <t>jriegert3@gmail.com</t>
  </si>
  <si>
    <t>Charter Signer/Director</t>
  </si>
  <si>
    <t>Academy Del Sol</t>
  </si>
  <si>
    <t>'108734001</t>
  </si>
  <si>
    <t>jriegert3@hotmail.com</t>
  </si>
  <si>
    <t>Academy Del Sol - Hope</t>
  </si>
  <si>
    <t>'108734002</t>
  </si>
  <si>
    <t>patricia</t>
  </si>
  <si>
    <t>Robson</t>
  </si>
  <si>
    <t>ass. principal</t>
  </si>
  <si>
    <t>'108735000</t>
  </si>
  <si>
    <t>Marylyn</t>
  </si>
  <si>
    <t>Valencia</t>
  </si>
  <si>
    <t>mvalencia@changemakerhighschool.org</t>
  </si>
  <si>
    <t>Director of Development</t>
  </si>
  <si>
    <t>Luis</t>
  </si>
  <si>
    <t>Perales</t>
  </si>
  <si>
    <t>lperales@changemakerhighschool.org</t>
  </si>
  <si>
    <t>aluna@changemakerhighschool.org</t>
  </si>
  <si>
    <t>'108735001</t>
  </si>
  <si>
    <t>'108737000</t>
  </si>
  <si>
    <t>Toews</t>
  </si>
  <si>
    <t>julia.toews@basised.com</t>
  </si>
  <si>
    <t>craig.r.barrett@intel.com</t>
  </si>
  <si>
    <t>BASIS Tucson North</t>
  </si>
  <si>
    <t>'108737001</t>
  </si>
  <si>
    <t>Leman Academy of Excellence, Inc.</t>
  </si>
  <si>
    <t>'108738000</t>
  </si>
  <si>
    <t>O'Reilly</t>
  </si>
  <si>
    <t>doreilly@lemanacademy.org</t>
  </si>
  <si>
    <t>Farley</t>
  </si>
  <si>
    <t>mfarley@farleyandassociates.com</t>
  </si>
  <si>
    <t>Consultant/Director</t>
  </si>
  <si>
    <t>Alexa</t>
  </si>
  <si>
    <t>Pappas</t>
  </si>
  <si>
    <t>alexa.pappas@lemanacademy.org</t>
  </si>
  <si>
    <t>Human Resources</t>
  </si>
  <si>
    <t>Purvance</t>
  </si>
  <si>
    <t>susan.purvance@lemanacademy.org</t>
  </si>
  <si>
    <t>Synergy Administrator</t>
  </si>
  <si>
    <t>Petitti</t>
  </si>
  <si>
    <t>epetitti@lemanacademy.org</t>
  </si>
  <si>
    <t>Determan</t>
  </si>
  <si>
    <t>kdeterman@lemanacademy.org</t>
  </si>
  <si>
    <t>cody.donovan@lemanacademy.org</t>
  </si>
  <si>
    <t>Leman Academy of Excellence</t>
  </si>
  <si>
    <t>'108738001</t>
  </si>
  <si>
    <t>mfarley@farleyandassoiciates.com</t>
  </si>
  <si>
    <t>Leman Academy of Excellence-Oro Valley Arizona</t>
  </si>
  <si>
    <t>'108738002</t>
  </si>
  <si>
    <t>Determen</t>
  </si>
  <si>
    <t>kdetermen@lemanacademy.org</t>
  </si>
  <si>
    <t>Leman Academy of Excellence-Sierra Vista</t>
  </si>
  <si>
    <t>'108738003</t>
  </si>
  <si>
    <t>520-639-80</t>
  </si>
  <si>
    <t>Leman Virtual Academy</t>
  </si>
  <si>
    <t>'108738004</t>
  </si>
  <si>
    <t>Leman Academy of Excellence East Tucson</t>
  </si>
  <si>
    <t>'108738005</t>
  </si>
  <si>
    <t>Leman Academy of Excellence East Mesa</t>
  </si>
  <si>
    <t>'108738006</t>
  </si>
  <si>
    <t>Leman Academy of Excellence - Central Tucson</t>
  </si>
  <si>
    <t>'108738007</t>
  </si>
  <si>
    <t>'108744000</t>
  </si>
  <si>
    <t>Tucker</t>
  </si>
  <si>
    <t>wtucker@ppep.org</t>
  </si>
  <si>
    <t>eybarra@ppep.org</t>
  </si>
  <si>
    <t>Riggs</t>
  </si>
  <si>
    <t>rriggs@ppep.org</t>
  </si>
  <si>
    <t>System Administrator</t>
  </si>
  <si>
    <t>sgomez@ppep.org</t>
  </si>
  <si>
    <t>HQ Specialist</t>
  </si>
  <si>
    <t>'108744201</t>
  </si>
  <si>
    <t xml:space="preserve">Leticia </t>
  </si>
  <si>
    <t xml:space="preserve">Lujan </t>
  </si>
  <si>
    <t>llujan@ppep.org</t>
  </si>
  <si>
    <t>PPEP TEC - Alice S. Paul Learning Center</t>
  </si>
  <si>
    <t>'108744204</t>
  </si>
  <si>
    <t>PPEP TEC - Raul H. Castro Learning Center</t>
  </si>
  <si>
    <t>'108744205</t>
  </si>
  <si>
    <t>Torrez</t>
  </si>
  <si>
    <t>rtorrez@ppep.org</t>
  </si>
  <si>
    <t>'108744206</t>
  </si>
  <si>
    <t>asanchez@ppep.org</t>
  </si>
  <si>
    <t>Leticia</t>
  </si>
  <si>
    <t>Lujan</t>
  </si>
  <si>
    <t>'108744207</t>
  </si>
  <si>
    <t>grodriguez@ppep.org</t>
  </si>
  <si>
    <t>PPEP TEC - Colin L. Powell Learning Center</t>
  </si>
  <si>
    <t>'108744208</t>
  </si>
  <si>
    <t>Buckmaster</t>
  </si>
  <si>
    <t>lbuckmaster@ppep.org</t>
  </si>
  <si>
    <t>Geraldeen</t>
  </si>
  <si>
    <t>Levi</t>
  </si>
  <si>
    <t>glevi@ppep.org</t>
  </si>
  <si>
    <t>Accelerated Elementary and Secondary Schools</t>
  </si>
  <si>
    <t>'108767000</t>
  </si>
  <si>
    <t>alctucson@msn.com</t>
  </si>
  <si>
    <t>Serei</t>
  </si>
  <si>
    <t>sereikay@yahoo.com</t>
  </si>
  <si>
    <t>Accelerated Learning Laboratory</t>
  </si>
  <si>
    <t>'108767001</t>
  </si>
  <si>
    <t>'108768000</t>
  </si>
  <si>
    <t>tucprep@dakotacom.net</t>
  </si>
  <si>
    <t>VonDestinon</t>
  </si>
  <si>
    <t>President of the Board</t>
  </si>
  <si>
    <t>jsullivan@tucsonprepschool.org</t>
  </si>
  <si>
    <t>Telles</t>
  </si>
  <si>
    <t>telles.erica@gmail.com</t>
  </si>
  <si>
    <t>ADM</t>
  </si>
  <si>
    <t>'108768001</t>
  </si>
  <si>
    <t>Mountain Rose Academy, Inc.</t>
  </si>
  <si>
    <t>'108769000</t>
  </si>
  <si>
    <t>Kinghorn</t>
  </si>
  <si>
    <t>catherinekinghorn@rosemanagement.com</t>
  </si>
  <si>
    <t>Mountain Rose Academy</t>
  </si>
  <si>
    <t>'108769001</t>
  </si>
  <si>
    <t>Great Expectations Academy</t>
  </si>
  <si>
    <t>'108770000</t>
  </si>
  <si>
    <t>beth@geageckos.org</t>
  </si>
  <si>
    <t>Director Emeritus</t>
  </si>
  <si>
    <t>mphillips@geageckos.org</t>
  </si>
  <si>
    <t>Director/Administrator</t>
  </si>
  <si>
    <t>Topp</t>
  </si>
  <si>
    <t>jtopp@geageckos.org</t>
  </si>
  <si>
    <t>Big</t>
  </si>
  <si>
    <t>jbig@geageckos.org</t>
  </si>
  <si>
    <t>Business Manager/Administrator</t>
  </si>
  <si>
    <t>Hanson</t>
  </si>
  <si>
    <t>phanson@geageckos.org</t>
  </si>
  <si>
    <t>Systems Manager/Registrar</t>
  </si>
  <si>
    <t>'108770101</t>
  </si>
  <si>
    <t>Southern Arizona Community Academy, Inc.</t>
  </si>
  <si>
    <t>'108772000</t>
  </si>
  <si>
    <t>Cyndi</t>
  </si>
  <si>
    <t>Cubillas</t>
  </si>
  <si>
    <t>cynditsp@gmail.com</t>
  </si>
  <si>
    <t>Registrar/Admin Asst/Entity Admin</t>
  </si>
  <si>
    <t>Southern Arizona Community Academy</t>
  </si>
  <si>
    <t>'108772201</t>
  </si>
  <si>
    <t>sacaeagles@aol.com</t>
  </si>
  <si>
    <t>SACA Online</t>
  </si>
  <si>
    <t>'108772202</t>
  </si>
  <si>
    <t>Juanita</t>
  </si>
  <si>
    <t>Ostowski</t>
  </si>
  <si>
    <t>jostrowski@CBIZ.com</t>
  </si>
  <si>
    <t>Tucson Country Day School, Inc.</t>
  </si>
  <si>
    <t>'108773000</t>
  </si>
  <si>
    <t>Cooperrichardh@yahoo.com</t>
  </si>
  <si>
    <t xml:space="preserve">Charter Holder   </t>
  </si>
  <si>
    <t>Mosgrove</t>
  </si>
  <si>
    <t>lmosgrove@tcdschampions.com</t>
  </si>
  <si>
    <t>JKrause@TCDSChampions.com</t>
  </si>
  <si>
    <t>Chief Operations Officer/Principal</t>
  </si>
  <si>
    <t>NBrown@TCDSChampions.com</t>
  </si>
  <si>
    <t>RRobertson@TCDSChampions.com</t>
  </si>
  <si>
    <t>Program Coordinator</t>
  </si>
  <si>
    <t>Tucson Country Day School</t>
  </si>
  <si>
    <t>'108773101</t>
  </si>
  <si>
    <t>cooperrichardh@yahoo.com</t>
  </si>
  <si>
    <t>Highland Free School</t>
  </si>
  <si>
    <t>'108775000</t>
  </si>
  <si>
    <t>Sofka</t>
  </si>
  <si>
    <t>nsofka@highlandfs.com</t>
  </si>
  <si>
    <t>'108775101</t>
  </si>
  <si>
    <t>Carden of Tucson, Inc.</t>
  </si>
  <si>
    <t>'108777000</t>
  </si>
  <si>
    <t>Bette</t>
  </si>
  <si>
    <t>Jeppson</t>
  </si>
  <si>
    <t>bjeppson@cardenoftucson.org</t>
  </si>
  <si>
    <t>Kalil</t>
  </si>
  <si>
    <t>mike@kalilassociates.com</t>
  </si>
  <si>
    <t>Financial Advisor</t>
  </si>
  <si>
    <t>Carden of Tucson</t>
  </si>
  <si>
    <t>'108777101</t>
  </si>
  <si>
    <t>Presidio School</t>
  </si>
  <si>
    <t>'108778000</t>
  </si>
  <si>
    <t>Drexel</t>
  </si>
  <si>
    <t>tomd@presidioschool.com</t>
  </si>
  <si>
    <t>tgarza@presidioschool.com</t>
  </si>
  <si>
    <t>Saliba</t>
  </si>
  <si>
    <t>msaliba@presidioschool.com</t>
  </si>
  <si>
    <t>Denice</t>
  </si>
  <si>
    <t>Chapman</t>
  </si>
  <si>
    <t>dchapman@presidioschool.com</t>
  </si>
  <si>
    <t>'108778201</t>
  </si>
  <si>
    <t>terryg@presidioschool.com</t>
  </si>
  <si>
    <t>mindyw@presidioschool.com</t>
  </si>
  <si>
    <t>'108779000</t>
  </si>
  <si>
    <t>Calmelat</t>
  </si>
  <si>
    <t>smcalmelat@southgateaz.org</t>
  </si>
  <si>
    <t>Borboa</t>
  </si>
  <si>
    <t>nborboa@southgateaz.org</t>
  </si>
  <si>
    <t>Grant Specialist</t>
  </si>
  <si>
    <t>Gus</t>
  </si>
  <si>
    <t>Kyriakakis</t>
  </si>
  <si>
    <t>gus@southgateaz.org</t>
  </si>
  <si>
    <t>'108779101</t>
  </si>
  <si>
    <t>Delia</t>
  </si>
  <si>
    <t>McCraley</t>
  </si>
  <si>
    <t>dmccraley@southgateaz.org</t>
  </si>
  <si>
    <t>Eastpointe High School, Inc.</t>
  </si>
  <si>
    <t>'108781000</t>
  </si>
  <si>
    <t>Singleton</t>
  </si>
  <si>
    <t>eastpointehighsc@qwestoffice.net</t>
  </si>
  <si>
    <t>Donnie</t>
  </si>
  <si>
    <t>Houston</t>
  </si>
  <si>
    <t>day3487@yahoo.com</t>
  </si>
  <si>
    <t>Meehan</t>
  </si>
  <si>
    <t>jmeehan@eastpointehs.net</t>
  </si>
  <si>
    <t xml:space="preserve"> CEO and Board President </t>
  </si>
  <si>
    <t>Eastpointe High School</t>
  </si>
  <si>
    <t>'108781201</t>
  </si>
  <si>
    <t>dah3487@yahoo.com</t>
  </si>
  <si>
    <t>toddephs@qwestoffice.net</t>
  </si>
  <si>
    <t>Administrative Director</t>
  </si>
  <si>
    <t>Khalsa Family Services</t>
  </si>
  <si>
    <t>'108784000</t>
  </si>
  <si>
    <t>Gurumeet</t>
  </si>
  <si>
    <t>gurumeetk@yahoo.com</t>
  </si>
  <si>
    <t>V. P. Director</t>
  </si>
  <si>
    <t>Celeste</t>
  </si>
  <si>
    <t>Duitman</t>
  </si>
  <si>
    <t>520-529-36</t>
  </si>
  <si>
    <t>celeste.duitman@comcast.net</t>
  </si>
  <si>
    <t>McIsaac</t>
  </si>
  <si>
    <t>naomi.mcisaac@khalsaschools.org</t>
  </si>
  <si>
    <t>assistant director</t>
  </si>
  <si>
    <t>michael.herrera@khalsaschools.org</t>
  </si>
  <si>
    <t>Accountant Business Manager</t>
  </si>
  <si>
    <t>Lulu</t>
  </si>
  <si>
    <t>lulu.camacho@khalsaschools.org</t>
  </si>
  <si>
    <t>Khalsa School</t>
  </si>
  <si>
    <t>'108784101</t>
  </si>
  <si>
    <t>Nirvair</t>
  </si>
  <si>
    <t>nirvair.khalsa@khalsamontessorischool.com</t>
  </si>
  <si>
    <t>'108785000</t>
  </si>
  <si>
    <t>ccurtis@scstucson.org</t>
  </si>
  <si>
    <t>Mikayla</t>
  </si>
  <si>
    <t>Hoffmann</t>
  </si>
  <si>
    <t>mhoffmann@scstucson.org</t>
  </si>
  <si>
    <t>Toro</t>
  </si>
  <si>
    <t>ttoro@scstucson.org</t>
  </si>
  <si>
    <t>SAIS Technology Coord.</t>
  </si>
  <si>
    <t>'108785001</t>
  </si>
  <si>
    <t>LaFave</t>
  </si>
  <si>
    <t>llafave@scstucson.org</t>
  </si>
  <si>
    <t>Desert Rose Academy,Inc.</t>
  </si>
  <si>
    <t>'108787000</t>
  </si>
  <si>
    <t>drhurtado@rosemanagement.com</t>
  </si>
  <si>
    <t>Gallardo</t>
  </si>
  <si>
    <t>julie.gallardo@rosemanagement.com</t>
  </si>
  <si>
    <t>Kara</t>
  </si>
  <si>
    <t>Hoppe</t>
  </si>
  <si>
    <t>kara.hoppe@rosemanagement.com</t>
  </si>
  <si>
    <t>SIS Specialist</t>
  </si>
  <si>
    <t>Desert Rose Academy Charter School</t>
  </si>
  <si>
    <t>'108787201</t>
  </si>
  <si>
    <t>Compass High School, Inc.</t>
  </si>
  <si>
    <t>'108788000</t>
  </si>
  <si>
    <t>Kerk</t>
  </si>
  <si>
    <t>kerk@compasshighschool.com</t>
  </si>
  <si>
    <t>mike@compasshighschool.com</t>
  </si>
  <si>
    <t>Compass High School</t>
  </si>
  <si>
    <t>'108788201</t>
  </si>
  <si>
    <t>Administrator/Teacher</t>
  </si>
  <si>
    <t>Griffin Foundation, Inc. The</t>
  </si>
  <si>
    <t>'108789000</t>
  </si>
  <si>
    <t>Griffin</t>
  </si>
  <si>
    <t>griffin28@msn.com</t>
  </si>
  <si>
    <t>CEO / Superintendent</t>
  </si>
  <si>
    <t>Vaught</t>
  </si>
  <si>
    <t>svaught@griffinfoundation.org</t>
  </si>
  <si>
    <t>Children Reaching for the Sky Preparatory</t>
  </si>
  <si>
    <t>'108789101</t>
  </si>
  <si>
    <t>Future Investment Middle School</t>
  </si>
  <si>
    <t>'108789102</t>
  </si>
  <si>
    <t>'108793000</t>
  </si>
  <si>
    <t>Magdlena.Verdugo@cplc.org</t>
  </si>
  <si>
    <t>lori.mejia@cplc.org</t>
  </si>
  <si>
    <t>'108793201</t>
  </si>
  <si>
    <t>Karp</t>
  </si>
  <si>
    <t>'108794000</t>
  </si>
  <si>
    <t>Alicia.Alvarez@leonagroup.com</t>
  </si>
  <si>
    <t>Aracely</t>
  </si>
  <si>
    <t>Aracely.espinoza@leonagroup.com</t>
  </si>
  <si>
    <t>'108794201</t>
  </si>
  <si>
    <t>'108796000</t>
  </si>
  <si>
    <t>Kylee</t>
  </si>
  <si>
    <t>KMILLS@K12.COM</t>
  </si>
  <si>
    <t>Michka</t>
  </si>
  <si>
    <t>571-405-23</t>
  </si>
  <si>
    <t>cmichka@k12.com</t>
  </si>
  <si>
    <t>Arizona Virtual Academy</t>
  </si>
  <si>
    <t>'108796001</t>
  </si>
  <si>
    <t>Nichole</t>
  </si>
  <si>
    <t>npeterson@k12.com</t>
  </si>
  <si>
    <t>Assistant Operations Manager</t>
  </si>
  <si>
    <t>Arizona Insight Academy</t>
  </si>
  <si>
    <t>'108796002</t>
  </si>
  <si>
    <t>Math and Science Success Academy, Inc.</t>
  </si>
  <si>
    <t>'108798000</t>
  </si>
  <si>
    <t>Chief Development Officer</t>
  </si>
  <si>
    <t>Samdahl</t>
  </si>
  <si>
    <t>Network Administrator</t>
  </si>
  <si>
    <t>Caitlin</t>
  </si>
  <si>
    <t>cschaeffer@amsadvancedvirtual.org</t>
  </si>
  <si>
    <t>Math and Science Success Academy</t>
  </si>
  <si>
    <t>'108798101</t>
  </si>
  <si>
    <t>lsamdahl@amstucson.org</t>
  </si>
  <si>
    <t>'108799000</t>
  </si>
  <si>
    <t>IKidd@thepartnership.us</t>
  </si>
  <si>
    <t>lgarcia@theparthership.us</t>
  </si>
  <si>
    <t>'108799101</t>
  </si>
  <si>
    <t>tmiller@thepartnership.us</t>
  </si>
  <si>
    <t>Harry</t>
  </si>
  <si>
    <t>Kressler</t>
  </si>
  <si>
    <t>hkressler@thepartnership.us</t>
  </si>
  <si>
    <t>llong@thepartnership.us</t>
  </si>
  <si>
    <t>Collaborative Pathways, Inc.</t>
  </si>
  <si>
    <t>'108909000</t>
  </si>
  <si>
    <t>Gulen</t>
  </si>
  <si>
    <t>ghicks@arizonacollegeprep.com</t>
  </si>
  <si>
    <t>Charlene</t>
  </si>
  <si>
    <t>cmm246@gmail.com</t>
  </si>
  <si>
    <t>Arizona College Prep Academy</t>
  </si>
  <si>
    <t>'108909001</t>
  </si>
  <si>
    <t>cmendoza@arizonacollegeprep.com</t>
  </si>
  <si>
    <t>Mary C O'Brien Accommodation District</t>
  </si>
  <si>
    <t>'110100000</t>
  </si>
  <si>
    <t>Ector</t>
  </si>
  <si>
    <t>erodriguez@pinalk12.org</t>
  </si>
  <si>
    <t>Villa Oasis School Principal</t>
  </si>
  <si>
    <t>Carreon</t>
  </si>
  <si>
    <t>520.840.44</t>
  </si>
  <si>
    <t>acarreon@pinalk12.org</t>
  </si>
  <si>
    <t>Mary C  O'Brien Elementary School</t>
  </si>
  <si>
    <t>'110100001</t>
  </si>
  <si>
    <t>lraymond@pinalcountyschools.org</t>
  </si>
  <si>
    <t>'110100003</t>
  </si>
  <si>
    <t>DeMello</t>
  </si>
  <si>
    <t>justin.demello@pinalcountyschools.org</t>
  </si>
  <si>
    <t>'110201000</t>
  </si>
  <si>
    <t>Jimenez</t>
  </si>
  <si>
    <t>tjimenez@fusdaz.org</t>
  </si>
  <si>
    <t>Assistant to Superintendent of Human Resources</t>
  </si>
  <si>
    <t>Knutsen</t>
  </si>
  <si>
    <t>cknutsen@fusdaz.org</t>
  </si>
  <si>
    <t>kasmith@fusdaz.org</t>
  </si>
  <si>
    <t>Shores</t>
  </si>
  <si>
    <t>pshores@fusdaz.org</t>
  </si>
  <si>
    <t>bmyers@fusdaz.org</t>
  </si>
  <si>
    <t>derickson@fusdaz.org</t>
  </si>
  <si>
    <t>jhaller@fusdaz.org</t>
  </si>
  <si>
    <t>Florence K-8</t>
  </si>
  <si>
    <t>'110201101</t>
  </si>
  <si>
    <t>Potter</t>
  </si>
  <si>
    <t>dpotter@fusdaz.org</t>
  </si>
  <si>
    <t>Walker Butte K-8</t>
  </si>
  <si>
    <t>'110201102</t>
  </si>
  <si>
    <t>Hendry</t>
  </si>
  <si>
    <t>rhendry@fusdaz.org</t>
  </si>
  <si>
    <t>Copper Basin</t>
  </si>
  <si>
    <t>'110201103</t>
  </si>
  <si>
    <t>sjohnson@fusdaz.org</t>
  </si>
  <si>
    <t>Skyline Ranch Elementary School</t>
  </si>
  <si>
    <t>'110201104</t>
  </si>
  <si>
    <t>Anthem Elementary School</t>
  </si>
  <si>
    <t>'110201105</t>
  </si>
  <si>
    <t>Circle Cross K8 STEM Academy</t>
  </si>
  <si>
    <t>'110201106</t>
  </si>
  <si>
    <t>Dalby</t>
  </si>
  <si>
    <t>hdalby@fusdaz.org</t>
  </si>
  <si>
    <t>Magma Ranch K8 School</t>
  </si>
  <si>
    <t>'110201107</t>
  </si>
  <si>
    <t>Janeane</t>
  </si>
  <si>
    <t>jcandelaria@fusdaz.org</t>
  </si>
  <si>
    <t>San Tan Heights Elementary</t>
  </si>
  <si>
    <t>'110201108</t>
  </si>
  <si>
    <t>Florence High School</t>
  </si>
  <si>
    <t>'110201201</t>
  </si>
  <si>
    <t>Haugen</t>
  </si>
  <si>
    <t>thaugen@fusdaz.org</t>
  </si>
  <si>
    <t>Poston Butte High School</t>
  </si>
  <si>
    <t>'110201202</t>
  </si>
  <si>
    <t>Berklan</t>
  </si>
  <si>
    <t>sberklan@fusdaz.org</t>
  </si>
  <si>
    <t>Assistant Principal-Curriculum &amp; Academics</t>
  </si>
  <si>
    <t>San Tan Foothills High School</t>
  </si>
  <si>
    <t>'110201203</t>
  </si>
  <si>
    <t>Summit School</t>
  </si>
  <si>
    <t>'110201501</t>
  </si>
  <si>
    <t>roedwards@fusdaz.org</t>
  </si>
  <si>
    <t>Florence Virtual Academy</t>
  </si>
  <si>
    <t>'110201502</t>
  </si>
  <si>
    <t>Beverely</t>
  </si>
  <si>
    <t>Mountain Vista Academy</t>
  </si>
  <si>
    <t>'110201503</t>
  </si>
  <si>
    <t>Edwards Jr</t>
  </si>
  <si>
    <t>Ray Unified District</t>
  </si>
  <si>
    <t>'110203000</t>
  </si>
  <si>
    <t>rochelle_pacheco@rayusd.org</t>
  </si>
  <si>
    <t>kelley</t>
  </si>
  <si>
    <t>amanda_kelley@rayusd.org</t>
  </si>
  <si>
    <t>Harmon</t>
  </si>
  <si>
    <t>jacob_harmon@rayusd.org</t>
  </si>
  <si>
    <t>Ray Elementary School</t>
  </si>
  <si>
    <t>'110203103</t>
  </si>
  <si>
    <t>Ray JR/SR High School</t>
  </si>
  <si>
    <t>'110203202</t>
  </si>
  <si>
    <t>Dunn</t>
  </si>
  <si>
    <t>robert_dunn@rayusd.org</t>
  </si>
  <si>
    <t>'110208000</t>
  </si>
  <si>
    <t>Merriman</t>
  </si>
  <si>
    <t>merrime@msmusd.org</t>
  </si>
  <si>
    <t>Data Instructional Coach</t>
  </si>
  <si>
    <t>Poppen</t>
  </si>
  <si>
    <t>poppenm@msmusd.org</t>
  </si>
  <si>
    <t>adamsm@msmusd.org</t>
  </si>
  <si>
    <t>Bustamante</t>
  </si>
  <si>
    <t>BUSTAM@msmusd.org</t>
  </si>
  <si>
    <t>SAIS Technical Coordinator</t>
  </si>
  <si>
    <t>First Avenue Elementary School</t>
  </si>
  <si>
    <t>'110208107</t>
  </si>
  <si>
    <t>San Manuel Jr. High School</t>
  </si>
  <si>
    <t>'110208166</t>
  </si>
  <si>
    <t>ryanj@msmusd.org</t>
  </si>
  <si>
    <t>ADE user</t>
  </si>
  <si>
    <t>Dale-Scott</t>
  </si>
  <si>
    <t>scottj@msmusd.org</t>
  </si>
  <si>
    <t>Joliat</t>
  </si>
  <si>
    <t>joliatm@msmusd.org</t>
  </si>
  <si>
    <t>'110208281</t>
  </si>
  <si>
    <t>Superior Unified School District</t>
  </si>
  <si>
    <t>'110215000</t>
  </si>
  <si>
    <t>Estatico</t>
  </si>
  <si>
    <t>520.689.30</t>
  </si>
  <si>
    <t>pduarte@superiorusd.org</t>
  </si>
  <si>
    <t>Financial Assistant</t>
  </si>
  <si>
    <t>April</t>
  </si>
  <si>
    <t>aybarra@superiorusd.org</t>
  </si>
  <si>
    <t>John F Kennedy School</t>
  </si>
  <si>
    <t>'110215101</t>
  </si>
  <si>
    <t>Superior Junior/Senior High School</t>
  </si>
  <si>
    <t>'110215205</t>
  </si>
  <si>
    <t>bduarte@superiorusd.org</t>
  </si>
  <si>
    <t>'110220000</t>
  </si>
  <si>
    <t>Roden</t>
  </si>
  <si>
    <t>kroden@musd20.org</t>
  </si>
  <si>
    <t>Ponticello</t>
  </si>
  <si>
    <t>tponticello@musd20.org</t>
  </si>
  <si>
    <t>Chestnut</t>
  </si>
  <si>
    <t>schestnut@musd20.org</t>
  </si>
  <si>
    <t>kgraham@musd20.org</t>
  </si>
  <si>
    <t>khoneycutt@musd20.org</t>
  </si>
  <si>
    <t>jharmon@musd20.org</t>
  </si>
  <si>
    <t>Becking</t>
  </si>
  <si>
    <t>jbecking@musd20.org</t>
  </si>
  <si>
    <t>Registrar for District</t>
  </si>
  <si>
    <t>Santa Rosa Preschool</t>
  </si>
  <si>
    <t>'110220004</t>
  </si>
  <si>
    <t>Saddleback Preschool</t>
  </si>
  <si>
    <t>'110220009</t>
  </si>
  <si>
    <t>Maricopa Elementary School</t>
  </si>
  <si>
    <t>'110220101</t>
  </si>
  <si>
    <t>jrobinson@musd20.org</t>
  </si>
  <si>
    <t>Santa Rosa Elementary School</t>
  </si>
  <si>
    <t>'110220104</t>
  </si>
  <si>
    <t>Safranek</t>
  </si>
  <si>
    <t>esafranek@musd20.org</t>
  </si>
  <si>
    <t>Pima Butte Elementary School</t>
  </si>
  <si>
    <t>'110220105</t>
  </si>
  <si>
    <t>Lazar</t>
  </si>
  <si>
    <t>Santa Cruz Elementary School</t>
  </si>
  <si>
    <t>'110220106</t>
  </si>
  <si>
    <t>Chaffin</t>
  </si>
  <si>
    <t>'110220108</t>
  </si>
  <si>
    <t>Janel</t>
  </si>
  <si>
    <t>Hildick</t>
  </si>
  <si>
    <t>Jhildick@musd20.org</t>
  </si>
  <si>
    <t>Saddleback Elementary School</t>
  </si>
  <si>
    <t>'110220109</t>
  </si>
  <si>
    <t>fwilliams@musd20.org</t>
  </si>
  <si>
    <t>Maricopa Wells Middle School</t>
  </si>
  <si>
    <t>'110220133</t>
  </si>
  <si>
    <t>Abel</t>
  </si>
  <si>
    <t>rabel@musd20.org</t>
  </si>
  <si>
    <t>'110220134</t>
  </si>
  <si>
    <t>Yvette</t>
  </si>
  <si>
    <t>Harpe</t>
  </si>
  <si>
    <t>Maricopa Virtual Academy</t>
  </si>
  <si>
    <t>'110220135</t>
  </si>
  <si>
    <t>Maricopa High School</t>
  </si>
  <si>
    <t>'110220202</t>
  </si>
  <si>
    <t>June</t>
  </si>
  <si>
    <t>jcelaya@musd20.org</t>
  </si>
  <si>
    <t>'110221000</t>
  </si>
  <si>
    <t>Charie</t>
  </si>
  <si>
    <t>Wallace</t>
  </si>
  <si>
    <t>charie.wallace@coolidgeschools.org</t>
  </si>
  <si>
    <t>vickie.williams@coolidgeschools.org</t>
  </si>
  <si>
    <t>Dix</t>
  </si>
  <si>
    <t>yvette.dix@coolidgeschools.org</t>
  </si>
  <si>
    <t>Unger</t>
  </si>
  <si>
    <t>alyssa.unger@coolidgeschools.org</t>
  </si>
  <si>
    <t>Paulette</t>
  </si>
  <si>
    <t>Sutulovich</t>
  </si>
  <si>
    <t>paulette.sutulovich@coolidgeshools.org</t>
  </si>
  <si>
    <t>SAIS Supervisor</t>
  </si>
  <si>
    <t>'110221001</t>
  </si>
  <si>
    <t>Allee</t>
  </si>
  <si>
    <t>jallee@coolidgeschools.org</t>
  </si>
  <si>
    <t>ben.armstrong@cusd.k12.az.us</t>
  </si>
  <si>
    <t>Coolidge Jr. High School</t>
  </si>
  <si>
    <t>'110221005</t>
  </si>
  <si>
    <t>Tom.cox@cusd.k12.az.us</t>
  </si>
  <si>
    <t>Vince</t>
  </si>
  <si>
    <t>'110221007</t>
  </si>
  <si>
    <t>Ethier</t>
  </si>
  <si>
    <t>MEthier@coolidgeschools.net</t>
  </si>
  <si>
    <t>Adolph</t>
  </si>
  <si>
    <t>Steve.Adolph@cusd.k12.az.us</t>
  </si>
  <si>
    <t>Hodge</t>
  </si>
  <si>
    <t>'110221010</t>
  </si>
  <si>
    <t>Jessie</t>
  </si>
  <si>
    <t>Arroyos</t>
  </si>
  <si>
    <t>Jarroyos@cusd.k12.az.us</t>
  </si>
  <si>
    <t>Kuhns</t>
  </si>
  <si>
    <t>akuhns@cusd.k12.az.us</t>
  </si>
  <si>
    <t>Coolidge Alternative Program</t>
  </si>
  <si>
    <t>'110221012</t>
  </si>
  <si>
    <t>'110243000</t>
  </si>
  <si>
    <t>Goff</t>
  </si>
  <si>
    <t>egoff@goaj.org</t>
  </si>
  <si>
    <t>Coffinger</t>
  </si>
  <si>
    <t>Daniel.Coffinger@goaj.org</t>
  </si>
  <si>
    <t>creicher@goaj.org</t>
  </si>
  <si>
    <t>Engel</t>
  </si>
  <si>
    <t>scott.engel@goaj.org</t>
  </si>
  <si>
    <t>jpaterso@goaj.org</t>
  </si>
  <si>
    <t>Four Peaks Elementary School</t>
  </si>
  <si>
    <t>'110243102</t>
  </si>
  <si>
    <t>Farris</t>
  </si>
  <si>
    <t>bfarris@goaj.org</t>
  </si>
  <si>
    <t>Desert Vista Elementary School</t>
  </si>
  <si>
    <t>'110243104</t>
  </si>
  <si>
    <t>pasmith@goaj.org</t>
  </si>
  <si>
    <t>Peralta Trail Elementary School</t>
  </si>
  <si>
    <t>'110243105</t>
  </si>
  <si>
    <t>Golemon</t>
  </si>
  <si>
    <t>hgolemon@goaj.org</t>
  </si>
  <si>
    <t>Milkey</t>
  </si>
  <si>
    <t>tmilkey@goaj.org</t>
  </si>
  <si>
    <t>Clement</t>
  </si>
  <si>
    <t>nclement@goaj.org</t>
  </si>
  <si>
    <t>Cactus Canyon Junior High</t>
  </si>
  <si>
    <t>'110243151</t>
  </si>
  <si>
    <t>Apache Junction High School</t>
  </si>
  <si>
    <t>'110243201</t>
  </si>
  <si>
    <t>LaPrise</t>
  </si>
  <si>
    <t>llaprise@goaj.org</t>
  </si>
  <si>
    <t>'110244000</t>
  </si>
  <si>
    <t>Blanchard</t>
  </si>
  <si>
    <t>gblanchard@jocombs.org</t>
  </si>
  <si>
    <t>Bencomo</t>
  </si>
  <si>
    <t>bbencomo@jocombs.org</t>
  </si>
  <si>
    <t>Duplissis</t>
  </si>
  <si>
    <t>Slovitsky</t>
  </si>
  <si>
    <t>480-987-53</t>
  </si>
  <si>
    <t>kslovitsky@jocombs.org</t>
  </si>
  <si>
    <t>Director of Business Sevices</t>
  </si>
  <si>
    <t>Santa</t>
  </si>
  <si>
    <t>Dunker</t>
  </si>
  <si>
    <t>sdunker@jocombs.org</t>
  </si>
  <si>
    <t>Moffitt</t>
  </si>
  <si>
    <t>jmoffitt@jocombs.org</t>
  </si>
  <si>
    <t>Neild</t>
  </si>
  <si>
    <t>kneild@jocombs.org</t>
  </si>
  <si>
    <t>Craine</t>
  </si>
  <si>
    <t>dcraine@jocombs.org</t>
  </si>
  <si>
    <t>Combs Traditional Academy</t>
  </si>
  <si>
    <t>'110244101</t>
  </si>
  <si>
    <t>Marcus</t>
  </si>
  <si>
    <t>Berkshire</t>
  </si>
  <si>
    <t>mberkshire@jocombs.k12.az.us</t>
  </si>
  <si>
    <t>Principal/Data Coordinator</t>
  </si>
  <si>
    <t>Kathryn Sue Simonton Elementary</t>
  </si>
  <si>
    <t>'110244102</t>
  </si>
  <si>
    <t>Shepstead</t>
  </si>
  <si>
    <t>bshepstead@jocombs.k12.az.us</t>
  </si>
  <si>
    <t>J. O. Combs Middle School</t>
  </si>
  <si>
    <t>'110244103</t>
  </si>
  <si>
    <t>Mauro</t>
  </si>
  <si>
    <t>mmauro@jocombs.k12.az.us</t>
  </si>
  <si>
    <t>'110244104</t>
  </si>
  <si>
    <t>Ames</t>
  </si>
  <si>
    <t>Singley</t>
  </si>
  <si>
    <t>asingley@jocombs.k12.az.us</t>
  </si>
  <si>
    <t>Ellsworth Elementary School</t>
  </si>
  <si>
    <t>'110244105</t>
  </si>
  <si>
    <t>Stimatze</t>
  </si>
  <si>
    <t>tstimatze@jocombs.k12.az.us</t>
  </si>
  <si>
    <t>Ranch Elementary School</t>
  </si>
  <si>
    <t>'110244106</t>
  </si>
  <si>
    <t>Samuels</t>
  </si>
  <si>
    <t>esamuels@jocombs.k12.az.us</t>
  </si>
  <si>
    <t>Kruse</t>
  </si>
  <si>
    <t>skruse@jocombs.k12.az.us</t>
  </si>
  <si>
    <t>Combs High School</t>
  </si>
  <si>
    <t>'110244201</t>
  </si>
  <si>
    <t>Mayberry</t>
  </si>
  <si>
    <t>bmayberry@jocombs.k12.az.us</t>
  </si>
  <si>
    <t>Combs Online School for Success</t>
  </si>
  <si>
    <t>'110244501</t>
  </si>
  <si>
    <t>'110302000</t>
  </si>
  <si>
    <t>Blauser</t>
  </si>
  <si>
    <t>dblauser@osd2.org</t>
  </si>
  <si>
    <t>Crystle</t>
  </si>
  <si>
    <t>cgallegos@osd2.org</t>
  </si>
  <si>
    <t>ahendrix@osd2.org</t>
  </si>
  <si>
    <t>Grants and Special Programs Coordinator</t>
  </si>
  <si>
    <t>druiz@osd2.org</t>
  </si>
  <si>
    <t>Mountain Vista School</t>
  </si>
  <si>
    <t>'110302102</t>
  </si>
  <si>
    <t>dblauser@oracle.k12.az.us</t>
  </si>
  <si>
    <t>'110404000</t>
  </si>
  <si>
    <t>Joetta</t>
  </si>
  <si>
    <t>JoEtta.Gonzales@cgesd.org</t>
  </si>
  <si>
    <t>lisa.keeney@cgesd.org</t>
  </si>
  <si>
    <t>Wohlleber</t>
  </si>
  <si>
    <t>Tom.Wohlleber@cgesd.org</t>
  </si>
  <si>
    <t>joseph.leon@cgesd.org</t>
  </si>
  <si>
    <t>'110404101</t>
  </si>
  <si>
    <t>Evergreen Elementary School</t>
  </si>
  <si>
    <t>'110404102</t>
  </si>
  <si>
    <t>scott.raymond@cgelem.k12.az.us</t>
  </si>
  <si>
    <t>'110404104</t>
  </si>
  <si>
    <t>Kramer</t>
  </si>
  <si>
    <t>joanne.kramer@cgelem.k12.az.us</t>
  </si>
  <si>
    <t>Saguaro Elementary School</t>
  </si>
  <si>
    <t>'110404105</t>
  </si>
  <si>
    <t>Celie</t>
  </si>
  <si>
    <t>Downey-Foye</t>
  </si>
  <si>
    <t>celie.foye@cgesd.org</t>
  </si>
  <si>
    <t>Casa Grande Middle School</t>
  </si>
  <si>
    <t>'110404106</t>
  </si>
  <si>
    <t>Cholla Elementary School</t>
  </si>
  <si>
    <t>'110404107</t>
  </si>
  <si>
    <t>Azure</t>
  </si>
  <si>
    <t>Ironwood School</t>
  </si>
  <si>
    <t>'110404108</t>
  </si>
  <si>
    <t>Rosales</t>
  </si>
  <si>
    <t>robin.rosales@cgelem.k12.az.us</t>
  </si>
  <si>
    <t>'110404109</t>
  </si>
  <si>
    <t>Holdsworth</t>
  </si>
  <si>
    <t>julie.holdsworth@cgesd.org</t>
  </si>
  <si>
    <t>Cactus Middle School</t>
  </si>
  <si>
    <t>'110404110</t>
  </si>
  <si>
    <t>Quinones</t>
  </si>
  <si>
    <t>'110404130</t>
  </si>
  <si>
    <t>Pieper</t>
  </si>
  <si>
    <t>melissa.pieper@cgelem.k12.az.us</t>
  </si>
  <si>
    <t>Villago Middle School</t>
  </si>
  <si>
    <t>'110404131</t>
  </si>
  <si>
    <t>Robbins</t>
  </si>
  <si>
    <t>tracy.robbins@cgesd.org</t>
  </si>
  <si>
    <t>McCartney Ranch Elementary School</t>
  </si>
  <si>
    <t>'110404132</t>
  </si>
  <si>
    <t>Early Childhood Learning Center</t>
  </si>
  <si>
    <t>'110404133</t>
  </si>
  <si>
    <t>tom.wohlleber@cgesd.org</t>
  </si>
  <si>
    <t>Red Rock Elementary District</t>
  </si>
  <si>
    <t>'110405000</t>
  </si>
  <si>
    <t>cshull@redrockschools.com</t>
  </si>
  <si>
    <t>Red Rock Elementary School</t>
  </si>
  <si>
    <t>'110405101</t>
  </si>
  <si>
    <t>'110411000</t>
  </si>
  <si>
    <t>Ruby</t>
  </si>
  <si>
    <t>ruby.james@eloyesd.org</t>
  </si>
  <si>
    <t>Abigale</t>
  </si>
  <si>
    <t>Tarango</t>
  </si>
  <si>
    <t>abigale.tarango@eloyesd.net</t>
  </si>
  <si>
    <t>Sauceda</t>
  </si>
  <si>
    <t>edward.sauceda@eloyesd.org</t>
  </si>
  <si>
    <t>danny.rogers@eloyesd.net</t>
  </si>
  <si>
    <t>Virginia.allen@eloyesd.org</t>
  </si>
  <si>
    <t>Curiel School</t>
  </si>
  <si>
    <t>'110411103</t>
  </si>
  <si>
    <t>danny.rogers@eloyesd.org</t>
  </si>
  <si>
    <t>'110411104</t>
  </si>
  <si>
    <t>Melanie.murry@eloyesd.org</t>
  </si>
  <si>
    <t>Eloy Junior High School</t>
  </si>
  <si>
    <t>'110411105</t>
  </si>
  <si>
    <t>Oursler</t>
  </si>
  <si>
    <t>kevin.oursler@eloyesd.org</t>
  </si>
  <si>
    <t>'110418000</t>
  </si>
  <si>
    <t>Cherryl</t>
  </si>
  <si>
    <t>cpaul@sacatonschools.org</t>
  </si>
  <si>
    <t>Christa</t>
  </si>
  <si>
    <t>Rees</t>
  </si>
  <si>
    <t>crees@sacatonschools.org</t>
  </si>
  <si>
    <t>MANAGER OF FINANCIAL OPERATIONS</t>
  </si>
  <si>
    <t>Kami</t>
  </si>
  <si>
    <t>kmanley@sacatonschools.org</t>
  </si>
  <si>
    <t>'110418001</t>
  </si>
  <si>
    <t>wburton@sacatonschools.org</t>
  </si>
  <si>
    <t>'110418002</t>
  </si>
  <si>
    <t>Gillespie</t>
  </si>
  <si>
    <t>agillespie@sacatonschools.org</t>
  </si>
  <si>
    <t>'110422000</t>
  </si>
  <si>
    <t>Misty</t>
  </si>
  <si>
    <t>mhuffman@toltecsd.org</t>
  </si>
  <si>
    <t>Principal of Toltec Elementary School</t>
  </si>
  <si>
    <t>drogers@toltecsd.org</t>
  </si>
  <si>
    <t>McCain</t>
  </si>
  <si>
    <t>timmccain@toltecsd.org</t>
  </si>
  <si>
    <t>dbrown@toltecsd.org</t>
  </si>
  <si>
    <t>AZEDS Coordinator</t>
  </si>
  <si>
    <t>Toltec Elementary School</t>
  </si>
  <si>
    <t>'110422101</t>
  </si>
  <si>
    <t>Van Handel</t>
  </si>
  <si>
    <t>jvanhandel@toltecsd.org</t>
  </si>
  <si>
    <t>tmccain@toltecsd.org</t>
  </si>
  <si>
    <t>Crumbaker</t>
  </si>
  <si>
    <t>ecrumbaker@toltecsd.org</t>
  </si>
  <si>
    <t>ECambridge</t>
  </si>
  <si>
    <t>'110422104</t>
  </si>
  <si>
    <t>'110422105</t>
  </si>
  <si>
    <t>McCleney</t>
  </si>
  <si>
    <t>bmccleney@toltecsd.org</t>
  </si>
  <si>
    <t>520-466-24</t>
  </si>
  <si>
    <t>SAIS/Attendance</t>
  </si>
  <si>
    <t>'110424000</t>
  </si>
  <si>
    <t>Sadorf</t>
  </si>
  <si>
    <t>msadorf@stanfield.k12.az.us</t>
  </si>
  <si>
    <t>Maurice</t>
  </si>
  <si>
    <t>Kerckhof</t>
  </si>
  <si>
    <t>520-424-02</t>
  </si>
  <si>
    <t>mkerckhof@roadrunners24.net</t>
  </si>
  <si>
    <t>ce@cathyaelliott.com</t>
  </si>
  <si>
    <t>Consultant, CPA</t>
  </si>
  <si>
    <t>'110424001</t>
  </si>
  <si>
    <t>djohnson@stanfield.k12.az.us</t>
  </si>
  <si>
    <t>Kincaid</t>
  </si>
  <si>
    <t>dkincaid@stanfield.k12.az.us</t>
  </si>
  <si>
    <t>'110433000</t>
  </si>
  <si>
    <t>arogers@picacho.k12.az.us</t>
  </si>
  <si>
    <t>vjimenez@picacho.k12.az.us</t>
  </si>
  <si>
    <t>'110433133</t>
  </si>
  <si>
    <t>Casa Grande Union High School District</t>
  </si>
  <si>
    <t>'110502000</t>
  </si>
  <si>
    <t>Griffis</t>
  </si>
  <si>
    <t>dgriffis@cguhsd.org</t>
  </si>
  <si>
    <t>Director of Technology Services</t>
  </si>
  <si>
    <t>bmabb@cguhsd.org</t>
  </si>
  <si>
    <t>mgardner@cguhsd.org</t>
  </si>
  <si>
    <t>Casa Grande Union High School</t>
  </si>
  <si>
    <t>'110502001</t>
  </si>
  <si>
    <t>Gooden</t>
  </si>
  <si>
    <t>cgooden@cguhsd.org</t>
  </si>
  <si>
    <t>Paulson</t>
  </si>
  <si>
    <t>cpaulson@cgusd.org</t>
  </si>
  <si>
    <t>Vista Grande High School</t>
  </si>
  <si>
    <t>'110502004</t>
  </si>
  <si>
    <t>thamilton@cguhs.org</t>
  </si>
  <si>
    <t>Santa Cruz Valley Union High School District</t>
  </si>
  <si>
    <t>'110540000</t>
  </si>
  <si>
    <t>Orante</t>
  </si>
  <si>
    <t>Jenkins</t>
  </si>
  <si>
    <t>ojenkins@scvuhs.org</t>
  </si>
  <si>
    <t>Orlenda</t>
  </si>
  <si>
    <t>oroberts@scvuhs.org</t>
  </si>
  <si>
    <t>Eisler</t>
  </si>
  <si>
    <t>sEisler@scvuhs.org</t>
  </si>
  <si>
    <t>Tabeling</t>
  </si>
  <si>
    <t>dtabeling@scvuhs.org</t>
  </si>
  <si>
    <t>Finance Supervisor</t>
  </si>
  <si>
    <t>Santa Cruz Valley Union High School</t>
  </si>
  <si>
    <t>'110540001</t>
  </si>
  <si>
    <t>nkelly@ces-idea.com</t>
  </si>
  <si>
    <t>Santa Cruz Center for Success</t>
  </si>
  <si>
    <t>'110540002</t>
  </si>
  <si>
    <t>Central Arizona Valley Institute of Technology</t>
  </si>
  <si>
    <t>'110801000</t>
  </si>
  <si>
    <t>Glover</t>
  </si>
  <si>
    <t>mglover@cavitschools.org</t>
  </si>
  <si>
    <t>angelat@cavitschools.org</t>
  </si>
  <si>
    <t>CAVIT - Central Arizona Valley Institute of Technology</t>
  </si>
  <si>
    <t>'110801001</t>
  </si>
  <si>
    <t>mike_glover@centralaz.edu</t>
  </si>
  <si>
    <t>CAVIT - Santa Cruz Valley Union High School</t>
  </si>
  <si>
    <t>'110801002</t>
  </si>
  <si>
    <t>Hilyer</t>
  </si>
  <si>
    <t>shilyer@cguhs.org</t>
  </si>
  <si>
    <t>CAVIT - Maricopa Unified</t>
  </si>
  <si>
    <t>'110801003</t>
  </si>
  <si>
    <t xml:space="preserve">Shannon </t>
  </si>
  <si>
    <t>CAVIT - Florence Unified</t>
  </si>
  <si>
    <t>'110801004</t>
  </si>
  <si>
    <t>CAVIT - Coolidge High School</t>
  </si>
  <si>
    <t>'110801005</t>
  </si>
  <si>
    <t>CAVIT - Casa Grande Union High School</t>
  </si>
  <si>
    <t>'110801006</t>
  </si>
  <si>
    <t>CAVIT - San Tan Foothills High School</t>
  </si>
  <si>
    <t>'110801008</t>
  </si>
  <si>
    <t>CAVIT - Poston Butte High School</t>
  </si>
  <si>
    <t>'110801009</t>
  </si>
  <si>
    <t>CAVIT - Vista Grande</t>
  </si>
  <si>
    <t>'110801010</t>
  </si>
  <si>
    <t>Cobre Valley Institute of Technology District</t>
  </si>
  <si>
    <t>'110802000</t>
  </si>
  <si>
    <t>O'Neal</t>
  </si>
  <si>
    <t>droach@cvit81.org</t>
  </si>
  <si>
    <t>aybarra@cvit81.org</t>
  </si>
  <si>
    <t>CVIT - Miami High School</t>
  </si>
  <si>
    <t>'110802002</t>
  </si>
  <si>
    <t>CVIT - Hayden High School</t>
  </si>
  <si>
    <t>'110802003</t>
  </si>
  <si>
    <t>CVIT - Superior High School</t>
  </si>
  <si>
    <t>'110802004</t>
  </si>
  <si>
    <t>CVIT - San Carlos High School</t>
  </si>
  <si>
    <t>'110802005</t>
  </si>
  <si>
    <t>CVIT - Globe High School</t>
  </si>
  <si>
    <t>'110802006</t>
  </si>
  <si>
    <t>Barwick</t>
  </si>
  <si>
    <t>Neil296@msn.com</t>
  </si>
  <si>
    <t>CVIT - Central Campus EAC Gila Pueblo</t>
  </si>
  <si>
    <t>'110802007</t>
  </si>
  <si>
    <t>CVIT - Ray High School</t>
  </si>
  <si>
    <t>'110802008</t>
  </si>
  <si>
    <t>droach@dvit81.org</t>
  </si>
  <si>
    <t>CVIT - Central Campus CAC Aravaipa</t>
  </si>
  <si>
    <t>'110802009</t>
  </si>
  <si>
    <t>'118703000</t>
  </si>
  <si>
    <t>'118703001</t>
  </si>
  <si>
    <t>Pinnacle Education-Casa Grande, Inc.</t>
  </si>
  <si>
    <t>'118704000</t>
  </si>
  <si>
    <t>Pinnacle High School - Casa Grande</t>
  </si>
  <si>
    <t>'118704003</t>
  </si>
  <si>
    <t>Akimel O Otham Pee Posh Charter School, Inc.</t>
  </si>
  <si>
    <t>'118705000</t>
  </si>
  <si>
    <t>Hull</t>
  </si>
  <si>
    <t>richard.hull@bie.edu</t>
  </si>
  <si>
    <t>misty.lopez@bwcs.k12.az.us</t>
  </si>
  <si>
    <t>Jagdish</t>
  </si>
  <si>
    <t>Sharma</t>
  </si>
  <si>
    <t>jagdish.sharma@bwcs.k12.az.us</t>
  </si>
  <si>
    <t>Kaycee</t>
  </si>
  <si>
    <t>Mundy</t>
  </si>
  <si>
    <t>Kaycee.Mundy@bwcs.k12.az.us</t>
  </si>
  <si>
    <t>Jacquelyn</t>
  </si>
  <si>
    <t>Power</t>
  </si>
  <si>
    <t>Jacquelyn.power@bie.edu</t>
  </si>
  <si>
    <t>Wendall</t>
  </si>
  <si>
    <t>Wendall.Joe@bwcs.k12.az.us</t>
  </si>
  <si>
    <t>Akimel O'Otham Pee Posh (K-2)</t>
  </si>
  <si>
    <t>'118705001</t>
  </si>
  <si>
    <t>Jagdish.sharma@bwcs.k12.az.us</t>
  </si>
  <si>
    <t>Akimel O'Otham Pee Posh Charter School, Inc.</t>
  </si>
  <si>
    <t>'118706000</t>
  </si>
  <si>
    <t>jacquelyn.power@bwcs.k12.az.us</t>
  </si>
  <si>
    <t>Akimel O'Otham Pee Posh (3-5)</t>
  </si>
  <si>
    <t>'118706001</t>
  </si>
  <si>
    <t>Drowne</t>
  </si>
  <si>
    <t>matthew.drowne@bwcs.k12.az.us</t>
  </si>
  <si>
    <t>Title II Program Coordinator</t>
  </si>
  <si>
    <t>Benneman</t>
  </si>
  <si>
    <t>charlene@bwcs.bia.edu</t>
  </si>
  <si>
    <t>Wendal</t>
  </si>
  <si>
    <t>Leading Edge Academy Maricopa</t>
  </si>
  <si>
    <t>'118708000</t>
  </si>
  <si>
    <t>'118708001</t>
  </si>
  <si>
    <t>Legacy Traditional School - Queen Creek</t>
  </si>
  <si>
    <t>'118715000</t>
  </si>
  <si>
    <t>aaron@vertexeducation.com</t>
  </si>
  <si>
    <t>'118715001</t>
  </si>
  <si>
    <t>ASU Preparatory Academy - Casa Grande</t>
  </si>
  <si>
    <t>'118716000</t>
  </si>
  <si>
    <t>ASU Preparatory Academy - Casa Grande HS</t>
  </si>
  <si>
    <t>'118716001</t>
  </si>
  <si>
    <t>Sylvia.mejia@asu.edu</t>
  </si>
  <si>
    <t>The Grande Innovation Academy</t>
  </si>
  <si>
    <t>'118717000</t>
  </si>
  <si>
    <t>Messer</t>
  </si>
  <si>
    <t>pmesser@giaowlsmail.com</t>
  </si>
  <si>
    <t>602-370-92</t>
  </si>
  <si>
    <t>rmesser@giaowlsmail.com</t>
  </si>
  <si>
    <t>Shawnee</t>
  </si>
  <si>
    <t>Bowen</t>
  </si>
  <si>
    <t>sbowen@giaowlsmail.com</t>
  </si>
  <si>
    <t>The Grande Innovation</t>
  </si>
  <si>
    <t>'118717001</t>
  </si>
  <si>
    <t>Legacy Traditional School - Casa Grande</t>
  </si>
  <si>
    <t>'118718000</t>
  </si>
  <si>
    <t xml:space="preserve"> Student Data and State Reporting Administrator</t>
  </si>
  <si>
    <t>'118718001</t>
  </si>
  <si>
    <t>Janisha</t>
  </si>
  <si>
    <t>Hackett</t>
  </si>
  <si>
    <t>Janisha.Hackett@LegacyTraditional.org</t>
  </si>
  <si>
    <t>Human Resource Specialist</t>
  </si>
  <si>
    <t>Jennifer.Hackett@LegacyTraditional.org</t>
  </si>
  <si>
    <t>Legacy Traditional School - Maricopa</t>
  </si>
  <si>
    <t>'118719000</t>
  </si>
  <si>
    <t>aaron@legacytraditional.org</t>
  </si>
  <si>
    <t>'118719101</t>
  </si>
  <si>
    <t>Aaron@LegacyTraditional.org</t>
  </si>
  <si>
    <t>Mangum</t>
  </si>
  <si>
    <t>Nicole.Mangum@LegacyTraditional.org</t>
  </si>
  <si>
    <t>A+ Charter Schools</t>
  </si>
  <si>
    <t>'118720000</t>
  </si>
  <si>
    <t>dnorris@aplusaz.org</t>
  </si>
  <si>
    <t>'118720001</t>
  </si>
  <si>
    <t>ARCHES Academy</t>
  </si>
  <si>
    <t>'118721000</t>
  </si>
  <si>
    <t>medwards@arches-academy.com</t>
  </si>
  <si>
    <t>Board of Directors - President</t>
  </si>
  <si>
    <t>Gaia</t>
  </si>
  <si>
    <t>Franceschini</t>
  </si>
  <si>
    <t>gfranceschini@arches-academy.com</t>
  </si>
  <si>
    <t>'118721001</t>
  </si>
  <si>
    <t>'120201000</t>
  </si>
  <si>
    <t>fparra@nusd.k12.az.us</t>
  </si>
  <si>
    <t>Adelmo</t>
  </si>
  <si>
    <t>asandoval@nusd.k12.az.us</t>
  </si>
  <si>
    <t>Zepeda</t>
  </si>
  <si>
    <t>rzepeda@nusd.k12.az.us</t>
  </si>
  <si>
    <t>Designated User/ADM/.Graduation Rate Study</t>
  </si>
  <si>
    <t>alexl@nusd.k12.az.us</t>
  </si>
  <si>
    <t>Information Technology Director</t>
  </si>
  <si>
    <t>'120201103</t>
  </si>
  <si>
    <t>Colgate</t>
  </si>
  <si>
    <t>tcolgate@nusd.k12.az.us</t>
  </si>
  <si>
    <t>'120201104</t>
  </si>
  <si>
    <t>Molera</t>
  </si>
  <si>
    <t>jmolera@nusd.k12.az.us</t>
  </si>
  <si>
    <t>Francisco Vasquez De Coronado Elementary School</t>
  </si>
  <si>
    <t>'120201108</t>
  </si>
  <si>
    <t>'120201111</t>
  </si>
  <si>
    <t>Soltero</t>
  </si>
  <si>
    <t>rsoltero@nusd.k12.az.us</t>
  </si>
  <si>
    <t>'120201113</t>
  </si>
  <si>
    <t>'120201114</t>
  </si>
  <si>
    <t>Shuman</t>
  </si>
  <si>
    <t>molguin@nusd.k12.az.us</t>
  </si>
  <si>
    <t>'120201115</t>
  </si>
  <si>
    <t>Aissa</t>
  </si>
  <si>
    <t>Bonillas</t>
  </si>
  <si>
    <t>abonillas@nusd.k12.az.us</t>
  </si>
  <si>
    <t>'120201119</t>
  </si>
  <si>
    <t>NUSD Online</t>
  </si>
  <si>
    <t>'120201208</t>
  </si>
  <si>
    <t>Berenice</t>
  </si>
  <si>
    <t>bRodriguez@nusd.k12.az.us</t>
  </si>
  <si>
    <t>Pierson High School</t>
  </si>
  <si>
    <t>'120201209</t>
  </si>
  <si>
    <t>brodriguez@nusd.k12.az.us</t>
  </si>
  <si>
    <t>Nogales High School</t>
  </si>
  <si>
    <t>'120201210</t>
  </si>
  <si>
    <t>cesarm@nusd.k12.az.us</t>
  </si>
  <si>
    <t>'120235000</t>
  </si>
  <si>
    <t>dverdugo@scv35.org</t>
  </si>
  <si>
    <t>Schadler</t>
  </si>
  <si>
    <t>Sschadler@scv35.org</t>
  </si>
  <si>
    <t>ibrown@scv35.org</t>
  </si>
  <si>
    <t>rsanchez@scv35.org</t>
  </si>
  <si>
    <t>Santa Cruz Valley Digital Learning Program</t>
  </si>
  <si>
    <t>'120235105</t>
  </si>
  <si>
    <t>'120235110</t>
  </si>
  <si>
    <t>Mimi</t>
  </si>
  <si>
    <t>Renteria</t>
  </si>
  <si>
    <t>mrenteria@scv35.org</t>
  </si>
  <si>
    <t>Mountain View School</t>
  </si>
  <si>
    <t>'120235120</t>
  </si>
  <si>
    <t>cjackson@scv35.org</t>
  </si>
  <si>
    <t>'120235130</t>
  </si>
  <si>
    <t>Coatimundi Middle School</t>
  </si>
  <si>
    <t>'120235140</t>
  </si>
  <si>
    <t>Rebekah</t>
  </si>
  <si>
    <t>rcabrera@scv35.org</t>
  </si>
  <si>
    <t>Rio Rico High School</t>
  </si>
  <si>
    <t>'120235200</t>
  </si>
  <si>
    <t>Estrada</t>
  </si>
  <si>
    <t>hestrada@scv35.org</t>
  </si>
  <si>
    <t>Santa Cruz Elementary District</t>
  </si>
  <si>
    <t>'120328000</t>
  </si>
  <si>
    <t>kromero@sced28.com</t>
  </si>
  <si>
    <t>Melendez</t>
  </si>
  <si>
    <t>dmelendez@sced28.com</t>
  </si>
  <si>
    <t>Little Red Schoolhouse</t>
  </si>
  <si>
    <t>'120328101</t>
  </si>
  <si>
    <t>Kromero@sced28.com</t>
  </si>
  <si>
    <t>Patagonia Elementary District</t>
  </si>
  <si>
    <t>'120406000</t>
  </si>
  <si>
    <t>Rachell</t>
  </si>
  <si>
    <t>Hochheim</t>
  </si>
  <si>
    <t>rhochheim@patagonia.k12.az.us</t>
  </si>
  <si>
    <t>Lucero</t>
  </si>
  <si>
    <t>alucero2@patagonia.k12.az.us</t>
  </si>
  <si>
    <t>twhitney@patagonia.k12.az.us</t>
  </si>
  <si>
    <t>Thaemert</t>
  </si>
  <si>
    <t>cthaemert@patagonia.echalk.com</t>
  </si>
  <si>
    <t>Collier</t>
  </si>
  <si>
    <t>lcollier@patagonia.k12.az.us</t>
  </si>
  <si>
    <t>Patagonia Elementary School</t>
  </si>
  <si>
    <t>'120406101</t>
  </si>
  <si>
    <t>Stropko</t>
  </si>
  <si>
    <t>sstropko@patagonia.echalk.com</t>
  </si>
  <si>
    <t>Sonoita Elementary District</t>
  </si>
  <si>
    <t>'120425000</t>
  </si>
  <si>
    <t>Brusca</t>
  </si>
  <si>
    <t>abrusca@elgink12.com</t>
  </si>
  <si>
    <t>Special Education</t>
  </si>
  <si>
    <t>Faley</t>
  </si>
  <si>
    <t>mfaley@elgink12.com</t>
  </si>
  <si>
    <t>Supertintendent/Principal</t>
  </si>
  <si>
    <t>ireyes@elgink12.com</t>
  </si>
  <si>
    <t>Elgin Elementary School</t>
  </si>
  <si>
    <t>'120425101</t>
  </si>
  <si>
    <t>Neal</t>
  </si>
  <si>
    <t>jneal@elgink12.com</t>
  </si>
  <si>
    <t>Patagonia Union High School District</t>
  </si>
  <si>
    <t>'120520000</t>
  </si>
  <si>
    <t>Busines Manager</t>
  </si>
  <si>
    <t>Gortarez</t>
  </si>
  <si>
    <t>AGortarez@patagonia.k12.az.us</t>
  </si>
  <si>
    <t>District Test Coordinator</t>
  </si>
  <si>
    <t>khayes@patagonia.k12.az.us</t>
  </si>
  <si>
    <t>Patagonia Union High School</t>
  </si>
  <si>
    <t>'120520201</t>
  </si>
  <si>
    <t>Pinnacle Education-Kino, Inc.</t>
  </si>
  <si>
    <t>'128701000</t>
  </si>
  <si>
    <t>Muhammad.Padela@MGRM.com</t>
  </si>
  <si>
    <t>'128701004</t>
  </si>
  <si>
    <t>Neuman</t>
  </si>
  <si>
    <t>mneuman@pin-ed.com</t>
  </si>
  <si>
    <t>Mexicayotl Academy, Inc.</t>
  </si>
  <si>
    <t>'128703000</t>
  </si>
  <si>
    <t>Baltazar</t>
  </si>
  <si>
    <t>yollotl_13@yahoo.com</t>
  </si>
  <si>
    <t>Ivonne</t>
  </si>
  <si>
    <t>Ferreira</t>
  </si>
  <si>
    <t>iferreira@mexicayotlacademytucson.com</t>
  </si>
  <si>
    <t>Lyn</t>
  </si>
  <si>
    <t>lvalenzuela@mexicayotlacademytucson.com</t>
  </si>
  <si>
    <t>Myrna</t>
  </si>
  <si>
    <t>mvpgarcia29@yahoo.com</t>
  </si>
  <si>
    <t>Mexicayotl Charter School</t>
  </si>
  <si>
    <t>'128703001</t>
  </si>
  <si>
    <t>Mexicayotl Academy</t>
  </si>
  <si>
    <t>'128703002</t>
  </si>
  <si>
    <t>Alvidrez</t>
  </si>
  <si>
    <t>aalvidrez@mexicayotl.k12.az.us</t>
  </si>
  <si>
    <t>'128704000</t>
  </si>
  <si>
    <t>darla.eddy@leonagroup.com</t>
  </si>
  <si>
    <t>Director of Data Management</t>
  </si>
  <si>
    <t>'128704001</t>
  </si>
  <si>
    <t>Patagonia Montessori Elementary School</t>
  </si>
  <si>
    <t>'128725000</t>
  </si>
  <si>
    <t>Jessi</t>
  </si>
  <si>
    <t>Beebe</t>
  </si>
  <si>
    <t>jessibeebe@gmail.com</t>
  </si>
  <si>
    <t>Jerrin</t>
  </si>
  <si>
    <t>patagoniamontessori@gmail.com</t>
  </si>
  <si>
    <t>Patagonia Montessori School</t>
  </si>
  <si>
    <t>'128725101</t>
  </si>
  <si>
    <t>Santa Cruz Valley Opportunities in Education, Inc.</t>
  </si>
  <si>
    <t>'128726000</t>
  </si>
  <si>
    <t>mdsc1@montessoridesantacruz.org</t>
  </si>
  <si>
    <t>Huerta</t>
  </si>
  <si>
    <t>ahuerta@montessoridesantacruz.org</t>
  </si>
  <si>
    <t>Montessori De Santa Cruz - St. Ann's Hall</t>
  </si>
  <si>
    <t>'128726101</t>
  </si>
  <si>
    <t>Rori</t>
  </si>
  <si>
    <t>Wailes</t>
  </si>
  <si>
    <t>rori@tubaproductions.com</t>
  </si>
  <si>
    <t>Yavapai Accommodation School District</t>
  </si>
  <si>
    <t>'130199000</t>
  </si>
  <si>
    <t>Raskin</t>
  </si>
  <si>
    <t>renee.raskin@yavapai.us</t>
  </si>
  <si>
    <t>Chief Deputy</t>
  </si>
  <si>
    <t>tim.carter@co.yavapai.az.us</t>
  </si>
  <si>
    <t>alawrence@yavapaicountyhs.org</t>
  </si>
  <si>
    <t>Yavapai County High School</t>
  </si>
  <si>
    <t>'130199001</t>
  </si>
  <si>
    <t>jtaylor@yavapaicountyhs.org</t>
  </si>
  <si>
    <t>Aspire  High School</t>
  </si>
  <si>
    <t>'130199002</t>
  </si>
  <si>
    <t>kmcclellan@yavapaicountyhs.org</t>
  </si>
  <si>
    <t xml:space="preserve">Registrar Specialist </t>
  </si>
  <si>
    <t>Prescott Unified District</t>
  </si>
  <si>
    <t>'130201000</t>
  </si>
  <si>
    <t>joe.howard@prescottschools.com</t>
  </si>
  <si>
    <t>brian.moore@prescottschools.com</t>
  </si>
  <si>
    <t>Maya</t>
  </si>
  <si>
    <t>Caldwell</t>
  </si>
  <si>
    <t>maya.caldwell@prescottschools.com</t>
  </si>
  <si>
    <t>Discovery Gardens Preschool</t>
  </si>
  <si>
    <t>'130201009</t>
  </si>
  <si>
    <t>chris.lawrence@prescottschools.com</t>
  </si>
  <si>
    <t>'130201012</t>
  </si>
  <si>
    <t>Bruso</t>
  </si>
  <si>
    <t>Teresa.bruso@prescottschools.com</t>
  </si>
  <si>
    <t>Taylor Hicks School</t>
  </si>
  <si>
    <t>'130201014</t>
  </si>
  <si>
    <t>Washington Traditional School</t>
  </si>
  <si>
    <t>'130201015</t>
  </si>
  <si>
    <t>harold.tenney@prescottschools.com</t>
  </si>
  <si>
    <t>Abia Judd Elementary School</t>
  </si>
  <si>
    <t>'130201016</t>
  </si>
  <si>
    <t>Prescott Mile High Middle School</t>
  </si>
  <si>
    <t>'130201050</t>
  </si>
  <si>
    <t>Jim.Wells@prescottschools.com</t>
  </si>
  <si>
    <t>Granite Mountain Middle School</t>
  </si>
  <si>
    <t>'130201060</t>
  </si>
  <si>
    <t>Prescott High School</t>
  </si>
  <si>
    <t>'130201070</t>
  </si>
  <si>
    <t>Hillig</t>
  </si>
  <si>
    <t>stephanie.hillig@prescottschools.com</t>
  </si>
  <si>
    <t>Sedona-Oak Creek JUSD #9</t>
  </si>
  <si>
    <t>'130209000</t>
  </si>
  <si>
    <t>Shaw-Burton</t>
  </si>
  <si>
    <t>shaw-burton@sedonak12.org</t>
  </si>
  <si>
    <t>Saravo</t>
  </si>
  <si>
    <t>saravo@sedonak12.org</t>
  </si>
  <si>
    <t xml:space="preserve">Interim Finance/HR Director </t>
  </si>
  <si>
    <t>West Sedona Elementary School</t>
  </si>
  <si>
    <t>'130209120</t>
  </si>
  <si>
    <t>Sedona Red Rock Junior/Senior High School</t>
  </si>
  <si>
    <t>'130209210</t>
  </si>
  <si>
    <t>Karuzas</t>
  </si>
  <si>
    <t>karuzas@sedona.k12.az.us</t>
  </si>
  <si>
    <t>Red Rock Academy</t>
  </si>
  <si>
    <t>'130209211</t>
  </si>
  <si>
    <t>Lykins</t>
  </si>
  <si>
    <t>dlykins@sedona.k12.az.us</t>
  </si>
  <si>
    <t>'130220000</t>
  </si>
  <si>
    <t>bullingtonb@bagdadschools.org</t>
  </si>
  <si>
    <t>Diehl</t>
  </si>
  <si>
    <t>diehlm@bagdadschools.org</t>
  </si>
  <si>
    <t>Finance Coordinator</t>
  </si>
  <si>
    <t>'130220101</t>
  </si>
  <si>
    <t>Temperley</t>
  </si>
  <si>
    <t>Bagdad Middle / Senior High School</t>
  </si>
  <si>
    <t>'130220202</t>
  </si>
  <si>
    <t>Finnerty</t>
  </si>
  <si>
    <t>finnertyt@commspeed.net</t>
  </si>
  <si>
    <t>Sultan Virtual Academy</t>
  </si>
  <si>
    <t>'130220303</t>
  </si>
  <si>
    <t>'130222000</t>
  </si>
  <si>
    <t>Pothast</t>
  </si>
  <si>
    <t>John.pothast@humboldtunified.com</t>
  </si>
  <si>
    <t>Leticia.barker@humboldtunified.com</t>
  </si>
  <si>
    <t>HR Analysis</t>
  </si>
  <si>
    <t>Studley</t>
  </si>
  <si>
    <t>Arthur.Studley@humboldtunified.com</t>
  </si>
  <si>
    <t>scott.terry@humboldtunified.com</t>
  </si>
  <si>
    <t>Lake Valley Elementary School</t>
  </si>
  <si>
    <t>'130222110</t>
  </si>
  <si>
    <t>Tusanne</t>
  </si>
  <si>
    <t>Cordes</t>
  </si>
  <si>
    <t>tusanne.cordes@humboldtunified.com</t>
  </si>
  <si>
    <t>paul.leon@humboldtunified.com</t>
  </si>
  <si>
    <t>Golleher</t>
  </si>
  <si>
    <t>janet.golleher@humboldtunified.com</t>
  </si>
  <si>
    <t>Bradshaw Mountain Middle School</t>
  </si>
  <si>
    <t>'130222120</t>
  </si>
  <si>
    <t>jessica.bennett@humboldtunified.com</t>
  </si>
  <si>
    <t>Glassford Hill Middle School</t>
  </si>
  <si>
    <t>'130222125</t>
  </si>
  <si>
    <t>kristen.rex@humboldtunified.com</t>
  </si>
  <si>
    <t>dawn.trujillo@humboldtunified.com</t>
  </si>
  <si>
    <t>Humboldt Elementary School</t>
  </si>
  <si>
    <t>'130222131</t>
  </si>
  <si>
    <t>cole.young@humboldtunified.com</t>
  </si>
  <si>
    <t>Navatto</t>
  </si>
  <si>
    <t>Uvila</t>
  </si>
  <si>
    <t>lisa.uvila@humboldtunified.com</t>
  </si>
  <si>
    <t>'130222132</t>
  </si>
  <si>
    <t>JoAnne</t>
  </si>
  <si>
    <t>Bindell</t>
  </si>
  <si>
    <t>joanne.bindell@humboldtunified.com</t>
  </si>
  <si>
    <t>Hayden</t>
  </si>
  <si>
    <t>joann.hayden@humboldtunified.com</t>
  </si>
  <si>
    <t>Stretton</t>
  </si>
  <si>
    <t>cjackson@santacruz.k12.az.us</t>
  </si>
  <si>
    <t>Coyote Springs Elementary School</t>
  </si>
  <si>
    <t>'130222133</t>
  </si>
  <si>
    <t>Blakely</t>
  </si>
  <si>
    <t>candice.blakely@humboldtunified.com</t>
  </si>
  <si>
    <t>Liberty Traditional School</t>
  </si>
  <si>
    <t>'130222134</t>
  </si>
  <si>
    <t>Danette</t>
  </si>
  <si>
    <t>Derickson</t>
  </si>
  <si>
    <t>danette.derickson@humboldtunified.com</t>
  </si>
  <si>
    <t>Bonita</t>
  </si>
  <si>
    <t>McFadden</t>
  </si>
  <si>
    <t>mcfadden2go@yahoo.com</t>
  </si>
  <si>
    <t>Granville Elementary School</t>
  </si>
  <si>
    <t>'130222135</t>
  </si>
  <si>
    <t>Bucky</t>
  </si>
  <si>
    <t>Bates</t>
  </si>
  <si>
    <t>bucky.bates@humboldtunified.com</t>
  </si>
  <si>
    <t>Bright Futures Preschool</t>
  </si>
  <si>
    <t>'130222136</t>
  </si>
  <si>
    <t>Bradshaw Mountain High School</t>
  </si>
  <si>
    <t>'130222230</t>
  </si>
  <si>
    <t>Streeter</t>
  </si>
  <si>
    <t>daniel.streeter@humboldtunified.com</t>
  </si>
  <si>
    <t>Kort</t>
  </si>
  <si>
    <t>Miner</t>
  </si>
  <si>
    <t>kort.miner@humboldtunified.com</t>
  </si>
  <si>
    <t>stephanie.rowe@humboldtunified.com</t>
  </si>
  <si>
    <t>Bradshaw Mountain Online Academy</t>
  </si>
  <si>
    <t>'130222240</t>
  </si>
  <si>
    <t>'130228000</t>
  </si>
  <si>
    <t>ajohnson@cvusd.k12.az.us</t>
  </si>
  <si>
    <t xml:space="preserve">SAIS Supervisor </t>
  </si>
  <si>
    <t>'130228101</t>
  </si>
  <si>
    <t>Britta</t>
  </si>
  <si>
    <t>Booth</t>
  </si>
  <si>
    <t>bbooth@campverdeschools.org</t>
  </si>
  <si>
    <t>'130228102</t>
  </si>
  <si>
    <t>dhowe@cvusd.k12.az.us</t>
  </si>
  <si>
    <t>Camp Verde High School</t>
  </si>
  <si>
    <t>'130228203</t>
  </si>
  <si>
    <t>South Verde Technology Magnet</t>
  </si>
  <si>
    <t>'130228204</t>
  </si>
  <si>
    <t>Camp Verde Online</t>
  </si>
  <si>
    <t>'130228206</t>
  </si>
  <si>
    <t>Camp Verde Accommodation School</t>
  </si>
  <si>
    <t>'130228304</t>
  </si>
  <si>
    <t>Ash Fork Joint Unified District</t>
  </si>
  <si>
    <t>'130231000</t>
  </si>
  <si>
    <t>Staples</t>
  </si>
  <si>
    <t>sstaples@afjusd.org</t>
  </si>
  <si>
    <t>Atkinson</t>
  </si>
  <si>
    <t>satkinson@afjusd.org</t>
  </si>
  <si>
    <t>sjames@afjusd.org</t>
  </si>
  <si>
    <t>Data Manager/Registrar</t>
  </si>
  <si>
    <t>Ash Fork Elementary School</t>
  </si>
  <si>
    <t>'130231101</t>
  </si>
  <si>
    <t>Evelina</t>
  </si>
  <si>
    <t>eacosta2@afjusd.org</t>
  </si>
  <si>
    <t>Executive Assistant</t>
  </si>
  <si>
    <t>Perey</t>
  </si>
  <si>
    <t>dperey@afjusd.org</t>
  </si>
  <si>
    <t>eacosta@afjusd.org</t>
  </si>
  <si>
    <t>Ash Fork Middle School</t>
  </si>
  <si>
    <t>'130231102</t>
  </si>
  <si>
    <t>Ash Fork High School</t>
  </si>
  <si>
    <t>'130231202</t>
  </si>
  <si>
    <t>Seligman Unified District</t>
  </si>
  <si>
    <t>'130240000</t>
  </si>
  <si>
    <t>Pritchett</t>
  </si>
  <si>
    <t>dpritchett@seligman.k12.az.us</t>
  </si>
  <si>
    <t>jphillips@seligman.k12.az.us</t>
  </si>
  <si>
    <t>rsmith1@seligman.k12.az.us</t>
  </si>
  <si>
    <t>Seligman Elementary School</t>
  </si>
  <si>
    <t>'130240101</t>
  </si>
  <si>
    <t>Seligman High School</t>
  </si>
  <si>
    <t>'130240202</t>
  </si>
  <si>
    <t>'130243000</t>
  </si>
  <si>
    <t>Slaga</t>
  </si>
  <si>
    <t>dslaga@mayerschools.org</t>
  </si>
  <si>
    <t>Drye</t>
  </si>
  <si>
    <t>ldrye@mayerschools.org</t>
  </si>
  <si>
    <t>naomi.gutierrez@mayerschools.org</t>
  </si>
  <si>
    <t>Mayer Elementary School</t>
  </si>
  <si>
    <t>'130243101</t>
  </si>
  <si>
    <t>anitajack@mayer.k12.az.us</t>
  </si>
  <si>
    <t>'130243203</t>
  </si>
  <si>
    <t>Chino Valley Unified District</t>
  </si>
  <si>
    <t>'130251000</t>
  </si>
  <si>
    <t>cdaniels@chinovalleyschools.com</t>
  </si>
  <si>
    <t>NCLB/Federal Projects</t>
  </si>
  <si>
    <t>928-636-24</t>
  </si>
  <si>
    <t>klittle@chinovalleyschools.com</t>
  </si>
  <si>
    <t>Attendance Clerk/SAIS Technology Coordinator/Designated User</t>
  </si>
  <si>
    <t>Scholl</t>
  </si>
  <si>
    <t>jscholl@chinovalleyschools.com</t>
  </si>
  <si>
    <t>Superindent</t>
  </si>
  <si>
    <t>Rebekka</t>
  </si>
  <si>
    <t>Bartels</t>
  </si>
  <si>
    <t>rbartels@chinovalleyschools.com</t>
  </si>
  <si>
    <t>Budget and Purchasing Coordinator</t>
  </si>
  <si>
    <t>Del Rio Elementary School</t>
  </si>
  <si>
    <t>'130251101</t>
  </si>
  <si>
    <t>Heritage Middle School</t>
  </si>
  <si>
    <t>'130251102</t>
  </si>
  <si>
    <t>Territorial Early Childhood Center</t>
  </si>
  <si>
    <t>'130251103</t>
  </si>
  <si>
    <t>Chino Valley High School</t>
  </si>
  <si>
    <t>'130251203</t>
  </si>
  <si>
    <t>Wes</t>
  </si>
  <si>
    <t>Brownfield</t>
  </si>
  <si>
    <t>wbrownfield@cvsdstaff.us</t>
  </si>
  <si>
    <t>Williamson Valley Elementary School District</t>
  </si>
  <si>
    <t>'130302000</t>
  </si>
  <si>
    <t>wvtsd2@gmail.com</t>
  </si>
  <si>
    <t>Board Secretary</t>
  </si>
  <si>
    <t>Walnut Grove Elementary District</t>
  </si>
  <si>
    <t>'130307000</t>
  </si>
  <si>
    <t>shelly.williams@yavapai.us</t>
  </si>
  <si>
    <t>School Services Specialist</t>
  </si>
  <si>
    <t>Skull Valley Elementary District</t>
  </si>
  <si>
    <t>'130315000</t>
  </si>
  <si>
    <t>Vastine</t>
  </si>
  <si>
    <t>admin@skullvalleyschool.org</t>
  </si>
  <si>
    <t>Hilliker</t>
  </si>
  <si>
    <t>vicki@skullvalleyschool.org</t>
  </si>
  <si>
    <t>Gustafson</t>
  </si>
  <si>
    <t>debbie.gustafson@yavapai.us</t>
  </si>
  <si>
    <t>Account Clerk III</t>
  </si>
  <si>
    <t>Skull Valley Elementary School</t>
  </si>
  <si>
    <t>'130315101</t>
  </si>
  <si>
    <t>Congress Elementary District</t>
  </si>
  <si>
    <t>'130317000</t>
  </si>
  <si>
    <t>smiller@congressdistrict.org</t>
  </si>
  <si>
    <t>dneill@congressdistrict.org</t>
  </si>
  <si>
    <t>Business Office Manager</t>
  </si>
  <si>
    <t>Congress Elementary School</t>
  </si>
  <si>
    <t>'130317001</t>
  </si>
  <si>
    <t>Kirkland Elementary District</t>
  </si>
  <si>
    <t>'130323000</t>
  </si>
  <si>
    <t>mperey@kirklandaz.org</t>
  </si>
  <si>
    <t>Kirkland Elementary School</t>
  </si>
  <si>
    <t>'130323001</t>
  </si>
  <si>
    <t>Beaver Creek Elementary District</t>
  </si>
  <si>
    <t>'130326000</t>
  </si>
  <si>
    <t>Karin</t>
  </si>
  <si>
    <t>kward@bcs.k12.az.us</t>
  </si>
  <si>
    <t>Ori</t>
  </si>
  <si>
    <t>Womack</t>
  </si>
  <si>
    <t>owomack@bcs.k12.az.us</t>
  </si>
  <si>
    <t>Beaver Creek School</t>
  </si>
  <si>
    <t>'130326101</t>
  </si>
  <si>
    <t>Principal/Supt.</t>
  </si>
  <si>
    <t>Merryl</t>
  </si>
  <si>
    <t>Dones</t>
  </si>
  <si>
    <t>mdones@bcs.k12.az.us</t>
  </si>
  <si>
    <t>Hillside Elementary District</t>
  </si>
  <si>
    <t>'130335000</t>
  </si>
  <si>
    <t>Hampton</t>
  </si>
  <si>
    <t>pshampton56@yahoo.com</t>
  </si>
  <si>
    <t>Principal/ Consultant</t>
  </si>
  <si>
    <t>Melainie</t>
  </si>
  <si>
    <t>melainiejohnson@gmail.com</t>
  </si>
  <si>
    <t>Lindsay</t>
  </si>
  <si>
    <t>Jeans</t>
  </si>
  <si>
    <t>lindsayl_jeans@hotmail.com</t>
  </si>
  <si>
    <t>Hillside Elementary School</t>
  </si>
  <si>
    <t>'130335101</t>
  </si>
  <si>
    <t>Crown King Elementary District</t>
  </si>
  <si>
    <t>'130341000</t>
  </si>
  <si>
    <t>Adriane</t>
  </si>
  <si>
    <t>McSpadden</t>
  </si>
  <si>
    <t>crownkingschool@yahoo.com</t>
  </si>
  <si>
    <t>Hite</t>
  </si>
  <si>
    <t>Crown King Elementary School</t>
  </si>
  <si>
    <t>'130341101</t>
  </si>
  <si>
    <t>Lombardo</t>
  </si>
  <si>
    <t>Teachers Aide</t>
  </si>
  <si>
    <t>'130350000</t>
  </si>
  <si>
    <t>Jangula</t>
  </si>
  <si>
    <t>ajangula@canon50.com</t>
  </si>
  <si>
    <t>Merrill</t>
  </si>
  <si>
    <t>cmerrill@canon50.com</t>
  </si>
  <si>
    <t>Albin</t>
  </si>
  <si>
    <t>palbin@canon50.com</t>
  </si>
  <si>
    <t>'130350101</t>
  </si>
  <si>
    <t>rbarrett@canon50.com</t>
  </si>
  <si>
    <t>Yarnell Elementary District</t>
  </si>
  <si>
    <t>'130352000</t>
  </si>
  <si>
    <t>Bomar</t>
  </si>
  <si>
    <t>lbomar@modelcreekschool.org</t>
  </si>
  <si>
    <t>Yarnell Elementary School</t>
  </si>
  <si>
    <t>'130352101</t>
  </si>
  <si>
    <t>admin@yesd52.org</t>
  </si>
  <si>
    <t>Clarkdale-Jerome Elementary District</t>
  </si>
  <si>
    <t>'130403000</t>
  </si>
  <si>
    <t>Kris</t>
  </si>
  <si>
    <t>Fuchs</t>
  </si>
  <si>
    <t>kfuchs@cjsd3.net</t>
  </si>
  <si>
    <t>HR Assistant</t>
  </si>
  <si>
    <t>kaston@cjsd3.net</t>
  </si>
  <si>
    <t>Clarkdale-Jerome Elementary School</t>
  </si>
  <si>
    <t>'130403101</t>
  </si>
  <si>
    <t>Fleenor</t>
  </si>
  <si>
    <t>kathleen.fleenor@cjsd.k12.az.us</t>
  </si>
  <si>
    <t>Cottonwood-Oak Creek Elementary District</t>
  </si>
  <si>
    <t>'130406000</t>
  </si>
  <si>
    <t>chamilton@cocsd.k12.az.us</t>
  </si>
  <si>
    <t>sking@cocsd.k12.az.us</t>
  </si>
  <si>
    <t>Snyder</t>
  </si>
  <si>
    <t>dsnyder@cocsd.k12.az.us</t>
  </si>
  <si>
    <t>Kester</t>
  </si>
  <si>
    <t>rkester@cocsd.k12.az.us</t>
  </si>
  <si>
    <t>Oft</t>
  </si>
  <si>
    <t>doft@cocsd.k12.az.us</t>
  </si>
  <si>
    <t>AzED Coordinator</t>
  </si>
  <si>
    <t>Arizona iZone Institute Online Program</t>
  </si>
  <si>
    <t>'130406007</t>
  </si>
  <si>
    <t>Laura Kathy</t>
  </si>
  <si>
    <t>Epperson</t>
  </si>
  <si>
    <t>kepperson@cocsd.k12.az.us</t>
  </si>
  <si>
    <t>Cottonwood Education Services</t>
  </si>
  <si>
    <t>'130406101</t>
  </si>
  <si>
    <t>Vocca</t>
  </si>
  <si>
    <t>jvocca@cocsd.k12.az.us</t>
  </si>
  <si>
    <t>Oak Creek Elementary School</t>
  </si>
  <si>
    <t>'130406103</t>
  </si>
  <si>
    <t>cgriffin@cocsd.k12.az.us</t>
  </si>
  <si>
    <t>Mountain View Preparatory School</t>
  </si>
  <si>
    <t>'130406106</t>
  </si>
  <si>
    <t>sjones@cocsd.k12.az.us</t>
  </si>
  <si>
    <t>Cottonwood Community School</t>
  </si>
  <si>
    <t>'130406502</t>
  </si>
  <si>
    <t>Dr Daniel Bright Elementary School</t>
  </si>
  <si>
    <t>'130406504</t>
  </si>
  <si>
    <t>Mingus Union High School District</t>
  </si>
  <si>
    <t>'130504000</t>
  </si>
  <si>
    <t>Genie</t>
  </si>
  <si>
    <t>Gee</t>
  </si>
  <si>
    <t>ggee@muhs.com</t>
  </si>
  <si>
    <t>Westcott</t>
  </si>
  <si>
    <t>miwestcott@muhs.com</t>
  </si>
  <si>
    <t>lleonard@muhs.com</t>
  </si>
  <si>
    <t>Zimmer</t>
  </si>
  <si>
    <t>dzimmer@muhs.com</t>
  </si>
  <si>
    <t>Mingus Union High School</t>
  </si>
  <si>
    <t>'130504201</t>
  </si>
  <si>
    <t>Mingus Online Academy</t>
  </si>
  <si>
    <t>'130504203</t>
  </si>
  <si>
    <t>Valley Academy for Career and Technology Education</t>
  </si>
  <si>
    <t>'130801000</t>
  </si>
  <si>
    <t>Weir</t>
  </si>
  <si>
    <t>bweir@vacte.com</t>
  </si>
  <si>
    <t>VACTE - Mingus Union High School</t>
  </si>
  <si>
    <t>'130801001</t>
  </si>
  <si>
    <t>Marv</t>
  </si>
  <si>
    <t>Lamer</t>
  </si>
  <si>
    <t>mlamer@vacte.com</t>
  </si>
  <si>
    <t>VACTE - Camp Verde Unified School District</t>
  </si>
  <si>
    <t>'130801002</t>
  </si>
  <si>
    <t>Cziemkowski</t>
  </si>
  <si>
    <t>cziemkowski@vacte.com</t>
  </si>
  <si>
    <t>Admin. Asst.</t>
  </si>
  <si>
    <t>VACTE - Sedona-Oak Creek Joint Unified School District</t>
  </si>
  <si>
    <t>'130801003</t>
  </si>
  <si>
    <t>VACTE - Cottonwood-Oak Creek Unified School District</t>
  </si>
  <si>
    <t>'130801004</t>
  </si>
  <si>
    <t>VACTE - Clarkdale Jerome School District</t>
  </si>
  <si>
    <t>'130801005</t>
  </si>
  <si>
    <t>VACTE - Valley Academy for Career and Technology Education</t>
  </si>
  <si>
    <t>'130801006</t>
  </si>
  <si>
    <t>VACTE - Yavapai College Sedona Center</t>
  </si>
  <si>
    <t>'130801007</t>
  </si>
  <si>
    <t>Mountain Institute JTED</t>
  </si>
  <si>
    <t>'130802000</t>
  </si>
  <si>
    <t>Stiteler</t>
  </si>
  <si>
    <t>bill.stiteler@mijted.net</t>
  </si>
  <si>
    <t>Chief Executive Administrator</t>
  </si>
  <si>
    <t>MIJTED - Bradshaw Mountain High School</t>
  </si>
  <si>
    <t>'130802001</t>
  </si>
  <si>
    <t>MIJTED - Ashfork High School</t>
  </si>
  <si>
    <t>'130802002</t>
  </si>
  <si>
    <t>MIJTED - Bagdad High School</t>
  </si>
  <si>
    <t>'130802003</t>
  </si>
  <si>
    <t>MIJTED - Chino Valley High School</t>
  </si>
  <si>
    <t>'130802004</t>
  </si>
  <si>
    <t>MIJTED - Prescott High School</t>
  </si>
  <si>
    <t>'130802005</t>
  </si>
  <si>
    <t>MIJTED - Seligman High School</t>
  </si>
  <si>
    <t>'130802006</t>
  </si>
  <si>
    <t>MIJTED - Mayer High School</t>
  </si>
  <si>
    <t>'130802007</t>
  </si>
  <si>
    <t>MIJTED - Yavapai College CTEC</t>
  </si>
  <si>
    <t>'130802008</t>
  </si>
  <si>
    <t>MIJTED - Yavapai College Prescott Valley</t>
  </si>
  <si>
    <t>'130802009</t>
  </si>
  <si>
    <t>MIJTED - Yavapai College Agribusiness &amp; Technology Center</t>
  </si>
  <si>
    <t>'130802010</t>
  </si>
  <si>
    <t>MICTED - Medical</t>
  </si>
  <si>
    <t>'130802011</t>
  </si>
  <si>
    <t>MICTED - Culinary</t>
  </si>
  <si>
    <t>'130802012</t>
  </si>
  <si>
    <t>Compass Points International, Inc</t>
  </si>
  <si>
    <t>'138501000</t>
  </si>
  <si>
    <t>Roseman-Orr</t>
  </si>
  <si>
    <t>melissawagoner@northpointacademy.org</t>
  </si>
  <si>
    <t>Felker</t>
  </si>
  <si>
    <t>sharonfelker@northpointacademy.org</t>
  </si>
  <si>
    <t>Northpoint Expeditionary Learning Academy</t>
  </si>
  <si>
    <t>'138501001</t>
  </si>
  <si>
    <t>La Tierra Community School, Inc</t>
  </si>
  <si>
    <t>'138503000</t>
  </si>
  <si>
    <t>Rhette</t>
  </si>
  <si>
    <t>Buller</t>
  </si>
  <si>
    <t>rbuller@latierracommunityschool.org</t>
  </si>
  <si>
    <t>Academic Director</t>
  </si>
  <si>
    <t>La Tierra Community School</t>
  </si>
  <si>
    <t>'138503001</t>
  </si>
  <si>
    <t>'138705000</t>
  </si>
  <si>
    <t>'138705003</t>
  </si>
  <si>
    <t>Sedona Charter School, Inc.</t>
  </si>
  <si>
    <t>'138708000</t>
  </si>
  <si>
    <t>Madar</t>
  </si>
  <si>
    <t>alice@sedonacharterschool.com</t>
  </si>
  <si>
    <t>Hoyle</t>
  </si>
  <si>
    <t>crystal@sedonacharterschool.com</t>
  </si>
  <si>
    <t>Sedona Charter School</t>
  </si>
  <si>
    <t>'138708101</t>
  </si>
  <si>
    <t>Mingus Springs Charter School</t>
  </si>
  <si>
    <t>'138712000</t>
  </si>
  <si>
    <t>dcgonzales@cableone.net</t>
  </si>
  <si>
    <t>Snow</t>
  </si>
  <si>
    <t>mingusap@mingusspringsschool.org</t>
  </si>
  <si>
    <t>'138712101</t>
  </si>
  <si>
    <t>Desert Star Community School, Inc.</t>
  </si>
  <si>
    <t>'138714000</t>
  </si>
  <si>
    <t>LeBlanc</t>
  </si>
  <si>
    <t>cheryl@desertstarschool.org</t>
  </si>
  <si>
    <t>Desert Star Community School</t>
  </si>
  <si>
    <t>'138714101</t>
  </si>
  <si>
    <t>'138751000</t>
  </si>
  <si>
    <t>tfrank@cableone.net</t>
  </si>
  <si>
    <t>Franklin Phonetic Primary School</t>
  </si>
  <si>
    <t>'138751001</t>
  </si>
  <si>
    <t>christinagabaldon@yahoo.com</t>
  </si>
  <si>
    <t>beckyfitch@franklinphoneticschool.com</t>
  </si>
  <si>
    <t>Skyview School, Inc.</t>
  </si>
  <si>
    <t>'138752000</t>
  </si>
  <si>
    <t>Dena</t>
  </si>
  <si>
    <t>dford@skyview.k12.az.us</t>
  </si>
  <si>
    <t>Dianne</t>
  </si>
  <si>
    <t>djacobson@skyview.k12.az.us</t>
  </si>
  <si>
    <t>Consultant/Accountability</t>
  </si>
  <si>
    <t>Skyview School</t>
  </si>
  <si>
    <t>'138752101</t>
  </si>
  <si>
    <t>Hurley</t>
  </si>
  <si>
    <t>admin@skyview.k12.az.us</t>
  </si>
  <si>
    <t>Edkey Inc. dba American Heritage Academy</t>
  </si>
  <si>
    <t>'138754000</t>
  </si>
  <si>
    <t>Fraley</t>
  </si>
  <si>
    <t>martin.fraley@edkey.org</t>
  </si>
  <si>
    <t>American Heritage Academy - Cottonwood</t>
  </si>
  <si>
    <t>'138754001</t>
  </si>
  <si>
    <t>American Heritage Academy - Camp Verde</t>
  </si>
  <si>
    <t>'138754003</t>
  </si>
  <si>
    <t>Park View School, Inc.</t>
  </si>
  <si>
    <t>'138755000</t>
  </si>
  <si>
    <t>Bowers</t>
  </si>
  <si>
    <t>Betsy.Bowers@parkviewschool.org</t>
  </si>
  <si>
    <t>Pike</t>
  </si>
  <si>
    <t>dpike@pvcvedu.org</t>
  </si>
  <si>
    <t>bil.zeleny@pvcvedu.org</t>
  </si>
  <si>
    <t xml:space="preserve">CFO, Treasurer </t>
  </si>
  <si>
    <t>Park View Middle School</t>
  </si>
  <si>
    <t>'138755101</t>
  </si>
  <si>
    <t>Slagle</t>
  </si>
  <si>
    <t>dslagle@westwindacademy.org</t>
  </si>
  <si>
    <t>Eno</t>
  </si>
  <si>
    <t>Csontos</t>
  </si>
  <si>
    <t>eno.csnotos@westwindacademy.org</t>
  </si>
  <si>
    <t>Canyon View Prep Academy</t>
  </si>
  <si>
    <t>'138755102</t>
  </si>
  <si>
    <t>debra.slagle@westwindacademy.org</t>
  </si>
  <si>
    <t>Painted Pony Ranch Charter School</t>
  </si>
  <si>
    <t>'138756000</t>
  </si>
  <si>
    <t>willowcreek@willowcreekcharter.com</t>
  </si>
  <si>
    <t>Willow Creek Charter School</t>
  </si>
  <si>
    <t>'138756101</t>
  </si>
  <si>
    <t>Mary Ellen Halvorson Educational Foundation. dba: Tri-City Prep High School</t>
  </si>
  <si>
    <t>'138757000</t>
  </si>
  <si>
    <t>Mary Ellen</t>
  </si>
  <si>
    <t>Halvorson</t>
  </si>
  <si>
    <t>mehalvorson@tricityprep.org</t>
  </si>
  <si>
    <t>Tomsho</t>
  </si>
  <si>
    <t>jtomsho@tricityprep.org</t>
  </si>
  <si>
    <t>Tri-City College Prep High School</t>
  </si>
  <si>
    <t>'138757201</t>
  </si>
  <si>
    <t>dr.h@tricityprep.org</t>
  </si>
  <si>
    <t>PACE Preparatory Academy, Inc.</t>
  </si>
  <si>
    <t>'138758000</t>
  </si>
  <si>
    <t>Sakelarios</t>
  </si>
  <si>
    <t>bill@paceacademy.com</t>
  </si>
  <si>
    <t>CEO/President LEA Authorized Representative</t>
  </si>
  <si>
    <t>Marc</t>
  </si>
  <si>
    <t>marc@sterlingaccountingandtax.com</t>
  </si>
  <si>
    <t>Mal</t>
  </si>
  <si>
    <t>Cooper@PaceAcademy.com</t>
  </si>
  <si>
    <t>PACE Preparatory Academy</t>
  </si>
  <si>
    <t>'138758201</t>
  </si>
  <si>
    <t>CEO/President</t>
  </si>
  <si>
    <t>Kestrel Schools, Inc.</t>
  </si>
  <si>
    <t>'138759000</t>
  </si>
  <si>
    <t>dfields@kestrelhighschool.com</t>
  </si>
  <si>
    <t>Sped Director</t>
  </si>
  <si>
    <t>lwheeler@rcbhighschool.com</t>
  </si>
  <si>
    <t>State Data Coordinator</t>
  </si>
  <si>
    <t>Valley Preparatory Academy</t>
  </si>
  <si>
    <t>'138759201</t>
  </si>
  <si>
    <t>jwomack@kestrelhighschool.com</t>
  </si>
  <si>
    <t>Site contact</t>
  </si>
  <si>
    <t>Acorn Montessori Charter School</t>
  </si>
  <si>
    <t>'138760000</t>
  </si>
  <si>
    <t>acms@cableone.net</t>
  </si>
  <si>
    <t>Charter Holder/Director</t>
  </si>
  <si>
    <t>Kendal</t>
  </si>
  <si>
    <t>Healey</t>
  </si>
  <si>
    <t>acornkendal@cableone.net</t>
  </si>
  <si>
    <t>Rice</t>
  </si>
  <si>
    <t>acornjennifer@cableone.net</t>
  </si>
  <si>
    <t>'138760101</t>
  </si>
  <si>
    <t>Acorn Montessori Charter School, Inc. - West</t>
  </si>
  <si>
    <t>'138760102</t>
  </si>
  <si>
    <t>Mountain Oak Charter School, Inc.</t>
  </si>
  <si>
    <t>'138768000</t>
  </si>
  <si>
    <t>croe@mountainoakschool.org</t>
  </si>
  <si>
    <t>Vonda</t>
  </si>
  <si>
    <t>Chisholm</t>
  </si>
  <si>
    <t>vchisholm@mountainoakschool.org</t>
  </si>
  <si>
    <t>Educational Director</t>
  </si>
  <si>
    <t>Kpodo</t>
  </si>
  <si>
    <t>mkpodo@mountainoakschool.org</t>
  </si>
  <si>
    <t>Beck</t>
  </si>
  <si>
    <t>sbeck@mountainoakschool.org</t>
  </si>
  <si>
    <t>Bluff</t>
  </si>
  <si>
    <t>jbluff@mountainoakschool.org</t>
  </si>
  <si>
    <t>Account Representative</t>
  </si>
  <si>
    <t>Mountain Oak Charter School</t>
  </si>
  <si>
    <t>'138768101</t>
  </si>
  <si>
    <t>Juarez</t>
  </si>
  <si>
    <t>jjuarez@mountainoakschool.org</t>
  </si>
  <si>
    <t>'138785000</t>
  </si>
  <si>
    <t>Arizona Agribusiness &amp; Equine Center, Inc. - Prescott Valley</t>
  </si>
  <si>
    <t>'138785201</t>
  </si>
  <si>
    <t>'138786000</t>
  </si>
  <si>
    <t>BASIS Prescott</t>
  </si>
  <si>
    <t>'138786001</t>
  </si>
  <si>
    <t>'140401000</t>
  </si>
  <si>
    <t>Dru</t>
  </si>
  <si>
    <t>928-502-42</t>
  </si>
  <si>
    <t>dmartin@yumaed.org</t>
  </si>
  <si>
    <t>Data Specialist</t>
  </si>
  <si>
    <t>Sheppard</t>
  </si>
  <si>
    <t>dsheppard2@yuma.org</t>
  </si>
  <si>
    <t>Quintero</t>
  </si>
  <si>
    <t>aquintero@yuma.org</t>
  </si>
  <si>
    <t>slopez@yuma.org</t>
  </si>
  <si>
    <t>ESS Office Technician</t>
  </si>
  <si>
    <t>Sheldahl</t>
  </si>
  <si>
    <t>jsheldahl@yuma.org</t>
  </si>
  <si>
    <t>Stevenson</t>
  </si>
  <si>
    <t>cstevenson@yumaed.org</t>
  </si>
  <si>
    <t>Alice Byrne Elementary School</t>
  </si>
  <si>
    <t>'140401101</t>
  </si>
  <si>
    <t>Juli</t>
  </si>
  <si>
    <t>Peach</t>
  </si>
  <si>
    <t>jpeach@yumaed.org</t>
  </si>
  <si>
    <t>'140401102</t>
  </si>
  <si>
    <t>Drysdale</t>
  </si>
  <si>
    <t>ddrysdale@yumaed.org</t>
  </si>
  <si>
    <t>'140401103</t>
  </si>
  <si>
    <t>Adar</t>
  </si>
  <si>
    <t>agarcia@yumaed.org</t>
  </si>
  <si>
    <t>James D Price School</t>
  </si>
  <si>
    <t>'140401104</t>
  </si>
  <si>
    <t>Conde</t>
  </si>
  <si>
    <t>kconde@yumaed.org</t>
  </si>
  <si>
    <t>O C Johnson School</t>
  </si>
  <si>
    <t>'140401106</t>
  </si>
  <si>
    <t>Mendivil</t>
  </si>
  <si>
    <t>Logan</t>
  </si>
  <si>
    <t>asimpson@yuma.org</t>
  </si>
  <si>
    <t>Palmcroft Elementary School</t>
  </si>
  <si>
    <t>'140401107</t>
  </si>
  <si>
    <t>Koppinger</t>
  </si>
  <si>
    <t>pkoppinger@yumaed.org</t>
  </si>
  <si>
    <t>Jennette</t>
  </si>
  <si>
    <t>Arviso</t>
  </si>
  <si>
    <t>'140401108</t>
  </si>
  <si>
    <t>jzepeda@yumaed.org</t>
  </si>
  <si>
    <t>Pisano</t>
  </si>
  <si>
    <t>ppisano@yuma.org</t>
  </si>
  <si>
    <t>'140401109</t>
  </si>
  <si>
    <t>sramirez@yumaed.org</t>
  </si>
  <si>
    <t>James B Rolle School</t>
  </si>
  <si>
    <t>'140401110</t>
  </si>
  <si>
    <t>mcunningham@yumaed.org</t>
  </si>
  <si>
    <t>Leeanne</t>
  </si>
  <si>
    <t>Lagunas</t>
  </si>
  <si>
    <t>llagunas@yuma.org</t>
  </si>
  <si>
    <t>Mary A Otondo Elementary School</t>
  </si>
  <si>
    <t>'140401112</t>
  </si>
  <si>
    <t>Clayton</t>
  </si>
  <si>
    <t>cclayton@yumaed.org</t>
  </si>
  <si>
    <t>Desert Mesa Elementary School</t>
  </si>
  <si>
    <t>'140401113</t>
  </si>
  <si>
    <t>Eula</t>
  </si>
  <si>
    <t>Baumgarner</t>
  </si>
  <si>
    <t>ebaumgarner@yuma.org</t>
  </si>
  <si>
    <t>Gerber</t>
  </si>
  <si>
    <t>rgerber@yuma.org</t>
  </si>
  <si>
    <t>'140401114</t>
  </si>
  <si>
    <t>Monson</t>
  </si>
  <si>
    <t>rmonson@yumaed.org</t>
  </si>
  <si>
    <t>Dorothy Hall Elementary</t>
  </si>
  <si>
    <t>'140401115</t>
  </si>
  <si>
    <t>'140401121</t>
  </si>
  <si>
    <t>Cazares</t>
  </si>
  <si>
    <t>jcazares@yuma.org</t>
  </si>
  <si>
    <t>Gila Vista Jr High School</t>
  </si>
  <si>
    <t>'140401122</t>
  </si>
  <si>
    <t>Rusty</t>
  </si>
  <si>
    <t>Tyndall</t>
  </si>
  <si>
    <t>rtyndall@yumaed.org</t>
  </si>
  <si>
    <t>Lurinda</t>
  </si>
  <si>
    <t>lward@yumaed.org</t>
  </si>
  <si>
    <t>R Pete Woodard Jr High School</t>
  </si>
  <si>
    <t>'140401123</t>
  </si>
  <si>
    <t>Wait</t>
  </si>
  <si>
    <t>await@yumaed.org</t>
  </si>
  <si>
    <t>Herzog</t>
  </si>
  <si>
    <t>Castle Dome Middle School</t>
  </si>
  <si>
    <t>'140401124</t>
  </si>
  <si>
    <t>Sheffield</t>
  </si>
  <si>
    <t>lsheffield@yumaed.org</t>
  </si>
  <si>
    <t>Ron Watson Middle School</t>
  </si>
  <si>
    <t>'140401125</t>
  </si>
  <si>
    <t>dfranklin@yumaed.org</t>
  </si>
  <si>
    <t>Yuma District One Digital Learning Academy</t>
  </si>
  <si>
    <t>'140401301</t>
  </si>
  <si>
    <t>Somerton Elementary District</t>
  </si>
  <si>
    <t>'140411000</t>
  </si>
  <si>
    <t>Porchas</t>
  </si>
  <si>
    <t>mporchas@ssd11.org</t>
  </si>
  <si>
    <t>Somerton Middle School</t>
  </si>
  <si>
    <t>'140411101</t>
  </si>
  <si>
    <t>jmoreno@ssd11.org</t>
  </si>
  <si>
    <t>Orange Grove Elementary School</t>
  </si>
  <si>
    <t>'140411102</t>
  </si>
  <si>
    <t>Seh</t>
  </si>
  <si>
    <t>kseh@ssd11.org</t>
  </si>
  <si>
    <t>Desert Sonora Elementary School</t>
  </si>
  <si>
    <t>'140411103</t>
  </si>
  <si>
    <t>Paredes</t>
  </si>
  <si>
    <t>meparedes@ssd11.org</t>
  </si>
  <si>
    <t>Tierra Del Sol Elementary School</t>
  </si>
  <si>
    <t>'140411104</t>
  </si>
  <si>
    <t>Gema</t>
  </si>
  <si>
    <t>ganaya@ssd11.org</t>
  </si>
  <si>
    <t>Encanto Learning Center</t>
  </si>
  <si>
    <t>'140411105</t>
  </si>
  <si>
    <t>Luciano</t>
  </si>
  <si>
    <t>munozl@ssd11.org</t>
  </si>
  <si>
    <t>'140413000</t>
  </si>
  <si>
    <t>Bosch</t>
  </si>
  <si>
    <t>jbosch@craneschools.org</t>
  </si>
  <si>
    <t>dponder@craneschools.org</t>
  </si>
  <si>
    <t>'140413101</t>
  </si>
  <si>
    <t>rhenry@craneschools.org</t>
  </si>
  <si>
    <t>Doering</t>
  </si>
  <si>
    <t>Crane Middle School</t>
  </si>
  <si>
    <t>'140413103</t>
  </si>
  <si>
    <t>Neumann</t>
  </si>
  <si>
    <t>kneumann@craneschools.org</t>
  </si>
  <si>
    <t>Ronald Reagan Fundamental School</t>
  </si>
  <si>
    <t>'140413104</t>
  </si>
  <si>
    <t>Tfletcher@craneschools.org</t>
  </si>
  <si>
    <t>H L Suverkrup Elementary School</t>
  </si>
  <si>
    <t>'140413105</t>
  </si>
  <si>
    <t>Valentin</t>
  </si>
  <si>
    <t>Valley Horizon Elementary School</t>
  </si>
  <si>
    <t>'140413106</t>
  </si>
  <si>
    <t>mhoffman@craneschools.org</t>
  </si>
  <si>
    <t>Hookstra</t>
  </si>
  <si>
    <t>chookstra@craneschools.org</t>
  </si>
  <si>
    <t>Centennial Middle School</t>
  </si>
  <si>
    <t>'140413107</t>
  </si>
  <si>
    <t>Coffeen</t>
  </si>
  <si>
    <t>hcoffeen@craneschools.org</t>
  </si>
  <si>
    <t>Gary A. Knox Elementary School</t>
  </si>
  <si>
    <t>'140413108</t>
  </si>
  <si>
    <t>Hurt</t>
  </si>
  <si>
    <t>LHurt@craneschools.org</t>
  </si>
  <si>
    <t>'140413109</t>
  </si>
  <si>
    <t>Shelia</t>
  </si>
  <si>
    <t>smendoza@craneschools.org</t>
  </si>
  <si>
    <t>Great Beginnings Pre-School</t>
  </si>
  <si>
    <t>'140413110</t>
  </si>
  <si>
    <t>Mesquite Elementary</t>
  </si>
  <si>
    <t>'140413130</t>
  </si>
  <si>
    <t>Jerpseth</t>
  </si>
  <si>
    <t>kburns@craneschools.org</t>
  </si>
  <si>
    <t>Gowan Science Academy</t>
  </si>
  <si>
    <t>'140413138</t>
  </si>
  <si>
    <t>Haines</t>
  </si>
  <si>
    <t>JHaines@craneschools.org</t>
  </si>
  <si>
    <t>Crane iLearning Academy</t>
  </si>
  <si>
    <t>'140413301</t>
  </si>
  <si>
    <t>Hyder Elementary District</t>
  </si>
  <si>
    <t>'140416000</t>
  </si>
  <si>
    <t>Koury</t>
  </si>
  <si>
    <t>pkoury@hyderisd.org</t>
  </si>
  <si>
    <t>cmarquez@apscc.org</t>
  </si>
  <si>
    <t>Office Administrator</t>
  </si>
  <si>
    <t>Kalena</t>
  </si>
  <si>
    <t>Renaudin</t>
  </si>
  <si>
    <t>kjordn@hyderisd.org</t>
  </si>
  <si>
    <t>Dateland Elementary School</t>
  </si>
  <si>
    <t>'140416101</t>
  </si>
  <si>
    <t>pkoury@hyder-isd.org</t>
  </si>
  <si>
    <t>'140417000</t>
  </si>
  <si>
    <t>Shanna</t>
  </si>
  <si>
    <t>sjohnson@mohawk17.org</t>
  </si>
  <si>
    <t>Superintendent / Administrator</t>
  </si>
  <si>
    <t>Jaquelin</t>
  </si>
  <si>
    <t>Nall</t>
  </si>
  <si>
    <t>jnall@mohawk17.org</t>
  </si>
  <si>
    <t>dsalcido@mohawk17.org</t>
  </si>
  <si>
    <t>'140417101</t>
  </si>
  <si>
    <t>Alfredo</t>
  </si>
  <si>
    <t>rluna@mohawk.apscc.org</t>
  </si>
  <si>
    <t>dhudson@mohawk.apscc.org</t>
  </si>
  <si>
    <t>Wellton Elementary District</t>
  </si>
  <si>
    <t>'140424000</t>
  </si>
  <si>
    <t>Jameson</t>
  </si>
  <si>
    <t>ljameson@welltonschool.org</t>
  </si>
  <si>
    <t>Mulvihill</t>
  </si>
  <si>
    <t>emulvihi@welltonschool.org</t>
  </si>
  <si>
    <t>Killman</t>
  </si>
  <si>
    <t>akillman@welltonschool.org</t>
  </si>
  <si>
    <t>Wellton Elementary School</t>
  </si>
  <si>
    <t>'140424101</t>
  </si>
  <si>
    <t>'140432000</t>
  </si>
  <si>
    <t>agui2400@yahoo.com</t>
  </si>
  <si>
    <t>Boblett</t>
  </si>
  <si>
    <t>928-722-70</t>
  </si>
  <si>
    <t>bboblett@gesd32.org</t>
  </si>
  <si>
    <t>ELL Coordinator</t>
  </si>
  <si>
    <t>lcoronado@gesd32.org</t>
  </si>
  <si>
    <t>Bernhard</t>
  </si>
  <si>
    <t>928-627-65</t>
  </si>
  <si>
    <t>bbern@gesd32.org</t>
  </si>
  <si>
    <t>Dir of Bus Ops</t>
  </si>
  <si>
    <t>rperez@gesd32.org</t>
  </si>
  <si>
    <t>lramirez@gesd32.org</t>
  </si>
  <si>
    <t>'140432101</t>
  </si>
  <si>
    <t>Arvizo</t>
  </si>
  <si>
    <t>carvizo@gesd32.org</t>
  </si>
  <si>
    <t>'140432102</t>
  </si>
  <si>
    <t>'140432103</t>
  </si>
  <si>
    <t>Selene</t>
  </si>
  <si>
    <t>Arredondo</t>
  </si>
  <si>
    <t>sarredondo@gesd32.org</t>
  </si>
  <si>
    <t>Assistant Prinicpal</t>
  </si>
  <si>
    <t>San Luis Pre-School</t>
  </si>
  <si>
    <t>'140432104</t>
  </si>
  <si>
    <t>'140432105</t>
  </si>
  <si>
    <t>lmesparza@gesd32.org</t>
  </si>
  <si>
    <t>Cesar Chavez Elementary</t>
  </si>
  <si>
    <t>'140432106</t>
  </si>
  <si>
    <t>mmorales1@gesd32.org</t>
  </si>
  <si>
    <t>Southwest Jr. High School</t>
  </si>
  <si>
    <t>'140432107</t>
  </si>
  <si>
    <t>Desert View Elementary</t>
  </si>
  <si>
    <t>'140432108</t>
  </si>
  <si>
    <t>Ed Pastor Elementary 4</t>
  </si>
  <si>
    <t>'140432109</t>
  </si>
  <si>
    <t>Antelope Union High School District</t>
  </si>
  <si>
    <t>'140550000</t>
  </si>
  <si>
    <t>deponder@antelopeunion.org</t>
  </si>
  <si>
    <t>Phelan</t>
  </si>
  <si>
    <t>anphelan@antelopeunion.org</t>
  </si>
  <si>
    <t>grcopeland@antelopeunion.org</t>
  </si>
  <si>
    <t>AUHS Online Acadamy</t>
  </si>
  <si>
    <t>'140550101</t>
  </si>
  <si>
    <t>Antelope Union High School</t>
  </si>
  <si>
    <t>'140550201</t>
  </si>
  <si>
    <t>Randall</t>
  </si>
  <si>
    <t>Odonnell</t>
  </si>
  <si>
    <t>rodonnel@apscc.org</t>
  </si>
  <si>
    <t>'140570000</t>
  </si>
  <si>
    <t>landerson@yumaunion.org</t>
  </si>
  <si>
    <t>gthompson@yumaunion.org</t>
  </si>
  <si>
    <t>Fritz</t>
  </si>
  <si>
    <t>MFritz@yumaunion.org</t>
  </si>
  <si>
    <t>Cordery</t>
  </si>
  <si>
    <t>dcordery@yumaunion.org</t>
  </si>
  <si>
    <t>Director of Financial Services</t>
  </si>
  <si>
    <t>Walden</t>
  </si>
  <si>
    <t>jwalden@yuma.org</t>
  </si>
  <si>
    <t>Director of Budget and Finance</t>
  </si>
  <si>
    <t>Data Mgmt Asst</t>
  </si>
  <si>
    <t>'140570201</t>
  </si>
  <si>
    <t>Magin</t>
  </si>
  <si>
    <t>jmagin@yumaed.org</t>
  </si>
  <si>
    <t>Pallack</t>
  </si>
  <si>
    <t>spallack@yumaed.org</t>
  </si>
  <si>
    <t>Kofa High School</t>
  </si>
  <si>
    <t>'140570202</t>
  </si>
  <si>
    <t>msharp@yumaed.org</t>
  </si>
  <si>
    <t>Gettings</t>
  </si>
  <si>
    <t>kgettings@yumaunion.org</t>
  </si>
  <si>
    <t>AP Activitied &amp; Attendance</t>
  </si>
  <si>
    <t>Castro</t>
  </si>
  <si>
    <t>gcastro@yumaunion.org</t>
  </si>
  <si>
    <t>AP Academics</t>
  </si>
  <si>
    <t>tkeller@yumaunion.org</t>
  </si>
  <si>
    <t>Cibola High School</t>
  </si>
  <si>
    <t>'140570203</t>
  </si>
  <si>
    <t>mfritz@yumaunion.org</t>
  </si>
  <si>
    <t>dbosch@yumaunion.org</t>
  </si>
  <si>
    <t>Vista High School</t>
  </si>
  <si>
    <t>'140570204</t>
  </si>
  <si>
    <t>lcampbell@yumaunion.org</t>
  </si>
  <si>
    <t>'140570205</t>
  </si>
  <si>
    <t>tray@yumaunion.org</t>
  </si>
  <si>
    <t>Eraclio</t>
  </si>
  <si>
    <t>earvizo@yumaunion.org</t>
  </si>
  <si>
    <t>Gila Ridge High School</t>
  </si>
  <si>
    <t>'140570207</t>
  </si>
  <si>
    <t>Wehrer</t>
  </si>
  <si>
    <t>swehrer@yumaed.org</t>
  </si>
  <si>
    <t>sanderson1@yumaunion.org</t>
  </si>
  <si>
    <t>AP Athletics</t>
  </si>
  <si>
    <t>Lilian</t>
  </si>
  <si>
    <t>Campa</t>
  </si>
  <si>
    <t>lcampa@yumaunion.org</t>
  </si>
  <si>
    <t>Yuma Online Distance Academy</t>
  </si>
  <si>
    <t>'140570301</t>
  </si>
  <si>
    <t>Badone</t>
  </si>
  <si>
    <t>abadone@yumaed.org</t>
  </si>
  <si>
    <t>Southwest Technical Education District of Yuma (STEDY)</t>
  </si>
  <si>
    <t>'140801000</t>
  </si>
  <si>
    <t>Imes</t>
  </si>
  <si>
    <t>928.366.58</t>
  </si>
  <si>
    <t>KImes@stedy01.org</t>
  </si>
  <si>
    <t>Merci</t>
  </si>
  <si>
    <t>mmunoz@stedy01.org</t>
  </si>
  <si>
    <t>STEDY- Antelope HS Satellite</t>
  </si>
  <si>
    <t>'140801001</t>
  </si>
  <si>
    <t>crussell@stedy01.org</t>
  </si>
  <si>
    <t>STEDY- Cibola High School Satellite</t>
  </si>
  <si>
    <t>'140801002</t>
  </si>
  <si>
    <t>STEDY- Gila Ridge HS Satellite</t>
  </si>
  <si>
    <t>'140801003</t>
  </si>
  <si>
    <t>STEDY- Kofa HS Satellite</t>
  </si>
  <si>
    <t>'140801004</t>
  </si>
  <si>
    <t>STEDY- San Luis HS Satellite</t>
  </si>
  <si>
    <t>'140801005</t>
  </si>
  <si>
    <t>STEDY- Vista HS Satellite</t>
  </si>
  <si>
    <t>'140801006</t>
  </si>
  <si>
    <t>STEDY- Yuma HS Satellite</t>
  </si>
  <si>
    <t>'140801007</t>
  </si>
  <si>
    <t>STEDY- Arizona Western College</t>
  </si>
  <si>
    <t>'140801008</t>
  </si>
  <si>
    <t>STEDY- Desert View Academy</t>
  </si>
  <si>
    <t>'140801009</t>
  </si>
  <si>
    <t>STEDY- Central Campus</t>
  </si>
  <si>
    <t>'140801010</t>
  </si>
  <si>
    <t>kimes@stedy01.org</t>
  </si>
  <si>
    <t>STEDY- Aztec HS Satellite</t>
  </si>
  <si>
    <t>'140801011</t>
  </si>
  <si>
    <t>Az-Tec High School</t>
  </si>
  <si>
    <t>'148757000</t>
  </si>
  <si>
    <t>thardy@courts.az.gov</t>
  </si>
  <si>
    <t>Superintendent Director YCJJC</t>
  </si>
  <si>
    <t>Jolene</t>
  </si>
  <si>
    <t>Hefner</t>
  </si>
  <si>
    <t>jhefner@courts.az.gov</t>
  </si>
  <si>
    <t>Audren</t>
  </si>
  <si>
    <t>amorrissandoval@courts.az.gov</t>
  </si>
  <si>
    <t>steran@courts.az.gov</t>
  </si>
  <si>
    <t>AZTEC High School</t>
  </si>
  <si>
    <t>'148757001</t>
  </si>
  <si>
    <t>spallack@courts.az.gov</t>
  </si>
  <si>
    <t>Africa</t>
  </si>
  <si>
    <t>Carrasco</t>
  </si>
  <si>
    <t>Site Contact</t>
  </si>
  <si>
    <t>Yuma Private Industry Council, Inc.</t>
  </si>
  <si>
    <t>'148758000</t>
  </si>
  <si>
    <t>Romant</t>
  </si>
  <si>
    <t>promant@ypic.com</t>
  </si>
  <si>
    <t>mcamacho@ypic.com</t>
  </si>
  <si>
    <t>Fiscal Manager</t>
  </si>
  <si>
    <t>Grossenburg</t>
  </si>
  <si>
    <t>BGrossenburg@ypic.com</t>
  </si>
  <si>
    <t>School Manager</t>
  </si>
  <si>
    <t>Educational Opportunity Center</t>
  </si>
  <si>
    <t>'148758201</t>
  </si>
  <si>
    <t>Juniper Tree Academy</t>
  </si>
  <si>
    <t>'148759000</t>
  </si>
  <si>
    <t>Hackmann</t>
  </si>
  <si>
    <t>rhackmann@desertviewschools.com</t>
  </si>
  <si>
    <t>Desert View Academy</t>
  </si>
  <si>
    <t>'148759101</t>
  </si>
  <si>
    <t>Ogston</t>
  </si>
  <si>
    <t>rogston@desertviewschools.com</t>
  </si>
  <si>
    <t>Weigel</t>
  </si>
  <si>
    <t>Harvest Power Community Development Group, Inc.</t>
  </si>
  <si>
    <t>'148760000</t>
  </si>
  <si>
    <t>dybarra@harvestprep.com</t>
  </si>
  <si>
    <t>Executive Director/President</t>
  </si>
  <si>
    <t>Gerrie</t>
  </si>
  <si>
    <t>Fahay</t>
  </si>
  <si>
    <t>federalprograms2@harvestprep.com</t>
  </si>
  <si>
    <t>Designated User/Office Manager</t>
  </si>
  <si>
    <t>nholt@harvestprep.com</t>
  </si>
  <si>
    <t>Harvest Preparatory Academy</t>
  </si>
  <si>
    <t>'148760101</t>
  </si>
  <si>
    <t>Harvest Preparatory Academy, San Luis AZ</t>
  </si>
  <si>
    <t>'148760102</t>
  </si>
  <si>
    <t>Harvest Preparatory Academy, Goodyear</t>
  </si>
  <si>
    <t>'148760103</t>
  </si>
  <si>
    <t>Schroeder</t>
  </si>
  <si>
    <t>Carpe Diem Collegiate High School</t>
  </si>
  <si>
    <t>'148761000</t>
  </si>
  <si>
    <t>Chief Operations Officer</t>
  </si>
  <si>
    <t>Desert View Middle &amp; High School</t>
  </si>
  <si>
    <t>'148761201</t>
  </si>
  <si>
    <t>rogston@adelphia.net</t>
  </si>
  <si>
    <t>Sciarretta</t>
  </si>
  <si>
    <t>Chet</t>
  </si>
  <si>
    <t>ccrain@cdayuma.com</t>
  </si>
  <si>
    <t>Desert View Online School</t>
  </si>
  <si>
    <t>'148761202</t>
  </si>
  <si>
    <t>rhackmann@cdayuma.com</t>
  </si>
  <si>
    <t>'150227000</t>
  </si>
  <si>
    <t>La Paz</t>
  </si>
  <si>
    <t>Sale</t>
  </si>
  <si>
    <t>bsale@parkerusd.org</t>
  </si>
  <si>
    <t>aholt@parkerusd.org</t>
  </si>
  <si>
    <t>Tartaro</t>
  </si>
  <si>
    <t>rtartaro@parkerusd.org</t>
  </si>
  <si>
    <t>Designated User/Data Manager</t>
  </si>
  <si>
    <t>Blake Primary School</t>
  </si>
  <si>
    <t>'150227101</t>
  </si>
  <si>
    <t>Hermes</t>
  </si>
  <si>
    <t>jhermes@parkerusd.org</t>
  </si>
  <si>
    <t>Wallace Elementary School</t>
  </si>
  <si>
    <t>'150227102</t>
  </si>
  <si>
    <t>Mcguire</t>
  </si>
  <si>
    <t>kmcguire@parkerusd.org</t>
  </si>
  <si>
    <t>pnelson@parkerusd.org</t>
  </si>
  <si>
    <t>'150227103</t>
  </si>
  <si>
    <t>dwolfe@parkerusd.org</t>
  </si>
  <si>
    <t>Wedemeyer</t>
  </si>
  <si>
    <t>bwedemeyer@parkerusd.org</t>
  </si>
  <si>
    <t>Wallace Jr High School</t>
  </si>
  <si>
    <t>'150227105</t>
  </si>
  <si>
    <t>Sandusky</t>
  </si>
  <si>
    <t>jsandusky@parkerusd.org</t>
  </si>
  <si>
    <t>Carollynn</t>
  </si>
  <si>
    <t>Henshaw</t>
  </si>
  <si>
    <t>chenshaw@parkerusd.org</t>
  </si>
  <si>
    <t>Lotts</t>
  </si>
  <si>
    <t>jlotts@parkerusd.org</t>
  </si>
  <si>
    <t>ckrause@parkerusd.org</t>
  </si>
  <si>
    <t>Parker High School</t>
  </si>
  <si>
    <t>'150227204</t>
  </si>
  <si>
    <t>LeRoy</t>
  </si>
  <si>
    <t>Shontz</t>
  </si>
  <si>
    <t>lshontz@parkerusd.org</t>
  </si>
  <si>
    <t>Parker Alternative School</t>
  </si>
  <si>
    <t>'150227206</t>
  </si>
  <si>
    <t>Quartzsite Elementary District</t>
  </si>
  <si>
    <t>'150404000</t>
  </si>
  <si>
    <t>rburton@qsd4.org</t>
  </si>
  <si>
    <t>Barajas</t>
  </si>
  <si>
    <t>mbarajas@qsd4.org</t>
  </si>
  <si>
    <t>awhitney@qsd4.org</t>
  </si>
  <si>
    <t>Ehrenberg Elementary School</t>
  </si>
  <si>
    <t>'150404101</t>
  </si>
  <si>
    <t>Jacquline</t>
  </si>
  <si>
    <t>Quartzsite Elementary School</t>
  </si>
  <si>
    <t>'150404102</t>
  </si>
  <si>
    <t>'150419000</t>
  </si>
  <si>
    <t>gloriadean@wendenk8.org</t>
  </si>
  <si>
    <t>mharold@wendenk8.org</t>
  </si>
  <si>
    <t>'150419101</t>
  </si>
  <si>
    <t>Bouse Elementary District</t>
  </si>
  <si>
    <t>'150426000</t>
  </si>
  <si>
    <t>rfletcher@bouseschool.org</t>
  </si>
  <si>
    <t>New Intern Superintendent</t>
  </si>
  <si>
    <t>Brandy</t>
  </si>
  <si>
    <t>bpeck@bouseschool.org</t>
  </si>
  <si>
    <t>Bouse Elementary School</t>
  </si>
  <si>
    <t>'150426101</t>
  </si>
  <si>
    <t>mwilliams@bouseschool.org</t>
  </si>
  <si>
    <t>'150430000</t>
  </si>
  <si>
    <t>gdean@salomek8.org</t>
  </si>
  <si>
    <t xml:space="preserve">District Administrator  </t>
  </si>
  <si>
    <t>Alverna</t>
  </si>
  <si>
    <t>Drotzmann</t>
  </si>
  <si>
    <t>adrotzmann@salomek8.org</t>
  </si>
  <si>
    <t>'150430101</t>
  </si>
  <si>
    <t>'150576000</t>
  </si>
  <si>
    <t>Kauffman</t>
  </si>
  <si>
    <t>akauffman@salomehs.org</t>
  </si>
  <si>
    <t>Pethers</t>
  </si>
  <si>
    <t>cpethers@salomehs.org</t>
  </si>
  <si>
    <t>'150576201</t>
  </si>
  <si>
    <t>Byron</t>
  </si>
  <si>
    <t>bmaynes@salomehs.org</t>
  </si>
  <si>
    <t>Dean of Student</t>
  </si>
  <si>
    <t>debiedwards@salomehs.org</t>
  </si>
  <si>
    <t>Site Contact Name</t>
  </si>
  <si>
    <t>School Contact Information</t>
  </si>
  <si>
    <t>Education Organization Id</t>
  </si>
  <si>
    <t>Name Of Institution</t>
  </si>
  <si>
    <t>Role Type</t>
  </si>
  <si>
    <t>Arizona Operational Status Type</t>
  </si>
  <si>
    <t>Ctds</t>
  </si>
  <si>
    <t>Address Type</t>
  </si>
  <si>
    <t>USPS Verified</t>
  </si>
  <si>
    <t>Full Address</t>
  </si>
  <si>
    <t>LA FRONTERA CHILD/FAMILY CTR</t>
  </si>
  <si>
    <t>Child Care</t>
  </si>
  <si>
    <t>Active</t>
  </si>
  <si>
    <t>Mailing</t>
  </si>
  <si>
    <t>502 W 29TH ST, TUCSON, AZ 85713-3353</t>
  </si>
  <si>
    <t>Physical</t>
  </si>
  <si>
    <t>502 W 29TH ST , TUCSON, AZ 85713-3353</t>
  </si>
  <si>
    <t>Kii Doo Baa Day Care</t>
  </si>
  <si>
    <t>Sunnyside Day Care</t>
  </si>
  <si>
    <t>Little Friends Daycare I</t>
  </si>
  <si>
    <t>Helping Hands Day Care</t>
  </si>
  <si>
    <t>U.S. Army Child &amp; Youth Services, ATTN: ATZS-MWY-C</t>
  </si>
  <si>
    <t>Billing</t>
  </si>
  <si>
    <t>Building 52111, Tindal Street, FORT HUACHUCA, AZ 85613</t>
  </si>
  <si>
    <t>New Beginnings Child Development Center</t>
  </si>
  <si>
    <t>School-age Services</t>
  </si>
  <si>
    <t>Shepherds Fold</t>
  </si>
  <si>
    <t>Shepherds Fold - 1</t>
  </si>
  <si>
    <t>Fort Huachuca dba US Army Child, Youth, and School Services</t>
  </si>
  <si>
    <t>Building 51301 Cushing Street, Fort Huachuca, AZ 85613</t>
  </si>
  <si>
    <t>Sunrise Day Care</t>
  </si>
  <si>
    <t>Oasis Of Love Inc.</t>
  </si>
  <si>
    <t>Koality Kinder Kare</t>
  </si>
  <si>
    <t>Toddle Town Daycare</t>
  </si>
  <si>
    <t>Sunrise Preschool &amp; Daycare</t>
  </si>
  <si>
    <t>Carefree Child Development Center</t>
  </si>
  <si>
    <t>Carefree Child Development  - 1</t>
  </si>
  <si>
    <t>Tender Lovin Care</t>
  </si>
  <si>
    <t>Preschool Services/Abundant Life</t>
  </si>
  <si>
    <t>Abundant Life Preschool</t>
  </si>
  <si>
    <t>American Child Care #2</t>
  </si>
  <si>
    <t>Jack &amp; Jill Day Care</t>
  </si>
  <si>
    <t>Kidz Konnection</t>
  </si>
  <si>
    <t>Mid-State Child Care and Nutrition</t>
  </si>
  <si>
    <t>134 S BROAD ST, GLOBE, AZ 85501-2602</t>
  </si>
  <si>
    <t>PO BOX 2199, CLAYPOOL, AZ 85532-2199</t>
  </si>
  <si>
    <t>First United Methodist Preschool</t>
  </si>
  <si>
    <t>Day Care Academy</t>
  </si>
  <si>
    <t>Kids Kountry</t>
  </si>
  <si>
    <t>Kids Corner</t>
  </si>
  <si>
    <t>The Young Ones</t>
  </si>
  <si>
    <t>River Of Life Child Care</t>
  </si>
  <si>
    <t>Upward Foundation</t>
  </si>
  <si>
    <t>South Mountain Community College Ccc</t>
  </si>
  <si>
    <t>South Mountain Community College</t>
  </si>
  <si>
    <t>FP Assistance/Hansel &amp; Gretel</t>
  </si>
  <si>
    <t>Hansel &amp; Gretel Preschool And Daycare</t>
  </si>
  <si>
    <t>Wesley United Dba Wesley Child Development</t>
  </si>
  <si>
    <t>Lincoln Learning Center</t>
  </si>
  <si>
    <t>Grace United Methodist Child Care</t>
  </si>
  <si>
    <t>Grace United Methodist Church</t>
  </si>
  <si>
    <t>Two Steps Child Care</t>
  </si>
  <si>
    <t>Two Steps</t>
  </si>
  <si>
    <t>Azusa Christian Academy</t>
  </si>
  <si>
    <t>Preschool Services/Sunrise 110 ASU</t>
  </si>
  <si>
    <t>Sunrise Preschool #110/ASU West</t>
  </si>
  <si>
    <t>FP Assistance/Biltmore Bible</t>
  </si>
  <si>
    <t>Biltmore Bible Church Day Care</t>
  </si>
  <si>
    <t>Phoenix Day</t>
  </si>
  <si>
    <t>115 E TONTO ST , PHOENIX, AZ 85004-2741</t>
  </si>
  <si>
    <t>Phoenix Day Child and Family Learning Center</t>
  </si>
  <si>
    <t>115 E Tonto St, Phoenix, AZ 85004-2741</t>
  </si>
  <si>
    <t>Hi-Way Baptist Church</t>
  </si>
  <si>
    <t>Hi-Way Christian Day Care Center &amp; Preschool</t>
  </si>
  <si>
    <t>Fort Mcdowell Indian Community</t>
  </si>
  <si>
    <t>Ft. Mcdowell Hman'shawa</t>
  </si>
  <si>
    <t>Hman Qua'de Day Care</t>
  </si>
  <si>
    <t>Tempe Children's Center</t>
  </si>
  <si>
    <t>F/P Assistance/Kachina Country Day School</t>
  </si>
  <si>
    <t>Kachina Country Day School</t>
  </si>
  <si>
    <t>F/P Assistance dba Kiddie Kampus</t>
  </si>
  <si>
    <t>Kiddie Kampus</t>
  </si>
  <si>
    <t>Alzona Lutheran Child</t>
  </si>
  <si>
    <t>Sojourner Center</t>
  </si>
  <si>
    <t>Sojourner Child Development Center</t>
  </si>
  <si>
    <t>Williams Afb Child Center</t>
  </si>
  <si>
    <t>Williams Afb Child Development Center</t>
  </si>
  <si>
    <t>Luke AFB Child Care Center</t>
  </si>
  <si>
    <t>Luke Afb Child Development</t>
  </si>
  <si>
    <t>Covenant Preschool &amp; Childcare</t>
  </si>
  <si>
    <t>EDL Care Inc/Child Development Inc.</t>
  </si>
  <si>
    <t>Child Development Center</t>
  </si>
  <si>
    <t>Central Arizona Shelter Services, Inc.</t>
  </si>
  <si>
    <t>Vista Colina Child Development</t>
  </si>
  <si>
    <t>1050 W MOUNTAIN VIEW RD , PHOENIX, AZ 85021-2397</t>
  </si>
  <si>
    <t>Lynnhaven Church Of God Of Prophecy, Inc. Dba Hidden Treasures Christian Dc</t>
  </si>
  <si>
    <t>Hidden Treasures Christian Daycare</t>
  </si>
  <si>
    <t>Luke Afb School Age Program</t>
  </si>
  <si>
    <t>Luke AFB School Age Program - 1</t>
  </si>
  <si>
    <t>Salt River Pima-Maricopa</t>
  </si>
  <si>
    <t>Redeemer School</t>
  </si>
  <si>
    <t>Stepping Stones United Methodist</t>
  </si>
  <si>
    <t>Stepping Stones</t>
  </si>
  <si>
    <t>South Mountain Day Care/dba Salvation Army</t>
  </si>
  <si>
    <t>Mt. Calvary Christian Children's Center</t>
  </si>
  <si>
    <t>Christian Children's Center</t>
  </si>
  <si>
    <t>Heritage Preschool</t>
  </si>
  <si>
    <t>Heritage Preschool &amp; Child Care</t>
  </si>
  <si>
    <t>Child Development Center - Gila Bend</t>
  </si>
  <si>
    <t>Child Dev Center - Gila Bend AFAS</t>
  </si>
  <si>
    <t>Foothills Christian Church Day Care</t>
  </si>
  <si>
    <t>Foothills Christian Church</t>
  </si>
  <si>
    <t>Glendale/Peoria YMCA</t>
  </si>
  <si>
    <t>Phoenix Christian Assembly</t>
  </si>
  <si>
    <t>Phoenix Christian Daycare</t>
  </si>
  <si>
    <t>Family Emergency Child Care Center</t>
  </si>
  <si>
    <t>South Mountain Ymca Olympic #18</t>
  </si>
  <si>
    <t>Boys &amp; Girls Clubs East Valley - Metro Phoenix</t>
  </si>
  <si>
    <t>4309 E BELLEVIEW ST BLDG 14, PHOENIX, AZ 85008-5409</t>
  </si>
  <si>
    <t>4309 E BELLEVIEW ST BLDG 14 , PHOENIX, AZ 85008-5409</t>
  </si>
  <si>
    <t>Gabel Branch</t>
  </si>
  <si>
    <t>1330 N 15TH ST, PHOENIX, AZ 85006-2911</t>
  </si>
  <si>
    <t>Homes Branch</t>
  </si>
  <si>
    <t>1601 W SHERMAN ST, PHOENIX, AZ 85007-3303</t>
  </si>
  <si>
    <t>Diamondbacks Branch</t>
  </si>
  <si>
    <t>548 W SOUTHERN AVE, PHOENIX, AZ 85041-4811</t>
  </si>
  <si>
    <t>Peoria Branch</t>
  </si>
  <si>
    <t>11820 N 81ST AVE, PEORIA, AZ 85345-5736</t>
  </si>
  <si>
    <t>Southminster After School</t>
  </si>
  <si>
    <t>Childrens Homeless Shelter</t>
  </si>
  <si>
    <t>Umom New Day Childrens Services Center</t>
  </si>
  <si>
    <t>Wesley Community Center</t>
  </si>
  <si>
    <t>Tempe Boys &amp; Girls Club Of The East Valley</t>
  </si>
  <si>
    <t>Tempe Boys-Girls Club</t>
  </si>
  <si>
    <t>Mitchell Latchkey</t>
  </si>
  <si>
    <t>Zito Latchkey</t>
  </si>
  <si>
    <t>P.t. Coe Latchkey</t>
  </si>
  <si>
    <t>Butler Latchkey</t>
  </si>
  <si>
    <t>F/P Assistance</t>
  </si>
  <si>
    <t>Biltmore Bible Child Care</t>
  </si>
  <si>
    <t>Open Arms Christian Child Care</t>
  </si>
  <si>
    <t>Kachina Country Day Care</t>
  </si>
  <si>
    <t>Adelante Child Care</t>
  </si>
  <si>
    <t>Preschool Services Inc.</t>
  </si>
  <si>
    <t>Sunrise Preschool #110</t>
  </si>
  <si>
    <t>Abundant Life Preschool #401</t>
  </si>
  <si>
    <t>Child Crisis Arizona</t>
  </si>
  <si>
    <t>2334 E POLK ST , PHOENIX, AZ 85006-3916</t>
  </si>
  <si>
    <t>FACES of Crisis Nursery</t>
  </si>
  <si>
    <t>Arizona Children's Alliance Inc.</t>
  </si>
  <si>
    <t>Hand In Hand Of Scottsdale</t>
  </si>
  <si>
    <t>The Scottsdale School</t>
  </si>
  <si>
    <t>New Impact Christian Academy</t>
  </si>
  <si>
    <t>Rock-a-bye Baby Day Care Inc.</t>
  </si>
  <si>
    <t>Westbridge School</t>
  </si>
  <si>
    <t>Arizona Association of Family Day Care Providers</t>
  </si>
  <si>
    <t>1631 E GUADALUPE RD STE 201 , TEMPE, AZ 85283-3916</t>
  </si>
  <si>
    <t>BJ Enterprises</t>
  </si>
  <si>
    <t>7520 E 2ND ST STE 5, SCOTTSDALE, AZ 85251-4532</t>
  </si>
  <si>
    <t>PO BOX 490, SCOTTSDALE, AZ 85252-0490</t>
  </si>
  <si>
    <t>Nutrition For Children</t>
  </si>
  <si>
    <t>6718 W GREENWAY RD STE 102, PEORIA, AZ 85381-4500</t>
  </si>
  <si>
    <t>Nutrition And Health Education Resources</t>
  </si>
  <si>
    <t>2111 E BASELINE RD STE E1, TEMPE, AZ 85283-1518</t>
  </si>
  <si>
    <t>Luke AFB Family Child Care</t>
  </si>
  <si>
    <t>7383 N LITCHFIELD RD STE 3090, GLENDALE, AZ 85309-1566</t>
  </si>
  <si>
    <t>7282 N 137TH AVE BLDG 1140, LUKE AFB, AZ 85309-1520</t>
  </si>
  <si>
    <t>Actively Building Child Care Inc.</t>
  </si>
  <si>
    <t>PO BOX 26513, TEMPE, AZ 85285-6513</t>
  </si>
  <si>
    <t>325 E SOUTHERN AVE STE 116, TEMPE, AZ 85282-5208</t>
  </si>
  <si>
    <t>3333 E VAN BUREN ST, PHOENIX, AZ 85008-6812</t>
  </si>
  <si>
    <t>1300 S 10TH ST, PHOENIX, AZ 85034-4516</t>
  </si>
  <si>
    <t>Learn &amp; Play Preschool</t>
  </si>
  <si>
    <t>Kiddie Kollege</t>
  </si>
  <si>
    <t>Wee Rascals Preschool</t>
  </si>
  <si>
    <t>PO BOX 879, EL MIRAGE, AZ 85335-0879</t>
  </si>
  <si>
    <t>12938 W GREENWAY RD, SURPRISE, AZ 85374-4024</t>
  </si>
  <si>
    <t>Early Childhood Center</t>
  </si>
  <si>
    <t>Child Town Usa</t>
  </si>
  <si>
    <t>Glendale Childrens Le</t>
  </si>
  <si>
    <t>Susie's Mama Bear 1</t>
  </si>
  <si>
    <t>Tree House Day Care</t>
  </si>
  <si>
    <t>Little People Preschool</t>
  </si>
  <si>
    <t>Susie's Mama Bear #2</t>
  </si>
  <si>
    <t>American Child Care 28</t>
  </si>
  <si>
    <t>American Child Care 29</t>
  </si>
  <si>
    <t>American Child Care 30</t>
  </si>
  <si>
    <t>American Child Care 32</t>
  </si>
  <si>
    <t>Teach And Care Inc.</t>
  </si>
  <si>
    <t>Wonderful World</t>
  </si>
  <si>
    <t>Kidder House East</t>
  </si>
  <si>
    <t>Stanely Day School</t>
  </si>
  <si>
    <t>All Seasons Preschool</t>
  </si>
  <si>
    <t>A Kiddie's Kingdom, Inc.</t>
  </si>
  <si>
    <t>2318 N 35TH AVE, PHOENIX, AZ 85009-1418</t>
  </si>
  <si>
    <t>A Kiddie's Kingdom</t>
  </si>
  <si>
    <t>Love A Lot Preschool</t>
  </si>
  <si>
    <t>Miss Muffet Preschool</t>
  </si>
  <si>
    <t>Miss Muffett - McDowell</t>
  </si>
  <si>
    <t>John Hancock Academy</t>
  </si>
  <si>
    <t>Squaw Peak Day School Inc.</t>
  </si>
  <si>
    <t>American Family Learning Center</t>
  </si>
  <si>
    <t>Kids Koala - T Kampus</t>
  </si>
  <si>
    <t>9006 W VILLA LINDO DR, PEORIA, AZ 85383-1802</t>
  </si>
  <si>
    <t>6025 N 67TH AVE, GLENDALE, AZ 85301-4901</t>
  </si>
  <si>
    <t>A L C Preschools Inc.</t>
  </si>
  <si>
    <t>Beginning Visions Preschool</t>
  </si>
  <si>
    <t>Pinewood School</t>
  </si>
  <si>
    <t>Bide-A-Wee Child Care</t>
  </si>
  <si>
    <t>Cactus Preschool</t>
  </si>
  <si>
    <t>American Child Care 04</t>
  </si>
  <si>
    <t>Discovery Time</t>
  </si>
  <si>
    <t>1425 W SOUTHERN AVE STE 7, TEMPE, AZ 85282-4403</t>
  </si>
  <si>
    <t>Discovery Time Child Care</t>
  </si>
  <si>
    <t>Miss Muffet Child Care - McDowell</t>
  </si>
  <si>
    <t>Adventures In Learning</t>
  </si>
  <si>
    <t>Kids Town Preschool</t>
  </si>
  <si>
    <t>Childtime Childcare</t>
  </si>
  <si>
    <t>Discovery Creative Learning Center</t>
  </si>
  <si>
    <t>Sunrise Preschool #107</t>
  </si>
  <si>
    <t>Miss Muffet Child Care Center</t>
  </si>
  <si>
    <t>Childtime #1415</t>
  </si>
  <si>
    <t>Amigo Preschool #1</t>
  </si>
  <si>
    <t>Childtime Childcare 14</t>
  </si>
  <si>
    <t>Pixie Day Care Center</t>
  </si>
  <si>
    <t>Ramona Felix</t>
  </si>
  <si>
    <t>Cactus Preschool Iii</t>
  </si>
  <si>
    <t>Just Kids</t>
  </si>
  <si>
    <t>Discovery Creative Learning</t>
  </si>
  <si>
    <t>Rising Stars Day Care &amp; Learning Center</t>
  </si>
  <si>
    <t>Sun Tykes Preschool</t>
  </si>
  <si>
    <t>1450 N GILBERT RD , GILBERT, AZ 85234-2303</t>
  </si>
  <si>
    <t>C &amp; K  Holdings Inc.</t>
  </si>
  <si>
    <t>1456 E BROADWAY RD , MESA, AZ 85204-2343</t>
  </si>
  <si>
    <t>Just Like Home Daycare &amp; Preschool #2</t>
  </si>
  <si>
    <t>Little Western Academy Ii</t>
  </si>
  <si>
    <t>The Stopeks Carousel Learning Center</t>
  </si>
  <si>
    <t>A Child's Garden</t>
  </si>
  <si>
    <t>Sun Tykes Center For Children</t>
  </si>
  <si>
    <t>Hand In Hand</t>
  </si>
  <si>
    <t>Lea's Carousel Learning</t>
  </si>
  <si>
    <t>All Seasons Child Care 117</t>
  </si>
  <si>
    <t>Children's Choice Learning Center</t>
  </si>
  <si>
    <t>Sunrise 114 Mercado</t>
  </si>
  <si>
    <t>American Child Care 53</t>
  </si>
  <si>
    <t>Test Record For American Child Care Cst 928</t>
  </si>
  <si>
    <t>2nd Test Record For American Child Care Cst 928</t>
  </si>
  <si>
    <t>American Child Care 21</t>
  </si>
  <si>
    <t>Jo's Just Kids</t>
  </si>
  <si>
    <t>Tots 2 Ten Preschool</t>
  </si>
  <si>
    <t>Cactus Preschool Iv</t>
  </si>
  <si>
    <t>All About Kids</t>
  </si>
  <si>
    <t>At Teach &amp; Play</t>
  </si>
  <si>
    <t>MCP-Padilla Enterprises Inc.</t>
  </si>
  <si>
    <t>Kiddie Kare #2</t>
  </si>
  <si>
    <t>Pinewood School Inc.</t>
  </si>
  <si>
    <t>Kiddie Country Club</t>
  </si>
  <si>
    <t>Van Buren Acres Day School - 1</t>
  </si>
  <si>
    <t>Small Wonders Incorporated</t>
  </si>
  <si>
    <t>Gilbert Day Care School - 1</t>
  </si>
  <si>
    <t>Rainbow Elem Prep Ii</t>
  </si>
  <si>
    <t>Crestview Learning Center</t>
  </si>
  <si>
    <t>Precious Ones Preschool</t>
  </si>
  <si>
    <t>Golden Rule</t>
  </si>
  <si>
    <t>A Child's Garden -S</t>
  </si>
  <si>
    <t>Prayer Bear Preschool</t>
  </si>
  <si>
    <t>Kreative Kampus</t>
  </si>
  <si>
    <t>1729 E THOMAS RD, PHOENIX, AZ 85016-7603</t>
  </si>
  <si>
    <t>Kreative Kampus Learning Center Inc.</t>
  </si>
  <si>
    <t>For Children Inc. Dba Children's Campus</t>
  </si>
  <si>
    <t>3335 W Greenway Rod, Phoenix, AZ 85053</t>
  </si>
  <si>
    <t>2830 N 43RD AVE , PHOENIX, AZ 85009-1017</t>
  </si>
  <si>
    <t>Children's Campus</t>
  </si>
  <si>
    <t>Candler Corporation</t>
  </si>
  <si>
    <t>2904 E ROOSEVELT ST, PHOENIX, AZ 85008-5040</t>
  </si>
  <si>
    <t>New Creations Daycare - 1</t>
  </si>
  <si>
    <t>Amigo Preschool #2</t>
  </si>
  <si>
    <t>Kiddie Country Club - 1</t>
  </si>
  <si>
    <t>American Child Care 48</t>
  </si>
  <si>
    <t>Lemom Tree Mm #49</t>
  </si>
  <si>
    <t>American Child Care 47</t>
  </si>
  <si>
    <t>McCormick Preschool - 1</t>
  </si>
  <si>
    <t>Learning Works Preschool</t>
  </si>
  <si>
    <t>10726 N 96TH AVE, PEORIA, AZ 85345-5461</t>
  </si>
  <si>
    <t>American Child Care 51</t>
  </si>
  <si>
    <t>Prince &amp; Princess Christian Academy Inc.</t>
  </si>
  <si>
    <t>Little Swans Preschool</t>
  </si>
  <si>
    <t>10889 N 19TH AVE, PHOENIX, AZ 85029-4904</t>
  </si>
  <si>
    <t>Little Ones Wonderland</t>
  </si>
  <si>
    <t>American Child Care 43</t>
  </si>
  <si>
    <t>Little Western Academy-1</t>
  </si>
  <si>
    <t>Little Western Academy-2</t>
  </si>
  <si>
    <t>Mega Group</t>
  </si>
  <si>
    <t>Cactus Preschool Ii</t>
  </si>
  <si>
    <t>Kiddie Kare #3</t>
  </si>
  <si>
    <t>Glendale C L Academy I</t>
  </si>
  <si>
    <t>Glendale C L Academy Ii</t>
  </si>
  <si>
    <t>Sonshine Ent Inc.</t>
  </si>
  <si>
    <t>Valley Learning Center - 1</t>
  </si>
  <si>
    <t>American Child Care 52</t>
  </si>
  <si>
    <t>The Sycamore School</t>
  </si>
  <si>
    <t>American Child Care 50</t>
  </si>
  <si>
    <t>Children's Village Preschool</t>
  </si>
  <si>
    <t>Kiddie Kare #1</t>
  </si>
  <si>
    <t>The Learning Center</t>
  </si>
  <si>
    <t>Sunflower Preschool</t>
  </si>
  <si>
    <t>Rocking Horse Preschool</t>
  </si>
  <si>
    <t>Starburst Preschool</t>
  </si>
  <si>
    <t>Grandma's Cottage Child Care</t>
  </si>
  <si>
    <t>Small People Preschool</t>
  </si>
  <si>
    <t>Small World Preschool</t>
  </si>
  <si>
    <t>Visions Ii Preschool</t>
  </si>
  <si>
    <t>Golden Rule Learning Center - 1</t>
  </si>
  <si>
    <t>Little Munchkins Playschool</t>
  </si>
  <si>
    <t>Mary Moppets Preschool</t>
  </si>
  <si>
    <t>Bearly Grown Child Care</t>
  </si>
  <si>
    <t>Visions Preschool Inc.</t>
  </si>
  <si>
    <t>Children's Academy</t>
  </si>
  <si>
    <t>Lea's Carousel Learning Center #1</t>
  </si>
  <si>
    <t>Lea's Carousel Learning Center #2</t>
  </si>
  <si>
    <t>Rincon Learning Center</t>
  </si>
  <si>
    <t>Valley Learning Center</t>
  </si>
  <si>
    <t>2235 S Highway 89 Building A, Chino Valley, AZ 86323</t>
  </si>
  <si>
    <t>22535 W highway 89 Building A, Chino Valley, AZ 86323</t>
  </si>
  <si>
    <t>Robin's Nest Preschool</t>
  </si>
  <si>
    <t>Busy Bee Learning Center</t>
  </si>
  <si>
    <t>Early Childhood Center I</t>
  </si>
  <si>
    <t>Early Childhood Center Ii</t>
  </si>
  <si>
    <t>American Child Care-2</t>
  </si>
  <si>
    <t>American Child Care-13</t>
  </si>
  <si>
    <t>American Child Care-19</t>
  </si>
  <si>
    <t>American Child Care-28</t>
  </si>
  <si>
    <t>American Child Care-29</t>
  </si>
  <si>
    <t>American Child Care-32</t>
  </si>
  <si>
    <t>American Child Care-37</t>
  </si>
  <si>
    <t>American Child Care-51</t>
  </si>
  <si>
    <t>American Child Care-55</t>
  </si>
  <si>
    <t>American Child Care-1104</t>
  </si>
  <si>
    <t>American Child Care-1143</t>
  </si>
  <si>
    <t>Sunrise Preschool Inc.</t>
  </si>
  <si>
    <t>Sunrise At Camelback</t>
  </si>
  <si>
    <t>Sunrise At Maryvale</t>
  </si>
  <si>
    <t>Sunrise At Carl Hayden</t>
  </si>
  <si>
    <t>All Seasons Child Care</t>
  </si>
  <si>
    <t>Prince &amp; Princess</t>
  </si>
  <si>
    <t>Kids Town</t>
  </si>
  <si>
    <t>Active Learning Center</t>
  </si>
  <si>
    <t>Kids Are People Too #8911</t>
  </si>
  <si>
    <t>Kids Are People Too #9013</t>
  </si>
  <si>
    <t>Kids Are People Too #8810</t>
  </si>
  <si>
    <t>American On-site Child Care</t>
  </si>
  <si>
    <t>Kids Are People Too #8708</t>
  </si>
  <si>
    <t>Kiddie Kare #4</t>
  </si>
  <si>
    <t>Sunrise Preschools Inc.</t>
  </si>
  <si>
    <t>Children's World Learning Center - Phoenix</t>
  </si>
  <si>
    <t>Childrens World Learning Center -Mesa</t>
  </si>
  <si>
    <t>Kids Play Preschool Inc.</t>
  </si>
  <si>
    <t>Kids Play Learning Center</t>
  </si>
  <si>
    <t>PO BOX 51120, MESA, AZ 85208-0056</t>
  </si>
  <si>
    <t>460 E UNIVERSITY DR, MESA, AZ 85203-7924</t>
  </si>
  <si>
    <t>Teach And Care</t>
  </si>
  <si>
    <t>Kids Inc. Learning Center</t>
  </si>
  <si>
    <t>Panda Bear Preschool - 1</t>
  </si>
  <si>
    <t>Kids Are People Too #8809</t>
  </si>
  <si>
    <t>Building Blocks</t>
  </si>
  <si>
    <t>Small Wonders Children's Center</t>
  </si>
  <si>
    <t>Sage Private School</t>
  </si>
  <si>
    <t>Little Beginnings Inc.</t>
  </si>
  <si>
    <t>2309 W BUCKHORN TRL, PHOENIX, AZ 85085-5775</t>
  </si>
  <si>
    <t>4330 W MISSOURI AVE, GLENDALE, AZ 85301-6403</t>
  </si>
  <si>
    <t>Rising Stars Daycare</t>
  </si>
  <si>
    <t>4330 W MISSOURI AVE , GLENDALE, AZ 85301-6403</t>
  </si>
  <si>
    <t>Teach N Fun Ii</t>
  </si>
  <si>
    <t>Child Care Center</t>
  </si>
  <si>
    <t>Just Like Home Daycare &amp; Preschool</t>
  </si>
  <si>
    <t>4940 E MCDOWELL RD, PHOENIX, AZ 85008-4228</t>
  </si>
  <si>
    <t>Just Like Home Daycare</t>
  </si>
  <si>
    <t>Little Papoose Preschool</t>
  </si>
  <si>
    <t>All About Kids Inc.</t>
  </si>
  <si>
    <t>American Child Care #55</t>
  </si>
  <si>
    <t>Small Wonders Day Care - 1</t>
  </si>
  <si>
    <t>Childtime 1404</t>
  </si>
  <si>
    <t>Time For Tots Preschool And Daycare</t>
  </si>
  <si>
    <t>Stanley Day School</t>
  </si>
  <si>
    <t>American On-site Childcare II -1</t>
  </si>
  <si>
    <t>Kid's Club - 1</t>
  </si>
  <si>
    <t>Kid Stop</t>
  </si>
  <si>
    <t>Bide A Wee</t>
  </si>
  <si>
    <t>Pinewood Preschool</t>
  </si>
  <si>
    <t>Pinewood Preschool-3</t>
  </si>
  <si>
    <t>Magic Years Of Tempe</t>
  </si>
  <si>
    <t>Treasure Island Day Care - 1</t>
  </si>
  <si>
    <t>Precious Ones Preschool - Phoenix</t>
  </si>
  <si>
    <t>Loving Care Daycare Center</t>
  </si>
  <si>
    <t>PO BOX 765 , Litchfield Park, AZ 85340-0765</t>
  </si>
  <si>
    <t>19 N CENTRAL AVE , AVONDALE, AZ 85323-2156</t>
  </si>
  <si>
    <t>Loving Care</t>
  </si>
  <si>
    <t>Cactus Preschool  #i</t>
  </si>
  <si>
    <t>First Steps Children Center</t>
  </si>
  <si>
    <t>Susie's Mama Bear</t>
  </si>
  <si>
    <t>Grandma's Cottage</t>
  </si>
  <si>
    <t>Nana's Place #1</t>
  </si>
  <si>
    <t>Kids Are People Too #15</t>
  </si>
  <si>
    <t>All About Kids, Inc.</t>
  </si>
  <si>
    <t>16830 N 12TH ST, PHOENIX, AZ 85022-2711</t>
  </si>
  <si>
    <t>Susie's Mama Bear-2</t>
  </si>
  <si>
    <t>Sunrise Preschool #114</t>
  </si>
  <si>
    <t>Sunrise Preschool #115</t>
  </si>
  <si>
    <t>Sunrise Preschool #117</t>
  </si>
  <si>
    <t>Sunburst Preschool #119</t>
  </si>
  <si>
    <t>Sunburst Preschool #120</t>
  </si>
  <si>
    <t>Cyesis-Camelback</t>
  </si>
  <si>
    <t>Cyesis-Carl Hayden</t>
  </si>
  <si>
    <t>Childtime Children's Centers, Inc.</t>
  </si>
  <si>
    <t>21333 HAGGERTY RD STE 300 , NOVI, MI 48375-5537</t>
  </si>
  <si>
    <t>21333 HAGGERTY RD STE 100, NOVI, MI 48375-5513</t>
  </si>
  <si>
    <t>1409 - Childtime Children's Center/Childtime Childcare</t>
  </si>
  <si>
    <t>1212 E GLENDALE AVE , PHOENIX, AZ 85020-5419</t>
  </si>
  <si>
    <t>Childtime-1425</t>
  </si>
  <si>
    <t>Childtime-1415</t>
  </si>
  <si>
    <t>Childtime-1416</t>
  </si>
  <si>
    <t>Childtime-1404</t>
  </si>
  <si>
    <t>Childtime-1405</t>
  </si>
  <si>
    <t>Childtime-1424</t>
  </si>
  <si>
    <t>1438 - Childtime Children's Center</t>
  </si>
  <si>
    <t>1111 N HORNE, MESA, AZ 85203-4832</t>
  </si>
  <si>
    <t>1433 - Childtime Child Care</t>
  </si>
  <si>
    <t>1299 N 7TH ST, SIERRA VISTA, AZ 85635-1640</t>
  </si>
  <si>
    <t>Childtime-1419</t>
  </si>
  <si>
    <t>Childtime-1435</t>
  </si>
  <si>
    <t>1413 - Childtime Childcare</t>
  </si>
  <si>
    <t>7090 N THORNYDALE RD, TUCSON, AZ 85741-2729</t>
  </si>
  <si>
    <t>1436 - Childtime Children's Center</t>
  </si>
  <si>
    <t>5154 E ADOBE ST, MESA, AZ 85205-5394</t>
  </si>
  <si>
    <t>1460 - Childtime Childcare</t>
  </si>
  <si>
    <t>109 E OAK AVE, FLAGSTAFF, AZ 86001-1468</t>
  </si>
  <si>
    <t>Childtime-1430</t>
  </si>
  <si>
    <t>Just Kids Preschool</t>
  </si>
  <si>
    <t>Cactus Preschool #1</t>
  </si>
  <si>
    <t>Cactus Preschool #2</t>
  </si>
  <si>
    <t>Cactus Preschool #3</t>
  </si>
  <si>
    <t>Cactus Preschool #4</t>
  </si>
  <si>
    <t>Kids Are People Too-8708</t>
  </si>
  <si>
    <t>Kids Are People Too-8809</t>
  </si>
  <si>
    <t>Kids Are People Too-8810</t>
  </si>
  <si>
    <t>Kids Are People Too-8911</t>
  </si>
  <si>
    <t>Kids Are People Too-9013</t>
  </si>
  <si>
    <t>Kids Are People Too-9215</t>
  </si>
  <si>
    <t>Little Papoose</t>
  </si>
  <si>
    <t>The Sycamore School-2</t>
  </si>
  <si>
    <t>Amigo Preschool, Inc.</t>
  </si>
  <si>
    <t>4035 N 71ST AVE, PHOENIX, AZ 85033-3800</t>
  </si>
  <si>
    <t>Crestview L. C.</t>
  </si>
  <si>
    <t>Small Wonders</t>
  </si>
  <si>
    <t>Creative Beginnings Learning Center Inc.</t>
  </si>
  <si>
    <t>814 E. Union Hills #20, Phoenix, AZ 85024</t>
  </si>
  <si>
    <t>Creative Beginnings Learning Center</t>
  </si>
  <si>
    <t>Magical Wonders</t>
  </si>
  <si>
    <t>J. A. M. A. Dba Tiny Tots</t>
  </si>
  <si>
    <t>1024 W UNIVERSITY DR, MESA, AZ 85201-5523</t>
  </si>
  <si>
    <t>602 N MONDEL DR, GILBERT, AZ 85233-4116</t>
  </si>
  <si>
    <t>Tiny Tots</t>
  </si>
  <si>
    <t>Out of this World Christian Child Care, Inc.</t>
  </si>
  <si>
    <t>3849 W ENCANTO BLVD , PHOENIX, AZ 85009-1242</t>
  </si>
  <si>
    <t>Teach &amp; Care</t>
  </si>
  <si>
    <t>315 S STAPLEY DR, MESA, AZ 85204-2102</t>
  </si>
  <si>
    <t>Kids Incorporated Learning Centers, Inc</t>
  </si>
  <si>
    <t>Chandler Kids Incorporated Leaning Centers, Inc.</t>
  </si>
  <si>
    <t>Little Kids N Company Inc</t>
  </si>
  <si>
    <t>626 W Campbell Ave, Phoenix, AZ 85013-2902</t>
  </si>
  <si>
    <t>Beyond Care Preschool</t>
  </si>
  <si>
    <t>Stair Steps To Learning</t>
  </si>
  <si>
    <t>Sun City Area Interfaith Services Inc. dba Benevilla</t>
  </si>
  <si>
    <t>16752 N GREASEWOOD ST , SURPRISE, AZ 85378-3639</t>
  </si>
  <si>
    <t>PO BOX 8450 , SURPRISE, AZ 85374-0124</t>
  </si>
  <si>
    <t>Restorative Life Enrichment Program</t>
  </si>
  <si>
    <t>15800 N DEL WEBB BLVD, SUN CITY, AZ 85351-1603</t>
  </si>
  <si>
    <t>Peoria Adult Day Center</t>
  </si>
  <si>
    <t>8133 W CACTUS RD , PEORIA, AZ 85381-5215</t>
  </si>
  <si>
    <t>Task Society Dba Cerbat</t>
  </si>
  <si>
    <t>Cerbat</t>
  </si>
  <si>
    <t>Task-Black Mountain</t>
  </si>
  <si>
    <t>Black Mountain</t>
  </si>
  <si>
    <t>Task Society Cerbat</t>
  </si>
  <si>
    <t>Task Society Black Mountain</t>
  </si>
  <si>
    <t xml:space="preserve">Hualapai Tribe </t>
  </si>
  <si>
    <t>PO BOX 179 , PEACH SPRINGS, AZ 86434-0179</t>
  </si>
  <si>
    <t>941 Hualapai Way, Peach Springs, AZ 86434</t>
  </si>
  <si>
    <t>Happy Trails Day Care</t>
  </si>
  <si>
    <t>Country Day School</t>
  </si>
  <si>
    <t>Kiddie Korral Inc.</t>
  </si>
  <si>
    <t>Rascal Ranch Day Care</t>
  </si>
  <si>
    <t>Kiddie Korral Hilltop</t>
  </si>
  <si>
    <t>Kiddie Korral Northern</t>
  </si>
  <si>
    <t>Tip Top Preschool-3</t>
  </si>
  <si>
    <t>Daisyhill Infant Toddler Care Center Inc.</t>
  </si>
  <si>
    <t>Happy Trails Educational Day Care Center</t>
  </si>
  <si>
    <t>Crumb Crushers - 1</t>
  </si>
  <si>
    <t>Happy Trails</t>
  </si>
  <si>
    <t>Our Kids Place</t>
  </si>
  <si>
    <t>City Of Coolidge Casper Program</t>
  </si>
  <si>
    <t>West School Casper Program</t>
  </si>
  <si>
    <t>Kayenta USD Center Child Care/NC TREAS</t>
  </si>
  <si>
    <t>Cope</t>
  </si>
  <si>
    <t>Lila's Preschool</t>
  </si>
  <si>
    <t>Pooh's Playhouse</t>
  </si>
  <si>
    <t>Miss Dinah's Place</t>
  </si>
  <si>
    <t>Ridgely Corp.</t>
  </si>
  <si>
    <t>561 N 18th Pl, Show Low, AZ 85901</t>
  </si>
  <si>
    <t>PO BOX 2950, SHOW LOW, AZ 85902-2950</t>
  </si>
  <si>
    <t>Catalina Methodist Day School</t>
  </si>
  <si>
    <t>TMM - La Escuelita</t>
  </si>
  <si>
    <t>Tucson Metropolitan Ministries</t>
  </si>
  <si>
    <t>Mt. Calvary Baptist Church</t>
  </si>
  <si>
    <t>TMM - Isle of Happiness</t>
  </si>
  <si>
    <t>Isle Of Happiness</t>
  </si>
  <si>
    <t>Tucson Nursery School Inc.</t>
  </si>
  <si>
    <t>Tucson Urban League Inc.</t>
  </si>
  <si>
    <t>Robert Strong Early League</t>
  </si>
  <si>
    <t>St. James United Methodist Church Dba Happy Trails</t>
  </si>
  <si>
    <t>Happy Trails - St. James</t>
  </si>
  <si>
    <t>Easter Seals Blake Foundation</t>
  </si>
  <si>
    <t>330 N COMMERCE PARK LOOP STE 100 , TUCSON, AZ 85745-2790</t>
  </si>
  <si>
    <t>Childrens Achievement Center</t>
  </si>
  <si>
    <t>Catholic Community Services Dba Pio Decimo Center</t>
  </si>
  <si>
    <t>Pio Decimo Center</t>
  </si>
  <si>
    <t>Mt. View Christian Day Care</t>
  </si>
  <si>
    <t>Menlo Park Child Care</t>
  </si>
  <si>
    <t>Nosotros El Rio Day Care</t>
  </si>
  <si>
    <t>El Rio Day Care</t>
  </si>
  <si>
    <t>Pueblo Gardens Child Care</t>
  </si>
  <si>
    <t>Davis-Monthan AFB Child Development Programs</t>
  </si>
  <si>
    <t>Davis-Monthan Child Development Center</t>
  </si>
  <si>
    <t>School Age Program</t>
  </si>
  <si>
    <t>TMM - Rillito</t>
  </si>
  <si>
    <t>Rillito Day Care Tmm</t>
  </si>
  <si>
    <t>TMM - Helen St.</t>
  </si>
  <si>
    <t>Helen St. Day Care</t>
  </si>
  <si>
    <t>Amity Las Madres</t>
  </si>
  <si>
    <t>YMCA of Southern Arizona</t>
  </si>
  <si>
    <t>1111 PO Box, Tucson, AZ 85702</t>
  </si>
  <si>
    <t>222 N CHURCH AVE, TUCSON, AZ 85701-1104</t>
  </si>
  <si>
    <t>YMCA Holsclaw Family Child Care Center</t>
  </si>
  <si>
    <t>PO Box 1111, Tucson, AZ 85702</t>
  </si>
  <si>
    <t>222 N. Church Ave, Tucson, AZ 85701</t>
  </si>
  <si>
    <t>YMCA-Prime Time Cragin</t>
  </si>
  <si>
    <t>Codac/Connie Chambers Early Childhood Education</t>
  </si>
  <si>
    <t>Connie Chambers Early Childhood Education Center</t>
  </si>
  <si>
    <t>Desert Vista Campus Child Development Center</t>
  </si>
  <si>
    <t>Desert Vista Campus Child Care</t>
  </si>
  <si>
    <t>YMCA of Metro Tucson/Trudeau Child Development Center</t>
  </si>
  <si>
    <t>Trudeau Child Development Center</t>
  </si>
  <si>
    <t>Copper Creek PAL/ASAP</t>
  </si>
  <si>
    <t>Coronado PAL/ASAP</t>
  </si>
  <si>
    <t>Donaldson PAL/ASAP</t>
  </si>
  <si>
    <t>Harelson PAL/ASAP</t>
  </si>
  <si>
    <t>Holaway PAL/ASAP</t>
  </si>
  <si>
    <t>Mesa Verde PAL/ASAP</t>
  </si>
  <si>
    <t>Keeling PAL/ASAP</t>
  </si>
  <si>
    <t>Prince PAL/ASAP</t>
  </si>
  <si>
    <t>Rio Vista PAL/ASAP</t>
  </si>
  <si>
    <t>Walker PAL/ASAP</t>
  </si>
  <si>
    <t>Wilson PAL/ASAP</t>
  </si>
  <si>
    <t>Desert Dove Christ Church/Little Dove I</t>
  </si>
  <si>
    <t>Little Dove Infant Day Care</t>
  </si>
  <si>
    <t>F/P Assistance/Open Arms Christian Child Care</t>
  </si>
  <si>
    <t>TMM Family Services, Inc.</t>
  </si>
  <si>
    <t>1550 N. Country Club, Tucson, AZ 85716</t>
  </si>
  <si>
    <t>Rillito Children Center</t>
  </si>
  <si>
    <t>Childrens Village VII-Shelter</t>
  </si>
  <si>
    <t>3120 E. Adams Street 5, Tucson, AZ 85716</t>
  </si>
  <si>
    <t>Mulcahy/City YMCA</t>
  </si>
  <si>
    <t>PO Box 1111, TUCSON, AZ 85702</t>
  </si>
  <si>
    <t>5085 S NOGALES HWY, TUCSON, AZ 85706-1341</t>
  </si>
  <si>
    <t>Child &amp; Family Resources Inc.</t>
  </si>
  <si>
    <t>2800 E BROADWAY BLVD , TUCSON, AZ 85716-5310</t>
  </si>
  <si>
    <t>Family Child Care</t>
  </si>
  <si>
    <t>5375 E. Kachina, Tucson, AZ 85748</t>
  </si>
  <si>
    <t>Bldg 700, Corner Ironwood &amp; Albro, Tucson, AZ 85748</t>
  </si>
  <si>
    <t>Santa Rosa Child Care</t>
  </si>
  <si>
    <t>1065 S 10TH AVE, TUCSON, AZ 85701-2900</t>
  </si>
  <si>
    <t>San Xavier Child Care</t>
  </si>
  <si>
    <t>1960 W WAK LN, TUCSON, AZ 85746</t>
  </si>
  <si>
    <t>PO BOX 837, SELLS, AZ 85634-0837</t>
  </si>
  <si>
    <t>St. Mary's Day School</t>
  </si>
  <si>
    <t>Candy Cane Preschools Inc. Dba Kids World</t>
  </si>
  <si>
    <t>321 E YAVAPAI RD, TUCSON, AZ 85705-3651</t>
  </si>
  <si>
    <t>320 E. Yavapai, Tucson, AZ 85705</t>
  </si>
  <si>
    <t>Kids World Preschool</t>
  </si>
  <si>
    <t>Children's Living &amp; Learning Center</t>
  </si>
  <si>
    <t>Little Ranch</t>
  </si>
  <si>
    <t>Four Seasons Preschool</t>
  </si>
  <si>
    <t>Up With Children</t>
  </si>
  <si>
    <t>Kids Forever #1</t>
  </si>
  <si>
    <t>A Place To Grow</t>
  </si>
  <si>
    <t>Kids Forever Broadway</t>
  </si>
  <si>
    <t>Aunt Bert's Neighborhood Learning Center</t>
  </si>
  <si>
    <t>Kadiri Corporation dba Kiddie Korner Preschool</t>
  </si>
  <si>
    <t>242 W LESTER ST , TUCSON, AZ 85705-6552</t>
  </si>
  <si>
    <t>Kiddie Korner Preschool</t>
  </si>
  <si>
    <t>Mish Inc.</t>
  </si>
  <si>
    <t>Grant Road Day School</t>
  </si>
  <si>
    <t>Kid Express</t>
  </si>
  <si>
    <t>Advanced Learning Center Nw</t>
  </si>
  <si>
    <t>Abc Learning Center Inc.</t>
  </si>
  <si>
    <t>Granny's Place</t>
  </si>
  <si>
    <t>Kids Village</t>
  </si>
  <si>
    <t>Kids Forever Pima</t>
  </si>
  <si>
    <t>Munchkins Preschool-1</t>
  </si>
  <si>
    <t>Today's Kids Preschool</t>
  </si>
  <si>
    <t>K W Software</t>
  </si>
  <si>
    <t>Up With Children Center</t>
  </si>
  <si>
    <t>Learning Corner Preschool - 1</t>
  </si>
  <si>
    <t>Small World</t>
  </si>
  <si>
    <t>Kids Forever Columbus</t>
  </si>
  <si>
    <t>Kids Ville</t>
  </si>
  <si>
    <t>4055 N 1ST AVE, TUCSON, AZ 85719-1006</t>
  </si>
  <si>
    <t>Kids Ville - 1</t>
  </si>
  <si>
    <t>The Learning Years</t>
  </si>
  <si>
    <t>El Presidio Learning</t>
  </si>
  <si>
    <t>Kids Forever Prince</t>
  </si>
  <si>
    <t>Discovery Learning Center</t>
  </si>
  <si>
    <t>6601 E BROADWAY BLVD, TUCSON, AZ 85710-3507</t>
  </si>
  <si>
    <t>University Academic Preschool</t>
  </si>
  <si>
    <t>Children's Oasis Day Care</t>
  </si>
  <si>
    <t>Advanced Learning Center</t>
  </si>
  <si>
    <t>Speedway Childcare &amp; Learning Center</t>
  </si>
  <si>
    <t>Kindergarten Incorporated Developmental Systems</t>
  </si>
  <si>
    <t>Desert Skies</t>
  </si>
  <si>
    <t>VIP Preschool - 1</t>
  </si>
  <si>
    <t>Little Beavers School</t>
  </si>
  <si>
    <t>Hand In Hand Enrichment</t>
  </si>
  <si>
    <t>Kids Forever #6</t>
  </si>
  <si>
    <t>Cozy Casa Day Care</t>
  </si>
  <si>
    <t>4535 N JAY AVE, TUCSON, AZ 85705-2123</t>
  </si>
  <si>
    <t>4143 N AVENIDA DE MONTEZUMA, TUCSON, AZ 85749-9176</t>
  </si>
  <si>
    <t>The School</t>
  </si>
  <si>
    <t>Little Town Child Care</t>
  </si>
  <si>
    <t>4521 E. Benson Hwy., Tucson, AZ 85706</t>
  </si>
  <si>
    <t>Little Town Day Care - 1</t>
  </si>
  <si>
    <t>Kindercare Learning Centers Inc.</t>
  </si>
  <si>
    <t>Cadence Education, Inc.</t>
  </si>
  <si>
    <t>8767 E VIA DE VENTURA STE 240 , SCOTTSDALE, AZ 85258-3382</t>
  </si>
  <si>
    <t>Mini Skool #201</t>
  </si>
  <si>
    <t>Mini Skool #202</t>
  </si>
  <si>
    <t>Mini Skool #203</t>
  </si>
  <si>
    <t>Mini Skool #204</t>
  </si>
  <si>
    <t>Mini Skool #205</t>
  </si>
  <si>
    <t>Mini Skool #206</t>
  </si>
  <si>
    <t>Mini Skool #207</t>
  </si>
  <si>
    <t>Miss Anna's Complete Child Care</t>
  </si>
  <si>
    <t>Kindercare Learning Center Inc.#397</t>
  </si>
  <si>
    <t>Kindercare Learning Center #491</t>
  </si>
  <si>
    <t>Kindercare #593</t>
  </si>
  <si>
    <t>Kindercare Learning Center #595</t>
  </si>
  <si>
    <t>Kindercare Learning Center</t>
  </si>
  <si>
    <t>Kindercare #597</t>
  </si>
  <si>
    <t>Treasure Chest</t>
  </si>
  <si>
    <t>Kindercare #596</t>
  </si>
  <si>
    <t>Discovery</t>
  </si>
  <si>
    <t>Young World Learning Center</t>
  </si>
  <si>
    <t>Children's Choice Early Learning Center</t>
  </si>
  <si>
    <t>Children's World</t>
  </si>
  <si>
    <t>Outer Limits School</t>
  </si>
  <si>
    <t>D &amp; J Educational Business Inc.</t>
  </si>
  <si>
    <t>4107 N AVENIDA DE MONTEZUMA, TUCSON, AZ 85749-9176</t>
  </si>
  <si>
    <t>Magic Years</t>
  </si>
  <si>
    <t>KinderCare Learning Centers, LLC</t>
  </si>
  <si>
    <t>13831 N 30TH ST , PHOENIX, AZ 85032-5669</t>
  </si>
  <si>
    <t>Kindercare #491</t>
  </si>
  <si>
    <t>Kindercare #599</t>
  </si>
  <si>
    <t>Alpha Care Inc. Dba Wright Brothers Christian Academy</t>
  </si>
  <si>
    <t>8251 N THORNYDALE RD , TUCSON, AZ 85741-1103</t>
  </si>
  <si>
    <t>Wright Brothers Christian Academy</t>
  </si>
  <si>
    <t>Miss Anna's Complete Child Care Center</t>
  </si>
  <si>
    <t>5540 E HAMPTON ST , TUCSON, AZ 85712-2919</t>
  </si>
  <si>
    <t>Alphabet Soup Learning Center</t>
  </si>
  <si>
    <t>Handmaker Jewish Services-1</t>
  </si>
  <si>
    <t>501 E. Farness Drive, Tucson, AZ 85712</t>
  </si>
  <si>
    <t>2221 N ROSEMONT BLVD, TUCSON, AZ 85712-2113</t>
  </si>
  <si>
    <t>AK-CHIN Indian Community</t>
  </si>
  <si>
    <t>42507 W PETERS AND NALL RD , MARICOPA, AZ 85138-3940</t>
  </si>
  <si>
    <t>AK-CHIN Indian Comm.-1</t>
  </si>
  <si>
    <t>American Child Care 19</t>
  </si>
  <si>
    <t>Junior Village Preschool</t>
  </si>
  <si>
    <t>Wee Ones Village</t>
  </si>
  <si>
    <t>Little Bear Daycare and Preschool Inc.</t>
  </si>
  <si>
    <t>420 W COTTONWOOD LN , CASA GRANDE, AZ 85122-2329</t>
  </si>
  <si>
    <t>Bright Beginnings Learning Center &amp; Childcare</t>
  </si>
  <si>
    <t>420 W COTTONWOOD LN, CASA GRANDE, AZ 85122-2329</t>
  </si>
  <si>
    <t>Santa Cruz County Child Care Center</t>
  </si>
  <si>
    <t>Trinity Lutheran Church</t>
  </si>
  <si>
    <t>3950 N VALORIE DR , Prescott Valley, AZ 86314-8234</t>
  </si>
  <si>
    <t>3880 N. Valorie Dr., Prescott Valley, AZ 86314</t>
  </si>
  <si>
    <t>God's World Childcare</t>
  </si>
  <si>
    <t>Little Dumplin's Day Care</t>
  </si>
  <si>
    <t>Granny's House Day Care</t>
  </si>
  <si>
    <t>Little Dumpliins</t>
  </si>
  <si>
    <t>Prescott Academy For Children</t>
  </si>
  <si>
    <t>Cedar Tree Playhouse</t>
  </si>
  <si>
    <t>Rainbow Center For Exceptional Children</t>
  </si>
  <si>
    <t>US Army Child Development Services</t>
  </si>
  <si>
    <t>301 C Street Bldg. 1102 Yuma Proving Ground, Yuma, AZ 85365</t>
  </si>
  <si>
    <t>Us Army Child Development</t>
  </si>
  <si>
    <t>STEYP-MWR-FSD SAS</t>
  </si>
  <si>
    <t>Child Development Center/Marine Corps</t>
  </si>
  <si>
    <t>Marine Corps Child Development Center</t>
  </si>
  <si>
    <t>Us Army Yuma</t>
  </si>
  <si>
    <t>Yuma Marine Corps Air Station (mcas)</t>
  </si>
  <si>
    <t>Building 99119, Yuma, AZ 85369</t>
  </si>
  <si>
    <t>PO BOX 99119, YUMA, AZ 85369-9119</t>
  </si>
  <si>
    <t>Comite De Bienestar, Inc.</t>
  </si>
  <si>
    <t>7170 PO Box, San Luis, AZ 85349</t>
  </si>
  <si>
    <t>963 B St., San Luis, AZ 85349</t>
  </si>
  <si>
    <t>American Child Care 37</t>
  </si>
  <si>
    <t>American Child Care 13</t>
  </si>
  <si>
    <t>Happy Trails, Inc.</t>
  </si>
  <si>
    <t>802 W 19TH ST, YUMA, AZ 85364-5423</t>
  </si>
  <si>
    <t>11607 S FORTUNA RD, YUMA, AZ 85367-7666</t>
  </si>
  <si>
    <t>Desert Trails Learning Center</t>
  </si>
  <si>
    <t>802 W 19TH ST , YUMA, AZ 85364-5423</t>
  </si>
  <si>
    <t>Kiddie Land Preschool</t>
  </si>
  <si>
    <t>D. A. Schaefer</t>
  </si>
  <si>
    <t>Super Kids Day Care Center  - 1</t>
  </si>
  <si>
    <t>Gingerbread House</t>
  </si>
  <si>
    <t>Cartwright Head Start</t>
  </si>
  <si>
    <t>Nana's Place Preschool #2</t>
  </si>
  <si>
    <t>Childtime-1402</t>
  </si>
  <si>
    <t>Little Kings And Queens Preschool</t>
  </si>
  <si>
    <t>4136 N 82ND ST, SCOTTSDALE, AZ 85251-2730</t>
  </si>
  <si>
    <t>Stair Step To Learning</t>
  </si>
  <si>
    <t>Miss Anna's Complete Child Care Center Ii</t>
  </si>
  <si>
    <t>1415 W SAINT MARYS RD , TUCSON, AZ 85745-3109</t>
  </si>
  <si>
    <t>1518 W ARGYLE AVE , TUCSON, AZ 85746-3905</t>
  </si>
  <si>
    <t>Child Care Cinnections Inc</t>
  </si>
  <si>
    <t>Southminster Social Services Agency, Inc.</t>
  </si>
  <si>
    <t>1923 E BROADWAY RD , PHOENIX, AZ 85040-2411</t>
  </si>
  <si>
    <t>8764 PO Box, Phoenix, AZ 85066</t>
  </si>
  <si>
    <t>Small People Two</t>
  </si>
  <si>
    <t>14801 N CAVE CREEK RD , PHOENIX, AZ 85032-4909</t>
  </si>
  <si>
    <t>U3 Academy Child Care Center, LLC</t>
  </si>
  <si>
    <t>128 N 7TH ST , SIERRA VISTA, AZ 85635-1923</t>
  </si>
  <si>
    <t>Sunrise Preschools #303</t>
  </si>
  <si>
    <t>Naynee's Kids Kare Co LLC</t>
  </si>
  <si>
    <t>Little Geniuses Childcare Center LLC</t>
  </si>
  <si>
    <t>Famania Learning Center</t>
  </si>
  <si>
    <t>3333 E. Edna Lopez Court, San Luis, AZ 85349</t>
  </si>
  <si>
    <t>Little Wonders Learning Center, Inc</t>
  </si>
  <si>
    <t>655 W WARNER RD STE 101 , TEMPE, AZ 85284-2924</t>
  </si>
  <si>
    <t>Little Geniuses Childcare Center</t>
  </si>
  <si>
    <t>Small People Preschool, Inc.</t>
  </si>
  <si>
    <t>EVIT Child Care Center</t>
  </si>
  <si>
    <t>Phoenix College Family Care Center</t>
  </si>
  <si>
    <t>Childrens World Learning Center - 824</t>
  </si>
  <si>
    <t>1421 - Childtime Learning Centers</t>
  </si>
  <si>
    <t>1120 S HARRISON RD, TUCSON, AZ 85748-6651</t>
  </si>
  <si>
    <t>Young Riders #2</t>
  </si>
  <si>
    <t>Desert Friends, LLC</t>
  </si>
  <si>
    <t>8601 W IRONWOOD DR, PEORIA, AZ 85345-6433</t>
  </si>
  <si>
    <t>15637 N HOLLYHOCK ST, SURPRISE, AZ 85378-4174</t>
  </si>
  <si>
    <t>Desert Friends</t>
  </si>
  <si>
    <t>North School CASPER Program</t>
  </si>
  <si>
    <t>Small World II</t>
  </si>
  <si>
    <t>Kindercare #1047</t>
  </si>
  <si>
    <t>Kindercare #900</t>
  </si>
  <si>
    <t>Brie-ann and Brians Preschool</t>
  </si>
  <si>
    <t>Many Blessings Child Care</t>
  </si>
  <si>
    <t>Prescott Child Development Center</t>
  </si>
  <si>
    <t>Our Home, INC.</t>
  </si>
  <si>
    <t>1010 W SOUTHERN AVE STE 3 , MESA, AZ 85210-4983</t>
  </si>
  <si>
    <t>Beautiful Oasis Childcare</t>
  </si>
  <si>
    <t>Little Explorers Preschool and Childcare II</t>
  </si>
  <si>
    <t>2200 N ARIZONA AVE STE 18 , CHANDLER, AZ 85225-3452</t>
  </si>
  <si>
    <t>18718 E WALNUT RD , QUEEN CREEK, AZ 85142-3558</t>
  </si>
  <si>
    <t>Kids Country Club</t>
  </si>
  <si>
    <t>2637 W ORANGEWOOD AVE , PHOENIX, AZ 85051-6723</t>
  </si>
  <si>
    <t>Ft  Huachuca Youth Services</t>
  </si>
  <si>
    <t>ATZS-MWF-CY Bldg 49013 Cushing Ave., FORT HUACHUCA, AZ 85613</t>
  </si>
  <si>
    <t>Youth Services Middle School After-school Program</t>
  </si>
  <si>
    <t>Fort Mohave Indian Tribe/B&amp;GC of Aha Macav</t>
  </si>
  <si>
    <t>1603 E PLANTATION RD, MOHAVE VALLEY, AZ 86440</t>
  </si>
  <si>
    <t>PO BOX 6483, MOHAVE VALLEY, AZ 86446-6483</t>
  </si>
  <si>
    <t>Boys &amp; Girls Club of Aha Macav</t>
  </si>
  <si>
    <t>United Cerebral Palsy Association of Central Arizona</t>
  </si>
  <si>
    <t>1802 W PARKSIDE LN, PHOENIX, AZ 85027-1322</t>
  </si>
  <si>
    <t>Bright Ideas Childcare and Learning Center</t>
  </si>
  <si>
    <t>4302 E BROADWAY RD , PHOENIX, AZ 85040-8808</t>
  </si>
  <si>
    <t>Childhood Journeys</t>
  </si>
  <si>
    <t>1702 PO Box, Lakeside, AZ 85929</t>
  </si>
  <si>
    <t>Biltmore Bible Christian Center dba Biltmore Bible Day Care</t>
  </si>
  <si>
    <t>3330 E CAMELBACK RD , PHOENIX, AZ 85018-2310</t>
  </si>
  <si>
    <t>Biltmore Bible Christian Center dba</t>
  </si>
  <si>
    <t>Acorn Christian Montessori School</t>
  </si>
  <si>
    <t>8556 E LOOS DR , Prescott Valley, AZ 86314-6455</t>
  </si>
  <si>
    <t>Kids Are People Too</t>
  </si>
  <si>
    <t>393 W WARNER RD STE 105 , CHANDLER, AZ 85225-3442</t>
  </si>
  <si>
    <t>Hugs and Kisses Daycare Preschool</t>
  </si>
  <si>
    <t>1162 PO Box, Page, AZ 86040</t>
  </si>
  <si>
    <t>213 Lake Powell Blvd, Page, AZ 86040</t>
  </si>
  <si>
    <t>Westside Food Bank</t>
  </si>
  <si>
    <t>1310 PO Box, Sun City, AZ 85372</t>
  </si>
  <si>
    <t>Sutton Elementary School</t>
  </si>
  <si>
    <t>1001 N 31ST AVE , PHOENIX, AZ 85009-3437</t>
  </si>
  <si>
    <t>Rosenzweig B &amp; G Club</t>
  </si>
  <si>
    <t>11366 PO Box, Phoenix, AZ 85061</t>
  </si>
  <si>
    <t>2242 W MISSOURI AVE , PHOENIX, AZ 85015-2703</t>
  </si>
  <si>
    <t>Wesley Community Ctr</t>
  </si>
  <si>
    <t>1300 S 10TH ST , PHOENIX, AZ 85034-4516</t>
  </si>
  <si>
    <t>Centro Adelante Campseino</t>
  </si>
  <si>
    <t>1338 PO Box, Surprise, AZ 85378</t>
  </si>
  <si>
    <t>Christ United Methodist Church</t>
  </si>
  <si>
    <t>46358 PO Box, Phoenix, AZ 85063</t>
  </si>
  <si>
    <t>2602 N 51ST AVE , PHOENIX, AZ 85035-2020</t>
  </si>
  <si>
    <t>Kellip Elementary</t>
  </si>
  <si>
    <t>2300 E 6TH AVE , FLAGSTAFF, AZ 86004-4247</t>
  </si>
  <si>
    <t>Rose Lane Community Center</t>
  </si>
  <si>
    <t>5003 W MARLETTE AVE , GLENDALE, AZ 85301-4622</t>
  </si>
  <si>
    <t>7300 N DYSART RD , GLENDALE, AZ 85307-2218</t>
  </si>
  <si>
    <t>Alfred Garcia Boys &amp; Girls Club</t>
  </si>
  <si>
    <t>1441 S 27TH AVE , PHOENIX, AZ 85009-6451</t>
  </si>
  <si>
    <t>25950 Rockaway Hills Drive, Morristown, AZ 85342</t>
  </si>
  <si>
    <t>32919 N CENTER ST , WITTMANN, AZ 85361-9433</t>
  </si>
  <si>
    <t>100 PO Box, Wittmann, AZ 85361</t>
  </si>
  <si>
    <t>Golden Gate Community Center</t>
  </si>
  <si>
    <t>1625 N 39TH AVE , PHOENIX, AZ 85009-2149</t>
  </si>
  <si>
    <t>Butler Elementary</t>
  </si>
  <si>
    <t>3842 W ROOSEVELT ST , PHOENIX, AZ 85009-3212</t>
  </si>
  <si>
    <t>Annago, Inc dba Little Explorers Preschool and Child Care</t>
  </si>
  <si>
    <t>7116 E OAK ST , SCOTTSDALE, AZ 85257-2111</t>
  </si>
  <si>
    <t>Little Explorers Preschool and Child Care</t>
  </si>
  <si>
    <t>First Steps, LLC</t>
  </si>
  <si>
    <t>PO BOX 4424 , COTTONWOOD, AZ 86326-2574</t>
  </si>
  <si>
    <t>925 S CAMINO REAL , COTTONWOOD, AZ 86326-4532</t>
  </si>
  <si>
    <t>Noahs Ark Daycare Inc</t>
  </si>
  <si>
    <t>1329 E APACHE ST , COTTONWOOD, AZ 86326-6804</t>
  </si>
  <si>
    <t>1486 N BOOTHILL DR , CAMP VERDE, AZ 86322-7425</t>
  </si>
  <si>
    <t>Flagstaff USD</t>
  </si>
  <si>
    <t>3285 E SPARROW AVE , FLAGSTAFF, AZ 86004-7794</t>
  </si>
  <si>
    <t>Maricopa Community College District</t>
  </si>
  <si>
    <t>108 N 40TH ST , PHOENIX, AZ 85034-1704</t>
  </si>
  <si>
    <t>The Care Center at GateWay Community College</t>
  </si>
  <si>
    <t>Casa de los Ninos</t>
  </si>
  <si>
    <t>1101 N 4TH AVE, TUCSON, AZ 85705-7467</t>
  </si>
  <si>
    <t>1101 N 4TH AVE , TUCSON, AZ 85705-7467</t>
  </si>
  <si>
    <t>Northwest Neighborhood Center</t>
  </si>
  <si>
    <t>2160 N 6TH AVE , TUCSON, AZ 85705-5607</t>
  </si>
  <si>
    <t>St Johns Preschool and Learning Center</t>
  </si>
  <si>
    <t>1730 KINO AVE , KINGMAN, AZ 86409-3083</t>
  </si>
  <si>
    <t>Grace Neal Preschool &amp; Learning Center</t>
  </si>
  <si>
    <t>WestCare Arizona</t>
  </si>
  <si>
    <t>20205 PO Box, Bullhead City, AZ 86439</t>
  </si>
  <si>
    <t>Safe House of Bullhead City</t>
  </si>
  <si>
    <t>1160 AGATE AVE , BULLHEAD CITY, AZ 86442-</t>
  </si>
  <si>
    <t>Mt. Graham Safe House</t>
  </si>
  <si>
    <t>1202 PO Box, Safford, AZ 85548</t>
  </si>
  <si>
    <t>1601 S 20TH AVE , SAFFORD, AZ 85546-4010</t>
  </si>
  <si>
    <t>Catholic Community Services of Southern Arizona, Inc</t>
  </si>
  <si>
    <t>690 E 32ND ST, YUMA, AZ 85365-3437</t>
  </si>
  <si>
    <t>140 W SPEEDWAY BLVD STE 230, TUCSON, AZ 85705-7688</t>
  </si>
  <si>
    <t>Safe House</t>
  </si>
  <si>
    <t>690 E 32ND ST , YUMA, AZ 85365-3437</t>
  </si>
  <si>
    <t>271 S 2ND AVE , YUMA, AZ 85364-</t>
  </si>
  <si>
    <t>Daybreak Adult Day Health Care</t>
  </si>
  <si>
    <t>All Together Now Preschool and Childcare</t>
  </si>
  <si>
    <t>516 S DOBSON RD , MESA, AZ 85202-1835</t>
  </si>
  <si>
    <t>Little Wonders Preschool &amp; Daycare Center</t>
  </si>
  <si>
    <t>21459 N 33RD LN , PHOENIX, AZ 85027-2226</t>
  </si>
  <si>
    <t>704 E BUTLER DR , PHOENIX, AZ 85020-3449</t>
  </si>
  <si>
    <t>Child Development Schools, Inc.</t>
  </si>
  <si>
    <t>1791 W UNIVERSITY DR STE 166 , TEMPE, AZ 85281-3252</t>
  </si>
  <si>
    <t>Sunrise Preschool #132</t>
  </si>
  <si>
    <t>5301 S MCCLINTOCK DR , TEMPE, AZ 85283-2234</t>
  </si>
  <si>
    <t>Sunrise Preschool #133</t>
  </si>
  <si>
    <t>3702 W. Cholla, Peoria, AZ 85345</t>
  </si>
  <si>
    <t>Sunrise Preschool #147</t>
  </si>
  <si>
    <t>2122 W INDIAN SCHOOL RD , PHOENIX, AZ 85015-4907</t>
  </si>
  <si>
    <t>Sunrise Preschool #141</t>
  </si>
  <si>
    <t>11540 N. Burk Street, Gilbert, AZ 85234</t>
  </si>
  <si>
    <t>Sunrise Preschool #137</t>
  </si>
  <si>
    <t>814 E Union Hills, Phoenix, AZ 85024</t>
  </si>
  <si>
    <t>A 2 Z Daycare Centers</t>
  </si>
  <si>
    <t>9202 N 35TH AVE , PHOENIX, AZ 85051-3409</t>
  </si>
  <si>
    <t>The Family School</t>
  </si>
  <si>
    <t>1127 W MCDOWELL RD , PHOENIX, AZ 85007-1747</t>
  </si>
  <si>
    <t>Desert Sky YMCA Child Care</t>
  </si>
  <si>
    <t>7611 W Thomas Rd, Phoenix, AZ 85033</t>
  </si>
  <si>
    <t>7611 W Thomas Road, Phoenix, AZ 85033</t>
  </si>
  <si>
    <t>Kids Incorporated-Southern and Ellsworth</t>
  </si>
  <si>
    <t>6515 E MAIN ST STE 101 , MESA, AZ 85205-9012</t>
  </si>
  <si>
    <t>9132 E SOUTHERN AVE , MESA, AZ 85209-3710</t>
  </si>
  <si>
    <t>United Methodist Outreach Ministries, Inc.</t>
  </si>
  <si>
    <t>3320 E VAN BUREN ST, PHOENIX, AZ 85008-6813</t>
  </si>
  <si>
    <t>UMOM New Day Child. Serv. Cent. &amp; Emerg. Shelter</t>
  </si>
  <si>
    <t>3320 E VAN BUREN ST , PHOENIX, AZ 85008-6813</t>
  </si>
  <si>
    <t>Templo Maranatha Inc</t>
  </si>
  <si>
    <t>3002 N 27TH AVE , PHOENIX, AZ 85017-5028</t>
  </si>
  <si>
    <t>Maranatha Daycare Center</t>
  </si>
  <si>
    <t>3526 W POLK ST , PHOENIX, AZ 85009-4119</t>
  </si>
  <si>
    <t>Linda's Little Angels</t>
  </si>
  <si>
    <t>1544 E MITCHELL DR , PHOENIX, AZ 85014-5161</t>
  </si>
  <si>
    <t>1544 E MITCHELL DR, PHOENIX, AZ 85014-5161</t>
  </si>
  <si>
    <t>Little Angels</t>
  </si>
  <si>
    <t>Kiddie Land Country Club, L.L.C.</t>
  </si>
  <si>
    <t>3645 W BETHANY HOME RD , PHOENIX, AZ 85019-1941</t>
  </si>
  <si>
    <t>3645 W BETHANY HOME RD, PHOENIX, AZ 85019-1941</t>
  </si>
  <si>
    <t>Kiddie Land Club, L.L.C.</t>
  </si>
  <si>
    <t>Learning Bee Preschool &amp; Day Care Center, Inc.</t>
  </si>
  <si>
    <t>3966 E CAMINO DE PALMAS , TUCSON, AZ 85711-5315</t>
  </si>
  <si>
    <t>3975 E 22ND ST , TUCSON, AZ 85711-5332</t>
  </si>
  <si>
    <t>Learning Bee Preschool and Day Care Center, Inc.</t>
  </si>
  <si>
    <t>Little Ones Preschool</t>
  </si>
  <si>
    <t>5140 W. Peoria, Glendale, AZ 85302</t>
  </si>
  <si>
    <t>Panda Bear Learning Center</t>
  </si>
  <si>
    <t>5345 N 23RD AVE , PHOENIX, AZ 85015-2715</t>
  </si>
  <si>
    <t>Hug-A-Bunch Child Care III</t>
  </si>
  <si>
    <t>402 PO Box, Oracle, AZ 85623</t>
  </si>
  <si>
    <t>1885 W AMERICAN AVE , ORACLE, AZ 85623-6016</t>
  </si>
  <si>
    <t>Hub-A-Bunch Child Care III</t>
  </si>
  <si>
    <t>Childrens Village I</t>
  </si>
  <si>
    <t>Childrens Village II</t>
  </si>
  <si>
    <t>Childrens Village III</t>
  </si>
  <si>
    <t>Childrens Village IV</t>
  </si>
  <si>
    <t>Childrens Village V</t>
  </si>
  <si>
    <t>Cactus Preschool One LLC</t>
  </si>
  <si>
    <t>3920 E SOUTHERN AVE, PHOENIX, AZ 85040-3962</t>
  </si>
  <si>
    <t>10601 N 43RD ST, PHOENIX, AZ 85028-3504</t>
  </si>
  <si>
    <t>Valley Child Care &amp; Learning Center #1012 LLC</t>
  </si>
  <si>
    <t>3920 E SOUTHERN AVE , PHOENIX, AZ 85040-3962</t>
  </si>
  <si>
    <t>Mano Amiga, Inc.</t>
  </si>
  <si>
    <t>7244 W TIMBERLEAF DR , TUCSON, AZ 85757-8734</t>
  </si>
  <si>
    <t>American Educational Systems, Inc</t>
  </si>
  <si>
    <t>3131 E AIRE LIBRE AVE, PHOENIX, AZ 85032-3032</t>
  </si>
  <si>
    <t>Early Explorers Learning Center</t>
  </si>
  <si>
    <t>5050 W LAREDO ST , CHANDLER, AZ 85226-1973</t>
  </si>
  <si>
    <t>Tucson Nursery School - Infant/Todder Ctr.</t>
  </si>
  <si>
    <t>2150 E SILVOSA ST , TUCSON, AZ 85713-3857</t>
  </si>
  <si>
    <t>2385 S PLUMER AVE , TUCSON, AZ 85713-3823</t>
  </si>
  <si>
    <t>LaPetite Academy, Inc.</t>
  </si>
  <si>
    <t>8717 W 110TH ST STE 300 , OVERLAND PARK, KS 66210-2103</t>
  </si>
  <si>
    <t>8885 E GOLF LINKS RD , TUCSON, AZ 85730-1312</t>
  </si>
  <si>
    <t>7184 AZTGL</t>
  </si>
  <si>
    <t>8717 W. 100th St. 300, Overland Park, KS 66210</t>
  </si>
  <si>
    <t>7183 AZTFL</t>
  </si>
  <si>
    <t>1935 E FORT LOWELL RD , TUCSON, AZ 85719-2325</t>
  </si>
  <si>
    <t>7185 AZTMV</t>
  </si>
  <si>
    <t>6570 S. Midvale Rd., Tucson, AZ 85746</t>
  </si>
  <si>
    <t>3717 W. 110th St. 300, Overland Park, KS 86210</t>
  </si>
  <si>
    <t>7186 AZTSS</t>
  </si>
  <si>
    <t>1155 N SARNOFF DR , TUCSON, AZ 85715-5226</t>
  </si>
  <si>
    <t>LaPetite Academy - 1322 AZPJ</t>
  </si>
  <si>
    <t>1937 W JEFFERSON ST , PHOENIX, AZ 85009-5222</t>
  </si>
  <si>
    <t>LaPetite Academy - 374 AZM</t>
  </si>
  <si>
    <t>2105 E SOUTHERN AVE , MESA, AZ 85204-5304</t>
  </si>
  <si>
    <t>LaPetite Academy - 377 AZT55</t>
  </si>
  <si>
    <t>5522 E GRANT RD , TUCSON, AZ 85712-2242</t>
  </si>
  <si>
    <t>Killip Elementary School FACTS</t>
  </si>
  <si>
    <t>Kinsey Elementary School FACTS</t>
  </si>
  <si>
    <t>1601 S LONE TREE RD , FLAGSTAFF, AZ 86001-6446</t>
  </si>
  <si>
    <t>Marshall Elementary School FACTS</t>
  </si>
  <si>
    <t>850 N BONITO ST , FLAGSTAFF, AZ 86001-1580</t>
  </si>
  <si>
    <t>Thomas Elementary School FACTS</t>
  </si>
  <si>
    <t>3330 E LOCKETT RD , FLAGSTAFF, AZ 86004-4043</t>
  </si>
  <si>
    <t>Kids Play Learning Center #4</t>
  </si>
  <si>
    <t>460 E UNIVERSITY DR , MESA, AZ 85203-7924</t>
  </si>
  <si>
    <t>51120 PO Box, Mesa, AZ 85208</t>
  </si>
  <si>
    <t>Kids Play Learning Center #5</t>
  </si>
  <si>
    <t>1207 N COUNTRY CLUB DR STE 1, MESA, AZ 85201-2500</t>
  </si>
  <si>
    <t>Palomita Childrens Center</t>
  </si>
  <si>
    <t>250 W 15TH ST , SAFFORD, AZ 85546-2529</t>
  </si>
  <si>
    <t>Tri City West Branch</t>
  </si>
  <si>
    <t>4309 E. Belleview St., Building 14, Phoenix, AZ 85008</t>
  </si>
  <si>
    <t>301 E WESTERN AVE, AVONDALE, AZ 85323-2347</t>
  </si>
  <si>
    <t>Stewart Branch</t>
  </si>
  <si>
    <t>6629 W CLARENDON AVE, PHOENIX, AZ 85033-4027</t>
  </si>
  <si>
    <t>Rosenzweig Branch</t>
  </si>
  <si>
    <t>2242 W MISSOURI AVE, PHOENIX, AZ 85015-2703</t>
  </si>
  <si>
    <t>Kids Can Doodle - Milton, Inc.</t>
  </si>
  <si>
    <t>PO BOX 81108, PHOENIX, AZ 85069-1108</t>
  </si>
  <si>
    <t>3552 W. Glendale, Phoenix, AZ 85051</t>
  </si>
  <si>
    <t>Kids Can Doodle</t>
  </si>
  <si>
    <t>3552 W Glendale Ave, Phoenix, AZ 85051</t>
  </si>
  <si>
    <t>Happy Trails East</t>
  </si>
  <si>
    <t>11607 S FORTUNA RD , YUMA, AZ 85367-7666</t>
  </si>
  <si>
    <t>Tiny Tots West</t>
  </si>
  <si>
    <t>1276 E CENTURY AVE , GILBERT, AZ 85296-1304</t>
  </si>
  <si>
    <t>1024 W UNIVERSITY DR , MESA, AZ 85201-5523</t>
  </si>
  <si>
    <t>Kiddie Korral East</t>
  </si>
  <si>
    <t>2815 VAN MARTER DR , KINGMAN, AZ 86401-4265</t>
  </si>
  <si>
    <t>2302 LILLIE AVE , KINGMAN, AZ 86401-6409</t>
  </si>
  <si>
    <t>Little Treasures Learning Center</t>
  </si>
  <si>
    <t>10220 N 32ND ST , PHOENIX, AZ 85028-3823</t>
  </si>
  <si>
    <t>Miss Anna's Complete Childcare #3</t>
  </si>
  <si>
    <t>5420 E CAMINO FRANCISCO SOZA , TUCSON, AZ 85718-5506</t>
  </si>
  <si>
    <t>4050 E GRANT RD , TUCSON, AZ 85712-2509</t>
  </si>
  <si>
    <t>Creative Beginnings</t>
  </si>
  <si>
    <t>4107 N AVENIDA DE MONTEZUMA , TUCSON, AZ 85749-9176</t>
  </si>
  <si>
    <t>2690 N 1ST AVE , TUCSON, AZ 85719-2911</t>
  </si>
  <si>
    <t>7730 N ORACLE RD , TUCSON, AZ 85704-6313</t>
  </si>
  <si>
    <t>Coronado Head Start</t>
  </si>
  <si>
    <t>3401 E WILDS RD , CATALINA, AZ 85739-9510</t>
  </si>
  <si>
    <t>Jacobs/City YMCA</t>
  </si>
  <si>
    <t>1010 W Lind St, Tucson, AZ 85705</t>
  </si>
  <si>
    <t>Kindercare #1312</t>
  </si>
  <si>
    <t>3800 N CENTRAL AVE STE A1 , PHOENIX, AZ 85012-1908</t>
  </si>
  <si>
    <t>Kindercare #1465</t>
  </si>
  <si>
    <t>10653 N 25TH AVE , PHOENIX, AZ 85029-4758</t>
  </si>
  <si>
    <t>Kindercare #1357</t>
  </si>
  <si>
    <t>1773 E MCNAIR DR , TEMPE, AZ 85283-5002</t>
  </si>
  <si>
    <t>Sunrise Preschool #134</t>
  </si>
  <si>
    <t>4111 E RAY RD , PHOENIX, AZ 85044-4692</t>
  </si>
  <si>
    <t>759 N LINDSAY RD , MESA, AZ 85213-6816</t>
  </si>
  <si>
    <t>Sunrise Preschool #129</t>
  </si>
  <si>
    <t>13201 W THOMAS RD , GOODYEAR, AZ 85395-2270</t>
  </si>
  <si>
    <t>Sunrise Preschool #113</t>
  </si>
  <si>
    <t>A Childs Dream Learning Center</t>
  </si>
  <si>
    <t>6425 S PACHECO AVE , TUCSON, AZ 85706-7601</t>
  </si>
  <si>
    <t>KinderCare# 000277</t>
  </si>
  <si>
    <t>10406 N 51ST AVE , GLENDALE, AZ 85302-1614</t>
  </si>
  <si>
    <t>KinderCare #000824</t>
  </si>
  <si>
    <t>16044 N 29TH AVE , PHOENIX, AZ 85053-4022</t>
  </si>
  <si>
    <t>KinderCare #000828</t>
  </si>
  <si>
    <t>6810 W THUNDERBIRD RD , PEORIA, AZ 85381-5025</t>
  </si>
  <si>
    <t>KinderCare #000894</t>
  </si>
  <si>
    <t>7770 E WRIGHTSTOWN RD , TUCSON, AZ 85715-4330</t>
  </si>
  <si>
    <t>R.J.M. Management, Inc., dba Sunbright Children Center</t>
  </si>
  <si>
    <t>4834 W GLENDALE AVE , GLENDALE, AZ 85301-2734</t>
  </si>
  <si>
    <t>Sunbright Children Center</t>
  </si>
  <si>
    <t>ABC's Preschool &amp; Daycare</t>
  </si>
  <si>
    <t>13615 N 35TH AVE STE 7 , PHOENIX, AZ 85029-1243</t>
  </si>
  <si>
    <t>Kids Country Club LLC</t>
  </si>
  <si>
    <t>738 S PARKS DR , CAMP VERDE, AZ 86322-7200</t>
  </si>
  <si>
    <t>Della, Inc. dba Premier Children's Center</t>
  </si>
  <si>
    <t>5035 N 35TH AVE , PHOENIX, AZ 85017-3023</t>
  </si>
  <si>
    <t>3335 W GREENWAY RD , PHOENIX, AZ 85053-3806</t>
  </si>
  <si>
    <t>Premier Children's Center #4</t>
  </si>
  <si>
    <t>Loving Care II</t>
  </si>
  <si>
    <t>300 N CENTRAL AVE , AVONDALE, AZ 85323-1905</t>
  </si>
  <si>
    <t>765 PO Box, Litchfield Park, AZ 85340</t>
  </si>
  <si>
    <t>First Steps Children's Center</t>
  </si>
  <si>
    <t>406 N 1ST ST , BUCKEYE, AZ 85326-2300</t>
  </si>
  <si>
    <t>First Steps Annex</t>
  </si>
  <si>
    <t>501 N 4TH ST , BUCKEYE, AZ 85326-2767</t>
  </si>
  <si>
    <t>Kellands Kiddie College, LLC</t>
  </si>
  <si>
    <t>2430 S 1ST AVE , YUMA, AZ 85364-8538</t>
  </si>
  <si>
    <t>Whiz Kidz III</t>
  </si>
  <si>
    <t>4246 PO Box, Yuma, AZ 85366</t>
  </si>
  <si>
    <t>2332 S ARIZONA AVE , YUMA, AZ 85364-8519</t>
  </si>
  <si>
    <t>1450 - Childtime Children's Center</t>
  </si>
  <si>
    <t>5675 E RIVER RD, TUCSON, AZ 85750-1948</t>
  </si>
  <si>
    <t>1445 - Childtime Learning Center</t>
  </si>
  <si>
    <t>3319 E BASELINE RD, GILBERT, AZ 85234-2633</t>
  </si>
  <si>
    <t>Childtime-1411</t>
  </si>
  <si>
    <t>4859 E GREENWAY RD , SCOTTSDALE, AZ 85254-1686</t>
  </si>
  <si>
    <t>Childtime-1407</t>
  </si>
  <si>
    <t>5792 W OAKLAND ST , CHANDLER, AZ 85226-2762</t>
  </si>
  <si>
    <t>Teach and Care</t>
  </si>
  <si>
    <t>315 S STAPLEY DR , MESA, AZ 85204-2102</t>
  </si>
  <si>
    <t>7050 S 24TH ST , PHOENIX, AZ 85042-5806</t>
  </si>
  <si>
    <t>In the Masters Care</t>
  </si>
  <si>
    <t>5802 S 7TH AVE , PHOENIX, AZ 85041-4802</t>
  </si>
  <si>
    <t>Keys Child Development Center</t>
  </si>
  <si>
    <t>2454 E BROADWAY RD , PHOENIX, AZ 85040-2622</t>
  </si>
  <si>
    <t>1408 - Childtime Children's Center</t>
  </si>
  <si>
    <t>3011 W BELL RD, PHOENIX, AZ 85053-3058</t>
  </si>
  <si>
    <t>Childtime-1434</t>
  </si>
  <si>
    <t>5930 W GREENWAY RD STE 15 , GLENDALE, AZ 85306-3291</t>
  </si>
  <si>
    <t>Childtime-1442</t>
  </si>
  <si>
    <t>10046 N 43RD AVE , GLENDALE, AZ 85302-2718</t>
  </si>
  <si>
    <t>7188 AZTTV</t>
  </si>
  <si>
    <t>8940 E TANQUE VERDE RD , TUCSON, AZ 85749-9604</t>
  </si>
  <si>
    <t>7187 AZTTD</t>
  </si>
  <si>
    <t>7930 N THORNYDALE RD , TUCSON, AZ 85741-1444</t>
  </si>
  <si>
    <t>Karousel Kids Child Care, Inc.</t>
  </si>
  <si>
    <t>7831 N 51ST AVE , GLENDALE, AZ 85301-1401</t>
  </si>
  <si>
    <t>New Horizons Learning Center, Inc.</t>
  </si>
  <si>
    <t>1802 W PEORIA AVE , PHOENIX, AZ 85029-5031</t>
  </si>
  <si>
    <t>Leupp Elementary School FACTS</t>
  </si>
  <si>
    <t>45 miles East of Flagstaff Hwy 15 Leupp Rd., Flagstaff, AZ 86004</t>
  </si>
  <si>
    <t>Grubenhoff, Inc. dba Creative Center for Early Education</t>
  </si>
  <si>
    <t>3020 E CACTUS RD, PHOENIX, AZ 85032-7113</t>
  </si>
  <si>
    <t>3020 E CACTUS RD , PHOENIX, AZ 85032-7113</t>
  </si>
  <si>
    <t>Sam Mat Enterprises dba Tots Unlimited #26</t>
  </si>
  <si>
    <t>6390 N 59TH AVE, GLENDALE, AZ 85301-4451</t>
  </si>
  <si>
    <t>6390 N 59TH AVE , GLENDALE, AZ 85301-4451</t>
  </si>
  <si>
    <t>Tots Unlimited #26</t>
  </si>
  <si>
    <t>Childtime-1420</t>
  </si>
  <si>
    <t>7420 S Rural Rd 8, Tempe, AZ 85283</t>
  </si>
  <si>
    <t>Saguaro Christian Church</t>
  </si>
  <si>
    <t>8302 E BROADWAY BLVD , TUCSON, AZ 85710-4008</t>
  </si>
  <si>
    <t>Saguaro Infant Care &amp; Preschool</t>
  </si>
  <si>
    <t>Kindercare #1365</t>
  </si>
  <si>
    <t>1063 E MCKELLIPS RD , MESA, AZ 85203-2624</t>
  </si>
  <si>
    <t>Kindercare #953</t>
  </si>
  <si>
    <t>2862 S ALMA SCHOOL RD , MESA, AZ 85210-4029</t>
  </si>
  <si>
    <t>Miss Dinah's Place 2</t>
  </si>
  <si>
    <t>208 W MULBERRY ST , WINSLOW, AZ 86047-3516</t>
  </si>
  <si>
    <t>La Casita Day Care, Inc.</t>
  </si>
  <si>
    <t>1818 S COUNTRY CLUB RD , TUCSON, AZ 85713-2238</t>
  </si>
  <si>
    <t>La Casita Day Care Central</t>
  </si>
  <si>
    <t>La Casita East</t>
  </si>
  <si>
    <t>1902 S JEFFERSON AVE , TUCSON, AZ 85711-6631</t>
  </si>
  <si>
    <t>La Casita Northwest</t>
  </si>
  <si>
    <t>2450 N HUACHUCA DR , TUCSON, AZ 85745-1202</t>
  </si>
  <si>
    <t>Children's Endeavors</t>
  </si>
  <si>
    <t>3472 E FORT LOWELL RD, TUCSON, AZ 85716-1638</t>
  </si>
  <si>
    <t>J.P. Paye Enterprises, Inc. dba Kids First Preschool</t>
  </si>
  <si>
    <t>5316 E PIMA ST , TUCSON, AZ 85712-3632</t>
  </si>
  <si>
    <t>Kids First Preschool</t>
  </si>
  <si>
    <t>Las Casitas Apartments</t>
  </si>
  <si>
    <t>541 N 6TH AVE, SAN LUIS, AZ 85336-</t>
  </si>
  <si>
    <t>Tiny Treasures</t>
  </si>
  <si>
    <t>4123 N 15TH AVE , PHOENIX, AZ 85015-4702</t>
  </si>
  <si>
    <t>Little Debbie's Day Care</t>
  </si>
  <si>
    <t>518 W HIGHLAND AVE , PHOENIX, AZ 85013-</t>
  </si>
  <si>
    <t>Small People Preschool Greenway Inc</t>
  </si>
  <si>
    <t>55388 PO Box, Phoenix, AZ 85078</t>
  </si>
  <si>
    <t>2601 E GREENWAY RD , PHOENIX, AZ 85032-4319</t>
  </si>
  <si>
    <t>Small People Preschool Greenway</t>
  </si>
  <si>
    <t>8601 W IRONWOOD DR , PEORIA, AZ 85345-6433</t>
  </si>
  <si>
    <t>JTW LLC dba Active Learning Center #4</t>
  </si>
  <si>
    <t>3342 W ROOSEVELT ST , PHOENIX, AZ 85009-3404</t>
  </si>
  <si>
    <t>Active Learning Center #4</t>
  </si>
  <si>
    <t>1545 S AVENUE C , YUMA, AZ 85364-4105</t>
  </si>
  <si>
    <t>3834 W 16TH ST , YUMA, AZ 85364-4107</t>
  </si>
  <si>
    <t>Yuma Private Industry Council. Inc.</t>
  </si>
  <si>
    <t>Robco, Inc. dba Nana's Child Care &amp; Preschool</t>
  </si>
  <si>
    <t>14832 N 36TH PL , PHOENIX, AZ 85032-5253</t>
  </si>
  <si>
    <t>Nana's Child Care &amp; Preschool</t>
  </si>
  <si>
    <t>Crackers and Crayons Child Care Center</t>
  </si>
  <si>
    <t>80 N. Central, Colorado City, AZ 86021</t>
  </si>
  <si>
    <t>Children's Campus Too</t>
  </si>
  <si>
    <t>5027 N 35TH AVE , PHOENIX, AZ 85017-</t>
  </si>
  <si>
    <t>Premier Children's Center</t>
  </si>
  <si>
    <t>Precious Treasures Childcare, LLC</t>
  </si>
  <si>
    <t>393 W WARNER RD STE 106 , CHANDLER, AZ 85225-3442</t>
  </si>
  <si>
    <t>Precious Treasures Childcare</t>
  </si>
  <si>
    <t>Bright Star Learning Center</t>
  </si>
  <si>
    <t>1750 E PRINCE RD , TUCSON, AZ 85719-1927</t>
  </si>
  <si>
    <t>Kids World Learning Center, LLC</t>
  </si>
  <si>
    <t>2051 N ARIZONA AVE STE 101, CHANDLER, AZ 85225-3445</t>
  </si>
  <si>
    <t>Kids World Learning Center</t>
  </si>
  <si>
    <t>KinderCare #000243</t>
  </si>
  <si>
    <t>1997 W ELLIOT RD , CHANDLER, AZ 85224-1801</t>
  </si>
  <si>
    <t>KinderCare #000385</t>
  </si>
  <si>
    <t>7277 N OLDFATHER DR , TUCSON, AZ 85741-1631</t>
  </si>
  <si>
    <t>KinderCare #000413</t>
  </si>
  <si>
    <t>10455 N LA CANADA DR , ORO VALLEY, AZ 85737-6945</t>
  </si>
  <si>
    <t>Mary's Little Lambs</t>
  </si>
  <si>
    <t>PO BOX 821 , WINSLOW, AZ 86047-0821</t>
  </si>
  <si>
    <t>100 N WARREN AVE , WINSLOW, AZ 86047-3520</t>
  </si>
  <si>
    <t>821 PO Box, Winslow, AZ 86047</t>
  </si>
  <si>
    <t>Cactus Preschool III L.L.C.</t>
  </si>
  <si>
    <t>2121 E BROADWAY RD, TEMPE, AZ 85282-1705</t>
  </si>
  <si>
    <t>10601 N. 43rdStreet, Phoenix, AZ 85028</t>
  </si>
  <si>
    <t>752 W SANDRA TER , PHOENIX, AZ 85023-3586</t>
  </si>
  <si>
    <t>2121 E BROADWAY RD , TEMPE, AZ 85282-1705</t>
  </si>
  <si>
    <t>Over The Rainbow Preschool</t>
  </si>
  <si>
    <t>3618 W Bell Rd, Glendale, AZ 85308</t>
  </si>
  <si>
    <t>Baban &amp; Clemons, LLC</t>
  </si>
  <si>
    <t>4831 E 22ND ST , TUCSON, AZ 85711-4903</t>
  </si>
  <si>
    <t>The Children's Center</t>
  </si>
  <si>
    <t>Sunrise Preschool #123</t>
  </si>
  <si>
    <t>9880 S RURAL RD STE 116 , TEMPE, AZ 85284-4118</t>
  </si>
  <si>
    <t>Rincon Learning Center LLC</t>
  </si>
  <si>
    <t>5643 S 7TH AVE , PHOENIX, AZ 85041-4836</t>
  </si>
  <si>
    <t>Community Nutrition Resources, Inc.</t>
  </si>
  <si>
    <t>6755 PO Box, Apache Junction, AZ 85178</t>
  </si>
  <si>
    <t>Childrens Village VI</t>
  </si>
  <si>
    <t>8055 E BROADWAY BLVD , TUCSON, AZ 85710-3963</t>
  </si>
  <si>
    <t>Daisy Early Learning</t>
  </si>
  <si>
    <t>2255 W INA RD , TUCSON, AZ 85741-2650</t>
  </si>
  <si>
    <t>Kids Play Learning Center #6</t>
  </si>
  <si>
    <t>1430 W SOUTHERN AVE STE 3 , MESA, AZ 85202-4881</t>
  </si>
  <si>
    <t>Finley Child Development Center</t>
  </si>
  <si>
    <t>5305 E COMANCHE ST , TUCSON, AZ 85707-</t>
  </si>
  <si>
    <t>5305 E COMANCHE ST , Davisâ€“Monthan Air Force Base, AZ 85707-</t>
  </si>
  <si>
    <t>Sunrise Preschool #139</t>
  </si>
  <si>
    <t>1114 W ELLIOT RD , CHANDLER, AZ 85224-1876</t>
  </si>
  <si>
    <t>Sunrise Preschool #136</t>
  </si>
  <si>
    <t>3401 W UNION HILLS DR , PHOENIX, AZ 85027-4898</t>
  </si>
  <si>
    <t>Kidz Town Preschool and Daycare Inc.</t>
  </si>
  <si>
    <t>1233 FAWN BROOK DR STE E , SHOW LOW, AZ 85901-7605</t>
  </si>
  <si>
    <t>Kidz Town Preschool and Daycare</t>
  </si>
  <si>
    <t>Outer Limits</t>
  </si>
  <si>
    <t>ABC Preschool</t>
  </si>
  <si>
    <t>6311 S RURAL RD , TEMPE, AZ 85283-2905</t>
  </si>
  <si>
    <t>Magical Wonders Preschool</t>
  </si>
  <si>
    <t>Boys &amp; Girls Club of Bisbee</t>
  </si>
  <si>
    <t>405 ARIZONA ST, BISBEE, AZ 85603-1503</t>
  </si>
  <si>
    <t>PO BOX 5205, BISBEE, AZ 85603-5205</t>
  </si>
  <si>
    <t>Boys And Girls Club of Bisbee</t>
  </si>
  <si>
    <t>Tempe ADHC Bldg II</t>
  </si>
  <si>
    <t>2303 E MARYLAND DR , TEMPE, AZ 85281-4709</t>
  </si>
  <si>
    <t>Sunrise Preschool #292</t>
  </si>
  <si>
    <t>8803 W VAN BUREN ST , TOLLESON, AZ 85353-3101</t>
  </si>
  <si>
    <t>350 N 96TH AVE , TOLLESON, AZ 85353-2252</t>
  </si>
  <si>
    <t>La Hacienda Child Care Center</t>
  </si>
  <si>
    <t>14506 N ALTO ST , EL MIRAGE, AZ 85335-7074</t>
  </si>
  <si>
    <t>1945 PO Box, El Mirage, AZ 85335</t>
  </si>
  <si>
    <t>Kidzone Learning Express, Inc.</t>
  </si>
  <si>
    <t>3130 N Hayden Road, Scottsdale, AZ 85251</t>
  </si>
  <si>
    <t>8776 E. Shea Blvd#106-574, SCOTTSDALE, AZ 85254-5183</t>
  </si>
  <si>
    <t>First Impressions Preschool</t>
  </si>
  <si>
    <t>4425 N GRANITE REEF RD , SCOTTSDALE, AZ 85251-2834</t>
  </si>
  <si>
    <t>Browns Next Generation Child Care Center</t>
  </si>
  <si>
    <t>1620 W CAMELBACK RD , PHOENIX, AZ 85015-3514</t>
  </si>
  <si>
    <t>Daisy Early Learning (CACFP)</t>
  </si>
  <si>
    <t>2325 W SUNSET RD, TUCSON, AZ 85741-3809</t>
  </si>
  <si>
    <t>Miss Lisa's Day Care</t>
  </si>
  <si>
    <t>5140 W PEORIA AVE STE 122 , GLENDALE, AZ 85302-1631</t>
  </si>
  <si>
    <t>New Discoveries Preschool, LLC</t>
  </si>
  <si>
    <t>1109 W Prince Rd, Tucson, AZ 85705</t>
  </si>
  <si>
    <t>New Discoveries Preschool</t>
  </si>
  <si>
    <t>Country Cottage Preschool</t>
  </si>
  <si>
    <t>2550 N COUNTRY CLUB RD , TUCSON, AZ 85716-2504</t>
  </si>
  <si>
    <t>2562 N COUNTRY CLUB RD , TUCSON, AZ 85716-2504</t>
  </si>
  <si>
    <t>Shellie's Early Site</t>
  </si>
  <si>
    <t>1346 W BUCKEYE RD , PHOENIX, AZ 85007-3700</t>
  </si>
  <si>
    <t>New Life Day Care</t>
  </si>
  <si>
    <t>330 W NEBRASKA ST , TUCSON, AZ 85706-2342</t>
  </si>
  <si>
    <t>Teach N Tots, Inc.</t>
  </si>
  <si>
    <t>4501 N 19TH AVE , PHOENIX, AZ 85015-4118</t>
  </si>
  <si>
    <t>Kinderland Daycare, L.L.C.</t>
  </si>
  <si>
    <t>1000 N COUNTRY CLUB DR , MESA, AZ 85201-3308</t>
  </si>
  <si>
    <t>14851 S 46TH ST , PHOENIX, AZ 85044-6860</t>
  </si>
  <si>
    <t>Youth Services, Middle School Teens</t>
  </si>
  <si>
    <t>Kids Koala-T Kampus II</t>
  </si>
  <si>
    <t>Swift Kids Branch</t>
  </si>
  <si>
    <t>6420 W MARYLAND AVE, GLENDALE, AZ 85301-3719</t>
  </si>
  <si>
    <t>4309 E Belleview St., Building 14, PHOENIX, AZ 85008</t>
  </si>
  <si>
    <t>KinderCare #000869</t>
  </si>
  <si>
    <t>3660 E INVERNESS AVE , MESA, AZ 85206-3858</t>
  </si>
  <si>
    <t>Palm Valley Preschool, Inc.</t>
  </si>
  <si>
    <t>PO BOX 2195 , Litchfield Park, AZ 85340-2195</t>
  </si>
  <si>
    <t>12375 W INDIAN SCHOOL RD , AVONDALE, AZ 85392-9426</t>
  </si>
  <si>
    <t>Teach' N Fun Preschool</t>
  </si>
  <si>
    <t>2060 PO Box, Litchfield Park, AZ 85340</t>
  </si>
  <si>
    <t>The Treehouse</t>
  </si>
  <si>
    <t>162 W 5TH ST , BENSON, AZ 85602-6508</t>
  </si>
  <si>
    <t>Panda Bear Learning Center II</t>
  </si>
  <si>
    <t>13033 N 35TH AVE , PHOENIX, AZ 85029-1266</t>
  </si>
  <si>
    <t>Tselani Cottonwood Chapter</t>
  </si>
  <si>
    <t>1139 PO Box, Chinle, AZ 86503</t>
  </si>
  <si>
    <t>Cottonwood Pre-School Ctr</t>
  </si>
  <si>
    <t>Chapter House Road N-4/Across from Cottonwood Day, Chinle, AZ 86503</t>
  </si>
  <si>
    <t>Kids Learning Centers Algodon, LLC</t>
  </si>
  <si>
    <t>2109 S. Blue Jay Drive, Gilbert, AZ 85236</t>
  </si>
  <si>
    <t>Homeward Bound</t>
  </si>
  <si>
    <t>2302 West Colter St., Phoenix, AZ 85015</t>
  </si>
  <si>
    <t>Strong Foundations Center for Early Learning and Resiliency</t>
  </si>
  <si>
    <t>Kerry Van Gorder dba Tiny Treasures Daycare</t>
  </si>
  <si>
    <t>7040 FIR DR , SHOW LOW, AZ 85901-8210</t>
  </si>
  <si>
    <t>3616 PO Box, Show Low, AZ 85902</t>
  </si>
  <si>
    <t>Preschool Express, LLC</t>
  </si>
  <si>
    <t>2464 W 8TH ST , YUMA, AZ 85364-2708</t>
  </si>
  <si>
    <t>183 E 24TH ST STE 8, YUMA, AZ 85364-8575</t>
  </si>
  <si>
    <t>Moencopi Day School</t>
  </si>
  <si>
    <t>HWY 264, Tuba City, AZ 86045</t>
  </si>
  <si>
    <t>JBT, INC. DBA KIDS WORLD EAST</t>
  </si>
  <si>
    <t>4761 E 5TH ST , TUCSON, AZ 85711-2111</t>
  </si>
  <si>
    <t>4902 E AVENIDA DEL CAZADOR , TUCSON, AZ 85718-7259</t>
  </si>
  <si>
    <t>KIDS WORLD EAST</t>
  </si>
  <si>
    <t>15 W CORAL GABLES DR , PHOENIX, AZ 85023-3601</t>
  </si>
  <si>
    <t>6913 W TETHER TRL , PEORIA, AZ 85383-7032</t>
  </si>
  <si>
    <t>Lion's Mane</t>
  </si>
  <si>
    <t>Trinity United Methodist Preschool</t>
  </si>
  <si>
    <t>3104 W GLENDALE AVE , PHOENIX, AZ 85051-8317</t>
  </si>
  <si>
    <t>Jumpstart Childcare and Learning Center, LLC</t>
  </si>
  <si>
    <t>12482 W GREENWAY RD , SURPRISE, AZ 85378-3624</t>
  </si>
  <si>
    <t>Jumpstart Childcare and Learning Center</t>
  </si>
  <si>
    <t>Carshanti LLC</t>
  </si>
  <si>
    <t>4910 W NORTHERN AVE , GLENDALE, AZ 85301-1546</t>
  </si>
  <si>
    <t>Nana's Place Preschool and Childcare</t>
  </si>
  <si>
    <t>A Shining Star Preschool Inc.</t>
  </si>
  <si>
    <t>810 E SOUTHERN AVE , MESA, AZ 85204-5006</t>
  </si>
  <si>
    <t>810 E SOUTHERN AVE, MESA, AZ 85204-5006</t>
  </si>
  <si>
    <t>Shining Star Preschool Inc.</t>
  </si>
  <si>
    <t>St. Mark's Presbyterian Church</t>
  </si>
  <si>
    <t>3809 E 3RD ST , TUCSON, AZ 85716-4611</t>
  </si>
  <si>
    <t>Desert Spring Children's Center</t>
  </si>
  <si>
    <t>740 E SPEEDWAY BLVD , TUCSON, AZ 85719-4436</t>
  </si>
  <si>
    <t>7400 E. Olive Ave., Tucson, AZ 85719</t>
  </si>
  <si>
    <t>Tucson Community School, Inc.</t>
  </si>
  <si>
    <t>2109 E HEDRICK DR , TUCSON, AZ 85719-2458</t>
  </si>
  <si>
    <t>First Presbyterian Church</t>
  </si>
  <si>
    <t>161 N MESA DR , MESA, AZ 85201-6756</t>
  </si>
  <si>
    <t>First Presbyterian Preschool</t>
  </si>
  <si>
    <t>Second Street Children's School</t>
  </si>
  <si>
    <t>2430 E 2ND ST , TUCSON, AZ 85719-4929</t>
  </si>
  <si>
    <t>Kellond Community School</t>
  </si>
  <si>
    <t>6606 E LEHIGH DR , TUCSON, AZ 85710-4609</t>
  </si>
  <si>
    <t>Best of the West Academy LLC</t>
  </si>
  <si>
    <t>10740 W Lower Buckeye Rd, Avondale, AZ 85323-9655</t>
  </si>
  <si>
    <t>10740 W LOWER BUCKEYE RD STE 101 , AVONDALE, AZ 85323-9655</t>
  </si>
  <si>
    <t>Lomelis Childcare Center</t>
  </si>
  <si>
    <t>1240 E 23RD ST , DOUGLAS, AZ 85607-1218</t>
  </si>
  <si>
    <t>Casita Feliz Daycare LLC</t>
  </si>
  <si>
    <t>1609 N STONE AVE , TUCSON, AZ 85705-6635</t>
  </si>
  <si>
    <t>Casita Feliz Daycare</t>
  </si>
  <si>
    <t>First Steps Child Care</t>
  </si>
  <si>
    <t>1025 S KELLI LN , COTTONWOOD, AZ 86326-5629</t>
  </si>
  <si>
    <t>7178 AZC</t>
  </si>
  <si>
    <t>2200 N ALMA SCHOOL RD , CHANDLER, AZ 85224-2461</t>
  </si>
  <si>
    <t>Love and Learn Preschool 1, Inc.</t>
  </si>
  <si>
    <t>2717 S ALMA SCHOOL RD , MESA, AZ 85210-4021</t>
  </si>
  <si>
    <t>Love and Learn Preschool - Mesa</t>
  </si>
  <si>
    <t>Little Angels Columbus</t>
  </si>
  <si>
    <t>1631 N COLUMBUS BLVD , TUCSON, AZ 85712-3426</t>
  </si>
  <si>
    <t>Desert Friends Learning Center II</t>
  </si>
  <si>
    <t>2339 N HAYDEN RD , SCOTTSDALE, AZ 85257-2301</t>
  </si>
  <si>
    <t>Kindercare #301465</t>
  </si>
  <si>
    <t>1414 - Childtime Childcare</t>
  </si>
  <si>
    <t>5050 E WARNER RD, PHOENIX, AZ 85044-3312</t>
  </si>
  <si>
    <t>Montessori School House</t>
  </si>
  <si>
    <t>1945 Thumb Butte, Bullhead City, AZ 86442</t>
  </si>
  <si>
    <t>KinderCare #071402</t>
  </si>
  <si>
    <t>8425 E OLD SPANISH TRL , TUCSON, AZ 85710-4301</t>
  </si>
  <si>
    <t>KinderCare #071405</t>
  </si>
  <si>
    <t>1621 E 1st St, Tucson, AZ 85719</t>
  </si>
  <si>
    <t>Yavapai County Community College District</t>
  </si>
  <si>
    <t>1100 E SHELDON ST , PRESCOTT, AZ 86301-3220</t>
  </si>
  <si>
    <t>Del E. Webb Family Enrichment Center</t>
  </si>
  <si>
    <t>La Casita Day Care Southwest</t>
  </si>
  <si>
    <t>London Bridge Daycare</t>
  </si>
  <si>
    <t>3598 JAMAICA BLVD S , Lake Havasu City, AZ 86406-4108</t>
  </si>
  <si>
    <t>Primavera Early Education Center dba Primavera Preschool</t>
  </si>
  <si>
    <t>525 N GRANDE AVE , TUCSON, AZ 85745-2669</t>
  </si>
  <si>
    <t>Kindercare #301761</t>
  </si>
  <si>
    <t>7019 E BASELINE RD , MESA, AZ 85209-4803</t>
  </si>
  <si>
    <t>Little Angels Pima</t>
  </si>
  <si>
    <t>4826 E. Pima, Tucson, AZ 85712</t>
  </si>
  <si>
    <t>CGKT LLC dba Active Learning Center #6</t>
  </si>
  <si>
    <t>Active Learning Center #6</t>
  </si>
  <si>
    <t>Hari Priya LLC dba Happy Dayz Learning Center</t>
  </si>
  <si>
    <t>Happy Dayz Learning Center</t>
  </si>
  <si>
    <t>Planting Seeds LLC dba Nanas Place Academy</t>
  </si>
  <si>
    <t>Nanas Place Academy</t>
  </si>
  <si>
    <t>Kare Bear Child Care Center LLC</t>
  </si>
  <si>
    <t>68 N 12TH ST , COTTONWOOD, AZ 86326-3851</t>
  </si>
  <si>
    <t>Kare Bear Child Care Center</t>
  </si>
  <si>
    <t>Little Angels Brownway</t>
  </si>
  <si>
    <t>4114 E BROWN WAY , TUCSON, AZ 85711-4708</t>
  </si>
  <si>
    <t>Best Start Inc. dba Little Eagle Preschool and Daycare</t>
  </si>
  <si>
    <t>1308 Stockton Hill #189, Kingman, AZ 86401</t>
  </si>
  <si>
    <t>1475 E GORDON DR , KINGMAN, AZ 86409-2473</t>
  </si>
  <si>
    <t>Little Eagle Preschool and Daycare</t>
  </si>
  <si>
    <t>Magical Star Preschool, Inc.</t>
  </si>
  <si>
    <t>2232 N 36TH ST , PHOENIX, AZ 85008-3002</t>
  </si>
  <si>
    <t>Magical Star Preschool</t>
  </si>
  <si>
    <t>Learn N Grow Child Care Center</t>
  </si>
  <si>
    <t>4019 E 26TH ST, TUCSON, AZ 85711-5642</t>
  </si>
  <si>
    <t>5235 E PIMA ST , TUCSON, AZ 85712-3629</t>
  </si>
  <si>
    <t>Tutor Time Learning Centers, LLC</t>
  </si>
  <si>
    <t>9012 E MAYBERRY DR , TUCSON, AZ 85730-5756</t>
  </si>
  <si>
    <t>6062 Bell Towne</t>
  </si>
  <si>
    <t>245 E BELL RD STE 65 , PHOENIX, AZ 85022-6318</t>
  </si>
  <si>
    <t>6064 McKellips</t>
  </si>
  <si>
    <t>1928 N GILBERT RD , MESA, AZ 85203-2807</t>
  </si>
  <si>
    <t>6066 Highland</t>
  </si>
  <si>
    <t>3901 E GUADALUPE RD , GILBERT, AZ 85234-3265</t>
  </si>
  <si>
    <t>6070 7th Street</t>
  </si>
  <si>
    <t>724 East Brill Street, Phoenix, AZ 85006</t>
  </si>
  <si>
    <t>6072 Paradise Valley</t>
  </si>
  <si>
    <t>4060 E BELL RD, PHOENIX, AZ 85032-2232</t>
  </si>
  <si>
    <t>6075 Deer Valley</t>
  </si>
  <si>
    <t>8348 W DEER VALLEY RD , PEORIA, AZ 85382-2461</t>
  </si>
  <si>
    <t>6076 Peoria</t>
  </si>
  <si>
    <t>10260 N 67TH AVE , GLENDALE, AZ 85302-1002</t>
  </si>
  <si>
    <t>6080 Dobson and Ray</t>
  </si>
  <si>
    <t>2050 W RAY RD , CHANDLER, AZ 85224-4072</t>
  </si>
  <si>
    <t>6081 55th and Bell</t>
  </si>
  <si>
    <t>5550 W BELL RD , GLENDALE, AZ 85308-3866</t>
  </si>
  <si>
    <t>6082 Dysart</t>
  </si>
  <si>
    <t>1730 N DYSART RD , GOODYEAR, AZ 85395-2627</t>
  </si>
  <si>
    <t>6084 Glendale</t>
  </si>
  <si>
    <t>5911 W THUNDERBIRD RD , GLENDALE, AZ 85306-4139</t>
  </si>
  <si>
    <t>6088 South Mountain</t>
  </si>
  <si>
    <t>3316 E BASELINE RD , PHOENIX, AZ 85042-9645</t>
  </si>
  <si>
    <t>6095 75th &amp; Lower Buckeye</t>
  </si>
  <si>
    <t>7810 W LOWER BUCKEYE RD , PHOENIX, AZ 85043-3442</t>
  </si>
  <si>
    <t>Little Scooters Preschool, LLC</t>
  </si>
  <si>
    <t>2750 MIRACLE MILE , BULLHEAD CITY, AZ 86442-7700</t>
  </si>
  <si>
    <t>5715 S TABLEAU DR, FORT MOHAVE, AZ 86426-9245</t>
  </si>
  <si>
    <t>Little Scooters Preschool</t>
  </si>
  <si>
    <t>Kids R' Our Future, LLC</t>
  </si>
  <si>
    <t>3002 N ARIZONA AVE STE 16 , CHANDLER, AZ 85225-7159</t>
  </si>
  <si>
    <t>Kids R' Our Future</t>
  </si>
  <si>
    <t>Imagine-Nation Preschool and Child Care</t>
  </si>
  <si>
    <t>3738 E GRANT RD , TUCSON, AZ 85716-2936</t>
  </si>
  <si>
    <t>Y Child Care - Kinder Corner</t>
  </si>
  <si>
    <t>449 E SOUTHERN AVE , PHOENIX, AZ 85040-3045</t>
  </si>
  <si>
    <t>Yellow Brick Road Preschools, Inc.</t>
  </si>
  <si>
    <t>392 E WINDSOR AVE , PHOENIX, AZ 85004-1232</t>
  </si>
  <si>
    <t>Kindercare #301103</t>
  </si>
  <si>
    <t>3524 West Union Hills, Phoenix, AZ 85004</t>
  </si>
  <si>
    <t>Shellies Early Start Learning Center #2</t>
  </si>
  <si>
    <t>1720 E BROADWAY RD , PHOENIX, AZ 85040-2408</t>
  </si>
  <si>
    <t>Pinchot Learning Center</t>
  </si>
  <si>
    <t>2945 N 35TH ST , PHOENIX, AZ 85018-7401</t>
  </si>
  <si>
    <t>Busy Bee'z Preschool &amp; Child Care, LLC</t>
  </si>
  <si>
    <t>2375 S AVENUE A , YUMA, AZ 85364-8316</t>
  </si>
  <si>
    <t>Busy Bee'z Preschool &amp; Child Care</t>
  </si>
  <si>
    <t>Alchesay Beginnings Child Development Center</t>
  </si>
  <si>
    <t>422 South 2nd Avenue, Whiteriver, AZ 85941</t>
  </si>
  <si>
    <t>Childrens Country Club, LLC</t>
  </si>
  <si>
    <t>8935 N 35TH AVE , PHOENIX, AZ 85051-3805</t>
  </si>
  <si>
    <t>Childrens Country Club</t>
  </si>
  <si>
    <t>7165 AZAMR</t>
  </si>
  <si>
    <t>13003 W MCDOWELL RD , AVONDALE, AZ 85392-6435</t>
  </si>
  <si>
    <t>Kidz Kampus, LLC</t>
  </si>
  <si>
    <t>7949 W INDIAN SCHOOL RD, PHOENIX, AZ 85033-2902</t>
  </si>
  <si>
    <t>10607 W HARMONY LN, PEORIA, AZ 85382-2571</t>
  </si>
  <si>
    <t>Play and Learn Child Care, LLC</t>
  </si>
  <si>
    <t>Play and Learn Child Care</t>
  </si>
  <si>
    <t>Open Arms Preschool and Kindergarten, LLC</t>
  </si>
  <si>
    <t>10371 N ORACLE RD STE 106, ORO VALLEY, AZ 85737-9393</t>
  </si>
  <si>
    <t>9095 N BALD EAGLE AVE, TUCSON, AZ 85742-9517</t>
  </si>
  <si>
    <t>Open Arms Preschool and Kindergarten</t>
  </si>
  <si>
    <t>9095 N BALD EAGLE AVE , TUCSON, AZ 85742-9517</t>
  </si>
  <si>
    <t>CLA Maricopa LLC</t>
  </si>
  <si>
    <t>14631 N SCOTTSDALE RD STE 200, SCOTTSDALE, AZ 85254-2786</t>
  </si>
  <si>
    <t>Children's Learning Adventure, Maricopa</t>
  </si>
  <si>
    <t>20600 N JOHN WAYNE PKWY , MARICOPA, AZ 85139-5811</t>
  </si>
  <si>
    <t>Generation Church Arizona</t>
  </si>
  <si>
    <t>1010 S ELLSWORTH RD , MESA, AZ 85208-2957</t>
  </si>
  <si>
    <t>Kidz World Childcare and Learning Center</t>
  </si>
  <si>
    <t>CLA Laveen, LLC</t>
  </si>
  <si>
    <t>Children's Learning Adventure, Laveen Arizona</t>
  </si>
  <si>
    <t>7615 South 55th Avenue, Laveen, AZ 85339</t>
  </si>
  <si>
    <t>Robson Branch</t>
  </si>
  <si>
    <t>15815 N 29TH ST, PHOENIX, AZ 85032-3704</t>
  </si>
  <si>
    <t>TT #6669, LLC</t>
  </si>
  <si>
    <t>TT #6669, LLC dba Children's Learning Adventure Child Care Centers</t>
  </si>
  <si>
    <t>2190 W RIVER RD , TUCSON, AZ 85741-3889</t>
  </si>
  <si>
    <t>The Kingman Gingerbread House, LLC</t>
  </si>
  <si>
    <t>4145 N BANK ST STE A , KINGMAN, AZ 86409-2706</t>
  </si>
  <si>
    <t>The Kingman Gingerbread House</t>
  </si>
  <si>
    <t>4145 N Bank St, Kingman, AZ 86409</t>
  </si>
  <si>
    <t>Raising Arizona Childcare Corporation</t>
  </si>
  <si>
    <t>16809 N PARK PL , GLENDALE, AZ 85306-1517</t>
  </si>
  <si>
    <t>Raising Arizona Preschool</t>
  </si>
  <si>
    <t>CLA Crismon LLC</t>
  </si>
  <si>
    <t>Children's Learning Adventure, Crismon</t>
  </si>
  <si>
    <t>1842 S CRISMON RD , MESA, AZ 85209-3706</t>
  </si>
  <si>
    <t>Kinderland Phoenix</t>
  </si>
  <si>
    <t>14851 S 46th St, Phoenix, AZ 85044-6860</t>
  </si>
  <si>
    <t>1000 N Country Club Dr, Mesa, AZ 85201-3308</t>
  </si>
  <si>
    <t>Hodos LLC</t>
  </si>
  <si>
    <t>3157 E IRWIN AVE, MESA, AZ 85204-7272</t>
  </si>
  <si>
    <t>306 W 5TH PL , MESA, AZ 85201-5021</t>
  </si>
  <si>
    <t>5th Place Community Childcare</t>
  </si>
  <si>
    <t>Shining Stars Learning Center, LLC</t>
  </si>
  <si>
    <t>21805 S ELLSWORTH RD STE B101 , QUEEN CREEK, AZ 85142-6045</t>
  </si>
  <si>
    <t>Shining Stars Learning Center</t>
  </si>
  <si>
    <t>21805 S. Ellsworth Road B101, Phoenix, AZ 85242</t>
  </si>
  <si>
    <t>7171 AZMBR</t>
  </si>
  <si>
    <t>4909 E BROWN RD , MESA, AZ 85205-4203</t>
  </si>
  <si>
    <t>7179 AZCW</t>
  </si>
  <si>
    <t>6093 Ahwatukee</t>
  </si>
  <si>
    <t>15265 S 48TH ST , PHOENIX, AZ 85044-</t>
  </si>
  <si>
    <t>6068 Gilbert</t>
  </si>
  <si>
    <t>1652 E ELLIOT RD , GILBERT, AZ 85234-7102</t>
  </si>
  <si>
    <t>Willcox United Methodist Church</t>
  </si>
  <si>
    <t>124 S CURTIS AVE , WILLCOX, AZ 85643-2113</t>
  </si>
  <si>
    <t>Kid City, LLC</t>
  </si>
  <si>
    <t>2710 W SOUTHERN AVE STE 101, PHOENIX, AZ 85041-4501</t>
  </si>
  <si>
    <t>Building Kidz of Phoenix</t>
  </si>
  <si>
    <t>2710 W. Southern Ave., Phoenix, AZ 85041</t>
  </si>
  <si>
    <t>Christian Fellowship of Phoenix, Inc.</t>
  </si>
  <si>
    <t>7840 W LOWER BUCKEYE RD , PHOENIX, AZ 85043-3442</t>
  </si>
  <si>
    <t>Elite Preschool</t>
  </si>
  <si>
    <t>ABC and 123 Small Blessing Childcare Learning Center</t>
  </si>
  <si>
    <t>1060 N ARIZONA BLVD , COOLIDGE, AZ 85128-3727</t>
  </si>
  <si>
    <t>Ready Set Grow Casa Grande, LLC</t>
  </si>
  <si>
    <t>241 W. Cottonwood Ln., Casa Grande, AZ 85222</t>
  </si>
  <si>
    <t>8815 W PEORIA AVE STE 11, PEORIA, AZ 85345-9402</t>
  </si>
  <si>
    <t>Ready Set Grow</t>
  </si>
  <si>
    <t>Maxwell Preschool Academy - Fountain Hills, LLC</t>
  </si>
  <si>
    <t>15249 N FOUNTAIN HILLS BLVD, FOUNTAIN HILLS, AZ 85268-2331</t>
  </si>
  <si>
    <t>15249 N FOUNTAIN HILLS BLVD, FOUNTAIN HLS, AZ 85268-2331</t>
  </si>
  <si>
    <t>Maxwell Preschool Academy - Fountain Hills</t>
  </si>
  <si>
    <t>15249 N FOUNTAIN HILLS BLVD , FOUNTAIN HILLS, AZ 85268-2331</t>
  </si>
  <si>
    <t>Colangelo Branch</t>
  </si>
  <si>
    <t>1755 N 34TH AVE, PHOENIX, AZ 85009-2451</t>
  </si>
  <si>
    <t>Sunrise Preschool #116</t>
  </si>
  <si>
    <t>900 S COOPER RD , GILBERT, AZ 85233-7576</t>
  </si>
  <si>
    <t>Young Explorers School - Bellevue</t>
  </si>
  <si>
    <t>6207 E BELLEVUE ST , TUCSON, AZ 85712-5110</t>
  </si>
  <si>
    <t>Young Explorers School</t>
  </si>
  <si>
    <t>1201 S AVENIDA SIRIO, TUCSON, AZ 85710-5225</t>
  </si>
  <si>
    <t>Union Turnpike LLC dba Tots Unlimited Preschool and Childcare</t>
  </si>
  <si>
    <t>8311 W GLENDALE AVE, GLENDALE, AZ 85305-2102</t>
  </si>
  <si>
    <t>Tots Unlimited #28</t>
  </si>
  <si>
    <t>8311 W GLENDALE AVE , GLENDALE, AZ 85305-2102</t>
  </si>
  <si>
    <t>Tiny Tots Daycare Center</t>
  </si>
  <si>
    <t>4431 S HIGHWAY 92, SIERRA VISTA, AZ 85650-8201</t>
  </si>
  <si>
    <t>4431 S HIGHWAY 92 , SIERRA VISTA, AZ 85650-8201</t>
  </si>
  <si>
    <t>Maranatha Childcare Center</t>
  </si>
  <si>
    <t>Jardin Angelical Inc</t>
  </si>
  <si>
    <t>4240 W DAISY ST , YUMA, AZ 85364-3107</t>
  </si>
  <si>
    <t>4240 W DAISY ST, YUMA, AZ 85364-3107</t>
  </si>
  <si>
    <t>All Star Preschool Inc</t>
  </si>
  <si>
    <t>1830 N COUNTRY CLUB DR, MESA, AZ 85201-1203</t>
  </si>
  <si>
    <t>Little Castle Childcare and Preschool, LLC</t>
  </si>
  <si>
    <t>8272 W VELVET ANT PL, TUCSON, AZ 85735-5186</t>
  </si>
  <si>
    <t>6042 S EUCLID AVE , TUCSON, AZ 85706-4210</t>
  </si>
  <si>
    <t>Little Castle Childcare and Preschool</t>
  </si>
  <si>
    <t>Manuna LLC</t>
  </si>
  <si>
    <t>242 W LESTER ST, TUCSON, AZ 85705-6552</t>
  </si>
  <si>
    <t>Kids Palace Preschool/Daycare</t>
  </si>
  <si>
    <t>Wawen II Enterprise, LLC</t>
  </si>
  <si>
    <t>PO BOX 85534, TUCSON, AZ 85754-5534</t>
  </si>
  <si>
    <t>15530 W AJO HWY, TUCSON, AZ 85735-2489</t>
  </si>
  <si>
    <t>Three Points Childcare Center</t>
  </si>
  <si>
    <t>15530 W AJO HWY , TUCSON, AZ 85735-2489</t>
  </si>
  <si>
    <t>Little Ranch School, LLC</t>
  </si>
  <si>
    <t>1125 E GLENN ST , TUCSON, AZ 85719-2619</t>
  </si>
  <si>
    <t>Little Ranch School</t>
  </si>
  <si>
    <t>1125 E GLENN ST, TUCSON, AZ 85719-2619</t>
  </si>
  <si>
    <t>Old Spanish Trail Day School, LLC</t>
  </si>
  <si>
    <t>9395 E OLD SPANISH TRL , TUCSON, AZ 85710-6627</t>
  </si>
  <si>
    <t>9395 E OLD SPANISH TRL, TUCSON, AZ 85710-6627</t>
  </si>
  <si>
    <t>10371 N Oracle Road, Oro Valley, AZ 85737</t>
  </si>
  <si>
    <t>Mill Avenue School, LLC</t>
  </si>
  <si>
    <t>4431 S MILL AVE, TEMPE, AZ 85282-6700</t>
  </si>
  <si>
    <t>Mill Avenue Preschool</t>
  </si>
  <si>
    <t>4431 S MILL AVE , TEMPE, AZ 85282-6700</t>
  </si>
  <si>
    <t>T.T. # 6670, LLC</t>
  </si>
  <si>
    <t>T.T. #6670, LLC dba Children's Learning Adventure Child Care Centers</t>
  </si>
  <si>
    <t>3690 E HEMISPHERE LOOP , TUCSON, AZ 85706-5256</t>
  </si>
  <si>
    <t>Kids Inc Watermark</t>
  </si>
  <si>
    <t>2350 S GILBERT RD , CHANDLER, AZ 85286-1597</t>
  </si>
  <si>
    <t>Scottsdale Preschool, LLC</t>
  </si>
  <si>
    <t>12630 N 48TH ST, PHOENIX, AZ 85032-7712</t>
  </si>
  <si>
    <t>12630 N 48TH ST , PHOENIX, AZ 85032-7712</t>
  </si>
  <si>
    <t>Maxwell Preschool Academy - Stapley LLC</t>
  </si>
  <si>
    <t>1455 S Stapley Dr., MESA, AZ 85204</t>
  </si>
  <si>
    <t>1455 S. Stapley Dr. , Mesa, AZ 85204</t>
  </si>
  <si>
    <t>1455 S DOBSON RD # 10 , MESA, AZ 85202-</t>
  </si>
  <si>
    <t>Little Scholars, LLC</t>
  </si>
  <si>
    <t>17220 N. 43rdAvenue, Glendale, AZ 85308</t>
  </si>
  <si>
    <t>17220 N 43RD AVE, GLENDALE, AZ 85308-4023</t>
  </si>
  <si>
    <t>Little Scholars Academy 67</t>
  </si>
  <si>
    <t>6702 W CHOLLA ST , PEORIA, AZ 85345-5850</t>
  </si>
  <si>
    <t>Little Scholars Academy 43</t>
  </si>
  <si>
    <t>17220 N 43RD AVE , GLENDALE, AZ 85308-4023</t>
  </si>
  <si>
    <t>Totally Kidz Learning Center</t>
  </si>
  <si>
    <t>7214 E GRANADA RD , SCOTTSDALE, AZ 85257-2112</t>
  </si>
  <si>
    <t>Rays Of Sunshine Center, Inc</t>
  </si>
  <si>
    <t>30 E CLIFF HOUSE DR, CAMP VERDE, AZ 86322-7596</t>
  </si>
  <si>
    <t>30 E CLIFF HOUSE DR , CAMP VERDE, AZ 86322-7596</t>
  </si>
  <si>
    <t>Elizabeth Avalos - Grandpas Farm Inc</t>
  </si>
  <si>
    <t>7117 E ADDIS AVE , Prescott Valley, AZ 86314-3113</t>
  </si>
  <si>
    <t>7117 E ADDIS AVE, PRESCOTT VLY, AZ 86314-3113</t>
  </si>
  <si>
    <t>Grandpas Farm</t>
  </si>
  <si>
    <t>ACDC Enterprises Corporation DBA Peoria Ave Preschool</t>
  </si>
  <si>
    <t>8815 W PEORIA AVE STE 12 , PEORIA, AZ 85345-9402</t>
  </si>
  <si>
    <t>Peoria Ave Preschool</t>
  </si>
  <si>
    <t>Kidsco One, LLC</t>
  </si>
  <si>
    <t>7845 E GOLF LINKS RD , TUCSON, AZ 85730-1131</t>
  </si>
  <si>
    <t>7845 E GOLF LINKS RD, TUCSON, AZ 85730-1131</t>
  </si>
  <si>
    <t>Kidsco Daycare</t>
  </si>
  <si>
    <t>Todays Tomorrow Learning Center, LLC</t>
  </si>
  <si>
    <t>1616 N 24TH ST 103, PHOENIX, AZ 85008</t>
  </si>
  <si>
    <t>1616 N. 24th Street Suite 103, Phoenix, AZ 85008</t>
  </si>
  <si>
    <t>Todays Tomorrow Learning Center</t>
  </si>
  <si>
    <t>Kindercare #301663</t>
  </si>
  <si>
    <t>13746 W MCDOWELL RD , GOODYEAR, AZ 85395-2609</t>
  </si>
  <si>
    <t>My Little Angels Daycare Centers, Inc</t>
  </si>
  <si>
    <t>1960 S PARK AVE , TUCSON, AZ 85713-1730</t>
  </si>
  <si>
    <t>1960 S Park Ave, Tucson, AZ 85713-1730</t>
  </si>
  <si>
    <t>My Little Angels Daycare Center, Inc</t>
  </si>
  <si>
    <t>Sahuaro Preschool, Inc. d.b.a. Whiz Kidz Preschool</t>
  </si>
  <si>
    <t>13424 N 32ND ST , PHOENIX, AZ 85032-6024</t>
  </si>
  <si>
    <t>13424 N 32ND ST, PHOENIX, AZ 85032-6024</t>
  </si>
  <si>
    <t>Whiz Kidz Preschool</t>
  </si>
  <si>
    <t>Phoenix Children's Academy</t>
  </si>
  <si>
    <t>7629 W THUNDERBIRD RD, PEORIA, AZ 85381-6082</t>
  </si>
  <si>
    <t>2318 N 35TH AVE , PHOENIX, AZ 85009-1418</t>
  </si>
  <si>
    <t>Kindercare #301312</t>
  </si>
  <si>
    <t>Happy Dayz II</t>
  </si>
  <si>
    <t>Wonder Kidz Preschool, LLC</t>
  </si>
  <si>
    <t>2332 S ARIZONA AVE, YUMA, AZ 85364-8519</t>
  </si>
  <si>
    <t>Smart Children Learning Center LLC</t>
  </si>
  <si>
    <t>3320 W SOUTHERN AVE STE 102 , PHOENIX, AZ 85041-4307</t>
  </si>
  <si>
    <t>3320 W Southern Ave, Phoenix, AZ 85041-4307</t>
  </si>
  <si>
    <t>3320 W SOUTHERN AVE STE 102, Phoenix, AZ 85041</t>
  </si>
  <si>
    <t>3320 W SOUTHERN AVE STE 102, Phoenix, AZ 85041-4307</t>
  </si>
  <si>
    <t>Precious Treasures Childcare - Ray Road</t>
  </si>
  <si>
    <t>4939 W RAY RD STE 21 , CHANDLER, AZ 85226-2071</t>
  </si>
  <si>
    <t>J &amp; G Roberts, LLC</t>
  </si>
  <si>
    <t>705 E BASELINE RD, BUCKEYE, AZ 85326-1327</t>
  </si>
  <si>
    <t>705 E BASELINE RD , BUCKEYE, AZ 85326-1327</t>
  </si>
  <si>
    <t>Tender Care Creative Center</t>
  </si>
  <si>
    <t>Bienestar Child Development Center, LLC</t>
  </si>
  <si>
    <t>PO BOX 12927, SAN LUIS, AZ 85349-6903</t>
  </si>
  <si>
    <t>1504 Liberty St, San Luis, AZ 85349</t>
  </si>
  <si>
    <t>Bienestar Child Development Center</t>
  </si>
  <si>
    <t>1504 Liberty St., San Luis, AZ 85349</t>
  </si>
  <si>
    <t>Kidz Kreationz</t>
  </si>
  <si>
    <t>2747 W SOUTHERN AVE STE 4 , TEMPE, AZ 85282-4240</t>
  </si>
  <si>
    <t>Sunrise Preschool #130</t>
  </si>
  <si>
    <t>11090 N FRANK LLOYD WRIGHT BLVD , SCOTTSDALE, AZ 85259-2645</t>
  </si>
  <si>
    <t>Kindercare #301840</t>
  </si>
  <si>
    <t>7755 S 51ST AVE , LAVEEN, AZ 85339-7308</t>
  </si>
  <si>
    <t>6090 Power Ranch</t>
  </si>
  <si>
    <t>7255 S POWER RD , QUEEN CREEK, AZ 85142-6322</t>
  </si>
  <si>
    <t>Katy's Kids Preschool</t>
  </si>
  <si>
    <t>1918 W. Van Buren St., Phoenix, AZ 85009</t>
  </si>
  <si>
    <t>PO BOX 6057, PHOENIX, AZ 85005-6057</t>
  </si>
  <si>
    <t>1929 W FILLMORE ST , PHOENIX, AZ 85009-3812</t>
  </si>
  <si>
    <t>Kindercare #301822</t>
  </si>
  <si>
    <t>15630 W VAN BUREN ST , GOODYEAR, AZ 85338-2883</t>
  </si>
  <si>
    <t>Los Amigos Child Care &amp; Activity Center</t>
  </si>
  <si>
    <t>1300 W St Maryâ€™s Rd, Tucson, AZ 85745</t>
  </si>
  <si>
    <t>1300 W St. Marys Rd, Tucson, AZ 85745</t>
  </si>
  <si>
    <t>New Life Center</t>
  </si>
  <si>
    <t>PO BOX 5005, GOODYEAR, AZ 85338-0608</t>
  </si>
  <si>
    <t>1444 N MANZANITA DR, GOODYEAR, AZ 85338-1110</t>
  </si>
  <si>
    <t>Jardin De Ninos Childcare Inc</t>
  </si>
  <si>
    <t>1001 N WILMOT RD, TUCSON, AZ 85711-1716</t>
  </si>
  <si>
    <t>Jardin De Ninos Learning Center</t>
  </si>
  <si>
    <t>1001 N WILMOT RD , TUCSON, AZ 85711-1716</t>
  </si>
  <si>
    <t>First Steps Preschool</t>
  </si>
  <si>
    <t>Nanny's Daycare / Preschool Inc.</t>
  </si>
  <si>
    <t>306 E COTTONWOOD LN, CASA GRANDE, AZ 85122-2516</t>
  </si>
  <si>
    <t>PO BOX 10548, CASA GRANDE, AZ 85130-0079</t>
  </si>
  <si>
    <t>East Valley Jewish Community Center</t>
  </si>
  <si>
    <t>908 N ALMA SCHOOL RD , CHANDLER, AZ 85224-3665</t>
  </si>
  <si>
    <t>Bridges Preschool</t>
  </si>
  <si>
    <t>50699 PO Box, Mesa, AZ 85208</t>
  </si>
  <si>
    <t>10257 E APACHE TRL , Apache Junction, AZ 85120-3203</t>
  </si>
  <si>
    <t>Faith Family Church Inc</t>
  </si>
  <si>
    <t>11530 E QUEEN CREEK RD , CHANDLER, AZ 85286-2025</t>
  </si>
  <si>
    <t>Life Christian Preschool &amp; Childcare</t>
  </si>
  <si>
    <t>Kindercare Learning Center #000099</t>
  </si>
  <si>
    <t>500 S GILBERT RD , GILBERT, AZ 85296-2202</t>
  </si>
  <si>
    <t>Desert Shadows Montessori</t>
  </si>
  <si>
    <t>My Little Angels DayCare Center - St. Mary's</t>
  </si>
  <si>
    <t>Corral Enterprises LLC</t>
  </si>
  <si>
    <t>655 S CRAYCROFT RD, TUCSON, AZ 85711-7107</t>
  </si>
  <si>
    <t>First Impressions Preshool</t>
  </si>
  <si>
    <t>655 S CRAYCROFT RD , TUCSON, AZ 85711-7107</t>
  </si>
  <si>
    <t>R and M Ventures, LLc dba We Love Kids Child Care</t>
  </si>
  <si>
    <t>18631 N 19TH AVE STE 120 , PHOENIX, AZ 85027-5827</t>
  </si>
  <si>
    <t>We Love Kids Child Care</t>
  </si>
  <si>
    <t>ABC and 123 Small Blessings Center, LLC</t>
  </si>
  <si>
    <t>ABC and 123 Small Blessings Center - Coolidge</t>
  </si>
  <si>
    <t>1060 N ARIZONA BLVD, COOLIDGE, AZ 85128-3727</t>
  </si>
  <si>
    <t>Arizona Learning Institute</t>
  </si>
  <si>
    <t>3463 E PASADENA AVE , PHOENIX, AZ 85018-1531</t>
  </si>
  <si>
    <t>Phoenix Day Preschool</t>
  </si>
  <si>
    <t>KinderCare #000099</t>
  </si>
  <si>
    <t>KinderCare #000253</t>
  </si>
  <si>
    <t>9310 E GUADALUPE RD , MESA, AZ 85212-2132</t>
  </si>
  <si>
    <t>Los Nino's Daycare of Catalina, LLC</t>
  </si>
  <si>
    <t>327 S ALTA VISTA ST , SAN MANUEL, AZ 85631-1362</t>
  </si>
  <si>
    <t>PO BOX 74 , SAN MANUEL, AZ 85631-0074</t>
  </si>
  <si>
    <t>16090 N VERNON DR , TUCSON, AZ 85739-</t>
  </si>
  <si>
    <t>Kids Playhouse Day Care Center INC.</t>
  </si>
  <si>
    <t>Kids Playhouse Day Care Center INC dba Imagine-Nation Preschool and Child Care</t>
  </si>
  <si>
    <t>Los Nino's Day Care- San Manuel</t>
  </si>
  <si>
    <t>Sunrise Preschools #124</t>
  </si>
  <si>
    <t>5801 W MOHAWK LN , GLENDALE, AZ 85308-6820</t>
  </si>
  <si>
    <t>New Birth Community Church</t>
  </si>
  <si>
    <t>7449 W DESERT COVE AVE , PEORIA, AZ 85345-6011</t>
  </si>
  <si>
    <t>50023 N 514th Ave, Aguila, AZ 85320</t>
  </si>
  <si>
    <t>PO BOX 218 , AGUILA, AZ 85320-0218</t>
  </si>
  <si>
    <t>Sands Branch</t>
  </si>
  <si>
    <t>4730 W GROVERS AVE, GLENDALE, AZ 85308-3453</t>
  </si>
  <si>
    <t>Sunrise Preschools #140</t>
  </si>
  <si>
    <t>Ollie Academy LLC</t>
  </si>
  <si>
    <t>4856 E GREENWAY RD , SCOTTSDALE, AZ 85254-1623</t>
  </si>
  <si>
    <t>4856 E Greenway Rd, Scottsdale, AZ 85254-1623</t>
  </si>
  <si>
    <t>The Clubhouse</t>
  </si>
  <si>
    <t>2701 N SWAN RD , TUCSON, AZ 85712-2038</t>
  </si>
  <si>
    <t>2719 N SWAN RD , TUCSON, AZ 85712-2038</t>
  </si>
  <si>
    <t>Valley Of The Sun JCC Preschool</t>
  </si>
  <si>
    <t>12701 N. Scottsdale Rd, Scottsdale, AZ 85254</t>
  </si>
  <si>
    <t>Sun Valley Learning Center</t>
  </si>
  <si>
    <t>6101 S RIVER DR , TEMPE, AZ 85283-0500</t>
  </si>
  <si>
    <t>Childrens Village VIII</t>
  </si>
  <si>
    <t>1550 N COUNTRY CLUB RD UNIT 8103 BLDG 8 , TUCSON, AZ 85716-3145</t>
  </si>
  <si>
    <t>Yuma Family YMCA Preschool</t>
  </si>
  <si>
    <t>1590 S AVENUE C , YUMA, AZ 85364-4118</t>
  </si>
  <si>
    <t>Landrum Foundation, Inc</t>
  </si>
  <si>
    <t>750 E SOUTHERN AVE , PHOENIX, AZ 85040-3143</t>
  </si>
  <si>
    <t>3309 W CARVER RD , LAVEEN, AZ 85339-1883</t>
  </si>
  <si>
    <t>Mary Moppets Day Care Schools, Inc.</t>
  </si>
  <si>
    <t>5933 W MCDOWELL RD , PHOENIX, AZ 85035-4840</t>
  </si>
  <si>
    <t>American Child Care #48</t>
  </si>
  <si>
    <t>4715 W THOMAS RD , PHOENIX, AZ 85031-4004</t>
  </si>
  <si>
    <t>American Child Care #50</t>
  </si>
  <si>
    <t>8515 N 51ST AVE , GLENDALE, AZ 85302-4919</t>
  </si>
  <si>
    <t>American Child Care #52</t>
  </si>
  <si>
    <t>Stillpointe Early Education Services, LLC</t>
  </si>
  <si>
    <t>406 N 1ST ST, BUCKEYE, AZ 85326-2300</t>
  </si>
  <si>
    <t>Garden City Child Development Center</t>
  </si>
  <si>
    <t>Stepping Stones Childcare, LLC</t>
  </si>
  <si>
    <t>863 AIRPARK DR , BULLHEAD CITY, AZ 86429-5886</t>
  </si>
  <si>
    <t>Stepping Stones Childcare</t>
  </si>
  <si>
    <t>Little Giants Daycare &amp; Preschool, LLC</t>
  </si>
  <si>
    <t>1818 S COUNTRY CLUB RD, TUCSON, AZ 85713-2238</t>
  </si>
  <si>
    <t>Little Giants Daycare Preschool, LLC</t>
  </si>
  <si>
    <t>KinderCare 000856</t>
  </si>
  <si>
    <t>135 S VAL VISTA DR , GILBERT, AZ 85296-1371</t>
  </si>
  <si>
    <t>KinderCare301597</t>
  </si>
  <si>
    <t>1545 N PARKWAY DR , GILBERT, AZ 85234-5448</t>
  </si>
  <si>
    <t>KinderCare301785</t>
  </si>
  <si>
    <t>20565 N FLETCHER WAY , PEORIA, AZ 85382-1453</t>
  </si>
  <si>
    <t>Kidz Kampus 2</t>
  </si>
  <si>
    <t>7949 W INDIAN SCHOOL RD , PHOENIX, AZ 85033-2902</t>
  </si>
  <si>
    <t>Childrens Village IX</t>
  </si>
  <si>
    <t>6078 Anthem</t>
  </si>
  <si>
    <t>7167 AZGB</t>
  </si>
  <si>
    <t>PB and J Early Learning Center</t>
  </si>
  <si>
    <t>7831 E WRIGHTSTOWN RD STE 105 , TUCSON, AZ 85715-4345</t>
  </si>
  <si>
    <t>Adventure Kids PreSchool LLC</t>
  </si>
  <si>
    <t>1901 S 7TH AVE , YUMA, AZ 85364-5550</t>
  </si>
  <si>
    <t>Adventure Kids PreSchool</t>
  </si>
  <si>
    <t>Ninas Family Child Care Center</t>
  </si>
  <si>
    <t>3502 E INDIAN SCHOOL RD , PHOENIX, AZ 85018-5115</t>
  </si>
  <si>
    <t>KinderCare #301357</t>
  </si>
  <si>
    <t>The Apple Tree Learning Centers LLC</t>
  </si>
  <si>
    <t>1010 E BROADWAY BLVD, TUCSON, AZ 85719-5829</t>
  </si>
  <si>
    <t>The Apple Tree Learning Center</t>
  </si>
  <si>
    <t>Lomelis Too Childcare Center</t>
  </si>
  <si>
    <t>Hari Prvsh LLC dba Happy Dayz Daycare III</t>
  </si>
  <si>
    <t>4851 W SADDLEHORN RD, PHOENIX, AZ 85083-2219</t>
  </si>
  <si>
    <t>4477 W OLIVE AVE, GLENDALE, AZ 85302-3827</t>
  </si>
  <si>
    <t>Happy Dayz Daycare III</t>
  </si>
  <si>
    <t>Oldford LLC dba Kids First Preschool and Child Care Center #2</t>
  </si>
  <si>
    <t>8185 E 22ND ST, TUCSON, AZ 85710-8511</t>
  </si>
  <si>
    <t>Kids First Preschool and Child Care Center #2</t>
  </si>
  <si>
    <t>Sunrise Preschool 144</t>
  </si>
  <si>
    <t>Victorious Preschool &amp; Kindergarten</t>
  </si>
  <si>
    <t>2561 W RUTHRAUFF RD , TUCSON, AZ 85705-1853</t>
  </si>
  <si>
    <t>KinderCare #301795</t>
  </si>
  <si>
    <t>Raising Arizona Preschool - Olive</t>
  </si>
  <si>
    <t>Childrens Academy Inc.</t>
  </si>
  <si>
    <t>3301 N 32ND ST , PHOENIX, AZ 85018-6205</t>
  </si>
  <si>
    <t>Childrens Academy</t>
  </si>
  <si>
    <t>Little Einstein Preschool LLC</t>
  </si>
  <si>
    <t>Little Einstein Preschool</t>
  </si>
  <si>
    <t>Kidz Kreationz II</t>
  </si>
  <si>
    <t>6213 S. Miller Rd. Ste 112, Buckeye, AZ 85326</t>
  </si>
  <si>
    <t>Kindercare #301721</t>
  </si>
  <si>
    <t>Childrens Village X</t>
  </si>
  <si>
    <t>De Colores Daycare, LLC</t>
  </si>
  <si>
    <t>7370 S SORREL LN, TUCSON, AZ 85746-9032</t>
  </si>
  <si>
    <t>De Colores Daycare</t>
  </si>
  <si>
    <t>Munchkins Place LLC</t>
  </si>
  <si>
    <t>2111 S ALMA SCHOOL RD STE 15, MESA, AZ 85210-4009</t>
  </si>
  <si>
    <t>2111 S ALMA SCHOOL RD STE 15 STE 115, MESA, AZ 85210-4009</t>
  </si>
  <si>
    <t>Munchkins Place</t>
  </si>
  <si>
    <t>Uniquely Me Preschool</t>
  </si>
  <si>
    <t>8041 N 15TH AVE , PHOENIX, AZ 85021-5401</t>
  </si>
  <si>
    <t>Dailey Loving Care LLC</t>
  </si>
  <si>
    <t>1764 PASEO SAN LUIS , SIERRA VISTA, AZ 85635-4610</t>
  </si>
  <si>
    <t>Great Expectations Early Learning Center</t>
  </si>
  <si>
    <t>7172 AZMSS</t>
  </si>
  <si>
    <t>KinderCare #301818</t>
  </si>
  <si>
    <t>Wirtzie's Preschool and Childcare</t>
  </si>
  <si>
    <t>Sun City Restorative Adult Day Center</t>
  </si>
  <si>
    <t>15800 N DEL WEBB BLVD , SUN CITY, AZ 85351-1603</t>
  </si>
  <si>
    <t>Lucy Anne's Place</t>
  </si>
  <si>
    <t>6083 Warner Road</t>
  </si>
  <si>
    <t>KinderCare #000632</t>
  </si>
  <si>
    <t>Infant &amp; Early Learning Child Care Center at Brichta</t>
  </si>
  <si>
    <t>Infant and Early Learning Child Care Center at Schumaker</t>
  </si>
  <si>
    <t>Twinkling Star Preschool, Inc.</t>
  </si>
  <si>
    <t>7418 W INDIAN SCHOOL RD, PHOENIX, AZ 85033-3138</t>
  </si>
  <si>
    <t>101 E 2ND ST, RICEVILLE, IA 50466-7717</t>
  </si>
  <si>
    <t>7418 W INDIAN SCHOOL RD , PHOENIX, AZ 85033-3138</t>
  </si>
  <si>
    <t>Bright Future Stars LLC dba Beautiful Oasis Childcare Center - Kamarria</t>
  </si>
  <si>
    <t>1236 S STAPLEY DR , MESA, AZ 85204-5842</t>
  </si>
  <si>
    <t>1236 S STAPLEY DR, MESA, AZ 85204-5842</t>
  </si>
  <si>
    <t>Beautiful Oasis Childcare - Kamarria</t>
  </si>
  <si>
    <t>Lady Bug Child Care LLC</t>
  </si>
  <si>
    <t>5814 W CAMELBACK RD , GLENDALE, AZ 85301-7405</t>
  </si>
  <si>
    <t>Lady Bug Child Care</t>
  </si>
  <si>
    <t>Pima Country Day School</t>
  </si>
  <si>
    <t>Little Castle Childcare and Preschool II, LLC</t>
  </si>
  <si>
    <t>6425 S PACHECO AVE, TUCSON, AZ 85706-7601</t>
  </si>
  <si>
    <t>PO BOX 11069, TUCSON, AZ 85734-1069</t>
  </si>
  <si>
    <t>Little Castle Childcare and Preschool II</t>
  </si>
  <si>
    <t>Little Rascals Learning Center, LLC</t>
  </si>
  <si>
    <t>3400 S MILL AVE STE 334, TEMPE, AZ 85282-4967</t>
  </si>
  <si>
    <t>Little Rascals Learning Center</t>
  </si>
  <si>
    <t>Global Keys to Knowledge Corporation</t>
  </si>
  <si>
    <t>3450 E VAN BUREN ST, PHOENIX, AZ 85008-6815</t>
  </si>
  <si>
    <t>Magic Keys to Learning Children's Developmental Center</t>
  </si>
  <si>
    <t>Fusion Minds LLC</t>
  </si>
  <si>
    <t>1620 W CAMELBACK RD, PHOENIX, AZ 85015-3514</t>
  </si>
  <si>
    <t>Immanuel Care For Children</t>
  </si>
  <si>
    <t>Noor's Learning Center</t>
  </si>
  <si>
    <t>4105 N 51ST AVE STE 131 , PHOENIX, AZ 85031-1943</t>
  </si>
  <si>
    <t>Happy Kids Child Care Center, LLC</t>
  </si>
  <si>
    <t>6727 W BETHANY HOME RD , GLENDALE, AZ 85303-4401</t>
  </si>
  <si>
    <t>Happy Kids Child Care Center</t>
  </si>
  <si>
    <t>Rainbow Preschool and Daycare</t>
  </si>
  <si>
    <t>1405 E. San Francisco St, San Luis, AZ 85349</t>
  </si>
  <si>
    <t>Estrellita Child Care Center, LLC</t>
  </si>
  <si>
    <t>2038 E Mendez St, San Luis, AZ 85349</t>
  </si>
  <si>
    <t>Arcoiris Child Care</t>
  </si>
  <si>
    <t>1944 E San Francisco St, San Luis, AZ 85349</t>
  </si>
  <si>
    <t>Hi Kids Childcare Group Home</t>
  </si>
  <si>
    <t>1456 Babbitt Ln, San Luis, AZ 85349</t>
  </si>
  <si>
    <t>Kinder Kollege Dayschool c/o Paulsen E. Myles</t>
  </si>
  <si>
    <t>4303 W SOLANO DR N , GLENDALE, AZ 85301-6310</t>
  </si>
  <si>
    <t>Kinder Kollege Dayschool</t>
  </si>
  <si>
    <t>4312 W NORTHERN AVE , GLENDALE, AZ 85301-1648</t>
  </si>
  <si>
    <t>Kids House Montessori Daycare and Preschool</t>
  </si>
  <si>
    <t>162 N ESCALADA DR , NOGALES, AZ 85621-3220</t>
  </si>
  <si>
    <t>Kindertots Inc</t>
  </si>
  <si>
    <t>1118 W GLENDALE AVE , PHOENIX, AZ 85021-8635</t>
  </si>
  <si>
    <t>The King's Treasures</t>
  </si>
  <si>
    <t>4715 W CYNTHIA LN , SOMERTON, AZ 85350-7135</t>
  </si>
  <si>
    <t>KinderCare #000156</t>
  </si>
  <si>
    <t>150 N ELM ST , CHANDLER, AZ 85226-3516</t>
  </si>
  <si>
    <t>Growing Steps Childcare and Learning Center</t>
  </si>
  <si>
    <t>132 E PRINCE RD , TUCSON, AZ 85705-3636</t>
  </si>
  <si>
    <t>Mother Hens Preschool</t>
  </si>
  <si>
    <t>1616 N 89TH AVE , PHOENIX, AZ 85037-4049</t>
  </si>
  <si>
    <t>Little Rascals Learning Center #2</t>
  </si>
  <si>
    <t>1116 S MCCLINTOCK DR , TEMPE, AZ 85281-4506</t>
  </si>
  <si>
    <t>Little Einstein Preschool AJ</t>
  </si>
  <si>
    <t>Mommy Home Daycare</t>
  </si>
  <si>
    <t>Mi Escuelita Child Care LLC</t>
  </si>
  <si>
    <t>2747 W SOUTHERN AVE STE 4, TEMPE, AZ 85282-4240</t>
  </si>
  <si>
    <t>Mi Escuelita Child Care</t>
  </si>
  <si>
    <t>6067 Alma School</t>
  </si>
  <si>
    <t>6835 W Peoria Inc DBA Bright Beginnings Preschool &amp; Childcare</t>
  </si>
  <si>
    <t>6835 W PEORIA AVE, PEORIA, AZ 85345-9324</t>
  </si>
  <si>
    <t>Bright Beginnings Preschool &amp; Childcare</t>
  </si>
  <si>
    <t>Hualapai Day Care</t>
  </si>
  <si>
    <t>475 Hualapai Drive, Peach Springs, AZ 86434</t>
  </si>
  <si>
    <t>PO BOX 179, PEACH SPRINGS, AZ 86434-0179</t>
  </si>
  <si>
    <t>Bubbles ChildCare &amp; Preschool</t>
  </si>
  <si>
    <t>1403 S 5TH AVE , YUMA, AZ 85364-4648</t>
  </si>
  <si>
    <t>4798 W. 3rd St., Yuma, AZ 85364</t>
  </si>
  <si>
    <t>Milestone Learning Center LLC</t>
  </si>
  <si>
    <t>1604 E UNIVERSITY DR, MESA, AZ 85203-8135</t>
  </si>
  <si>
    <t>Little Explorers Learning Center LLC DBA Sweet Pea Learning Center</t>
  </si>
  <si>
    <t>1621 E BETHANY HOME RD, PHOENIX, AZ 85016-2514</t>
  </si>
  <si>
    <t>16401 W SOFT WIND DR, SURPRISE, AZ 85387-1403</t>
  </si>
  <si>
    <t>United Cerebral Palsy Association of Central Arizona Inc.</t>
  </si>
  <si>
    <t>Love This Day School</t>
  </si>
  <si>
    <t>Lil' Einsteins Academy LLC</t>
  </si>
  <si>
    <t>Arizona Children's Academy</t>
  </si>
  <si>
    <t>MPA Dobson LLC</t>
  </si>
  <si>
    <t>Imagination Tree Learning Center LLC</t>
  </si>
  <si>
    <t>Maxwell Preschool Academy 5 L.L.C.</t>
  </si>
  <si>
    <t>1949 East Brown Road, Mesa, AZ 85203</t>
  </si>
  <si>
    <t>Lil' Kiddieland Childcare, LLC</t>
  </si>
  <si>
    <t>460 S 7TH ST , COOLIDGE, AZ 85128-4603</t>
  </si>
  <si>
    <t>Miramonte Day School</t>
  </si>
  <si>
    <t>U3 Academy Child Care Center</t>
  </si>
  <si>
    <t>Rise and Shine Academy LLC</t>
  </si>
  <si>
    <t>7227 S Central Ave, Phoenix, AZ 85042-5458</t>
  </si>
  <si>
    <t>7227 S CENTRAL AVE STE 1160 , PHOENIX, AZ 85042-5458</t>
  </si>
  <si>
    <t>6096 McClintock</t>
  </si>
  <si>
    <t>905 N MCCLINTOCK DR , CHANDLER, AZ 85226-2241</t>
  </si>
  <si>
    <t>The Kids Academy LLC</t>
  </si>
  <si>
    <t>7430 W CACTUS RD, PEORIA, AZ 85381-9585</t>
  </si>
  <si>
    <t>7430 W CACTUS RD , PEORIA, AZ 85381-9585</t>
  </si>
  <si>
    <t>Kids Arizona</t>
  </si>
  <si>
    <t>Tree of Life Preschool Academy</t>
  </si>
  <si>
    <t>Christ the Redeemer Lutheran Church Inc</t>
  </si>
  <si>
    <t>8801 N 43RD AVE , PHOENIX, AZ 85051-3641</t>
  </si>
  <si>
    <t>JumpStart Learning Center, LLC</t>
  </si>
  <si>
    <t>20348 E WARNER RD , MESA, AZ 85212-9655</t>
  </si>
  <si>
    <t>Poets Square Day School</t>
  </si>
  <si>
    <t>Lil' Einsteins Academy</t>
  </si>
  <si>
    <t>Kids Arizona, LLC</t>
  </si>
  <si>
    <t>Growing Steps Childcare &amp; Learning Center</t>
  </si>
  <si>
    <t>New Beginnings Preschool LLC</t>
  </si>
  <si>
    <t>1902 E HAMPTON AVE , MESA, AZ 85204-6055</t>
  </si>
  <si>
    <t>Beacon Learning Center</t>
  </si>
  <si>
    <t>Sunrise Preschool 295</t>
  </si>
  <si>
    <t>2217 N POWER RD APT 1001 , MESA, AZ 85215-2976</t>
  </si>
  <si>
    <t>Little Wildcats Learning Center</t>
  </si>
  <si>
    <t>216 E PRINCE RD , TUCSON, AZ 85705-3600</t>
  </si>
  <si>
    <t>Sunrise Preschools #304</t>
  </si>
  <si>
    <t>2109 E Blue Jay Drive, Chandler, AZ 85295</t>
  </si>
  <si>
    <t>Lovable Kids Kare LLC</t>
  </si>
  <si>
    <t>9328 W CORDES RD, TOLLESON, AZ 85353-1505</t>
  </si>
  <si>
    <t>1728 E PUEBLO AVE, PHOENIX, AZ 85040-1350</t>
  </si>
  <si>
    <t>Sunrise Preschools #300</t>
  </si>
  <si>
    <t>Amani Academy Inc</t>
  </si>
  <si>
    <t>131 E MOHAVE RD , TUCSON, AZ 85705-3621</t>
  </si>
  <si>
    <t>The Kids Academy - Peoria</t>
  </si>
  <si>
    <t>Flagstaff Cooperative Preschool Inc.</t>
  </si>
  <si>
    <t>PO BOX 428 , FLAGSTAFF, AZ 86002-0428</t>
  </si>
  <si>
    <t>MPA Chandler LLC</t>
  </si>
  <si>
    <t>Tree of Life Preschool Academy LLC</t>
  </si>
  <si>
    <t>Goodware LLC DBA 1st Academy Preschool and Childcare</t>
  </si>
  <si>
    <t>1133 S DOBSON RD STE 101 , MESA, AZ 85202-3942</t>
  </si>
  <si>
    <t>El Presidio Day School</t>
  </si>
  <si>
    <t>Kids Learning - Algodon</t>
  </si>
  <si>
    <t>9150 W THOMAS RD , PHOENIX, AZ 85037-3376</t>
  </si>
  <si>
    <t>Happy Kids Child Care Center #2</t>
  </si>
  <si>
    <t>Little Wonders Learning Center</t>
  </si>
  <si>
    <t>Imagination Tree Learning Center</t>
  </si>
  <si>
    <t>Sweet Pea Learning Center</t>
  </si>
  <si>
    <t>JumpStart Learning Center</t>
  </si>
  <si>
    <t>Duranco Incorporated</t>
  </si>
  <si>
    <t>1207 N. Country Club, Mesa, AZ 85201</t>
  </si>
  <si>
    <t>Lil' Kiddieland Childcare</t>
  </si>
  <si>
    <t>Naynee's Nursery &amp; Learning Center</t>
  </si>
  <si>
    <t>Learn N' Play, Inc.</t>
  </si>
  <si>
    <t>15626 S 42ND ST , PHOENIX, AZ 85048-8835</t>
  </si>
  <si>
    <t>Kids Kingdom LLC</t>
  </si>
  <si>
    <t>1819 W OSBORN RD, PHOENIX, AZ 85015-5829</t>
  </si>
  <si>
    <t>Rise N Shine</t>
  </si>
  <si>
    <t>TLGG LLC dba Active Learning Center #7</t>
  </si>
  <si>
    <t>10701 N 15th Ave, Phoenix, AZ 85029-5111</t>
  </si>
  <si>
    <t>Active Learning Center #7</t>
  </si>
  <si>
    <t>Aya Kids Kare LLC</t>
  </si>
  <si>
    <t>4494 W Peoria Ave, STE 120, Glendale, AZ 85302-2025</t>
  </si>
  <si>
    <t>4494 W. Peoria Ave. Suite #120, Glendale, AZ 85302</t>
  </si>
  <si>
    <t>Aya Kids Kare</t>
  </si>
  <si>
    <t>Yours, Mine &amp; Ours Child Care Center Inc.</t>
  </si>
  <si>
    <t>624 E Missouri Ave, Phoenix, AZ 85012-1327</t>
  </si>
  <si>
    <t>Kids Central</t>
  </si>
  <si>
    <t>Madison Baptist Church of Phoenix, Arizona</t>
  </si>
  <si>
    <t>6202 N 12th St, Phoenix, AZ 85014-1719</t>
  </si>
  <si>
    <t>Madison Christian Children's Center</t>
  </si>
  <si>
    <t>Dunamis Enterprises, LLC dba Zion Early Learning Academy</t>
  </si>
  <si>
    <t>5644 S 16th St, Phoenix, AZ 85040-3511</t>
  </si>
  <si>
    <t>Zion Early Learning Academy</t>
  </si>
  <si>
    <t>Little Explorers Learning Center 2 LLC</t>
  </si>
  <si>
    <t>2946 E Cheery Lynn Rd, Phoenix, AZ 85016-7520</t>
  </si>
  <si>
    <t>Little Explorers Learning Center 2</t>
  </si>
  <si>
    <t>My Little Angels Daycare Center - Plumer</t>
  </si>
  <si>
    <t>2385 S Plumer Ave, Tucson, AZ 85713-3823</t>
  </si>
  <si>
    <t>Herencia Guadalupana Our Virgen de Guadalupe Heritage</t>
  </si>
  <si>
    <t>6740 S Santa Clara Ave, Tucson, AZ 85756-6450</t>
  </si>
  <si>
    <t>11172 PO Box , Tucson, AZ 85734-1172</t>
  </si>
  <si>
    <t>Herencia Guadalupana Lab Schools II</t>
  </si>
  <si>
    <t>Future Leaders School, LLC</t>
  </si>
  <si>
    <t>345 W Drachman St, Tucson, AZ 85705-7229</t>
  </si>
  <si>
    <t>1524 S Columbus Blvd, #6, Tucson, AZ 85711-5676</t>
  </si>
  <si>
    <t>Future Leaders School</t>
  </si>
  <si>
    <t>345 W. Drachman St., Tucson, AZ 85705</t>
  </si>
  <si>
    <t>A.E.S.D.#68 - Alhambra Preschool Programs</t>
  </si>
  <si>
    <t>4510 N 37th Ave, Phoenix, AZ 85019-3206</t>
  </si>
  <si>
    <t>Madrid Elementary School /Preschool</t>
  </si>
  <si>
    <t>3736 W Osborn Rd, Phoenix, AZ 85019-4004</t>
  </si>
  <si>
    <t>Sevilla East School/Preschool</t>
  </si>
  <si>
    <t>3801 W Missouri Ave, Phoenix, AZ 85019-2133</t>
  </si>
  <si>
    <t>Cordova Elementary School/Preschool</t>
  </si>
  <si>
    <t>5631 N 35th Dr, Phoenix, AZ 85019-4528</t>
  </si>
  <si>
    <t>Granada West School/Preschool</t>
  </si>
  <si>
    <t>3232 W Campbell Ave, Phoenix, AZ 85017-4046</t>
  </si>
  <si>
    <t>Westwood Elementary/Preschool</t>
  </si>
  <si>
    <t>4711 N 23rd Ave, Phoenix, AZ 85015-3478</t>
  </si>
  <si>
    <t>Rugratz Ventures LLC</t>
  </si>
  <si>
    <t>3539 W. Bell Road, Suite 11, Phoenix, AZ 85053</t>
  </si>
  <si>
    <t>Kidworks Academy</t>
  </si>
  <si>
    <t>3539 W BELL RD STE 11, PHOENIX, AZ 85053-2978</t>
  </si>
  <si>
    <t xml:space="preserve">Tree House Preschool Inc. </t>
  </si>
  <si>
    <t>1730 S. 4th Avenue, Yuma, AZ 85364</t>
  </si>
  <si>
    <t>Tree House Preschool Site 1</t>
  </si>
  <si>
    <t>Tree House Preschool Site 2</t>
  </si>
  <si>
    <t>7985 E 24TH ST, YUMA, AZ 85365-8602</t>
  </si>
  <si>
    <t>Little Castle III, LLC</t>
  </si>
  <si>
    <t>1802 E IRVINGTON RD, TUCSON, AZ 85714-1754</t>
  </si>
  <si>
    <t>Little Castle III LLC</t>
  </si>
  <si>
    <t>Ni Hao Amigos Language Immersion Preschool, LLC</t>
  </si>
  <si>
    <t>19 N CENTRAL AVE # C, AVONDALE, AZ 85323-2156</t>
  </si>
  <si>
    <t>Little Friends Learning Center, LLC</t>
  </si>
  <si>
    <t>2846 W DREXEL RD, TUCSON, AZ 85746-3824</t>
  </si>
  <si>
    <t>Little Friends Learning Center</t>
  </si>
  <si>
    <t>Kids Haven LLC</t>
  </si>
  <si>
    <t>848 S. Alma School Rd. , Mesa, AZ 85210</t>
  </si>
  <si>
    <t>Kids Haven Childcare &amp; Preschool</t>
  </si>
  <si>
    <t>848 S. Alma School Rd. Suite 1,2,3, Mesa, AZ 85210</t>
  </si>
  <si>
    <t>YES Tucson LLC dba Young Explorers School</t>
  </si>
  <si>
    <t>9601 E SPEEDWAY BLVD, TUCSON, AZ 85748-1918</t>
  </si>
  <si>
    <t>Bubbles Early Learning Center</t>
  </si>
  <si>
    <t>2464 W 8TH ST, YUMA, AZ 85364-2708</t>
  </si>
  <si>
    <t>Lovable Kids Kare Mesa</t>
  </si>
  <si>
    <t>925 N ORANGE, MESA, AZ 85201-4005</t>
  </si>
  <si>
    <t>Casita Daycare &amp; Preschool LLC</t>
  </si>
  <si>
    <t>1440 W AJO WAY, TUCSON, AZ 85713-5736</t>
  </si>
  <si>
    <t>1st Step to Greatness LLC</t>
  </si>
  <si>
    <t>6807 S CENTRAL AVE, PHOENIX, AZ 85042-5451</t>
  </si>
  <si>
    <t>Funtime Care LLC</t>
  </si>
  <si>
    <t>4541 N 7TH ST, PHOENIX, AZ 85014-3827</t>
  </si>
  <si>
    <t>Sunrise Preschools #315</t>
  </si>
  <si>
    <t>6053 Veterans Parkway  Suite 300, Columbus, GA 85138</t>
  </si>
  <si>
    <t>19287 N PORTER RD, MARICOPA, AZ 85138-4053</t>
  </si>
  <si>
    <t>Kids Learning Centers Ocotillo LLC</t>
  </si>
  <si>
    <t>2350 S GILBERT RD, CHANDLER, AZ 85286-1597</t>
  </si>
  <si>
    <t>41060 N IRONWOOD DR, QUEEN CREEK, AZ 85140-8719</t>
  </si>
  <si>
    <t>Funtime Care</t>
  </si>
  <si>
    <t>Kids Learning Center Ocotillo</t>
  </si>
  <si>
    <t>Kids Daycare, LLC</t>
  </si>
  <si>
    <t>12450 N 35TH AVE STE 85, PHOENIX, AZ 85029-3180</t>
  </si>
  <si>
    <t>Kids Daycare</t>
  </si>
  <si>
    <t>Casa de los NiÃ±os Kelly Early Education Center</t>
  </si>
  <si>
    <t>1120 N 5TH AVE, TUCSON, AZ 85705-</t>
  </si>
  <si>
    <t>328 East Helen Street , Tucson, AZ 85705</t>
  </si>
  <si>
    <t>Arc Estates LLC</t>
  </si>
  <si>
    <t>8215 W INDIAN SCHOOL RD, PHOENIX, AZ 85033-2906</t>
  </si>
  <si>
    <t>Divine Children Preschool &amp; Daycare</t>
  </si>
  <si>
    <t>Essential Foundations Preschool and Learning Center, LLC</t>
  </si>
  <si>
    <t>13615 N 35TH AVE STE 7, PHOENIX, AZ 85029-1243</t>
  </si>
  <si>
    <t>Desert Dreams Daycare</t>
  </si>
  <si>
    <t>Bienestar Del Cielo</t>
  </si>
  <si>
    <t>144 W Brenda St., San Luis, AZ 85349</t>
  </si>
  <si>
    <t>Kinder Academy</t>
  </si>
  <si>
    <t>3259 W BASELINE RD, LAVEEN, AZ 85339</t>
  </si>
  <si>
    <t>Kinderland Learning Academy LLC, dba Kinder Academy</t>
  </si>
  <si>
    <t>Starks Learning Center, LLC</t>
  </si>
  <si>
    <t>2155 E BROADWAY RD, MESA, AZ 85204-1453</t>
  </si>
  <si>
    <t>Victory Preschool Corporation</t>
  </si>
  <si>
    <t>3535 N 63RD AVE, PHOENIX, AZ 85033-4503</t>
  </si>
  <si>
    <t>From Time 2 Time LLC</t>
  </si>
  <si>
    <t>7440 E MAIN ST STE 9, MESA, AZ 85207-8300</t>
  </si>
  <si>
    <t>From Time 2 Time</t>
  </si>
  <si>
    <t>Imagination Station Winslow</t>
  </si>
  <si>
    <t>1313 E THIRD ST, WINSLOW, AZ 86047-4401</t>
  </si>
  <si>
    <t>Education Through Consciousness</t>
  </si>
  <si>
    <t>538 W HIGHLAND AVE, PHOENIX, AZ 85013-2735</t>
  </si>
  <si>
    <t>Sunrise Preschool #317</t>
  </si>
  <si>
    <t>548 N POTTEBAUM RD, CASA GRANDE, AZ 85122-5305</t>
  </si>
  <si>
    <t>Education Through Consciousness Childcare</t>
  </si>
  <si>
    <t>Little Knights and Ladies Child Development Center LLC</t>
  </si>
  <si>
    <t>1911 KINO AVE, KINGMAN, AZ 86409-3063</t>
  </si>
  <si>
    <t>Milestones Preschool LLC</t>
  </si>
  <si>
    <t>2600 W 24TH ST, YUMA, AZ 85364-6027</t>
  </si>
  <si>
    <t>ABC and 123 Small Blessings Center - Casa Grande</t>
  </si>
  <si>
    <t>1530 N PINAL AVE, CASA GRANDE, AZ 85122-2402</t>
  </si>
  <si>
    <t xml:space="preserve">EDU L3, LLC DBA Lifeprints Childcare &amp; Learning Center </t>
  </si>
  <si>
    <t>5680 W PEORIA AVE, GLENDALE, AZ 85302-1400</t>
  </si>
  <si>
    <t>EDU L2, LLC DBA Lifeprints Childcare &amp; Learning Center</t>
  </si>
  <si>
    <t>15630 N 7TH ST, PHOENIX, AZ 85022-3533</t>
  </si>
  <si>
    <t>Lifeprints Childcare &amp; Learning Centers - Phoenix</t>
  </si>
  <si>
    <t>Lifeprints Childcare &amp; Learning Centers - Glendale</t>
  </si>
  <si>
    <t>KinderCare Learning Center #000477</t>
  </si>
  <si>
    <t>4120 E RANCH CIR N, PHOENIX, AZ 85044-4686</t>
  </si>
  <si>
    <t>Creme de la Creme - Mesa</t>
  </si>
  <si>
    <t>1842 S CRISMON RD, MESA, AZ 85209-3706</t>
  </si>
  <si>
    <t>CDLC Crismon, Inc.</t>
  </si>
  <si>
    <t>K.U.S.D.#27 - A B C Preschool</t>
  </si>
  <si>
    <t>N. Highway 163, Kayenta, AZ 86033</t>
  </si>
  <si>
    <t>PO BOX 337, KAYENTA, AZ 86033-0337</t>
  </si>
  <si>
    <t>Raising Arizona Preschool III</t>
  </si>
  <si>
    <t>1616 N 89TH AVE, PHOENIX, AZ 85037-4049</t>
  </si>
  <si>
    <t>GTG8 LLC</t>
  </si>
  <si>
    <t>4494 W PEORIA AVE STE 120, GLENDALE, AZ 85302-2025</t>
  </si>
  <si>
    <t>VT Enterprises LLC</t>
  </si>
  <si>
    <t>4301 W FILLMORE ST, PHOENIX, AZ 85043-2908</t>
  </si>
  <si>
    <t>17823 W BLOOMFIELD RD, SURPRISE, AZ 85388-5620</t>
  </si>
  <si>
    <t>Active Learning Center 8</t>
  </si>
  <si>
    <t>Rise N Shine Preschool</t>
  </si>
  <si>
    <t>Kids Incorporated Learning Center Paradise Village, Inc.</t>
  </si>
  <si>
    <t>4848 E CACTUS RD STE 600, SCOTTSDALE, AZ 85254-4109</t>
  </si>
  <si>
    <t>Wesley Community Center, Inc.</t>
  </si>
  <si>
    <t>1625 N 39TH AVE, PHOENIX, AZ 85009-2149</t>
  </si>
  <si>
    <t>Golden Gate</t>
  </si>
  <si>
    <t>Scottsdale Childrens Academy LLC dba Kiddie Academy North Phoenix</t>
  </si>
  <si>
    <t>4250 W PINNACLE PEAK RD, GLENDALE, AZ 85310-4007</t>
  </si>
  <si>
    <t>Stars and Champs Learning Center, LLC</t>
  </si>
  <si>
    <t>4114 E BROWN WAY, TUCSON, AZ 85711-4708</t>
  </si>
  <si>
    <t>Mesa Preschool Group</t>
  </si>
  <si>
    <t>4909 E BROWN RD, MESA, AZ 85205-4203</t>
  </si>
  <si>
    <t>Whiz Kidz</t>
  </si>
  <si>
    <t>Jireh International Inc.</t>
  </si>
  <si>
    <t>10841 S 48TH ST, PHOENIX, AZ 85044-1716</t>
  </si>
  <si>
    <t>Grace Garden Christian Preschool</t>
  </si>
  <si>
    <t>1435 - Childtime Children's Center</t>
  </si>
  <si>
    <t>350 N PENNINGTON DR, CHANDLER, AZ 85224-8261</t>
  </si>
  <si>
    <t>6087 Surprise</t>
  </si>
  <si>
    <t>15438 W BELL RD, SURPRISE, AZ 85374-3496</t>
  </si>
  <si>
    <t>Kidz-Zona LLC</t>
  </si>
  <si>
    <t>4826 E Pima St., Tucson, AZ 85712</t>
  </si>
  <si>
    <t>Kidz-Zona Learning Center</t>
  </si>
  <si>
    <t>GPS Holdings Inc, The Learning Lab</t>
  </si>
  <si>
    <t>15450 W Goodyear Blvd. Suite 135, Goodyear, AZ 85338</t>
  </si>
  <si>
    <t>PO BOX 6654, GOODYEAR, AZ 85338-0628</t>
  </si>
  <si>
    <t>Little Ranch School Dba Imagination Childcare &amp; Preschool</t>
  </si>
  <si>
    <t>5220 N. Dysart Rd. Suite B-112, Litchfield Park, AZ 85718</t>
  </si>
  <si>
    <t>3430 E SUNRISE DR STE 190, TUCSON, AZ 85718-3236</t>
  </si>
  <si>
    <t>The Learning Lab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</si>
  <si>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</si>
  <si>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DHS CDC #</t>
  </si>
  <si>
    <t>6807 S CENTRAL AVE</t>
  </si>
  <si>
    <t xml:space="preserve"> PHOENIX</t>
  </si>
  <si>
    <t xml:space="preserve"> AZ 85042-5451</t>
  </si>
  <si>
    <t xml:space="preserve">306 W 5TH PL </t>
  </si>
  <si>
    <t xml:space="preserve"> MESA</t>
  </si>
  <si>
    <t xml:space="preserve"> AZ 85201-5021</t>
  </si>
  <si>
    <t xml:space="preserve">245 E BELL RD STE 65 </t>
  </si>
  <si>
    <t xml:space="preserve"> AZ 85022-6318</t>
  </si>
  <si>
    <t xml:space="preserve">1928 N GILBERT RD </t>
  </si>
  <si>
    <t xml:space="preserve"> AZ 85203-2807</t>
  </si>
  <si>
    <t xml:space="preserve">3901 E GUADALUPE RD </t>
  </si>
  <si>
    <t xml:space="preserve"> GILBERT</t>
  </si>
  <si>
    <t xml:space="preserve"> AZ 85234-3265</t>
  </si>
  <si>
    <t xml:space="preserve">1652 E ELLIOT RD </t>
  </si>
  <si>
    <t xml:space="preserve"> AZ 85234-7102</t>
  </si>
  <si>
    <t>724 East Brill Street</t>
  </si>
  <si>
    <t xml:space="preserve"> Phoenix</t>
  </si>
  <si>
    <t xml:space="preserve"> AZ 85006</t>
  </si>
  <si>
    <t>4060 E BELL RD</t>
  </si>
  <si>
    <t xml:space="preserve"> AZ 85032-2232</t>
  </si>
  <si>
    <t xml:space="preserve">8348 W DEER VALLEY RD </t>
  </si>
  <si>
    <t xml:space="preserve"> PEORIA</t>
  </si>
  <si>
    <t xml:space="preserve"> AZ 85382-2461</t>
  </si>
  <si>
    <t xml:space="preserve">10260 N 67TH AVE </t>
  </si>
  <si>
    <t xml:space="preserve"> GLENDALE</t>
  </si>
  <si>
    <t xml:space="preserve"> AZ 85302-1002</t>
  </si>
  <si>
    <t xml:space="preserve">2050 W RAY RD </t>
  </si>
  <si>
    <t xml:space="preserve"> CHANDLER</t>
  </si>
  <si>
    <t xml:space="preserve"> AZ 85224-4072</t>
  </si>
  <si>
    <t xml:space="preserve">5550 W BELL RD </t>
  </si>
  <si>
    <t xml:space="preserve"> AZ 85308-3866</t>
  </si>
  <si>
    <t xml:space="preserve">1730 N DYSART RD </t>
  </si>
  <si>
    <t xml:space="preserve"> GOODYEAR</t>
  </si>
  <si>
    <t xml:space="preserve"> AZ 85395-2627</t>
  </si>
  <si>
    <t xml:space="preserve">5911 W THUNDERBIRD RD </t>
  </si>
  <si>
    <t xml:space="preserve"> AZ 85306-4139</t>
  </si>
  <si>
    <t xml:space="preserve">3316 E BASELINE RD </t>
  </si>
  <si>
    <t xml:space="preserve"> AZ 85042-9645</t>
  </si>
  <si>
    <t xml:space="preserve">7255 S POWER RD </t>
  </si>
  <si>
    <t xml:space="preserve"> QUEEN CREEK</t>
  </si>
  <si>
    <t xml:space="preserve"> AZ 85142-6322</t>
  </si>
  <si>
    <t xml:space="preserve">15265 S 48TH ST </t>
  </si>
  <si>
    <t xml:space="preserve"> AZ 85044-</t>
  </si>
  <si>
    <t xml:space="preserve">7810 W LOWER BUCKEYE RD </t>
  </si>
  <si>
    <t xml:space="preserve"> AZ 85043-3442</t>
  </si>
  <si>
    <t xml:space="preserve">905 N MCCLINTOCK DR </t>
  </si>
  <si>
    <t xml:space="preserve"> AZ 85226-2241</t>
  </si>
  <si>
    <t>6835 W PEORIA AVE</t>
  </si>
  <si>
    <t xml:space="preserve"> AZ 85345-9324</t>
  </si>
  <si>
    <t xml:space="preserve">13003 W MCDOWELL RD </t>
  </si>
  <si>
    <t xml:space="preserve"> AVONDALE</t>
  </si>
  <si>
    <t xml:space="preserve"> AZ 85392-6435</t>
  </si>
  <si>
    <t xml:space="preserve">4909 E BROWN RD </t>
  </si>
  <si>
    <t xml:space="preserve"> AZ 85205-4203</t>
  </si>
  <si>
    <t xml:space="preserve">2200 N ALMA SCHOOL RD </t>
  </si>
  <si>
    <t xml:space="preserve"> AZ 85224-2461</t>
  </si>
  <si>
    <t xml:space="preserve">5792 W OAKLAND ST </t>
  </si>
  <si>
    <t xml:space="preserve"> AZ 85226-2762</t>
  </si>
  <si>
    <t xml:space="preserve">1935 E FORT LOWELL RD </t>
  </si>
  <si>
    <t xml:space="preserve"> TUCSON</t>
  </si>
  <si>
    <t xml:space="preserve"> AZ 85719-2325</t>
  </si>
  <si>
    <t xml:space="preserve">8717 W 110TH ST STE 300 </t>
  </si>
  <si>
    <t xml:space="preserve"> OVERLAND PARK</t>
  </si>
  <si>
    <t xml:space="preserve"> KS 66210-2103</t>
  </si>
  <si>
    <t xml:space="preserve">8885 E GOLF LINKS RD </t>
  </si>
  <si>
    <t xml:space="preserve"> AZ 85730-1312</t>
  </si>
  <si>
    <t>8717 W. 100th St. 300</t>
  </si>
  <si>
    <t xml:space="preserve"> Overland Park</t>
  </si>
  <si>
    <t xml:space="preserve"> KS 66210</t>
  </si>
  <si>
    <t>6570 S. Midvale Rd.</t>
  </si>
  <si>
    <t xml:space="preserve"> Tucson</t>
  </si>
  <si>
    <t xml:space="preserve"> AZ 85746</t>
  </si>
  <si>
    <t>3717 W. 110th St. 300</t>
  </si>
  <si>
    <t xml:space="preserve"> KS 86210</t>
  </si>
  <si>
    <t xml:space="preserve">1155 N SARNOFF DR </t>
  </si>
  <si>
    <t xml:space="preserve"> AZ 85715-5226</t>
  </si>
  <si>
    <t xml:space="preserve">7930 N THORNYDALE RD </t>
  </si>
  <si>
    <t xml:space="preserve"> AZ 85741-1444</t>
  </si>
  <si>
    <t xml:space="preserve">8940 E TANQUE VERDE RD </t>
  </si>
  <si>
    <t xml:space="preserve"> AZ 85749-9604</t>
  </si>
  <si>
    <t xml:space="preserve">9202 N 35TH AVE </t>
  </si>
  <si>
    <t xml:space="preserve"> AZ 85051-3409</t>
  </si>
  <si>
    <t xml:space="preserve">6425 S PACHECO AVE </t>
  </si>
  <si>
    <t xml:space="preserve"> AZ 85706-7601</t>
  </si>
  <si>
    <t xml:space="preserve">2318 N 35TH AVE </t>
  </si>
  <si>
    <t xml:space="preserve"> AZ 85009-1418</t>
  </si>
  <si>
    <t>2318 N 35TH AVE</t>
  </si>
  <si>
    <t xml:space="preserve">810 E SOUTHERN AVE </t>
  </si>
  <si>
    <t xml:space="preserve"> AZ 85204-5006</t>
  </si>
  <si>
    <t>810 E SOUTHERN AVE</t>
  </si>
  <si>
    <t>4510 N 37th Ave</t>
  </si>
  <si>
    <t xml:space="preserve"> AZ 85019-3206</t>
  </si>
  <si>
    <t xml:space="preserve">1060 N ARIZONA BLVD </t>
  </si>
  <si>
    <t xml:space="preserve"> COOLIDGE</t>
  </si>
  <si>
    <t xml:space="preserve"> AZ 85128-3727</t>
  </si>
  <si>
    <t>1530 N PINAL AVE</t>
  </si>
  <si>
    <t xml:space="preserve"> CASA GRANDE</t>
  </si>
  <si>
    <t xml:space="preserve"> AZ 85122-2402</t>
  </si>
  <si>
    <t>1060 N ARIZONA BLVD</t>
  </si>
  <si>
    <t xml:space="preserve">6311 S RURAL RD </t>
  </si>
  <si>
    <t xml:space="preserve"> TEMPE</t>
  </si>
  <si>
    <t xml:space="preserve"> AZ 85283-2905</t>
  </si>
  <si>
    <t xml:space="preserve">13615 N 35TH AVE STE 7 </t>
  </si>
  <si>
    <t xml:space="preserve"> AZ 85029-1243</t>
  </si>
  <si>
    <t xml:space="preserve">8815 W PEORIA AVE STE 12 </t>
  </si>
  <si>
    <t xml:space="preserve"> AZ 85345-9402</t>
  </si>
  <si>
    <t>8815 W PEORIA AVE STE 11</t>
  </si>
  <si>
    <t xml:space="preserve">8556 E LOOS DR </t>
  </si>
  <si>
    <t xml:space="preserve"> Prescott Valley</t>
  </si>
  <si>
    <t xml:space="preserve"> AZ 86314-6455</t>
  </si>
  <si>
    <t xml:space="preserve">3342 W ROOSEVELT ST </t>
  </si>
  <si>
    <t xml:space="preserve"> AZ 85009-3404</t>
  </si>
  <si>
    <t xml:space="preserve">704 E BUTLER DR </t>
  </si>
  <si>
    <t xml:space="preserve"> AZ 85020-3449</t>
  </si>
  <si>
    <t>10701 N 15th Ave</t>
  </si>
  <si>
    <t xml:space="preserve"> AZ 85029-5111</t>
  </si>
  <si>
    <t>4494 W PEORIA AVE STE 120</t>
  </si>
  <si>
    <t xml:space="preserve"> AZ 85302-2025</t>
  </si>
  <si>
    <t>PO BOX 26513</t>
  </si>
  <si>
    <t xml:space="preserve"> AZ 85285-6513</t>
  </si>
  <si>
    <t>325 E SOUTHERN AVE STE 116</t>
  </si>
  <si>
    <t xml:space="preserve"> AZ 85282-5208</t>
  </si>
  <si>
    <t xml:space="preserve">1901 S 7TH AVE </t>
  </si>
  <si>
    <t xml:space="preserve"> YUMA</t>
  </si>
  <si>
    <t xml:space="preserve"> AZ 85364-5550</t>
  </si>
  <si>
    <t xml:space="preserve">PO BOX 218 </t>
  </si>
  <si>
    <t xml:space="preserve"> AGUILA</t>
  </si>
  <si>
    <t xml:space="preserve"> AZ 85320-0218</t>
  </si>
  <si>
    <t xml:space="preserve"> Aguila</t>
  </si>
  <si>
    <t xml:space="preserve"> AZ 85320</t>
  </si>
  <si>
    <t xml:space="preserve">42507 W PETERS AND NALL RD </t>
  </si>
  <si>
    <t xml:space="preserve"> MARICOPA</t>
  </si>
  <si>
    <t xml:space="preserve"> AZ 85138-3940</t>
  </si>
  <si>
    <t>422 South 2nd Avenue</t>
  </si>
  <si>
    <t xml:space="preserve"> Whiteriver</t>
  </si>
  <si>
    <t xml:space="preserve"> AZ 85941</t>
  </si>
  <si>
    <t xml:space="preserve">1441 S 27TH AVE </t>
  </si>
  <si>
    <t xml:space="preserve"> AZ 85009-6451</t>
  </si>
  <si>
    <t>1830 N COUNTRY CLUB DR</t>
  </si>
  <si>
    <t xml:space="preserve"> AZ 85201-1203</t>
  </si>
  <si>
    <t xml:space="preserve">516 S DOBSON RD </t>
  </si>
  <si>
    <t xml:space="preserve"> AZ 85202-1835</t>
  </si>
  <si>
    <t xml:space="preserve">8251 N THORNYDALE RD </t>
  </si>
  <si>
    <t xml:space="preserve"> AZ 85741-1103</t>
  </si>
  <si>
    <t xml:space="preserve">131 E MOHAVE RD </t>
  </si>
  <si>
    <t xml:space="preserve"> AZ 85705-3621</t>
  </si>
  <si>
    <t xml:space="preserve">4715 W THOMAS RD </t>
  </si>
  <si>
    <t xml:space="preserve"> AZ 85031-4004</t>
  </si>
  <si>
    <t xml:space="preserve">8515 N 51ST AVE </t>
  </si>
  <si>
    <t xml:space="preserve"> AZ 85302-4919</t>
  </si>
  <si>
    <t xml:space="preserve">5933 W MCDOWELL RD </t>
  </si>
  <si>
    <t xml:space="preserve"> AZ 85035-4840</t>
  </si>
  <si>
    <t>4035 N 71ST AVE</t>
  </si>
  <si>
    <t xml:space="preserve"> AZ 85033-3800</t>
  </si>
  <si>
    <t xml:space="preserve">7116 E OAK ST </t>
  </si>
  <si>
    <t xml:space="preserve"> SCOTTSDALE</t>
  </si>
  <si>
    <t xml:space="preserve"> AZ 85257-2111</t>
  </si>
  <si>
    <t>8215 W INDIAN SCHOOL RD</t>
  </si>
  <si>
    <t xml:space="preserve"> AZ 85033-2906</t>
  </si>
  <si>
    <t>1944 E San Francisco St</t>
  </si>
  <si>
    <t xml:space="preserve"> San Luis</t>
  </si>
  <si>
    <t xml:space="preserve"> AZ 85349</t>
  </si>
  <si>
    <t xml:space="preserve">1631 E GUADALUPE RD STE 201 </t>
  </si>
  <si>
    <t xml:space="preserve"> AZ 85283-3916</t>
  </si>
  <si>
    <t xml:space="preserve">3463 E PASADENA AVE </t>
  </si>
  <si>
    <t xml:space="preserve"> AZ 85018-1531</t>
  </si>
  <si>
    <t xml:space="preserve">115 E TONTO ST </t>
  </si>
  <si>
    <t xml:space="preserve"> AZ 85004-2741</t>
  </si>
  <si>
    <t>4494 W. Peoria Ave. Suite #120</t>
  </si>
  <si>
    <t xml:space="preserve"> Glendale</t>
  </si>
  <si>
    <t xml:space="preserve"> AZ 85302</t>
  </si>
  <si>
    <t>4494 W Peoria Ave</t>
  </si>
  <si>
    <t xml:space="preserve"> STE 120</t>
  </si>
  <si>
    <t xml:space="preserve">4831 E 22ND ST </t>
  </si>
  <si>
    <t xml:space="preserve"> AZ 85711-4903</t>
  </si>
  <si>
    <t xml:space="preserve">8801 N 43RD AVE </t>
  </si>
  <si>
    <t xml:space="preserve"> AZ 85051-3641</t>
  </si>
  <si>
    <t xml:space="preserve">1010 W SOUTHERN AVE STE 3 </t>
  </si>
  <si>
    <t xml:space="preserve"> AZ 85210-4983</t>
  </si>
  <si>
    <t>1236 S STAPLEY DR</t>
  </si>
  <si>
    <t xml:space="preserve"> AZ 85204-5842</t>
  </si>
  <si>
    <t xml:space="preserve">1236 S STAPLEY DR </t>
  </si>
  <si>
    <t>10740 W Lower Buckeye Rd</t>
  </si>
  <si>
    <t xml:space="preserve"> Avondale</t>
  </si>
  <si>
    <t xml:space="preserve"> AZ 85323-9655</t>
  </si>
  <si>
    <t xml:space="preserve">10740 W LOWER BUCKEYE RD STE 101 </t>
  </si>
  <si>
    <t>1308 Stockton Hill #189</t>
  </si>
  <si>
    <t xml:space="preserve"> Kingman</t>
  </si>
  <si>
    <t xml:space="preserve"> AZ 86401</t>
  </si>
  <si>
    <t xml:space="preserve">1475 E GORDON DR </t>
  </si>
  <si>
    <t xml:space="preserve"> KINGMAN</t>
  </si>
  <si>
    <t xml:space="preserve"> AZ 86409-2473</t>
  </si>
  <si>
    <t>1504 Liberty St.</t>
  </si>
  <si>
    <t>1504 Liberty St</t>
  </si>
  <si>
    <t>PO BOX 12927</t>
  </si>
  <si>
    <t xml:space="preserve"> SAN LUIS</t>
  </si>
  <si>
    <t xml:space="preserve"> AZ 85349-6903</t>
  </si>
  <si>
    <t>144 W Brenda St.</t>
  </si>
  <si>
    <t xml:space="preserve">3330 E CAMELBACK RD </t>
  </si>
  <si>
    <t xml:space="preserve"> AZ 85018-2310</t>
  </si>
  <si>
    <t>7520 E 2ND ST STE 5</t>
  </si>
  <si>
    <t xml:space="preserve"> AZ 85251-4532</t>
  </si>
  <si>
    <t>PO BOX 490</t>
  </si>
  <si>
    <t xml:space="preserve"> AZ 85252-0490</t>
  </si>
  <si>
    <t>PO BOX 6483</t>
  </si>
  <si>
    <t xml:space="preserve"> MOHAVE VALLEY</t>
  </si>
  <si>
    <t xml:space="preserve"> AZ 86446-6483</t>
  </si>
  <si>
    <t>1603 E PLANTATION RD</t>
  </si>
  <si>
    <t xml:space="preserve"> AZ 86440</t>
  </si>
  <si>
    <t>PO BOX 5205</t>
  </si>
  <si>
    <t xml:space="preserve"> BISBEE</t>
  </si>
  <si>
    <t xml:space="preserve"> AZ 85603-5205</t>
  </si>
  <si>
    <t>405 ARIZONA ST</t>
  </si>
  <si>
    <t xml:space="preserve"> AZ 85603-1503</t>
  </si>
  <si>
    <t>4309 E BELLEVIEW ST BLDG 14</t>
  </si>
  <si>
    <t xml:space="preserve"> AZ 85008-5409</t>
  </si>
  <si>
    <t xml:space="preserve">4309 E BELLEVIEW ST BLDG 14 </t>
  </si>
  <si>
    <t xml:space="preserve">10257 E APACHE TRL </t>
  </si>
  <si>
    <t xml:space="preserve"> Apache Junction</t>
  </si>
  <si>
    <t xml:space="preserve"> AZ 85120-3203</t>
  </si>
  <si>
    <t>50699 PO Box</t>
  </si>
  <si>
    <t xml:space="preserve"> Mesa</t>
  </si>
  <si>
    <t xml:space="preserve"> AZ 85208</t>
  </si>
  <si>
    <t>420 W COTTONWOOD LN</t>
  </si>
  <si>
    <t xml:space="preserve"> AZ 85122-2329</t>
  </si>
  <si>
    <t xml:space="preserve">420 W COTTONWOOD LN </t>
  </si>
  <si>
    <t xml:space="preserve">4302 E BROADWAY RD </t>
  </si>
  <si>
    <t xml:space="preserve"> AZ 85040-8808</t>
  </si>
  <si>
    <t xml:space="preserve">1750 E PRINCE RD </t>
  </si>
  <si>
    <t xml:space="preserve"> AZ 85719-1927</t>
  </si>
  <si>
    <t xml:space="preserve">1620 W CAMELBACK RD </t>
  </si>
  <si>
    <t xml:space="preserve"> AZ 85015-3514</t>
  </si>
  <si>
    <t>4798 W. 3rd St.</t>
  </si>
  <si>
    <t xml:space="preserve"> Yuma</t>
  </si>
  <si>
    <t xml:space="preserve"> AZ 85364</t>
  </si>
  <si>
    <t xml:space="preserve">1403 S 5TH AVE </t>
  </si>
  <si>
    <t xml:space="preserve"> AZ 85364-4648</t>
  </si>
  <si>
    <t>2464 W 8TH ST</t>
  </si>
  <si>
    <t xml:space="preserve"> AZ 85364-2708</t>
  </si>
  <si>
    <t>2710 W SOUTHERN AVE STE 101</t>
  </si>
  <si>
    <t xml:space="preserve"> AZ 85041-4501</t>
  </si>
  <si>
    <t>2710 W. Southern Ave.</t>
  </si>
  <si>
    <t xml:space="preserve"> AZ 85041</t>
  </si>
  <si>
    <t xml:space="preserve">2375 S AVENUE A </t>
  </si>
  <si>
    <t xml:space="preserve"> AZ 85364-8316</t>
  </si>
  <si>
    <t xml:space="preserve">3842 W ROOSEVELT ST </t>
  </si>
  <si>
    <t xml:space="preserve"> AZ 85009-3212</t>
  </si>
  <si>
    <t xml:space="preserve">1456 E BROADWAY RD </t>
  </si>
  <si>
    <t xml:space="preserve"> AZ 85204-2343</t>
  </si>
  <si>
    <t xml:space="preserve">752 W SANDRA TER </t>
  </si>
  <si>
    <t xml:space="preserve"> AZ 85023-3586</t>
  </si>
  <si>
    <t xml:space="preserve">2121 E BROADWAY RD </t>
  </si>
  <si>
    <t xml:space="preserve"> AZ 85282-1705</t>
  </si>
  <si>
    <t>10601 N. 43rdStreet</t>
  </si>
  <si>
    <t xml:space="preserve"> AZ 85028</t>
  </si>
  <si>
    <t>2121 E BROADWAY RD</t>
  </si>
  <si>
    <t>3920 E SOUTHERN AVE</t>
  </si>
  <si>
    <t xml:space="preserve"> AZ 85040-3962</t>
  </si>
  <si>
    <t>10601 N 43RD ST</t>
  </si>
  <si>
    <t xml:space="preserve"> AZ 85028-3504</t>
  </si>
  <si>
    <t xml:space="preserve">8767 E VIA DE VENTURA STE 240 </t>
  </si>
  <si>
    <t xml:space="preserve"> AZ 85258-3382</t>
  </si>
  <si>
    <t xml:space="preserve">1486 N BOOTHILL DR </t>
  </si>
  <si>
    <t xml:space="preserve"> CAMP VERDE</t>
  </si>
  <si>
    <t xml:space="preserve"> AZ 86322-7425</t>
  </si>
  <si>
    <t xml:space="preserve">738 S PARKS DR </t>
  </si>
  <si>
    <t xml:space="preserve"> AZ 86322-7200</t>
  </si>
  <si>
    <t>2904 E ROOSEVELT ST</t>
  </si>
  <si>
    <t xml:space="preserve"> AZ 85008-5040</t>
  </si>
  <si>
    <t>320 E. Yavapai</t>
  </si>
  <si>
    <t xml:space="preserve"> AZ 85705</t>
  </si>
  <si>
    <t>321 E YAVAPAI RD</t>
  </si>
  <si>
    <t xml:space="preserve"> AZ 85705-3651</t>
  </si>
  <si>
    <t xml:space="preserve">4910 W NORTHERN AVE </t>
  </si>
  <si>
    <t xml:space="preserve"> AZ 85301-1546</t>
  </si>
  <si>
    <t>1120 N 5TH AVE</t>
  </si>
  <si>
    <t xml:space="preserve"> AZ 85705-</t>
  </si>
  <si>
    <t xml:space="preserve">328 East Helen Street </t>
  </si>
  <si>
    <t>1101 N 4TH AVE</t>
  </si>
  <si>
    <t xml:space="preserve"> AZ 85705-7467</t>
  </si>
  <si>
    <t xml:space="preserve">1101 N 4TH AVE </t>
  </si>
  <si>
    <t>1440 W AJO WAY</t>
  </si>
  <si>
    <t xml:space="preserve"> AZ 85713-5736</t>
  </si>
  <si>
    <t xml:space="preserve">1609 N STONE AVE </t>
  </si>
  <si>
    <t xml:space="preserve"> AZ 85705-6635</t>
  </si>
  <si>
    <t>690 E 32ND ST</t>
  </si>
  <si>
    <t xml:space="preserve"> AZ 85365-3437</t>
  </si>
  <si>
    <t>140 W SPEEDWAY BLVD STE 230</t>
  </si>
  <si>
    <t xml:space="preserve"> AZ 85705-7688</t>
  </si>
  <si>
    <t>1842 S CRISMON RD</t>
  </si>
  <si>
    <t xml:space="preserve"> AZ 85209-3706</t>
  </si>
  <si>
    <t>1338 PO Box</t>
  </si>
  <si>
    <t xml:space="preserve"> Surprise</t>
  </si>
  <si>
    <t xml:space="preserve"> AZ 85378</t>
  </si>
  <si>
    <t xml:space="preserve">1300 S 10TH ST </t>
  </si>
  <si>
    <t xml:space="preserve"> AZ 85034-4516</t>
  </si>
  <si>
    <t xml:space="preserve">2800 E BROADWAY BLVD </t>
  </si>
  <si>
    <t xml:space="preserve"> AZ 85716-5310</t>
  </si>
  <si>
    <t xml:space="preserve">2334 E POLK ST </t>
  </si>
  <si>
    <t xml:space="preserve"> AZ 85006-3916</t>
  </si>
  <si>
    <t xml:space="preserve">1791 W UNIVERSITY DR STE 166 </t>
  </si>
  <si>
    <t xml:space="preserve"> AZ 85281-3252</t>
  </si>
  <si>
    <t>1702 PO Box</t>
  </si>
  <si>
    <t xml:space="preserve"> Lakeside</t>
  </si>
  <si>
    <t xml:space="preserve"> AZ 85929</t>
  </si>
  <si>
    <t xml:space="preserve">3301 N 32ND ST </t>
  </si>
  <si>
    <t xml:space="preserve"> AZ 85018-6205</t>
  </si>
  <si>
    <t xml:space="preserve">330 N COMMERCE PARK LOOP STE 100 </t>
  </si>
  <si>
    <t xml:space="preserve"> AZ 85745-2790</t>
  </si>
  <si>
    <t xml:space="preserve">5035 N 35TH AVE </t>
  </si>
  <si>
    <t xml:space="preserve"> AZ 85017-3023</t>
  </si>
  <si>
    <t xml:space="preserve">2830 N 43RD AVE </t>
  </si>
  <si>
    <t xml:space="preserve"> AZ 85009-1017</t>
  </si>
  <si>
    <t xml:space="preserve">5027 N 35TH AVE </t>
  </si>
  <si>
    <t xml:space="preserve"> AZ 85017-</t>
  </si>
  <si>
    <t xml:space="preserve">8935 N 35TH AVE </t>
  </si>
  <si>
    <t xml:space="preserve"> AZ 85051-3805</t>
  </si>
  <si>
    <t>3472 E FORT LOWELL RD</t>
  </si>
  <si>
    <t xml:space="preserve"> AZ 85716-1638</t>
  </si>
  <si>
    <t xml:space="preserve">1842 S CRISMON RD </t>
  </si>
  <si>
    <t>7615 South 55th Avenue</t>
  </si>
  <si>
    <t xml:space="preserve"> Laveen</t>
  </si>
  <si>
    <t xml:space="preserve"> AZ 85339</t>
  </si>
  <si>
    <t xml:space="preserve">20600 N JOHN WAYNE PKWY </t>
  </si>
  <si>
    <t xml:space="preserve"> AZ 85139-5811</t>
  </si>
  <si>
    <t xml:space="preserve">8055 E BROADWAY BLVD </t>
  </si>
  <si>
    <t xml:space="preserve"> AZ 85710-3963</t>
  </si>
  <si>
    <t xml:space="preserve">1550 N COUNTRY CLUB RD UNIT 8103 BLDG 8 </t>
  </si>
  <si>
    <t xml:space="preserve"> AZ 85716-3145</t>
  </si>
  <si>
    <t>3120 E. Adams Street 5</t>
  </si>
  <si>
    <t xml:space="preserve"> AZ 85716</t>
  </si>
  <si>
    <t xml:space="preserve">21333 HAGGERTY RD STE 300 </t>
  </si>
  <si>
    <t xml:space="preserve"> NOVI</t>
  </si>
  <si>
    <t xml:space="preserve"> MI 48375-5537</t>
  </si>
  <si>
    <t>21333 HAGGERTY RD STE 100</t>
  </si>
  <si>
    <t xml:space="preserve"> MI 48375-5513</t>
  </si>
  <si>
    <t>Childtime-1408</t>
  </si>
  <si>
    <t xml:space="preserve">3011 W BELL RD </t>
  </si>
  <si>
    <t xml:space="preserve"> AZ 85053-3058</t>
  </si>
  <si>
    <t>Childtime-1409</t>
  </si>
  <si>
    <t xml:space="preserve">1212 E GLENDALE AVE </t>
  </si>
  <si>
    <t xml:space="preserve"> AZ 85020-5419</t>
  </si>
  <si>
    <t xml:space="preserve">4859 E GREENWAY RD </t>
  </si>
  <si>
    <t xml:space="preserve"> AZ 85254-1686</t>
  </si>
  <si>
    <t>Childtime-1413</t>
  </si>
  <si>
    <t>Childtime-1414</t>
  </si>
  <si>
    <t xml:space="preserve">5050 E WARNER RD </t>
  </si>
  <si>
    <t xml:space="preserve"> AZ 85044-3312</t>
  </si>
  <si>
    <t>7420 S Rural Rd 8</t>
  </si>
  <si>
    <t xml:space="preserve"> Tempe</t>
  </si>
  <si>
    <t xml:space="preserve"> AZ 85283</t>
  </si>
  <si>
    <t>Childtime-1421</t>
  </si>
  <si>
    <t>Childtime-1433</t>
  </si>
  <si>
    <t xml:space="preserve">5930 W GREENWAY RD STE 15 </t>
  </si>
  <si>
    <t xml:space="preserve"> AZ 85306-3291</t>
  </si>
  <si>
    <t>Childtime-1436</t>
  </si>
  <si>
    <t>Childtime-1438</t>
  </si>
  <si>
    <t xml:space="preserve">10046 N 43RD AVE </t>
  </si>
  <si>
    <t xml:space="preserve"> AZ 85302-2718</t>
  </si>
  <si>
    <t>Childtime-1445</t>
  </si>
  <si>
    <t xml:space="preserve">3319 E BASELINE RD </t>
  </si>
  <si>
    <t xml:space="preserve"> AZ 85234-2633</t>
  </si>
  <si>
    <t>Childtime-1450</t>
  </si>
  <si>
    <t xml:space="preserve">5675 E RIVER RD </t>
  </si>
  <si>
    <t xml:space="preserve"> AZ 85750-1948</t>
  </si>
  <si>
    <t>Childtime-1460</t>
  </si>
  <si>
    <t>46358 PO Box</t>
  </si>
  <si>
    <t xml:space="preserve"> AZ 85063</t>
  </si>
  <si>
    <t xml:space="preserve">2602 N 51ST AVE </t>
  </si>
  <si>
    <t xml:space="preserve"> AZ 85035-2020</t>
  </si>
  <si>
    <t xml:space="preserve">7840 W LOWER BUCKEYE RD </t>
  </si>
  <si>
    <t>14631 N SCOTTSDALE RD STE 200</t>
  </si>
  <si>
    <t xml:space="preserve"> AZ 85254-2786</t>
  </si>
  <si>
    <t>1755 N 34TH AVE</t>
  </si>
  <si>
    <t xml:space="preserve"> AZ 85009-2451</t>
  </si>
  <si>
    <t>7170 PO Box</t>
  </si>
  <si>
    <t>963 B St.</t>
  </si>
  <si>
    <t>6755 PO Box</t>
  </si>
  <si>
    <t xml:space="preserve"> AZ 85178</t>
  </si>
  <si>
    <t>5631 N 35th Dr</t>
  </si>
  <si>
    <t xml:space="preserve"> AZ 85019-4528</t>
  </si>
  <si>
    <t xml:space="preserve">3401 E WILDS RD </t>
  </si>
  <si>
    <t xml:space="preserve"> CATALINA</t>
  </si>
  <si>
    <t xml:space="preserve"> AZ 85739-9510</t>
  </si>
  <si>
    <t>655 S CRAYCROFT RD</t>
  </si>
  <si>
    <t xml:space="preserve"> AZ 85711-7107</t>
  </si>
  <si>
    <t>Chapter House Road N-4/Across from Cottonwood Day</t>
  </si>
  <si>
    <t xml:space="preserve"> Chinle</t>
  </si>
  <si>
    <t xml:space="preserve"> AZ 86503</t>
  </si>
  <si>
    <t>1139 PO Box</t>
  </si>
  <si>
    <t xml:space="preserve">2550 N COUNTRY CLUB RD </t>
  </si>
  <si>
    <t xml:space="preserve"> AZ 85716-2504</t>
  </si>
  <si>
    <t xml:space="preserve">2562 N COUNTRY CLUB RD </t>
  </si>
  <si>
    <t>4143 N AVENIDA DE MONTEZUMA</t>
  </si>
  <si>
    <t xml:space="preserve"> AZ 85749-9176</t>
  </si>
  <si>
    <t>4535 N JAY AVE</t>
  </si>
  <si>
    <t xml:space="preserve"> AZ 85705-2123</t>
  </si>
  <si>
    <t>80 N. Central</t>
  </si>
  <si>
    <t xml:space="preserve"> Colorado City</t>
  </si>
  <si>
    <t xml:space="preserve"> AZ 86021</t>
  </si>
  <si>
    <t xml:space="preserve">4107 N AVENIDA DE MONTEZUMA </t>
  </si>
  <si>
    <t xml:space="preserve">2690 N 1ST AVE </t>
  </si>
  <si>
    <t xml:space="preserve"> AZ 85719-2911</t>
  </si>
  <si>
    <t>814 E. Union Hills #20</t>
  </si>
  <si>
    <t xml:space="preserve"> AZ 85024</t>
  </si>
  <si>
    <t>4107 N AVENIDA DE MONTEZUMA</t>
  </si>
  <si>
    <t xml:space="preserve">1764 PASEO SAN LUIS </t>
  </si>
  <si>
    <t xml:space="preserve"> SIERRA VISTA</t>
  </si>
  <si>
    <t xml:space="preserve"> AZ 85635-4610</t>
  </si>
  <si>
    <t xml:space="preserve">2255 W INA RD </t>
  </si>
  <si>
    <t xml:space="preserve"> AZ 85741-2650</t>
  </si>
  <si>
    <t xml:space="preserve">2325 W SUNSET RD </t>
  </si>
  <si>
    <t xml:space="preserve"> AZ 85741-3809</t>
  </si>
  <si>
    <t xml:space="preserve">271 S 2ND AVE </t>
  </si>
  <si>
    <t xml:space="preserve"> AZ 85364-</t>
  </si>
  <si>
    <t xml:space="preserve">690 E 32ND ST </t>
  </si>
  <si>
    <t>7370 S SORREL LN</t>
  </si>
  <si>
    <t xml:space="preserve"> AZ 85746-9032</t>
  </si>
  <si>
    <t xml:space="preserve">1100 E SHELDON ST </t>
  </si>
  <si>
    <t xml:space="preserve"> PRESCOTT</t>
  </si>
  <si>
    <t xml:space="preserve"> AZ 86301-3220</t>
  </si>
  <si>
    <t xml:space="preserve">3335 W GREENWAY RD </t>
  </si>
  <si>
    <t xml:space="preserve"> AZ 85053-3806</t>
  </si>
  <si>
    <t>13615 N 35TH AVE STE 7</t>
  </si>
  <si>
    <t xml:space="preserve">2339 N HAYDEN RD </t>
  </si>
  <si>
    <t xml:space="preserve"> AZ 85257-2301</t>
  </si>
  <si>
    <t>15637 N HOLLYHOCK ST</t>
  </si>
  <si>
    <t xml:space="preserve"> SURPRISE</t>
  </si>
  <si>
    <t xml:space="preserve"> AZ 85378-4174</t>
  </si>
  <si>
    <t>8601 W IRONWOOD DR</t>
  </si>
  <si>
    <t xml:space="preserve"> AZ 85345-6433</t>
  </si>
  <si>
    <t xml:space="preserve">7730 N ORACLE RD </t>
  </si>
  <si>
    <t xml:space="preserve"> AZ 85704-6313</t>
  </si>
  <si>
    <t>7611 W Thomas Rd</t>
  </si>
  <si>
    <t xml:space="preserve"> AZ 85033</t>
  </si>
  <si>
    <t>7611 W Thomas Road</t>
  </si>
  <si>
    <t xml:space="preserve">740 E SPEEDWAY BLVD </t>
  </si>
  <si>
    <t xml:space="preserve"> AZ 85719-4436</t>
  </si>
  <si>
    <t>7400 E. Olive Ave.</t>
  </si>
  <si>
    <t xml:space="preserve"> AZ 85719</t>
  </si>
  <si>
    <t xml:space="preserve">802 W 19TH ST </t>
  </si>
  <si>
    <t xml:space="preserve"> AZ 85364-5423</t>
  </si>
  <si>
    <t>548 W SOUTHERN AVE</t>
  </si>
  <si>
    <t xml:space="preserve"> AZ 85041-4811</t>
  </si>
  <si>
    <t>6601 E BROADWAY BLVD</t>
  </si>
  <si>
    <t xml:space="preserve"> AZ 85710-3507</t>
  </si>
  <si>
    <t>1425 W SOUTHERN AVE STE 7</t>
  </si>
  <si>
    <t xml:space="preserve"> AZ 85282-4403</t>
  </si>
  <si>
    <t>5644 S 16th St</t>
  </si>
  <si>
    <t xml:space="preserve"> AZ 85040-3511</t>
  </si>
  <si>
    <t>PO BOX 51120</t>
  </si>
  <si>
    <t xml:space="preserve"> AZ 85208-0056</t>
  </si>
  <si>
    <t>1207 N. Country Club</t>
  </si>
  <si>
    <t xml:space="preserve"> AZ 85201</t>
  </si>
  <si>
    <t xml:space="preserve">5050 W LAREDO ST </t>
  </si>
  <si>
    <t xml:space="preserve"> AZ 85226-1973</t>
  </si>
  <si>
    <t>Early Explorers LLC</t>
  </si>
  <si>
    <t xml:space="preserve">3639 N 29TH ST </t>
  </si>
  <si>
    <t xml:space="preserve"> AZ 85016-7006</t>
  </si>
  <si>
    <t xml:space="preserve">908 N ALMA SCHOOL RD </t>
  </si>
  <si>
    <t xml:space="preserve"> AZ 85224-3665</t>
  </si>
  <si>
    <t>15630 N 7TH ST</t>
  </si>
  <si>
    <t xml:space="preserve"> AZ 85022-3533</t>
  </si>
  <si>
    <t>5680 W PEORIA AVE</t>
  </si>
  <si>
    <t xml:space="preserve"> AZ 85302-1400</t>
  </si>
  <si>
    <t>538 W HIGHLAND AVE</t>
  </si>
  <si>
    <t xml:space="preserve"> AZ 85013-2735</t>
  </si>
  <si>
    <t xml:space="preserve">7117 E ADDIS AVE </t>
  </si>
  <si>
    <t xml:space="preserve"> AZ 86314-3113</t>
  </si>
  <si>
    <t>7117 E ADDIS AVE</t>
  </si>
  <si>
    <t xml:space="preserve"> PRESCOTT VLY</t>
  </si>
  <si>
    <t>2038 E Mendez St</t>
  </si>
  <si>
    <t xml:space="preserve">11530 E QUEEN CREEK RD </t>
  </si>
  <si>
    <t xml:space="preserve"> AZ 85286-2025</t>
  </si>
  <si>
    <t>3333 E. Edna Lopez Court</t>
  </si>
  <si>
    <t>Bldg 700</t>
  </si>
  <si>
    <t xml:space="preserve"> Corner Ironwood &amp; Albro</t>
  </si>
  <si>
    <t xml:space="preserve"> AZ 85748</t>
  </si>
  <si>
    <t>5375 E. Kachina</t>
  </si>
  <si>
    <t xml:space="preserve">5305 E COMANCHE ST </t>
  </si>
  <si>
    <t xml:space="preserve"> Davisâ€“Monthan Air Force Base</t>
  </si>
  <si>
    <t xml:space="preserve"> AZ 85707-</t>
  </si>
  <si>
    <t xml:space="preserve">4425 N GRANITE REEF RD </t>
  </si>
  <si>
    <t xml:space="preserve"> AZ 85251-2834</t>
  </si>
  <si>
    <t xml:space="preserve">655 S CRAYCROFT RD </t>
  </si>
  <si>
    <t xml:space="preserve">161 N MESA DR </t>
  </si>
  <si>
    <t xml:space="preserve"> AZ 85201-6756</t>
  </si>
  <si>
    <t>765 PO Box</t>
  </si>
  <si>
    <t xml:space="preserve"> Litchfield Park</t>
  </si>
  <si>
    <t xml:space="preserve"> AZ 85340</t>
  </si>
  <si>
    <t xml:space="preserve">501 N 4TH ST </t>
  </si>
  <si>
    <t xml:space="preserve"> BUCKEYE</t>
  </si>
  <si>
    <t xml:space="preserve"> AZ 85326-2767</t>
  </si>
  <si>
    <t xml:space="preserve">1025 S KELLI LN </t>
  </si>
  <si>
    <t xml:space="preserve"> COTTONWOOD</t>
  </si>
  <si>
    <t xml:space="preserve"> AZ 86326-5629</t>
  </si>
  <si>
    <t xml:space="preserve">406 N 1ST ST </t>
  </si>
  <si>
    <t xml:space="preserve"> AZ 85326-2300</t>
  </si>
  <si>
    <t xml:space="preserve">PO BOX 4424 </t>
  </si>
  <si>
    <t xml:space="preserve"> AZ 86326-2574</t>
  </si>
  <si>
    <t xml:space="preserve">925 S CAMINO REAL </t>
  </si>
  <si>
    <t xml:space="preserve"> AZ 86326-4532</t>
  </si>
  <si>
    <t xml:space="preserve">850 N BONITO ST </t>
  </si>
  <si>
    <t xml:space="preserve"> FLAGSTAFF</t>
  </si>
  <si>
    <t xml:space="preserve"> AZ 86001-1580</t>
  </si>
  <si>
    <t xml:space="preserve">PO BOX 428 </t>
  </si>
  <si>
    <t xml:space="preserve"> AZ 86002-0428</t>
  </si>
  <si>
    <t xml:space="preserve">3285 E SPARROW AVE </t>
  </si>
  <si>
    <t xml:space="preserve"> AZ 86004-7794</t>
  </si>
  <si>
    <t>3335 W Greenway Rod</t>
  </si>
  <si>
    <t xml:space="preserve"> AZ 85053</t>
  </si>
  <si>
    <t>Building 51301 Cushing Street</t>
  </si>
  <si>
    <t xml:space="preserve"> Fort Huachuca</t>
  </si>
  <si>
    <t xml:space="preserve"> AZ 85613</t>
  </si>
  <si>
    <t>7440 E MAIN ST STE 9</t>
  </si>
  <si>
    <t xml:space="preserve"> AZ 85207-8300</t>
  </si>
  <si>
    <t>ATZS-MWF-CY Bldg 49013 Cushing Ave.</t>
  </si>
  <si>
    <t xml:space="preserve"> FORT HUACHUCA</t>
  </si>
  <si>
    <t>4541 N 7TH ST</t>
  </si>
  <si>
    <t xml:space="preserve"> AZ 85014-3827</t>
  </si>
  <si>
    <t>1620 W CAMELBACK RD</t>
  </si>
  <si>
    <t>345 W. Drachman St.</t>
  </si>
  <si>
    <t>1524 S Columbus Blvd</t>
  </si>
  <si>
    <t xml:space="preserve"> #6</t>
  </si>
  <si>
    <t xml:space="preserve"> AZ 85711-5676</t>
  </si>
  <si>
    <t>345 W Drachman St</t>
  </si>
  <si>
    <t xml:space="preserve"> AZ 85705-7229</t>
  </si>
  <si>
    <t>1330 N 15TH ST</t>
  </si>
  <si>
    <t xml:space="preserve"> AZ 85006-2911</t>
  </si>
  <si>
    <t xml:space="preserve">1010 S ELLSWORTH RD </t>
  </si>
  <si>
    <t xml:space="preserve"> AZ 85208-2957</t>
  </si>
  <si>
    <t>3450 E VAN BUREN ST</t>
  </si>
  <si>
    <t xml:space="preserve"> AZ 85008-6815</t>
  </si>
  <si>
    <t xml:space="preserve">3950 N VALORIE DR </t>
  </si>
  <si>
    <t xml:space="preserve"> AZ 86314-8234</t>
  </si>
  <si>
    <t>1300 S 10TH ST</t>
  </si>
  <si>
    <t>1625 N 39TH AVE</t>
  </si>
  <si>
    <t xml:space="preserve"> AZ 85009-2149</t>
  </si>
  <si>
    <t xml:space="preserve">1625 N 39TH AVE </t>
  </si>
  <si>
    <t xml:space="preserve">1133 S DOBSON RD STE 101 </t>
  </si>
  <si>
    <t xml:space="preserve"> AZ 85202-3942</t>
  </si>
  <si>
    <t>10841 S 48TH ST</t>
  </si>
  <si>
    <t xml:space="preserve"> AZ 85044-1716</t>
  </si>
  <si>
    <t xml:space="preserve">1730 KINO AVE </t>
  </si>
  <si>
    <t xml:space="preserve"> AZ 86409-3083</t>
  </si>
  <si>
    <t xml:space="preserve"> AZ 85017-4046</t>
  </si>
  <si>
    <t xml:space="preserve">132 E PRINCE RD </t>
  </si>
  <si>
    <t xml:space="preserve"> AZ 85705-3636</t>
  </si>
  <si>
    <t>3020 E CACTUS RD</t>
  </si>
  <si>
    <t xml:space="preserve"> AZ 85032-7113</t>
  </si>
  <si>
    <t xml:space="preserve">3020 E CACTUS RD </t>
  </si>
  <si>
    <t>2221 N ROSEMONT BLVD</t>
  </si>
  <si>
    <t xml:space="preserve"> AZ 85712-2113</t>
  </si>
  <si>
    <t>501 E. Farness Drive</t>
  </si>
  <si>
    <t xml:space="preserve"> AZ 85712</t>
  </si>
  <si>
    <t>4851 W SADDLEHORN RD</t>
  </si>
  <si>
    <t xml:space="preserve"> AZ 85083-2219</t>
  </si>
  <si>
    <t>4477 W OLIVE AVE</t>
  </si>
  <si>
    <t xml:space="preserve"> AZ 85302-3827</t>
  </si>
  <si>
    <t xml:space="preserve">13033 N 35TH AVE </t>
  </si>
  <si>
    <t xml:space="preserve"> AZ 85029-1266</t>
  </si>
  <si>
    <t xml:space="preserve">6727 W BETHANY HOME RD </t>
  </si>
  <si>
    <t xml:space="preserve"> AZ 85303-4401</t>
  </si>
  <si>
    <t xml:space="preserve">11607 S FORTUNA RD </t>
  </si>
  <si>
    <t xml:space="preserve"> AZ 85367-7666</t>
  </si>
  <si>
    <t>802 W 19TH ST</t>
  </si>
  <si>
    <t>11607 S FORTUNA RD</t>
  </si>
  <si>
    <t>6740 S Santa Clara Ave</t>
  </si>
  <si>
    <t xml:space="preserve"> AZ 85756-6450</t>
  </si>
  <si>
    <t xml:space="preserve">11172 PO Box </t>
  </si>
  <si>
    <t xml:space="preserve"> AZ 85734-1172</t>
  </si>
  <si>
    <t>1456 Babbitt Ln</t>
  </si>
  <si>
    <t>3157 E IRWIN AVE</t>
  </si>
  <si>
    <t xml:space="preserve"> AZ 85204-7272</t>
  </si>
  <si>
    <t>1601 W SHERMAN ST</t>
  </si>
  <si>
    <t xml:space="preserve"> AZ 85007-3303</t>
  </si>
  <si>
    <t>2302 West Colter St.</t>
  </si>
  <si>
    <t xml:space="preserve"> AZ 85015</t>
  </si>
  <si>
    <t>475 Hualapai Drive</t>
  </si>
  <si>
    <t xml:space="preserve"> Peach Springs</t>
  </si>
  <si>
    <t xml:space="preserve"> AZ 86434</t>
  </si>
  <si>
    <t>PO BOX 179</t>
  </si>
  <si>
    <t xml:space="preserve"> PEACH SPRINGS</t>
  </si>
  <si>
    <t xml:space="preserve"> AZ 86434-0179</t>
  </si>
  <si>
    <t>941 Hualapai Way</t>
  </si>
  <si>
    <t xml:space="preserve">PO BOX 179 </t>
  </si>
  <si>
    <t>402 PO Box</t>
  </si>
  <si>
    <t xml:space="preserve"> Oracle</t>
  </si>
  <si>
    <t xml:space="preserve"> AZ 85623</t>
  </si>
  <si>
    <t xml:space="preserve">1885 W AMERICAN AVE </t>
  </si>
  <si>
    <t xml:space="preserve"> ORACLE</t>
  </si>
  <si>
    <t xml:space="preserve"> AZ 85623-6016</t>
  </si>
  <si>
    <t>1162 PO Box</t>
  </si>
  <si>
    <t xml:space="preserve"> Page</t>
  </si>
  <si>
    <t xml:space="preserve"> AZ 86040</t>
  </si>
  <si>
    <t>213 Lake Powell Blvd</t>
  </si>
  <si>
    <t>1313 E THIRD ST</t>
  </si>
  <si>
    <t xml:space="preserve"> WINSLOW</t>
  </si>
  <si>
    <t xml:space="preserve"> AZ 86047-4401</t>
  </si>
  <si>
    <t xml:space="preserve">525 N GRANDE AVE </t>
  </si>
  <si>
    <t xml:space="preserve"> AZ 85745-2669</t>
  </si>
  <si>
    <t xml:space="preserve">3738 E GRANT RD </t>
  </si>
  <si>
    <t xml:space="preserve"> AZ 85716-2936</t>
  </si>
  <si>
    <t xml:space="preserve">5802 S 7TH AVE </t>
  </si>
  <si>
    <t xml:space="preserve"> AZ 85041-4802</t>
  </si>
  <si>
    <t xml:space="preserve">705 E BASELINE RD </t>
  </si>
  <si>
    <t xml:space="preserve"> AZ 85326-1327</t>
  </si>
  <si>
    <t>705 E BASELINE RD</t>
  </si>
  <si>
    <t>1024 W UNIVERSITY DR</t>
  </si>
  <si>
    <t xml:space="preserve"> AZ 85201-5523</t>
  </si>
  <si>
    <t>602 N MONDEL DR</t>
  </si>
  <si>
    <t xml:space="preserve"> AZ 85233-4116</t>
  </si>
  <si>
    <t xml:space="preserve">5316 E PIMA ST </t>
  </si>
  <si>
    <t xml:space="preserve"> AZ 85712-3632</t>
  </si>
  <si>
    <t>PO Box 1111</t>
  </si>
  <si>
    <t xml:space="preserve"> AZ 85702</t>
  </si>
  <si>
    <t>1010 W Lind St</t>
  </si>
  <si>
    <t>4240 W DAISY ST</t>
  </si>
  <si>
    <t xml:space="preserve"> AZ 85364-3107</t>
  </si>
  <si>
    <t xml:space="preserve">4240 W DAISY ST </t>
  </si>
  <si>
    <t>1001 N WILMOT RD</t>
  </si>
  <si>
    <t xml:space="preserve"> AZ 85711-1716</t>
  </si>
  <si>
    <t xml:space="preserve">1001 N WILMOT RD </t>
  </si>
  <si>
    <t xml:space="preserve">4761 E 5TH ST </t>
  </si>
  <si>
    <t xml:space="preserve"> AZ 85711-2111</t>
  </si>
  <si>
    <t xml:space="preserve">4902 E AVENIDA DEL CAZADOR </t>
  </si>
  <si>
    <t xml:space="preserve"> AZ 85718-7259</t>
  </si>
  <si>
    <t xml:space="preserve">12482 W GREENWAY RD </t>
  </si>
  <si>
    <t xml:space="preserve"> AZ 85378-3624</t>
  </si>
  <si>
    <t xml:space="preserve">20348 E WARNER RD </t>
  </si>
  <si>
    <t xml:space="preserve"> AZ 85212-9655</t>
  </si>
  <si>
    <t>4940 E MCDOWELL RD</t>
  </si>
  <si>
    <t xml:space="preserve"> AZ 85008-4228</t>
  </si>
  <si>
    <t>N. Highway 163</t>
  </si>
  <si>
    <t xml:space="preserve"> Kayenta</t>
  </si>
  <si>
    <t xml:space="preserve"> AZ 86033</t>
  </si>
  <si>
    <t>PO BOX 337</t>
  </si>
  <si>
    <t xml:space="preserve"> KAYENTA</t>
  </si>
  <si>
    <t xml:space="preserve"> AZ 86033-0337</t>
  </si>
  <si>
    <t xml:space="preserve">242 W LESTER ST </t>
  </si>
  <si>
    <t xml:space="preserve"> AZ 85705-6552</t>
  </si>
  <si>
    <t xml:space="preserve">68 N 12TH ST </t>
  </si>
  <si>
    <t xml:space="preserve"> AZ 86326-3851</t>
  </si>
  <si>
    <t xml:space="preserve">7831 N 51ST AVE </t>
  </si>
  <si>
    <t xml:space="preserve"> AZ 85301-1401</t>
  </si>
  <si>
    <t xml:space="preserve">1929 W FILLMORE ST </t>
  </si>
  <si>
    <t xml:space="preserve"> AZ 85009-3812</t>
  </si>
  <si>
    <t>1918 W. Van Buren St.</t>
  </si>
  <si>
    <t xml:space="preserve"> AZ 85009</t>
  </si>
  <si>
    <t>PO BOX 6057</t>
  </si>
  <si>
    <t xml:space="preserve"> AZ 85005-6057</t>
  </si>
  <si>
    <t xml:space="preserve">2430 S 1ST AVE </t>
  </si>
  <si>
    <t xml:space="preserve"> AZ 85364-8538</t>
  </si>
  <si>
    <t xml:space="preserve">2300 E 6TH AVE </t>
  </si>
  <si>
    <t xml:space="preserve"> AZ 86004-4247</t>
  </si>
  <si>
    <t xml:space="preserve">6606 E LEHIGH DR </t>
  </si>
  <si>
    <t xml:space="preserve"> AZ 85710-4609</t>
  </si>
  <si>
    <t>3616 PO Box</t>
  </si>
  <si>
    <t xml:space="preserve"> Show Low</t>
  </si>
  <si>
    <t xml:space="preserve"> AZ 85902</t>
  </si>
  <si>
    <t xml:space="preserve">7040 FIR DR </t>
  </si>
  <si>
    <t xml:space="preserve"> SHOW LOW</t>
  </si>
  <si>
    <t xml:space="preserve"> AZ 85901-8210</t>
  </si>
  <si>
    <t xml:space="preserve">2454 E BROADWAY RD </t>
  </si>
  <si>
    <t xml:space="preserve"> AZ 85040-2622</t>
  </si>
  <si>
    <t xml:space="preserve">2815 VAN MARTER DR </t>
  </si>
  <si>
    <t xml:space="preserve"> AZ 86401-4265</t>
  </si>
  <si>
    <t xml:space="preserve">2302 LILLIE AVE </t>
  </si>
  <si>
    <t xml:space="preserve"> AZ 86401-6409</t>
  </si>
  <si>
    <t xml:space="preserve">3645 W BETHANY HOME RD </t>
  </si>
  <si>
    <t xml:space="preserve"> AZ 85019-1941</t>
  </si>
  <si>
    <t>3645 W BETHANY HOME RD</t>
  </si>
  <si>
    <t xml:space="preserve">393 W WARNER RD STE 105 </t>
  </si>
  <si>
    <t xml:space="preserve"> AZ 85225-3442</t>
  </si>
  <si>
    <t>3552 W Glendale Ave</t>
  </si>
  <si>
    <t xml:space="preserve"> AZ 85051</t>
  </si>
  <si>
    <t>PO BOX 81108</t>
  </si>
  <si>
    <t xml:space="preserve"> AZ 85069-1108</t>
  </si>
  <si>
    <t>3552 W. Glendale</t>
  </si>
  <si>
    <t>624 E Missouri Ave</t>
  </si>
  <si>
    <t xml:space="preserve"> AZ 85012-1327</t>
  </si>
  <si>
    <t xml:space="preserve">2637 W ORANGEWOOD AVE </t>
  </si>
  <si>
    <t xml:space="preserve"> AZ 85051-6723</t>
  </si>
  <si>
    <t>12450 N 35TH AVE STE 85</t>
  </si>
  <si>
    <t xml:space="preserve"> AZ 85029-3180</t>
  </si>
  <si>
    <t>848 S. Alma School Rd. Suite 1</t>
  </si>
  <si>
    <t xml:space="preserve"> AZ 85210</t>
  </si>
  <si>
    <t xml:space="preserve">848 S. Alma School Rd. </t>
  </si>
  <si>
    <t xml:space="preserve">162 N ESCALADA DR </t>
  </si>
  <si>
    <t xml:space="preserve"> NOGALES</t>
  </si>
  <si>
    <t xml:space="preserve"> AZ 85621-3220</t>
  </si>
  <si>
    <t xml:space="preserve">2350 S GILBERT RD </t>
  </si>
  <si>
    <t xml:space="preserve"> AZ 85286-1597</t>
  </si>
  <si>
    <t>2350 S GILBERT RD</t>
  </si>
  <si>
    <t>4848 E CACTUS RD STE 600</t>
  </si>
  <si>
    <t xml:space="preserve"> AZ 85254-4109</t>
  </si>
  <si>
    <t xml:space="preserve">6515 E MAIN ST STE 101 </t>
  </si>
  <si>
    <t xml:space="preserve"> AZ 85205-9012</t>
  </si>
  <si>
    <t xml:space="preserve">9132 E SOUTHERN AVE </t>
  </si>
  <si>
    <t xml:space="preserve"> AZ 85209-3710</t>
  </si>
  <si>
    <t>1819 W OSBORN RD</t>
  </si>
  <si>
    <t xml:space="preserve"> AZ 85015-5829</t>
  </si>
  <si>
    <t>6025 N 67TH AVE</t>
  </si>
  <si>
    <t xml:space="preserve"> AZ 85301-4901</t>
  </si>
  <si>
    <t>9006 W VILLA LINDO DR</t>
  </si>
  <si>
    <t xml:space="preserve"> AZ 85383-1802</t>
  </si>
  <si>
    <t xml:space="preserve">9150 W THOMAS RD </t>
  </si>
  <si>
    <t xml:space="preserve"> AZ 85037-3376</t>
  </si>
  <si>
    <t>41060 N IRONWOOD DR</t>
  </si>
  <si>
    <t xml:space="preserve"> AZ 85140-8719</t>
  </si>
  <si>
    <t>2109 S. Blue Jay Drive</t>
  </si>
  <si>
    <t xml:space="preserve"> Gilbert</t>
  </si>
  <si>
    <t xml:space="preserve"> AZ 85236</t>
  </si>
  <si>
    <t xml:space="preserve">5522 E GRANT RD </t>
  </si>
  <si>
    <t xml:space="preserve"> AZ 85712-2242</t>
  </si>
  <si>
    <t>460 E UNIVERSITY DR</t>
  </si>
  <si>
    <t xml:space="preserve"> AZ 85203-7924</t>
  </si>
  <si>
    <t>51120 PO Box</t>
  </si>
  <si>
    <t xml:space="preserve">460 E UNIVERSITY DR </t>
  </si>
  <si>
    <t>1207 N COUNTRY CLUB DR STE 1</t>
  </si>
  <si>
    <t xml:space="preserve"> AZ 85201-2500</t>
  </si>
  <si>
    <t xml:space="preserve">1430 W SOUTHERN AVE STE 3 </t>
  </si>
  <si>
    <t xml:space="preserve"> AZ 85202-4881</t>
  </si>
  <si>
    <t xml:space="preserve">3002 N ARIZONA AVE STE 16 </t>
  </si>
  <si>
    <t xml:space="preserve"> AZ 85225-7159</t>
  </si>
  <si>
    <t>4055 N 1ST AVE</t>
  </si>
  <si>
    <t xml:space="preserve"> AZ 85719-1006</t>
  </si>
  <si>
    <t>2051 N ARIZONA AVE STE 101</t>
  </si>
  <si>
    <t xml:space="preserve"> AZ 85225-3445</t>
  </si>
  <si>
    <t xml:space="preserve">7845 E GOLF LINKS RD </t>
  </si>
  <si>
    <t xml:space="preserve"> AZ 85730-1131</t>
  </si>
  <si>
    <t>7845 E GOLF LINKS RD</t>
  </si>
  <si>
    <t>3539 W BELL RD STE 11</t>
  </si>
  <si>
    <t xml:space="preserve"> AZ 85053-2978</t>
  </si>
  <si>
    <t xml:space="preserve">7949 W INDIAN SCHOOL RD </t>
  </si>
  <si>
    <t xml:space="preserve"> AZ 85033-2902</t>
  </si>
  <si>
    <t>10607 W HARMONY LN</t>
  </si>
  <si>
    <t xml:space="preserve"> AZ 85382-2571</t>
  </si>
  <si>
    <t>7949 W INDIAN SCHOOL RD</t>
  </si>
  <si>
    <t xml:space="preserve">2747 W SOUTHERN AVE STE 4 </t>
  </si>
  <si>
    <t xml:space="preserve"> AZ 85282-4240</t>
  </si>
  <si>
    <t>6213 S. Miller Rd. Ste 112</t>
  </si>
  <si>
    <t xml:space="preserve"> Buckeye</t>
  </si>
  <si>
    <t xml:space="preserve"> AZ 85326</t>
  </si>
  <si>
    <t xml:space="preserve">1233 FAWN BROOK DR STE E </t>
  </si>
  <si>
    <t xml:space="preserve"> AZ 85901-7605</t>
  </si>
  <si>
    <t>8776 E. Shea Blvd#106-574</t>
  </si>
  <si>
    <t xml:space="preserve"> AZ 85254-5183</t>
  </si>
  <si>
    <t>3130 N Hayden Road</t>
  </si>
  <si>
    <t xml:space="preserve"> Scottsdale</t>
  </si>
  <si>
    <t xml:space="preserve"> AZ 85251</t>
  </si>
  <si>
    <t>3259 W BASELINE RD</t>
  </si>
  <si>
    <t xml:space="preserve"> LAVEEN</t>
  </si>
  <si>
    <t xml:space="preserve">4312 W NORTHERN AVE </t>
  </si>
  <si>
    <t xml:space="preserve"> AZ 85301-1648</t>
  </si>
  <si>
    <t xml:space="preserve">4303 W SOLANO DR N </t>
  </si>
  <si>
    <t xml:space="preserve"> AZ 85301-6310</t>
  </si>
  <si>
    <t xml:space="preserve">500 S GILBERT RD </t>
  </si>
  <si>
    <t xml:space="preserve"> AZ 85296-2202</t>
  </si>
  <si>
    <t xml:space="preserve">150 N ELM ST </t>
  </si>
  <si>
    <t xml:space="preserve"> AZ 85226-3516</t>
  </si>
  <si>
    <t xml:space="preserve">1997 W ELLIOT RD </t>
  </si>
  <si>
    <t xml:space="preserve"> AZ 85224-1801</t>
  </si>
  <si>
    <t xml:space="preserve">9310 E GUADALUPE RD </t>
  </si>
  <si>
    <t xml:space="preserve"> AZ 85212-2132</t>
  </si>
  <si>
    <t xml:space="preserve">7277 N OLDFATHER DR </t>
  </si>
  <si>
    <t xml:space="preserve"> AZ 85741-1631</t>
  </si>
  <si>
    <t xml:space="preserve">10455 N LA CANADA DR </t>
  </si>
  <si>
    <t xml:space="preserve"> ORO VALLEY</t>
  </si>
  <si>
    <t xml:space="preserve"> AZ 85737-6945</t>
  </si>
  <si>
    <t xml:space="preserve">16044 N 29TH AVE </t>
  </si>
  <si>
    <t xml:space="preserve"> AZ 85053-4022</t>
  </si>
  <si>
    <t xml:space="preserve">6810 W THUNDERBIRD RD </t>
  </si>
  <si>
    <t xml:space="preserve"> AZ 85381-5025</t>
  </si>
  <si>
    <t xml:space="preserve">3660 E INVERNESS AVE </t>
  </si>
  <si>
    <t xml:space="preserve"> AZ 85206-3858</t>
  </si>
  <si>
    <t xml:space="preserve">7770 E WRIGHTSTOWN RD </t>
  </si>
  <si>
    <t xml:space="preserve"> AZ 85715-4330</t>
  </si>
  <si>
    <t xml:space="preserve">8425 E OLD SPANISH TRL </t>
  </si>
  <si>
    <t xml:space="preserve"> AZ 85710-4301</t>
  </si>
  <si>
    <t>1621 E 1st St</t>
  </si>
  <si>
    <t xml:space="preserve">3800 N CENTRAL AVE STE A1 </t>
  </si>
  <si>
    <t xml:space="preserve"> AZ 85012-1908</t>
  </si>
  <si>
    <t xml:space="preserve">1773 E MCNAIR DR </t>
  </si>
  <si>
    <t xml:space="preserve"> AZ 85283-5002</t>
  </si>
  <si>
    <t xml:space="preserve">1063 E MCKELLIPS RD </t>
  </si>
  <si>
    <t xml:space="preserve"> AZ 85203-2624</t>
  </si>
  <si>
    <t xml:space="preserve">10653 N 25TH AVE </t>
  </si>
  <si>
    <t xml:space="preserve"> AZ 85029-4758</t>
  </si>
  <si>
    <t>3524 West Union Hills</t>
  </si>
  <si>
    <t xml:space="preserve"> AZ 85004</t>
  </si>
  <si>
    <t xml:space="preserve">13746 W MCDOWELL RD </t>
  </si>
  <si>
    <t xml:space="preserve"> AZ 85395-2609</t>
  </si>
  <si>
    <t xml:space="preserve">7019 E BASELINE RD </t>
  </si>
  <si>
    <t xml:space="preserve"> AZ 85209-4803</t>
  </si>
  <si>
    <t xml:space="preserve">15630 W VAN BUREN ST </t>
  </si>
  <si>
    <t xml:space="preserve"> AZ 85338-2883</t>
  </si>
  <si>
    <t xml:space="preserve">7755 S 51ST AVE </t>
  </si>
  <si>
    <t xml:space="preserve"> AZ 85339-7308</t>
  </si>
  <si>
    <t xml:space="preserve">2862 S ALMA SCHOOL RD </t>
  </si>
  <si>
    <t xml:space="preserve"> AZ 85210-4029</t>
  </si>
  <si>
    <t xml:space="preserve">135 S VAL VISTA DR </t>
  </si>
  <si>
    <t xml:space="preserve"> AZ 85296-1371</t>
  </si>
  <si>
    <t>4120 E RANCH CIR N</t>
  </si>
  <si>
    <t xml:space="preserve"> AZ 85044-4686</t>
  </si>
  <si>
    <t xml:space="preserve">13831 N 30TH ST </t>
  </si>
  <si>
    <t xml:space="preserve"> AZ 85032-5669</t>
  </si>
  <si>
    <t xml:space="preserve">10406 N 51ST AVE </t>
  </si>
  <si>
    <t xml:space="preserve"> AZ 85302-1614</t>
  </si>
  <si>
    <t xml:space="preserve">1545 N PARKWAY DR </t>
  </si>
  <si>
    <t xml:space="preserve"> AZ 85234-5448</t>
  </si>
  <si>
    <t xml:space="preserve">20565 N FLETCHER WAY </t>
  </si>
  <si>
    <t xml:space="preserve"> AZ 85382-1453</t>
  </si>
  <si>
    <t xml:space="preserve">14851 S 46TH ST </t>
  </si>
  <si>
    <t xml:space="preserve"> AZ 85044-6860</t>
  </si>
  <si>
    <t xml:space="preserve">1000 N COUNTRY CLUB DR </t>
  </si>
  <si>
    <t xml:space="preserve"> AZ 85201-3308</t>
  </si>
  <si>
    <t>14851 S 46th St</t>
  </si>
  <si>
    <t>1000 N Country Club Dr</t>
  </si>
  <si>
    <t xml:space="preserve">1118 W GLENDALE AVE </t>
  </si>
  <si>
    <t xml:space="preserve"> AZ 85021-8635</t>
  </si>
  <si>
    <t xml:space="preserve">1601 S LONE TREE RD </t>
  </si>
  <si>
    <t xml:space="preserve"> AZ 86001-6446</t>
  </si>
  <si>
    <t>1729 E THOMAS RD</t>
  </si>
  <si>
    <t xml:space="preserve"> AZ 85016-7603</t>
  </si>
  <si>
    <t xml:space="preserve">1818 S COUNTRY CLUB RD </t>
  </si>
  <si>
    <t xml:space="preserve"> AZ 85713-2238</t>
  </si>
  <si>
    <t xml:space="preserve">1902 S JEFFERSON AVE </t>
  </si>
  <si>
    <t xml:space="preserve"> AZ 85711-6631</t>
  </si>
  <si>
    <t xml:space="preserve">2450 N HUACHUCA DR </t>
  </si>
  <si>
    <t xml:space="preserve"> AZ 85745-1202</t>
  </si>
  <si>
    <t>502 W 29TH ST</t>
  </si>
  <si>
    <t xml:space="preserve"> AZ 85713-3353</t>
  </si>
  <si>
    <t xml:space="preserve">502 W 29TH ST </t>
  </si>
  <si>
    <t xml:space="preserve">14506 N ALTO ST </t>
  </si>
  <si>
    <t xml:space="preserve"> EL MIRAGE</t>
  </si>
  <si>
    <t xml:space="preserve"> AZ 85335-7074</t>
  </si>
  <si>
    <t>1945 PO Box</t>
  </si>
  <si>
    <t xml:space="preserve"> El Mirage</t>
  </si>
  <si>
    <t xml:space="preserve"> AZ 85335</t>
  </si>
  <si>
    <t xml:space="preserve">5814 W CAMELBACK RD </t>
  </si>
  <si>
    <t xml:space="preserve"> AZ 85301-7405</t>
  </si>
  <si>
    <t xml:space="preserve">3309 W CARVER RD </t>
  </si>
  <si>
    <t xml:space="preserve"> AZ 85339-1883</t>
  </si>
  <si>
    <t xml:space="preserve">750 E SOUTHERN AVE </t>
  </si>
  <si>
    <t xml:space="preserve"> AZ 85040-3143</t>
  </si>
  <si>
    <t xml:space="preserve">1937 W JEFFERSON ST </t>
  </si>
  <si>
    <t xml:space="preserve"> AZ 85009-5222</t>
  </si>
  <si>
    <t xml:space="preserve">2105 E SOUTHERN AVE </t>
  </si>
  <si>
    <t xml:space="preserve"> AZ 85204-5304</t>
  </si>
  <si>
    <t>541 N 6TH AVE</t>
  </si>
  <si>
    <t xml:space="preserve"> AZ 85336-</t>
  </si>
  <si>
    <t xml:space="preserve">5235 E PIMA ST </t>
  </si>
  <si>
    <t xml:space="preserve"> AZ 85712-3629</t>
  </si>
  <si>
    <t>4019 E 26TH ST</t>
  </si>
  <si>
    <t xml:space="preserve"> AZ 85711-5642</t>
  </si>
  <si>
    <t xml:space="preserve">15626 S 42ND ST </t>
  </si>
  <si>
    <t xml:space="preserve"> AZ 85048-8835</t>
  </si>
  <si>
    <t xml:space="preserve">3966 E CAMINO DE PALMAS </t>
  </si>
  <si>
    <t xml:space="preserve"> AZ 85711-5315</t>
  </si>
  <si>
    <t xml:space="preserve">3975 E 22ND ST </t>
  </si>
  <si>
    <t xml:space="preserve"> AZ 85711-5332</t>
  </si>
  <si>
    <t>10726 N 96TH AVE</t>
  </si>
  <si>
    <t xml:space="preserve"> AZ 85345-5461</t>
  </si>
  <si>
    <t>45 miles East of Flagstaff Hwy 15 Leupp Rd.</t>
  </si>
  <si>
    <t xml:space="preserve"> Flagstaff</t>
  </si>
  <si>
    <t xml:space="preserve"> AZ 86004</t>
  </si>
  <si>
    <t xml:space="preserve">460 S 7TH ST </t>
  </si>
  <si>
    <t xml:space="preserve"> AZ 85128-4603</t>
  </si>
  <si>
    <t>1544 E MITCHELL DR</t>
  </si>
  <si>
    <t xml:space="preserve"> AZ 85014-5161</t>
  </si>
  <si>
    <t xml:space="preserve">1544 E MITCHELL DR </t>
  </si>
  <si>
    <t xml:space="preserve">4114 E BROWN WAY </t>
  </si>
  <si>
    <t xml:space="preserve"> AZ 85711-4708</t>
  </si>
  <si>
    <t xml:space="preserve">1631 N COLUMBUS BLVD </t>
  </si>
  <si>
    <t xml:space="preserve"> AZ 85712-3426</t>
  </si>
  <si>
    <t>4826 E. Pima</t>
  </si>
  <si>
    <t>2309 W BUCKHORN TRL</t>
  </si>
  <si>
    <t xml:space="preserve"> AZ 85085-5775</t>
  </si>
  <si>
    <t>4330 W MISSOURI AVE</t>
  </si>
  <si>
    <t xml:space="preserve"> AZ 85301-6403</t>
  </si>
  <si>
    <t xml:space="preserve">6042 S EUCLID AVE </t>
  </si>
  <si>
    <t xml:space="preserve"> AZ 85706-4210</t>
  </si>
  <si>
    <t>PO BOX 11069</t>
  </si>
  <si>
    <t xml:space="preserve"> AZ 85734-1069</t>
  </si>
  <si>
    <t>8272 W VELVET ANT PL</t>
  </si>
  <si>
    <t xml:space="preserve"> AZ 85735-5186</t>
  </si>
  <si>
    <t>1802 E IRVINGTON RD</t>
  </si>
  <si>
    <t xml:space="preserve"> AZ 85714-1754</t>
  </si>
  <si>
    <t xml:space="preserve">518 W HIGHLAND AVE </t>
  </si>
  <si>
    <t xml:space="preserve"> AZ 85013-</t>
  </si>
  <si>
    <t>2946 E Cheery Lynn Rd</t>
  </si>
  <si>
    <t xml:space="preserve"> AZ 85016-7520</t>
  </si>
  <si>
    <t>1621 E BETHANY HOME RD</t>
  </si>
  <si>
    <t xml:space="preserve"> AZ 85016-2514</t>
  </si>
  <si>
    <t>16401 W SOFT WIND DR</t>
  </si>
  <si>
    <t xml:space="preserve"> AZ 85387-1403</t>
  </si>
  <si>
    <t xml:space="preserve">2200 N ARIZONA AVE STE 18 </t>
  </si>
  <si>
    <t xml:space="preserve"> AZ 85225-3452</t>
  </si>
  <si>
    <t xml:space="preserve">18718 E WALNUT RD </t>
  </si>
  <si>
    <t xml:space="preserve"> AZ 85142-3558</t>
  </si>
  <si>
    <t>2846 W DREXEL RD</t>
  </si>
  <si>
    <t xml:space="preserve"> AZ 85746-3824</t>
  </si>
  <si>
    <t>1818 S COUNTRY CLUB RD</t>
  </si>
  <si>
    <t>626 W Campbell Ave</t>
  </si>
  <si>
    <t xml:space="preserve"> AZ 85013-2902</t>
  </si>
  <si>
    <t>4136 N 82ND ST</t>
  </si>
  <si>
    <t xml:space="preserve"> AZ 85251-2730</t>
  </si>
  <si>
    <t>1911 KINO AVE</t>
  </si>
  <si>
    <t xml:space="preserve"> AZ 86409-3063</t>
  </si>
  <si>
    <t>5140 W. Peoria</t>
  </si>
  <si>
    <t>Little Ranch Preschool</t>
  </si>
  <si>
    <t xml:space="preserve">1125 E GLENN ST </t>
  </si>
  <si>
    <t xml:space="preserve"> AZ 85719-2619</t>
  </si>
  <si>
    <t>10371 N ORACLE RD STE 106</t>
  </si>
  <si>
    <t xml:space="preserve"> AZ 85737-9393</t>
  </si>
  <si>
    <t xml:space="preserve">1116 S MCCLINTOCK DR </t>
  </si>
  <si>
    <t xml:space="preserve"> AZ 85281-4506</t>
  </si>
  <si>
    <t>3400 S MILL AVE STE 334</t>
  </si>
  <si>
    <t xml:space="preserve"> AZ 85282-4967</t>
  </si>
  <si>
    <t xml:space="preserve">17220 N 43RD AVE </t>
  </si>
  <si>
    <t xml:space="preserve"> AZ 85308-4023</t>
  </si>
  <si>
    <t xml:space="preserve">6702 W CHOLLA ST </t>
  </si>
  <si>
    <t xml:space="preserve"> AZ 85345-5850</t>
  </si>
  <si>
    <t>17220 N. 43rdAvenue</t>
  </si>
  <si>
    <t xml:space="preserve"> AZ 85308</t>
  </si>
  <si>
    <t>17220 N 43RD AVE</t>
  </si>
  <si>
    <t xml:space="preserve">2750 MIRACLE MILE </t>
  </si>
  <si>
    <t xml:space="preserve"> BULLHEAD CITY</t>
  </si>
  <si>
    <t xml:space="preserve"> AZ 86442-7700</t>
  </si>
  <si>
    <t>5715 S TABLEAU DR</t>
  </si>
  <si>
    <t xml:space="preserve"> FORT MOHAVE</t>
  </si>
  <si>
    <t xml:space="preserve"> AZ 86426-9245</t>
  </si>
  <si>
    <t>10889 N 19TH AVE</t>
  </si>
  <si>
    <t xml:space="preserve"> AZ 85029-4904</t>
  </si>
  <si>
    <t>4521 E. Benson Hwy.</t>
  </si>
  <si>
    <t xml:space="preserve"> AZ 85706</t>
  </si>
  <si>
    <t xml:space="preserve">10220 N 32ND ST </t>
  </si>
  <si>
    <t xml:space="preserve"> AZ 85028-3823</t>
  </si>
  <si>
    <t xml:space="preserve">216 E PRINCE RD </t>
  </si>
  <si>
    <t xml:space="preserve"> AZ 85705-3600</t>
  </si>
  <si>
    <t xml:space="preserve">655 W WARNER RD STE 101 </t>
  </si>
  <si>
    <t xml:space="preserve"> AZ 85284-2924</t>
  </si>
  <si>
    <t xml:space="preserve">21459 N 33RD LN </t>
  </si>
  <si>
    <t xml:space="preserve"> AZ 85027-2226</t>
  </si>
  <si>
    <t xml:space="preserve">1240 E 23RD ST </t>
  </si>
  <si>
    <t xml:space="preserve"> DOUGLAS</t>
  </si>
  <si>
    <t xml:space="preserve"> AZ 85607-1218</t>
  </si>
  <si>
    <t xml:space="preserve">3598 JAMAICA BLVD S </t>
  </si>
  <si>
    <t xml:space="preserve"> Lake Havasu City</t>
  </si>
  <si>
    <t xml:space="preserve"> AZ 86406-4108</t>
  </si>
  <si>
    <t>1300 W St Maryâ€™s Rd</t>
  </si>
  <si>
    <t xml:space="preserve"> AZ 85745</t>
  </si>
  <si>
    <t>1300 W St. Marys Rd</t>
  </si>
  <si>
    <t xml:space="preserve">327 S ALTA VISTA ST </t>
  </si>
  <si>
    <t xml:space="preserve"> SAN MANUEL</t>
  </si>
  <si>
    <t xml:space="preserve"> AZ 85631-1362</t>
  </si>
  <si>
    <t xml:space="preserve">PO BOX 74 </t>
  </si>
  <si>
    <t xml:space="preserve"> AZ 85631-0074</t>
  </si>
  <si>
    <t xml:space="preserve">16090 N VERNON DR </t>
  </si>
  <si>
    <t xml:space="preserve"> AZ 85739-</t>
  </si>
  <si>
    <t>1728 E PUEBLO AVE</t>
  </si>
  <si>
    <t xml:space="preserve"> AZ 85040-1350</t>
  </si>
  <si>
    <t>9328 W CORDES RD</t>
  </si>
  <si>
    <t xml:space="preserve"> TOLLESON</t>
  </si>
  <si>
    <t xml:space="preserve"> AZ 85353-1505</t>
  </si>
  <si>
    <t>925 N ORANGE</t>
  </si>
  <si>
    <t xml:space="preserve"> AZ 85201-4005</t>
  </si>
  <si>
    <t xml:space="preserve">2717 S ALMA SCHOOL RD </t>
  </si>
  <si>
    <t xml:space="preserve"> AZ 85210-4021</t>
  </si>
  <si>
    <t xml:space="preserve">PO BOX 765 </t>
  </si>
  <si>
    <t xml:space="preserve"> AZ 85340-0765</t>
  </si>
  <si>
    <t xml:space="preserve">19 N CENTRAL AVE </t>
  </si>
  <si>
    <t xml:space="preserve"> AZ 85323-2156</t>
  </si>
  <si>
    <t xml:space="preserve">300 N CENTRAL AVE </t>
  </si>
  <si>
    <t xml:space="preserve"> AZ 85323-1905</t>
  </si>
  <si>
    <t xml:space="preserve">16752 N GREASEWOOD ST </t>
  </si>
  <si>
    <t xml:space="preserve"> AZ 85378-3639</t>
  </si>
  <si>
    <t>7383 N LITCHFIELD RD STE 3090</t>
  </si>
  <si>
    <t xml:space="preserve"> AZ 85309-1566</t>
  </si>
  <si>
    <t>7282 N 137TH AVE BLDG 1140</t>
  </si>
  <si>
    <t xml:space="preserve"> LUKE AFB</t>
  </si>
  <si>
    <t xml:space="preserve"> AZ 85309-1520</t>
  </si>
  <si>
    <t xml:space="preserve">7300 N DYSART RD </t>
  </si>
  <si>
    <t xml:space="preserve"> AZ 85307-2218</t>
  </si>
  <si>
    <t>6202 N 12th St</t>
  </si>
  <si>
    <t xml:space="preserve"> AZ 85014-1719</t>
  </si>
  <si>
    <t xml:space="preserve"> AZ 85019-4004</t>
  </si>
  <si>
    <t xml:space="preserve">2232 N 36TH ST </t>
  </si>
  <si>
    <t xml:space="preserve"> AZ 85008-3002</t>
  </si>
  <si>
    <t xml:space="preserve">7244 W TIMBERLEAF DR </t>
  </si>
  <si>
    <t xml:space="preserve"> AZ 85757-8734</t>
  </si>
  <si>
    <t>242 W LESTER ST</t>
  </si>
  <si>
    <t xml:space="preserve">3002 N 27TH AVE </t>
  </si>
  <si>
    <t xml:space="preserve"> AZ 85017-5028</t>
  </si>
  <si>
    <t xml:space="preserve">3526 W POLK ST </t>
  </si>
  <si>
    <t xml:space="preserve"> AZ 85009-4119</t>
  </si>
  <si>
    <t xml:space="preserve">108 N 40TH ST </t>
  </si>
  <si>
    <t xml:space="preserve"> AZ 85034-1704</t>
  </si>
  <si>
    <t xml:space="preserve">100 N WARREN AVE </t>
  </si>
  <si>
    <t xml:space="preserve"> AZ 86047-3520</t>
  </si>
  <si>
    <t xml:space="preserve">PO BOX 821 </t>
  </si>
  <si>
    <t xml:space="preserve"> AZ 86047-0821</t>
  </si>
  <si>
    <t>821 PO Box</t>
  </si>
  <si>
    <t xml:space="preserve"> Winslow</t>
  </si>
  <si>
    <t xml:space="preserve"> AZ 86047</t>
  </si>
  <si>
    <t xml:space="preserve">15249 N FOUNTAIN HILLS BLVD </t>
  </si>
  <si>
    <t xml:space="preserve"> FOUNTAIN HILLS</t>
  </si>
  <si>
    <t xml:space="preserve"> AZ 85268-2331</t>
  </si>
  <si>
    <t>15249 N FOUNTAIN HILLS BLVD</t>
  </si>
  <si>
    <t xml:space="preserve"> FOUNTAIN HLS</t>
  </si>
  <si>
    <t>1455 S Stapley Dr.</t>
  </si>
  <si>
    <t xml:space="preserve"> AZ 85204</t>
  </si>
  <si>
    <t xml:space="preserve">1455 S. Stapley Dr. </t>
  </si>
  <si>
    <t xml:space="preserve">1455 S DOBSON RD # 10 </t>
  </si>
  <si>
    <t xml:space="preserve"> AZ 85202-</t>
  </si>
  <si>
    <t>1949 East Brown Road</t>
  </si>
  <si>
    <t xml:space="preserve"> AZ 85203</t>
  </si>
  <si>
    <t>4909 E BROWN RD</t>
  </si>
  <si>
    <t>2747 W SOUTHERN AVE STE 4</t>
  </si>
  <si>
    <t>134 S BROAD ST</t>
  </si>
  <si>
    <t xml:space="preserve"> GLOBE</t>
  </si>
  <si>
    <t xml:space="preserve"> AZ 85501-2602</t>
  </si>
  <si>
    <t>PO BOX 2199</t>
  </si>
  <si>
    <t xml:space="preserve"> CLAYPOOL</t>
  </si>
  <si>
    <t xml:space="preserve"> AZ 85532-2199</t>
  </si>
  <si>
    <t>1604 E UNIVERSITY DR</t>
  </si>
  <si>
    <t xml:space="preserve"> AZ 85203-8135</t>
  </si>
  <si>
    <t>2600 W 24TH ST</t>
  </si>
  <si>
    <t xml:space="preserve"> AZ 85364-6027</t>
  </si>
  <si>
    <t xml:space="preserve">4431 S MILL AVE </t>
  </si>
  <si>
    <t xml:space="preserve"> AZ 85282-6700</t>
  </si>
  <si>
    <t>4431 S MILL AVE</t>
  </si>
  <si>
    <t xml:space="preserve">5540 E HAMPTON ST </t>
  </si>
  <si>
    <t xml:space="preserve"> AZ 85712-2919</t>
  </si>
  <si>
    <t xml:space="preserve">1518 W ARGYLE AVE </t>
  </si>
  <si>
    <t xml:space="preserve"> AZ 85746-3905</t>
  </si>
  <si>
    <t xml:space="preserve">1415 W SAINT MARYS RD </t>
  </si>
  <si>
    <t xml:space="preserve"> AZ 85745-3109</t>
  </si>
  <si>
    <t xml:space="preserve">5420 E CAMINO FRANCISCO SOZA </t>
  </si>
  <si>
    <t xml:space="preserve"> AZ 85718-5506</t>
  </si>
  <si>
    <t xml:space="preserve">4050 E GRANT RD </t>
  </si>
  <si>
    <t xml:space="preserve"> AZ 85712-2509</t>
  </si>
  <si>
    <t xml:space="preserve">208 W MULBERRY ST </t>
  </si>
  <si>
    <t xml:space="preserve"> AZ 86047-3516</t>
  </si>
  <si>
    <t xml:space="preserve">5140 W PEORIA AVE STE 122 </t>
  </si>
  <si>
    <t xml:space="preserve"> AZ 85302-1631</t>
  </si>
  <si>
    <t>HWY 264</t>
  </si>
  <si>
    <t xml:space="preserve"> Tuba City</t>
  </si>
  <si>
    <t xml:space="preserve"> AZ 86045</t>
  </si>
  <si>
    <t>1945 Thumb Butte</t>
  </si>
  <si>
    <t xml:space="preserve"> Bullhead City</t>
  </si>
  <si>
    <t xml:space="preserve"> AZ 86442</t>
  </si>
  <si>
    <t xml:space="preserve">1616 N 89TH AVE </t>
  </si>
  <si>
    <t xml:space="preserve"> AZ 85037-4049</t>
  </si>
  <si>
    <t>1202 PO Box</t>
  </si>
  <si>
    <t xml:space="preserve"> Safford</t>
  </si>
  <si>
    <t xml:space="preserve"> AZ 85548</t>
  </si>
  <si>
    <t xml:space="preserve">1601 S 20TH AVE </t>
  </si>
  <si>
    <t xml:space="preserve"> SAFFORD</t>
  </si>
  <si>
    <t xml:space="preserve"> AZ 85546-4010</t>
  </si>
  <si>
    <t>5085 S NOGALES HWY</t>
  </si>
  <si>
    <t xml:space="preserve"> AZ 85706-1341</t>
  </si>
  <si>
    <t>2111 S ALMA SCHOOL RD STE 15 STE 115</t>
  </si>
  <si>
    <t xml:space="preserve"> AZ 85210-4009</t>
  </si>
  <si>
    <t>2111 S ALMA SCHOOL RD STE 15</t>
  </si>
  <si>
    <t>1960 S Park Ave</t>
  </si>
  <si>
    <t xml:space="preserve"> AZ 85713-1730</t>
  </si>
  <si>
    <t>2385 S Plumer Ave</t>
  </si>
  <si>
    <t xml:space="preserve"> AZ 85713-3823</t>
  </si>
  <si>
    <t xml:space="preserve">1960 S PARK AVE </t>
  </si>
  <si>
    <t>25950 Rockaway Hills Drive</t>
  </si>
  <si>
    <t xml:space="preserve"> Morristown</t>
  </si>
  <si>
    <t xml:space="preserve"> AZ 85342</t>
  </si>
  <si>
    <t>100 PO Box</t>
  </si>
  <si>
    <t xml:space="preserve"> Wittmann</t>
  </si>
  <si>
    <t xml:space="preserve"> AZ 85361</t>
  </si>
  <si>
    <t xml:space="preserve">32919 N CENTER ST </t>
  </si>
  <si>
    <t xml:space="preserve"> WITTMANN</t>
  </si>
  <si>
    <t xml:space="preserve"> AZ 85361-9433</t>
  </si>
  <si>
    <t xml:space="preserve">14801 N CAVE CREEK RD </t>
  </si>
  <si>
    <t xml:space="preserve"> AZ 85032-4909</t>
  </si>
  <si>
    <t>306 E COTTONWOOD LN</t>
  </si>
  <si>
    <t xml:space="preserve"> AZ 85122-2516</t>
  </si>
  <si>
    <t>PO BOX 10548</t>
  </si>
  <si>
    <t xml:space="preserve"> AZ 85130-0079</t>
  </si>
  <si>
    <t xml:space="preserve">1902 E HAMPTON AVE </t>
  </si>
  <si>
    <t xml:space="preserve"> AZ 85204-6055</t>
  </si>
  <si>
    <t xml:space="preserve">7449 W DESERT COVE AVE </t>
  </si>
  <si>
    <t xml:space="preserve"> AZ 85345-6011</t>
  </si>
  <si>
    <t>1109 W Prince Rd</t>
  </si>
  <si>
    <t xml:space="preserve">1802 W PEORIA AVE </t>
  </si>
  <si>
    <t xml:space="preserve"> AZ 85029-5031</t>
  </si>
  <si>
    <t>PO BOX 5005</t>
  </si>
  <si>
    <t xml:space="preserve"> AZ 85338-0608</t>
  </si>
  <si>
    <t>1444 N MANZANITA DR</t>
  </si>
  <si>
    <t xml:space="preserve"> AZ 85338-1110</t>
  </si>
  <si>
    <t xml:space="preserve">330 W NEBRASKA ST </t>
  </si>
  <si>
    <t xml:space="preserve"> AZ 85706-2342</t>
  </si>
  <si>
    <t>19 N CENTRAL AVE # C</t>
  </si>
  <si>
    <t xml:space="preserve">3502 E INDIAN SCHOOL RD </t>
  </si>
  <si>
    <t xml:space="preserve"> AZ 85018-5115</t>
  </si>
  <si>
    <t xml:space="preserve">1329 E APACHE ST </t>
  </si>
  <si>
    <t xml:space="preserve"> AZ 86326-6804</t>
  </si>
  <si>
    <t xml:space="preserve">4105 N 51ST AVE STE 131 </t>
  </si>
  <si>
    <t xml:space="preserve"> AZ 85031-1943</t>
  </si>
  <si>
    <t xml:space="preserve">2160 N 6TH AVE </t>
  </si>
  <si>
    <t xml:space="preserve"> AZ 85705-5607</t>
  </si>
  <si>
    <t>2111 E BASELINE RD STE E1</t>
  </si>
  <si>
    <t xml:space="preserve"> AZ 85283-1518</t>
  </si>
  <si>
    <t>6718 W GREENWAY RD STE 102</t>
  </si>
  <si>
    <t xml:space="preserve"> AZ 85381-4500</t>
  </si>
  <si>
    <t xml:space="preserve">9395 E OLD SPANISH TRL </t>
  </si>
  <si>
    <t xml:space="preserve"> AZ 85710-6627</t>
  </si>
  <si>
    <t>9395 E OLD SPANISH TRL</t>
  </si>
  <si>
    <t>10371 N Oracle Road</t>
  </si>
  <si>
    <t xml:space="preserve"> Oro Valley</t>
  </si>
  <si>
    <t xml:space="preserve"> AZ 85737</t>
  </si>
  <si>
    <t>8185 E 22ND ST</t>
  </si>
  <si>
    <t xml:space="preserve"> AZ 85710-8511</t>
  </si>
  <si>
    <t xml:space="preserve">4856 E GREENWAY RD </t>
  </si>
  <si>
    <t xml:space="preserve"> AZ 85254-1623</t>
  </si>
  <si>
    <t>4856 E Greenway Rd</t>
  </si>
  <si>
    <t xml:space="preserve">9095 N BALD EAGLE AVE </t>
  </si>
  <si>
    <t xml:space="preserve"> AZ 85742-9517</t>
  </si>
  <si>
    <t>9095 N BALD EAGLE AVE</t>
  </si>
  <si>
    <t xml:space="preserve">3849 W ENCANTO BLVD </t>
  </si>
  <si>
    <t xml:space="preserve"> AZ 85009-1242</t>
  </si>
  <si>
    <t>3618 W Bell Rd</t>
  </si>
  <si>
    <t xml:space="preserve">PO BOX 2195 </t>
  </si>
  <si>
    <t xml:space="preserve"> AZ 85340-2195</t>
  </si>
  <si>
    <t xml:space="preserve">12375 W INDIAN SCHOOL RD </t>
  </si>
  <si>
    <t xml:space="preserve"> AZ 85392-9426</t>
  </si>
  <si>
    <t xml:space="preserve">250 W 15TH ST </t>
  </si>
  <si>
    <t xml:space="preserve"> AZ 85546-2529</t>
  </si>
  <si>
    <t xml:space="preserve">5345 N 23RD AVE </t>
  </si>
  <si>
    <t xml:space="preserve"> AZ 85015-2715</t>
  </si>
  <si>
    <t xml:space="preserve">7831 E WRIGHTSTOWN RD STE 105 </t>
  </si>
  <si>
    <t xml:space="preserve"> AZ 85715-4345</t>
  </si>
  <si>
    <t xml:space="preserve">8133 W CACTUS RD </t>
  </si>
  <si>
    <t xml:space="preserve"> AZ 85381-5215</t>
  </si>
  <si>
    <t>11820 N 81ST AVE</t>
  </si>
  <si>
    <t xml:space="preserve"> AZ 85345-5736</t>
  </si>
  <si>
    <t>7629 W THUNDERBIRD RD</t>
  </si>
  <si>
    <t xml:space="preserve"> AZ 85381-6082</t>
  </si>
  <si>
    <t>115 E Tonto St</t>
  </si>
  <si>
    <t xml:space="preserve">2945 N 35TH ST </t>
  </si>
  <si>
    <t xml:space="preserve"> AZ 85018-7401</t>
  </si>
  <si>
    <t xml:space="preserve">393 W WARNER RD STE 106 </t>
  </si>
  <si>
    <t xml:space="preserve">4939 W RAY RD STE 21 </t>
  </si>
  <si>
    <t xml:space="preserve"> AZ 85226-2071</t>
  </si>
  <si>
    <t xml:space="preserve">2464 W 8TH ST </t>
  </si>
  <si>
    <t>183 E 24TH ST STE 8</t>
  </si>
  <si>
    <t xml:space="preserve"> AZ 85364-8575</t>
  </si>
  <si>
    <t xml:space="preserve">18631 N 19TH AVE STE 120 </t>
  </si>
  <si>
    <t xml:space="preserve"> AZ 85027-5827</t>
  </si>
  <si>
    <t xml:space="preserve">4834 W GLENDALE AVE </t>
  </si>
  <si>
    <t xml:space="preserve"> AZ 85301-2734</t>
  </si>
  <si>
    <t>1405 E. San Francisco St</t>
  </si>
  <si>
    <t xml:space="preserve">16809 N PARK PL </t>
  </si>
  <si>
    <t xml:space="preserve"> AZ 85306-1517</t>
  </si>
  <si>
    <t>1616 N 89TH AVE</t>
  </si>
  <si>
    <t>30 E CLIFF HOUSE DR</t>
  </si>
  <si>
    <t xml:space="preserve"> AZ 86322-7596</t>
  </si>
  <si>
    <t xml:space="preserve">30 E CLIFF HOUSE DR </t>
  </si>
  <si>
    <t>241 W. Cottonwood Ln.</t>
  </si>
  <si>
    <t xml:space="preserve"> Casa Grande</t>
  </si>
  <si>
    <t xml:space="preserve"> AZ 85222</t>
  </si>
  <si>
    <t>15800 N DEL WEBB BLVD</t>
  </si>
  <si>
    <t xml:space="preserve"> SUN CITY</t>
  </si>
  <si>
    <t xml:space="preserve"> AZ 85351-1603</t>
  </si>
  <si>
    <t>561 N 18th Pl</t>
  </si>
  <si>
    <t xml:space="preserve"> AZ 85901</t>
  </si>
  <si>
    <t>PO BOX 2950</t>
  </si>
  <si>
    <t xml:space="preserve"> AZ 85902-2950</t>
  </si>
  <si>
    <t xml:space="preserve">5643 S 7TH AVE </t>
  </si>
  <si>
    <t xml:space="preserve"> AZ 85041-4836</t>
  </si>
  <si>
    <t xml:space="preserve">7227 S CENTRAL AVE STE 1160 </t>
  </si>
  <si>
    <t xml:space="preserve"> AZ 85042-5458</t>
  </si>
  <si>
    <t>7227 S Central Ave</t>
  </si>
  <si>
    <t>4301 W FILLMORE ST</t>
  </si>
  <si>
    <t xml:space="preserve"> AZ 85043-2908</t>
  </si>
  <si>
    <t>17823 W BLOOMFIELD RD</t>
  </si>
  <si>
    <t xml:space="preserve"> AZ 85388-5620</t>
  </si>
  <si>
    <t xml:space="preserve">4330 W MISSOURI AVE </t>
  </si>
  <si>
    <t xml:space="preserve">14832 N 36TH PL </t>
  </si>
  <si>
    <t xml:space="preserve"> AZ 85032-5253</t>
  </si>
  <si>
    <t>15815 N 29TH ST</t>
  </si>
  <si>
    <t xml:space="preserve"> AZ 85032-3704</t>
  </si>
  <si>
    <t xml:space="preserve">5003 W MARLETTE AVE </t>
  </si>
  <si>
    <t xml:space="preserve"> AZ 85301-4622</t>
  </si>
  <si>
    <t>11366 PO Box</t>
  </si>
  <si>
    <t xml:space="preserve"> AZ 85061</t>
  </si>
  <si>
    <t xml:space="preserve">2242 W MISSOURI AVE </t>
  </si>
  <si>
    <t xml:space="preserve"> AZ 85015-2703</t>
  </si>
  <si>
    <t>2242 W MISSOURI AVE</t>
  </si>
  <si>
    <t>3539 W. Bell Road</t>
  </si>
  <si>
    <t xml:space="preserve"> Suite 11</t>
  </si>
  <si>
    <t>20205 PO Box</t>
  </si>
  <si>
    <t xml:space="preserve"> AZ 86439</t>
  </si>
  <si>
    <t xml:space="preserve">1160 AGATE AVE </t>
  </si>
  <si>
    <t xml:space="preserve"> AZ 86442-</t>
  </si>
  <si>
    <t xml:space="preserve">8302 E BROADWAY BLVD </t>
  </si>
  <si>
    <t xml:space="preserve"> AZ 85710-4008</t>
  </si>
  <si>
    <t xml:space="preserve">13424 N 32ND ST </t>
  </si>
  <si>
    <t xml:space="preserve"> AZ 85032-6024</t>
  </si>
  <si>
    <t>13424 N 32ND ST</t>
  </si>
  <si>
    <t>6390 N 59TH AVE</t>
  </si>
  <si>
    <t xml:space="preserve"> AZ 85301-4451</t>
  </si>
  <si>
    <t xml:space="preserve">6390 N 59TH AVE </t>
  </si>
  <si>
    <t>4730 W GROVERS AVE</t>
  </si>
  <si>
    <t xml:space="preserve"> AZ 85308-3453</t>
  </si>
  <si>
    <t>4250 W PINNACLE PEAK RD</t>
  </si>
  <si>
    <t xml:space="preserve"> AZ 85310-4007</t>
  </si>
  <si>
    <t>12630 N 48TH ST</t>
  </si>
  <si>
    <t xml:space="preserve"> AZ 85032-7712</t>
  </si>
  <si>
    <t xml:space="preserve">12630 N 48TH ST </t>
  </si>
  <si>
    <t xml:space="preserve">2430 E 2ND ST </t>
  </si>
  <si>
    <t xml:space="preserve"> AZ 85719-4929</t>
  </si>
  <si>
    <t>3801 W Missouri Ave</t>
  </si>
  <si>
    <t xml:space="preserve"> AZ 85019-2133</t>
  </si>
  <si>
    <t xml:space="preserve">1346 W BUCKEYE RD </t>
  </si>
  <si>
    <t xml:space="preserve"> AZ 85007-3700</t>
  </si>
  <si>
    <t xml:space="preserve">1720 E BROADWAY RD </t>
  </si>
  <si>
    <t xml:space="preserve"> AZ 85040-2408</t>
  </si>
  <si>
    <t>21805 S. Ellsworth Road B101</t>
  </si>
  <si>
    <t xml:space="preserve"> AZ 85242</t>
  </si>
  <si>
    <t xml:space="preserve">21805 S ELLSWORTH RD STE B101 </t>
  </si>
  <si>
    <t xml:space="preserve"> AZ 85142-6045</t>
  </si>
  <si>
    <t xml:space="preserve">8601 W IRONWOOD DR </t>
  </si>
  <si>
    <t>55388 PO Box</t>
  </si>
  <si>
    <t xml:space="preserve"> AZ 85078</t>
  </si>
  <si>
    <t xml:space="preserve">2601 E GREENWAY RD </t>
  </si>
  <si>
    <t xml:space="preserve"> AZ 85032-4319</t>
  </si>
  <si>
    <t xml:space="preserve">3320 W SOUTHERN AVE STE 102 </t>
  </si>
  <si>
    <t xml:space="preserve"> AZ 85041-4307</t>
  </si>
  <si>
    <t>3320 W Southern Ave</t>
  </si>
  <si>
    <t>3320 W SOUTHERN AVE STE 102</t>
  </si>
  <si>
    <t xml:space="preserve">7050 S 24TH ST </t>
  </si>
  <si>
    <t xml:space="preserve"> AZ 85042-5806</t>
  </si>
  <si>
    <t xml:space="preserve">1923 E BROADWAY RD </t>
  </si>
  <si>
    <t xml:space="preserve"> AZ 85040-2411</t>
  </si>
  <si>
    <t>8764 PO Box</t>
  </si>
  <si>
    <t xml:space="preserve"> AZ 85066</t>
  </si>
  <si>
    <t xml:space="preserve">3809 E 3RD ST </t>
  </si>
  <si>
    <t xml:space="preserve"> AZ 85716-4611</t>
  </si>
  <si>
    <t>2155 E BROADWAY RD</t>
  </si>
  <si>
    <t xml:space="preserve"> AZ 85204-1453</t>
  </si>
  <si>
    <t>4114 E BROWN WAY</t>
  </si>
  <si>
    <t xml:space="preserve">863 AIRPARK DR </t>
  </si>
  <si>
    <t xml:space="preserve"> AZ 86429-5886</t>
  </si>
  <si>
    <t>6629 W CLARENDON AVE</t>
  </si>
  <si>
    <t xml:space="preserve"> AZ 85033-4027</t>
  </si>
  <si>
    <t>4309 E. Belleview St.</t>
  </si>
  <si>
    <t xml:space="preserve"> Building 14</t>
  </si>
  <si>
    <t xml:space="preserve"> AZ 85008</t>
  </si>
  <si>
    <t>406 N 1ST ST</t>
  </si>
  <si>
    <t xml:space="preserve">PO BOX 8450 </t>
  </si>
  <si>
    <t xml:space="preserve"> AZ 85374-0124</t>
  </si>
  <si>
    <t xml:space="preserve">15800 N DEL WEBB BLVD </t>
  </si>
  <si>
    <t xml:space="preserve">1450 N GILBERT RD </t>
  </si>
  <si>
    <t xml:space="preserve"> AZ 85234-2303</t>
  </si>
  <si>
    <t xml:space="preserve">6101 S RIVER DR </t>
  </si>
  <si>
    <t xml:space="preserve"> AZ 85283-0500</t>
  </si>
  <si>
    <t xml:space="preserve">4111 E RAY RD </t>
  </si>
  <si>
    <t xml:space="preserve"> AZ 85044-4692</t>
  </si>
  <si>
    <t xml:space="preserve">900 S COOPER RD </t>
  </si>
  <si>
    <t xml:space="preserve"> AZ 85233-7576</t>
  </si>
  <si>
    <t xml:space="preserve">9880 S RURAL RD STE 116 </t>
  </si>
  <si>
    <t xml:space="preserve"> AZ 85284-4118</t>
  </si>
  <si>
    <t xml:space="preserve">13201 W THOMAS RD </t>
  </si>
  <si>
    <t xml:space="preserve"> AZ 85395-2270</t>
  </si>
  <si>
    <t xml:space="preserve">11090 N FRANK LLOYD WRIGHT BLVD </t>
  </si>
  <si>
    <t xml:space="preserve"> AZ 85259-2645</t>
  </si>
  <si>
    <t xml:space="preserve">5301 S MCCLINTOCK DR </t>
  </si>
  <si>
    <t xml:space="preserve"> AZ 85283-2234</t>
  </si>
  <si>
    <t>3702 W. Cholla</t>
  </si>
  <si>
    <t xml:space="preserve"> Peoria</t>
  </si>
  <si>
    <t xml:space="preserve"> AZ 85345</t>
  </si>
  <si>
    <t xml:space="preserve">759 N LINDSAY RD </t>
  </si>
  <si>
    <t xml:space="preserve"> AZ 85213-6816</t>
  </si>
  <si>
    <t xml:space="preserve">3401 W UNION HILLS DR </t>
  </si>
  <si>
    <t xml:space="preserve"> AZ 85027-4898</t>
  </si>
  <si>
    <t>814 E Union Hills</t>
  </si>
  <si>
    <t xml:space="preserve">1114 W ELLIOT RD </t>
  </si>
  <si>
    <t xml:space="preserve"> AZ 85224-1876</t>
  </si>
  <si>
    <t>11540 N. Burk Street</t>
  </si>
  <si>
    <t xml:space="preserve"> AZ 85234</t>
  </si>
  <si>
    <t xml:space="preserve">2122 W INDIAN SCHOOL RD </t>
  </si>
  <si>
    <t xml:space="preserve"> AZ 85015-4907</t>
  </si>
  <si>
    <t xml:space="preserve">350 N 96TH AVE </t>
  </si>
  <si>
    <t xml:space="preserve"> AZ 85353-2252</t>
  </si>
  <si>
    <t xml:space="preserve">8803 W VAN BUREN ST </t>
  </si>
  <si>
    <t xml:space="preserve"> AZ 85353-3101</t>
  </si>
  <si>
    <t>548 N POTTEBAUM RD</t>
  </si>
  <si>
    <t xml:space="preserve"> AZ 85122-5305</t>
  </si>
  <si>
    <t xml:space="preserve">2217 N POWER RD APT 1001 </t>
  </si>
  <si>
    <t xml:space="preserve"> AZ 85215-2976</t>
  </si>
  <si>
    <t xml:space="preserve">5801 W MOHAWK LN </t>
  </si>
  <si>
    <t xml:space="preserve"> AZ 85308-6820</t>
  </si>
  <si>
    <t>2109 E Blue Jay Drive</t>
  </si>
  <si>
    <t xml:space="preserve"> Chandler</t>
  </si>
  <si>
    <t xml:space="preserve"> AZ 85295</t>
  </si>
  <si>
    <t>6053 Veterans Parkway  Suite 300</t>
  </si>
  <si>
    <t xml:space="preserve"> Columbus</t>
  </si>
  <si>
    <t xml:space="preserve"> GA 85138</t>
  </si>
  <si>
    <t>19287 N PORTER RD</t>
  </si>
  <si>
    <t xml:space="preserve"> AZ 85138-4053</t>
  </si>
  <si>
    <t>16830 N 12TH ST</t>
  </si>
  <si>
    <t xml:space="preserve"> AZ 85022-2711</t>
  </si>
  <si>
    <t xml:space="preserve">1001 N 31ST AVE </t>
  </si>
  <si>
    <t xml:space="preserve"> AZ 85009-3437</t>
  </si>
  <si>
    <t>4309 E Belleview St.</t>
  </si>
  <si>
    <t>6420 W MARYLAND AVE</t>
  </si>
  <si>
    <t xml:space="preserve"> AZ 85301-3719</t>
  </si>
  <si>
    <t xml:space="preserve">3690 E HEMISPHERE LOOP </t>
  </si>
  <si>
    <t xml:space="preserve"> AZ 85706-5256</t>
  </si>
  <si>
    <t>315 S STAPLEY DR</t>
  </si>
  <si>
    <t xml:space="preserve"> AZ 85204-2102</t>
  </si>
  <si>
    <t xml:space="preserve">315 S STAPLEY DR </t>
  </si>
  <si>
    <t>2060 PO Box</t>
  </si>
  <si>
    <t xml:space="preserve">4501 N 19TH AVE </t>
  </si>
  <si>
    <t xml:space="preserve"> AZ 85015-4118</t>
  </si>
  <si>
    <t xml:space="preserve">2303 E MARYLAND DR </t>
  </si>
  <si>
    <t xml:space="preserve"> AZ 85281-4709</t>
  </si>
  <si>
    <t>1010 E BROADWAY BLVD</t>
  </si>
  <si>
    <t xml:space="preserve"> AZ 85719-5829</t>
  </si>
  <si>
    <t xml:space="preserve">2719 N SWAN RD </t>
  </si>
  <si>
    <t xml:space="preserve"> AZ 85712-2038</t>
  </si>
  <si>
    <t xml:space="preserve">2701 N SWAN RD </t>
  </si>
  <si>
    <t xml:space="preserve">1127 W MCDOWELL RD </t>
  </si>
  <si>
    <t xml:space="preserve"> AZ 85007-1747</t>
  </si>
  <si>
    <t>7430 W CACTUS RD</t>
  </si>
  <si>
    <t xml:space="preserve"> AZ 85381-9585</t>
  </si>
  <si>
    <t xml:space="preserve">7430 W CACTUS RD </t>
  </si>
  <si>
    <t>4145 N Bank St</t>
  </si>
  <si>
    <t xml:space="preserve"> AZ 86409</t>
  </si>
  <si>
    <t xml:space="preserve">4145 N BANK ST STE A </t>
  </si>
  <si>
    <t xml:space="preserve"> AZ 86409-2706</t>
  </si>
  <si>
    <t xml:space="preserve">4715 W CYNTHIA LN </t>
  </si>
  <si>
    <t xml:space="preserve"> SOMERTON</t>
  </si>
  <si>
    <t xml:space="preserve"> AZ 85350-7135</t>
  </si>
  <si>
    <t xml:space="preserve">162 W 5TH ST </t>
  </si>
  <si>
    <t xml:space="preserve"> BENSON</t>
  </si>
  <si>
    <t xml:space="preserve"> AZ 85602-6508</t>
  </si>
  <si>
    <t xml:space="preserve">3330 E LOCKETT RD </t>
  </si>
  <si>
    <t xml:space="preserve"> AZ 86004-4043</t>
  </si>
  <si>
    <t xml:space="preserve">15530 W AJO HWY </t>
  </si>
  <si>
    <t xml:space="preserve"> AZ 85735-2489</t>
  </si>
  <si>
    <t>4431 S HIGHWAY 92</t>
  </si>
  <si>
    <t xml:space="preserve"> AZ 85650-8201</t>
  </si>
  <si>
    <t xml:space="preserve">4431 S HIGHWAY 92 </t>
  </si>
  <si>
    <t xml:space="preserve">1276 E CENTURY AVE </t>
  </si>
  <si>
    <t xml:space="preserve"> AZ 85296-1304</t>
  </si>
  <si>
    <t xml:space="preserve">1024 W UNIVERSITY DR </t>
  </si>
  <si>
    <t xml:space="preserve">4123 N 15TH AVE </t>
  </si>
  <si>
    <t xml:space="preserve"> AZ 85015-4702</t>
  </si>
  <si>
    <t>1550 N. Country Club</t>
  </si>
  <si>
    <t>1616 N 24TH ST 103</t>
  </si>
  <si>
    <t>1616 N. 24th Street Suite 103</t>
  </si>
  <si>
    <t xml:space="preserve">7214 E GRANADA RD </t>
  </si>
  <si>
    <t xml:space="preserve"> AZ 85257-2112</t>
  </si>
  <si>
    <t xml:space="preserve">8311 W GLENDALE AVE </t>
  </si>
  <si>
    <t xml:space="preserve"> AZ 85305-2102</t>
  </si>
  <si>
    <t>1730 S. 4th Avenue</t>
  </si>
  <si>
    <t>7985 E 24TH ST</t>
  </si>
  <si>
    <t xml:space="preserve"> AZ 85365-8602</t>
  </si>
  <si>
    <t>301 E WESTERN AVE</t>
  </si>
  <si>
    <t xml:space="preserve"> AZ 85323-2347</t>
  </si>
  <si>
    <t>3880 N. Valorie Dr.</t>
  </si>
  <si>
    <t xml:space="preserve"> AZ 86314</t>
  </si>
  <si>
    <t xml:space="preserve">3104 W GLENDALE AVE </t>
  </si>
  <si>
    <t xml:space="preserve"> AZ 85051-8317</t>
  </si>
  <si>
    <t xml:space="preserve">2190 W RIVER RD </t>
  </si>
  <si>
    <t xml:space="preserve"> AZ 85741-3889</t>
  </si>
  <si>
    <t xml:space="preserve">2109 E HEDRICK DR </t>
  </si>
  <si>
    <t xml:space="preserve"> AZ 85719-2458</t>
  </si>
  <si>
    <t xml:space="preserve">2385 S PLUMER AVE </t>
  </si>
  <si>
    <t xml:space="preserve">2150 E SILVOSA ST </t>
  </si>
  <si>
    <t xml:space="preserve"> AZ 85713-3857</t>
  </si>
  <si>
    <t xml:space="preserve">9012 E MAYBERRY DR </t>
  </si>
  <si>
    <t xml:space="preserve"> AZ 85730-5756</t>
  </si>
  <si>
    <t>101 E 2ND ST</t>
  </si>
  <si>
    <t xml:space="preserve"> RICEVILLE</t>
  </si>
  <si>
    <t xml:space="preserve"> IA 50466-7717</t>
  </si>
  <si>
    <t>7418 W INDIAN SCHOOL RD</t>
  </si>
  <si>
    <t xml:space="preserve"> AZ 85033-3138</t>
  </si>
  <si>
    <t xml:space="preserve">7418 W INDIAN SCHOOL RD </t>
  </si>
  <si>
    <t>Building 52111</t>
  </si>
  <si>
    <t xml:space="preserve"> Tindal Street</t>
  </si>
  <si>
    <t xml:space="preserve">128 N 7TH ST </t>
  </si>
  <si>
    <t xml:space="preserve"> AZ 85635-1923</t>
  </si>
  <si>
    <t xml:space="preserve">3320 E VAN BUREN ST </t>
  </si>
  <si>
    <t xml:space="preserve"> AZ 85008-6813</t>
  </si>
  <si>
    <t>3333 E VAN BUREN ST</t>
  </si>
  <si>
    <t xml:space="preserve"> AZ 85008-6812</t>
  </si>
  <si>
    <t>8311 W GLENDALE AVE</t>
  </si>
  <si>
    <t xml:space="preserve">8041 N 15TH AVE </t>
  </si>
  <si>
    <t xml:space="preserve"> AZ 85021-5401</t>
  </si>
  <si>
    <t>1802 W PARKSIDE LN</t>
  </si>
  <si>
    <t xml:space="preserve"> AZ 85027-1322</t>
  </si>
  <si>
    <t>3320 E VAN BUREN ST</t>
  </si>
  <si>
    <t>Urban Strategies Family and Child Academy</t>
  </si>
  <si>
    <t>1918 West Van Buren Street</t>
  </si>
  <si>
    <t>301 C Street Bldg. 1102 Yuma Proving Ground</t>
  </si>
  <si>
    <t xml:space="preserve"> AZ 85365</t>
  </si>
  <si>
    <t xml:space="preserve">3920 E SOUTHERN AVE </t>
  </si>
  <si>
    <t>2235 S Highway 89 Building A</t>
  </si>
  <si>
    <t xml:space="preserve"> Chino Valley</t>
  </si>
  <si>
    <t xml:space="preserve"> AZ 86323</t>
  </si>
  <si>
    <t>22535 W highway 89 Building A</t>
  </si>
  <si>
    <t>12701 N. Scottsdale Rd</t>
  </si>
  <si>
    <t xml:space="preserve"> AZ 85254</t>
  </si>
  <si>
    <t xml:space="preserve">2561 W RUTHRAUFF RD </t>
  </si>
  <si>
    <t xml:space="preserve"> AZ 85705-1853</t>
  </si>
  <si>
    <t xml:space="preserve"> AZ 85033-4503</t>
  </si>
  <si>
    <t xml:space="preserve">1050 W MOUNTAIN VIEW RD </t>
  </si>
  <si>
    <t xml:space="preserve"> AZ 85021-2397</t>
  </si>
  <si>
    <t xml:space="preserve">15 W CORAL GABLES DR </t>
  </si>
  <si>
    <t xml:space="preserve"> AZ 85023-3601</t>
  </si>
  <si>
    <t xml:space="preserve">6913 W TETHER TRL </t>
  </si>
  <si>
    <t xml:space="preserve"> AZ 85383-7032</t>
  </si>
  <si>
    <t>PO BOX 85534</t>
  </si>
  <si>
    <t xml:space="preserve"> AZ 85754-5534</t>
  </si>
  <si>
    <t>15530 W AJO HWY</t>
  </si>
  <si>
    <t>PO BOX 879</t>
  </si>
  <si>
    <t xml:space="preserve"> AZ 85335-0879</t>
  </si>
  <si>
    <t>12938 W GREENWAY RD</t>
  </si>
  <si>
    <t xml:space="preserve"> AZ 85374-4024</t>
  </si>
  <si>
    <t>1310 PO Box</t>
  </si>
  <si>
    <t xml:space="preserve"> Sun City</t>
  </si>
  <si>
    <t xml:space="preserve"> AZ 85372</t>
  </si>
  <si>
    <t xml:space="preserve"> AZ 85015-3478</t>
  </si>
  <si>
    <t xml:space="preserve">2332 S ARIZONA AVE </t>
  </si>
  <si>
    <t xml:space="preserve"> AZ 85364-8519</t>
  </si>
  <si>
    <t>4246 PO Box</t>
  </si>
  <si>
    <t xml:space="preserve"> AZ 85366</t>
  </si>
  <si>
    <t xml:space="preserve">124 S CURTIS AVE </t>
  </si>
  <si>
    <t xml:space="preserve"> WILLCOX</t>
  </si>
  <si>
    <t xml:space="preserve"> AZ 85643-2113</t>
  </si>
  <si>
    <t>2332 S ARIZONA AVE</t>
  </si>
  <si>
    <t xml:space="preserve">449 E SOUTHERN AVE </t>
  </si>
  <si>
    <t xml:space="preserve"> AZ 85040-3045</t>
  </si>
  <si>
    <t xml:space="preserve">392 E WINDSOR AVE </t>
  </si>
  <si>
    <t xml:space="preserve"> AZ 85004-1232</t>
  </si>
  <si>
    <t>9601 E SPEEDWAY BLVD</t>
  </si>
  <si>
    <t xml:space="preserve"> AZ 85748-1918</t>
  </si>
  <si>
    <t>1201 S AVENIDA SIRIO</t>
  </si>
  <si>
    <t xml:space="preserve"> AZ 85710-5225</t>
  </si>
  <si>
    <t>222 N. Church Ave</t>
  </si>
  <si>
    <t xml:space="preserve"> AZ 85701</t>
  </si>
  <si>
    <t>1111 PO Box</t>
  </si>
  <si>
    <t>222 N CHURCH AVE</t>
  </si>
  <si>
    <t xml:space="preserve"> AZ 85701-1104</t>
  </si>
  <si>
    <t xml:space="preserve">6207 E BELLEVUE ST </t>
  </si>
  <si>
    <t xml:space="preserve"> AZ 85712-5110</t>
  </si>
  <si>
    <t xml:space="preserve">1590 S AVENUE C </t>
  </si>
  <si>
    <t xml:space="preserve"> AZ 85364-4118</t>
  </si>
  <si>
    <t>Building 99119</t>
  </si>
  <si>
    <t xml:space="preserve"> AZ 85369</t>
  </si>
  <si>
    <t>PO BOX 99119</t>
  </si>
  <si>
    <t xml:space="preserve"> AZ 85369-9119</t>
  </si>
  <si>
    <t xml:space="preserve">3834 W 16TH ST </t>
  </si>
  <si>
    <t xml:space="preserve"> AZ 85364-4107</t>
  </si>
  <si>
    <t xml:space="preserve">1545 S AVENUE C </t>
  </si>
  <si>
    <t xml:space="preserve"> AZ 85364-4105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</si>
  <si>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</si>
  <si>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SUNRISE PRESCHOOL #147</t>
  </si>
  <si>
    <t>SUNRISE PRESCHOOL #282</t>
  </si>
  <si>
    <t>Grant Number</t>
  </si>
  <si>
    <t>Grantee Name</t>
  </si>
  <si>
    <t>Program
Number</t>
  </si>
  <si>
    <t>Program
Type</t>
  </si>
  <si>
    <t>Program</t>
  </si>
  <si>
    <t>Child</t>
  </si>
  <si>
    <t>DHS CDC (exact)</t>
  </si>
  <si>
    <t>ADE Entity ID(CACFP)</t>
  </si>
  <si>
    <t>DHS CDC FTF</t>
  </si>
  <si>
    <t>FTF ID DHS</t>
  </si>
  <si>
    <t>Address Line 1</t>
  </si>
  <si>
    <t>Address Line 2</t>
  </si>
  <si>
    <t>City</t>
  </si>
  <si>
    <t>State</t>
  </si>
  <si>
    <t>ZIP</t>
  </si>
  <si>
    <t>ZIP+4</t>
  </si>
  <si>
    <t>Congressional
District</t>
  </si>
  <si>
    <t>Status</t>
  </si>
  <si>
    <t>Federal
Interest</t>
  </si>
  <si>
    <t>Federal
Interest Filed</t>
  </si>
  <si>
    <t>Owned By
Program</t>
  </si>
  <si>
    <t>Total Slots</t>
  </si>
  <si>
    <t>Child Care
Partner Site</t>
  </si>
  <si>
    <t>09HP000105</t>
  </si>
  <si>
    <t>Maricopa County Human Services</t>
  </si>
  <si>
    <t>EHS</t>
  </si>
  <si>
    <t>1st Academy</t>
  </si>
  <si>
    <t>1133 S Dobson Rd</t>
  </si>
  <si>
    <t>Ste 101</t>
  </si>
  <si>
    <t>Maricopa County</t>
  </si>
  <si>
    <t>AZ-009</t>
  </si>
  <si>
    <t>(480) 292-9880</t>
  </si>
  <si>
    <t>Verified</t>
  </si>
  <si>
    <t>no</t>
  </si>
  <si>
    <t>Yes</t>
  </si>
  <si>
    <t>09CH010372</t>
  </si>
  <si>
    <t>Catholic Charities Community Services, Inc.</t>
  </si>
  <si>
    <t>HS</t>
  </si>
  <si>
    <t>AVONDALE SOUTH HEAD START</t>
  </si>
  <si>
    <t>525 E Harrison Dr</t>
  </si>
  <si>
    <t>AZ-003</t>
  </si>
  <si>
    <t>(623) 882-9547</t>
  </si>
  <si>
    <t>No</t>
  </si>
  <si>
    <t>09HP000200</t>
  </si>
  <si>
    <t>A SHINING STAR PRESCHOOL INC</t>
  </si>
  <si>
    <t>810 E Southern Ave</t>
  </si>
  <si>
    <t>(480) 890-2331</t>
  </si>
  <si>
    <t>BUCKEYE HEAD START</t>
  </si>
  <si>
    <t>113 E Centre Ave</t>
  </si>
  <si>
    <t>(623) 386-2105</t>
  </si>
  <si>
    <t>yes</t>
  </si>
  <si>
    <t>BUCKEYE ELEMENTARY HEAD START</t>
  </si>
  <si>
    <t>405 S 7th St</t>
  </si>
  <si>
    <t>(623) 327-0128</t>
  </si>
  <si>
    <t>Burton head start</t>
  </si>
  <si>
    <t>4801 W Maryland Ave</t>
  </si>
  <si>
    <t>AZ-007</t>
  </si>
  <si>
    <t>(623) 934-9515</t>
  </si>
  <si>
    <t>DISCOVERY HEAD START</t>
  </si>
  <si>
    <t>(623) 931-5399</t>
  </si>
  <si>
    <t>09CH011050</t>
  </si>
  <si>
    <t>City of Phoenix</t>
  </si>
  <si>
    <t>City of Phoenix Human Services Department</t>
  </si>
  <si>
    <t>Alhambra EHS Socialization</t>
  </si>
  <si>
    <t>6615 N 39th Ave</t>
  </si>
  <si>
    <t>(602) 262-4040</t>
  </si>
  <si>
    <t>EL MIRAGE HEAD START</t>
  </si>
  <si>
    <t>13500 N El Mirage Rd</t>
  </si>
  <si>
    <t># 530</t>
  </si>
  <si>
    <t>El Mirage</t>
  </si>
  <si>
    <t>AZ-008</t>
  </si>
  <si>
    <t>(602) 876-7291</t>
  </si>
  <si>
    <t>(623) 435-0274</t>
  </si>
  <si>
    <t>GLENDALE JACK HEAD START</t>
  </si>
  <si>
    <t>(623) 930-6522</t>
  </si>
  <si>
    <t>LAMAR HEAD START</t>
  </si>
  <si>
    <t>6331 W Lamar Rd</t>
  </si>
  <si>
    <t>(623) 930-5106</t>
  </si>
  <si>
    <t>09CH011776</t>
  </si>
  <si>
    <t>Pinal-Gila Community Child Services, Inc.</t>
  </si>
  <si>
    <t>Pinal Gila Community Child Services, Inc.</t>
  </si>
  <si>
    <t>900 N Plaza Dr</t>
  </si>
  <si>
    <t>Pinal County</t>
  </si>
  <si>
    <t>AZ-004</t>
  </si>
  <si>
    <t>(480) 982-4516 - 2</t>
  </si>
  <si>
    <t>220 W La Canada Blvd</t>
  </si>
  <si>
    <t>(602) 287-6199</t>
  </si>
  <si>
    <t>L.E.S.D.#65 - LITTLETON ELEMENTARY SCHOOL PRESCHOOL</t>
  </si>
  <si>
    <t>(602) 650-4866</t>
  </si>
  <si>
    <t>MENSENDICK HEAD START</t>
  </si>
  <si>
    <t>5535 N 67th Ave</t>
  </si>
  <si>
    <t>(623) 847-4863</t>
  </si>
  <si>
    <t>MICHAEL ANDERSON HEAD START</t>
  </si>
  <si>
    <t>45 S 3rd Ave</t>
  </si>
  <si>
    <t>(623) 772-5166</t>
  </si>
  <si>
    <t>GLENDALE OCOTILLO HEAD START</t>
  </si>
  <si>
    <t>6242 N 59th Ave</t>
  </si>
  <si>
    <t>(623) 934-6392</t>
  </si>
  <si>
    <t>PALO VERDE HEAD START</t>
  </si>
  <si>
    <t>10700 S Palo Verde Road</t>
  </si>
  <si>
    <t>Palo Verde</t>
  </si>
  <si>
    <t>(623) 327-3698</t>
  </si>
  <si>
    <t>AZ Desert</t>
  </si>
  <si>
    <t>(602) 320-9478</t>
  </si>
  <si>
    <t>PEORIA CHILD DEVELOPMENT CENTER &amp; HEAD START</t>
  </si>
  <si>
    <t>11708 N 80th Ave</t>
  </si>
  <si>
    <t>(623) 979-7938</t>
  </si>
  <si>
    <t>4933 W Orangewood Ave</t>
  </si>
  <si>
    <t>(623) 931-1303</t>
  </si>
  <si>
    <t>DBA BEAUTIFUL OASIS CHILDCARE</t>
  </si>
  <si>
    <t>1236 S Stapley Dr</t>
  </si>
  <si>
    <t>(480) 539-7772</t>
  </si>
  <si>
    <t>TOLLESON HEAD START</t>
  </si>
  <si>
    <t>9302 West Baden St</t>
  </si>
  <si>
    <t>(623) 478-9044</t>
  </si>
  <si>
    <t>09CH010385</t>
  </si>
  <si>
    <t>Maricopa County Early Head Start</t>
  </si>
  <si>
    <t>Bellview</t>
  </si>
  <si>
    <t>466 S Bellview</t>
  </si>
  <si>
    <t>(480) 733-3815</t>
  </si>
  <si>
    <t>UNION ELEMENTARY - WESTSIDE HEAD START</t>
  </si>
  <si>
    <t>3834 S 91st Ave</t>
  </si>
  <si>
    <t>(623) 478-5005</t>
  </si>
  <si>
    <t>90CM009850</t>
  </si>
  <si>
    <t>Chicanos por la Causa, Inc.</t>
  </si>
  <si>
    <t>Migrant HS</t>
  </si>
  <si>
    <t>Bienestar First Step</t>
  </si>
  <si>
    <t>690 N 10th Ave</t>
  </si>
  <si>
    <t>Yuma County</t>
  </si>
  <si>
    <t>(928) 722-7203</t>
  </si>
  <si>
    <t>Crane Rancho Viejo</t>
  </si>
  <si>
    <t>930 S Avenue C</t>
  </si>
  <si>
    <t>(928) 210-0899</t>
  </si>
  <si>
    <t>15815 N Desert Sage Dr</t>
  </si>
  <si>
    <t>Surprise</t>
  </si>
  <si>
    <t>(623) 972-7801</t>
  </si>
  <si>
    <t>201 N Sunshine Blvd</t>
  </si>
  <si>
    <t>AZ-001</t>
  </si>
  <si>
    <t>(520) 466-3438</t>
  </si>
  <si>
    <t>541 6th Ave</t>
  </si>
  <si>
    <t>(928) 627-4970</t>
  </si>
  <si>
    <t>09CH010651</t>
  </si>
  <si>
    <t>Child-Parent Centers, Inc.</t>
  </si>
  <si>
    <t>EASTER SEALS BLAKE FOUNDATION PALOMITA CHILDREN'S CENTER</t>
  </si>
  <si>
    <t>330 N Commerce Park Loop</t>
  </si>
  <si>
    <t>Ste 100</t>
  </si>
  <si>
    <t>(520) 325-6495</t>
  </si>
  <si>
    <t>QUEEN CREEK MIGRANT HEAD START</t>
  </si>
  <si>
    <t>18149 E San Tan Blvd</t>
  </si>
  <si>
    <t>Same</t>
  </si>
  <si>
    <t>Queen Creek</t>
  </si>
  <si>
    <t>AZ-005</t>
  </si>
  <si>
    <t>(480) 988-1708</t>
  </si>
  <si>
    <t>250 W 15th St</t>
  </si>
  <si>
    <t>Safford</t>
  </si>
  <si>
    <t>Graham County</t>
  </si>
  <si>
    <t>(928) 348-8825</t>
  </si>
  <si>
    <t>Blake-Sierra Vista</t>
  </si>
  <si>
    <t>55 S 5th St</t>
  </si>
  <si>
    <t>Sierra Vista</t>
  </si>
  <si>
    <t>Cochise County</t>
  </si>
  <si>
    <t>AZ-002</t>
  </si>
  <si>
    <t>(520) 417-0756</t>
  </si>
  <si>
    <t>1522 C Street</t>
  </si>
  <si>
    <t>(928) 627-2037</t>
  </si>
  <si>
    <t>C.P.L.C./ SAN LUIS MIGRANT</t>
  </si>
  <si>
    <t>1770 East D Street</t>
  </si>
  <si>
    <t>(928) 627-7254</t>
  </si>
  <si>
    <t>C.P.L.C./ ARIZONA MIGRANT &amp; SEASONAL HEAD START</t>
  </si>
  <si>
    <t>649 N 9th Avenue</t>
  </si>
  <si>
    <t>(928) 627-5701</t>
  </si>
  <si>
    <t>BONITA HEADSTART</t>
  </si>
  <si>
    <t>1201 E 16th St</t>
  </si>
  <si>
    <t>Bldg A</t>
  </si>
  <si>
    <t>(520) 364-5642</t>
  </si>
  <si>
    <t>C.P.L.C./ SOMERTON MIGRANT &amp; SEASONAL HEAD START</t>
  </si>
  <si>
    <t>435 W Jacobs St</t>
  </si>
  <si>
    <t>435 W Jacobs Street</t>
  </si>
  <si>
    <t>(928) 627-2002</t>
  </si>
  <si>
    <t>C.P.L.C./ WILLCOX MIGRANT &amp; SEASONAL HEAD START</t>
  </si>
  <si>
    <t>611 N Bisbee Ave</t>
  </si>
  <si>
    <t>Willcox</t>
  </si>
  <si>
    <t>(520) 384-3140</t>
  </si>
  <si>
    <t>3101 W McDowell Rd</t>
  </si>
  <si>
    <t>(602) 495-7050</t>
  </si>
  <si>
    <t>C.P.L.C./ E.C.D.</t>
  </si>
  <si>
    <t>1875 S 45th Ave</t>
  </si>
  <si>
    <t>(928) 783-2363</t>
  </si>
  <si>
    <t>AJO HEAD START</t>
  </si>
  <si>
    <t>111 N Well Rd</t>
  </si>
  <si>
    <t>Ajo</t>
  </si>
  <si>
    <t>(520) 387-3086</t>
  </si>
  <si>
    <t>09HP000272</t>
  </si>
  <si>
    <t>Southwest Human Development</t>
  </si>
  <si>
    <t>SOUTHWEST HUMAN DEVELOPMENT</t>
  </si>
  <si>
    <t>SOUTHWEST HEAD START AT BRUNSON LEE</t>
  </si>
  <si>
    <t>(602) 266-0679</t>
  </si>
  <si>
    <t>AMPHI HEAD START</t>
  </si>
  <si>
    <t>1075 W Roger Rd</t>
  </si>
  <si>
    <t>(520) 292-9416</t>
  </si>
  <si>
    <t>(623) 327-9910</t>
  </si>
  <si>
    <t>BENSON HEAD START</t>
  </si>
  <si>
    <t>300 W Union St</t>
  </si>
  <si>
    <t>(520) 586-7174</t>
  </si>
  <si>
    <t>09CH010839</t>
  </si>
  <si>
    <t>Western Arizona Council of Governments</t>
  </si>
  <si>
    <t>W.A.C.O.G. - BULLHEAD CITY HEAD START</t>
  </si>
  <si>
    <t>1055 Marina Blvd</t>
  </si>
  <si>
    <t>Bullhead City</t>
  </si>
  <si>
    <t>Mohave County</t>
  </si>
  <si>
    <t>(928) 758-3334</t>
  </si>
  <si>
    <t>09HP000370</t>
  </si>
  <si>
    <t>(623) 934-9402</t>
  </si>
  <si>
    <t>CARMICHAEL HEAD START</t>
  </si>
  <si>
    <t>701 N Carmichael Ave</t>
  </si>
  <si>
    <t>(520) 458-4366</t>
  </si>
  <si>
    <t>CAVETT HEAD START</t>
  </si>
  <si>
    <t>2125 E Poquita Vis</t>
  </si>
  <si>
    <t>(520) 382-1501</t>
  </si>
  <si>
    <t>CHALLENGER HEAD START</t>
  </si>
  <si>
    <t>Santa Cruz County</t>
  </si>
  <si>
    <t>(520) 761-4331</t>
  </si>
  <si>
    <t>09HP000197</t>
  </si>
  <si>
    <t>Cactus Kids preschool</t>
  </si>
  <si>
    <t>7418 W Indian School Rd</t>
  </si>
  <si>
    <t>COBRE DEL SOL HEAD START</t>
  </si>
  <si>
    <t>951 Headstart Way</t>
  </si>
  <si>
    <t>(520) 432-2664</t>
  </si>
  <si>
    <t>CORONADO HEAD START</t>
  </si>
  <si>
    <t>3401 E Wilds Rd</t>
  </si>
  <si>
    <t>(520) 825-1669</t>
  </si>
  <si>
    <t>09CH011520</t>
  </si>
  <si>
    <t>Northern Arizona Council of Governments</t>
  </si>
  <si>
    <t>353 West Apache Trail</t>
  </si>
  <si>
    <t>Yavapai County</t>
  </si>
  <si>
    <t>(928) 567-3182</t>
  </si>
  <si>
    <t>DESERT WINDS HEAD START</t>
  </si>
  <si>
    <t>12655 W Rudasill Rd</t>
  </si>
  <si>
    <t>(520) 616-7050</t>
  </si>
  <si>
    <t>Duncan head start</t>
  </si>
  <si>
    <t>0001 McGrath Ave</t>
  </si>
  <si>
    <t>Greenlee County</t>
  </si>
  <si>
    <t>(928) 359-2872</t>
  </si>
  <si>
    <t>Elvira head start</t>
  </si>
  <si>
    <t>205 W Aragon Rd</t>
  </si>
  <si>
    <t>(520) 328-1503</t>
  </si>
  <si>
    <t>ERICKSON HEAD START</t>
  </si>
  <si>
    <t>3333 S Mann Ave</t>
  </si>
  <si>
    <t>(520) 745-1388</t>
  </si>
  <si>
    <t>Homer Davis Head Start</t>
  </si>
  <si>
    <t>4258 N Romero Rd</t>
  </si>
  <si>
    <t>(520) 696-0303</t>
  </si>
  <si>
    <t>JACINTO PARK HEAD START</t>
  </si>
  <si>
    <t>701 W Tipton Dr</t>
  </si>
  <si>
    <t>(520) 624-7843</t>
  </si>
  <si>
    <t>KEELING HEAD START</t>
  </si>
  <si>
    <t>435 E Glenn St</t>
  </si>
  <si>
    <t>(520) 696-6947</t>
  </si>
  <si>
    <t>LA ESCUELITA HEAD START</t>
  </si>
  <si>
    <t>460 F Ave</t>
  </si>
  <si>
    <t>(520) 364-8298</t>
  </si>
  <si>
    <t>468 W McMurray Blvd</t>
  </si>
  <si>
    <t>(520) 421-2660</t>
  </si>
  <si>
    <t>LAGUNA HEAD START</t>
  </si>
  <si>
    <t>(520) 887-5698</t>
  </si>
  <si>
    <t>(520) 573-5824</t>
  </si>
  <si>
    <t>LOS NINOS SUNNYSIDE HEAD START</t>
  </si>
  <si>
    <t>Bldg 3</t>
  </si>
  <si>
    <t>(520) 574-9515</t>
  </si>
  <si>
    <t>MARANA HEAD START</t>
  </si>
  <si>
    <t>13660 N McDuff Rd</t>
  </si>
  <si>
    <t>(520) 682-4415</t>
  </si>
  <si>
    <t>MISSION MANOR HEAD START</t>
  </si>
  <si>
    <t>6009 S Santa Clara Ave</t>
  </si>
  <si>
    <t>(520) 573-3745</t>
  </si>
  <si>
    <t>MORNING STAR HEAD START</t>
  </si>
  <si>
    <t>1201 E 25th St</t>
  </si>
  <si>
    <t>(520) 623-4840</t>
  </si>
  <si>
    <t>09CH011020</t>
  </si>
  <si>
    <t>Chicanos Por La Causa, Inc.</t>
  </si>
  <si>
    <t>CHICANOS POR LA CAUSA - PHOENIX EARLY HEAD START</t>
  </si>
  <si>
    <t>1402 S Central Ave</t>
  </si>
  <si>
    <t>(602) 716-0157</t>
  </si>
  <si>
    <t>Needs Verification</t>
  </si>
  <si>
    <t>NOGALES HEAD START</t>
  </si>
  <si>
    <t>125 E Madison St</t>
  </si>
  <si>
    <t>Ste 1</t>
  </si>
  <si>
    <t>(520) 287-2060</t>
  </si>
  <si>
    <t>09CH010381</t>
  </si>
  <si>
    <t>CHILD CRISIS ARIZONA EARLY EDUCATION SERVICES-MESA</t>
  </si>
  <si>
    <t>817 N Country Club Dr</t>
  </si>
  <si>
    <t>(480) 304-9501</t>
  </si>
  <si>
    <t>09HP000366</t>
  </si>
  <si>
    <t>CHILDREN'S ACHIEVEMENT CENTER</t>
  </si>
  <si>
    <t>NORTHWEST HEAD START CENTER</t>
  </si>
  <si>
    <t>2160 N 6th Ave</t>
  </si>
  <si>
    <t>(520) 884-8180</t>
  </si>
  <si>
    <t>PIMA HEAD START</t>
  </si>
  <si>
    <t>310 S 200 East St</t>
  </si>
  <si>
    <t>(928) 485-3024</t>
  </si>
  <si>
    <t>N.A.C.O.G. - CHINO VALLEY HEAD START</t>
  </si>
  <si>
    <t>1985 N Road 1 W</t>
  </si>
  <si>
    <t>Chino Valley</t>
  </si>
  <si>
    <t>(928) 636-1076</t>
  </si>
  <si>
    <t>PRINCE HEAD START</t>
  </si>
  <si>
    <t>90 E King Rd</t>
  </si>
  <si>
    <t>(520) 408-9129</t>
  </si>
  <si>
    <t>PUEBLO DEL SOL HEAD START</t>
  </si>
  <si>
    <t>5142 Paseo Las Palmas</t>
  </si>
  <si>
    <t>(520) 458-9749</t>
  </si>
  <si>
    <t>RIO RICO HEAD START</t>
  </si>
  <si>
    <t>(520) 761-8063</t>
  </si>
  <si>
    <t>ROBERTS HEAD START</t>
  </si>
  <si>
    <t>1945 S Columbus Blvd</t>
  </si>
  <si>
    <t>(520) 382-1505</t>
  </si>
  <si>
    <t>SANTA CLARA HEAD START</t>
  </si>
  <si>
    <t>6970 S Santa Clara Ave</t>
  </si>
  <si>
    <t>(520) 889-7478</t>
  </si>
  <si>
    <t>SANTA ROSA CHILD DEVELOPMENT CENTER</t>
  </si>
  <si>
    <t>1065 S 10th Ave</t>
  </si>
  <si>
    <t>(520) 382-1500</t>
  </si>
  <si>
    <t>SIERRA BONITA HEAD START</t>
  </si>
  <si>
    <t>1415 S Central Ave</t>
  </si>
  <si>
    <t>(928) 428-0455</t>
  </si>
  <si>
    <t>MARICOPA COUNTY HUMAN SERVICES - COMPADRE HIGH SCHOOL EARLY HEAD START</t>
  </si>
  <si>
    <t>500 W Guadalupe Rd</t>
  </si>
  <si>
    <t>(480) 752-3560</t>
  </si>
  <si>
    <t>SOUTHSIDE HEAD START</t>
  </si>
  <si>
    <t>317 W 23rd St</t>
  </si>
  <si>
    <t>(520) 622-4552</t>
  </si>
  <si>
    <t>227 W Pinkley Ave</t>
  </si>
  <si>
    <t>(520) 723-4951</t>
  </si>
  <si>
    <t>Summit View head start</t>
  </si>
  <si>
    <t>10170 S Epperson Ln</t>
  </si>
  <si>
    <t>(520) 573-7780</t>
  </si>
  <si>
    <t>SUNNYSIDE HEADSTART</t>
  </si>
  <si>
    <t>1105 E Drexel Rd</t>
  </si>
  <si>
    <t>(520) 382-1555</t>
  </si>
  <si>
    <t>WALTER DOUGLAS HEAD START</t>
  </si>
  <si>
    <t>3232 N Flowing Wells Rd</t>
  </si>
  <si>
    <t>(520) 292-6319</t>
  </si>
  <si>
    <t>686 N Western Ave</t>
  </si>
  <si>
    <t>(520) 287-3662</t>
  </si>
  <si>
    <t>WILLCOX HEAD START</t>
  </si>
  <si>
    <t>501 W Stewart St</t>
  </si>
  <si>
    <t>(520) 384-0016</t>
  </si>
  <si>
    <t>WRIGHT HEAD START</t>
  </si>
  <si>
    <t>2080 N Columbus Blvd</t>
  </si>
  <si>
    <t>Bldg 1</t>
  </si>
  <si>
    <t>(520) 326-9047</t>
  </si>
  <si>
    <t>W.E.S.D.#6 - ACACIA SCHOOL</t>
  </si>
  <si>
    <t>3021 W Evans Dr</t>
  </si>
  <si>
    <t>AZ-006</t>
  </si>
  <si>
    <t>4730 W Campbell Ave</t>
  </si>
  <si>
    <t>3843 W Roosevelt St</t>
  </si>
  <si>
    <t>W.E.S.D.#6 - ALTA VISTA EXTENDED DAY</t>
  </si>
  <si>
    <t>09CH010723</t>
  </si>
  <si>
    <t>SOUTHWEST HEAD START @ CROCKETT</t>
  </si>
  <si>
    <t>(602) 266-5976</t>
  </si>
  <si>
    <t>W.E.S.D.#6 - ARROYO ELEMENTARY SCHOOL</t>
  </si>
  <si>
    <t>4535 W Cholla St</t>
  </si>
  <si>
    <t>ASU Prep South Phoenix</t>
  </si>
  <si>
    <t>5610 S Central Ave</t>
  </si>
  <si>
    <t>R.E.S.D.#66 - BERNARD BLACK SCHOOL</t>
  </si>
  <si>
    <t>6550 S 27th Ave</t>
  </si>
  <si>
    <t>BOOKER T. WASHINGTON - BETHUNE</t>
  </si>
  <si>
    <t>BOOKER T  WASHINGTON CHILD DEVELOPMENT CENTER</t>
  </si>
  <si>
    <t>1522 E Adams St</t>
  </si>
  <si>
    <t>2533 N 60th Ave</t>
  </si>
  <si>
    <t>R.E.S.D.#66 - CAMPBELL SCHOOL</t>
  </si>
  <si>
    <t>W.E.S.D.#6 - CACTUS WREN ELEMENTARY SCHOOL</t>
  </si>
  <si>
    <t>BOOKER T. WASHINGTON  - CAPITOL</t>
  </si>
  <si>
    <t>5480 W Campbell Ave</t>
  </si>
  <si>
    <t>2825 N 59th Ave</t>
  </si>
  <si>
    <t>SOUTHWEST HEAD START @ ECHO MOUNTAIN</t>
  </si>
  <si>
    <t>1750 E Grovers Ave</t>
  </si>
  <si>
    <t>Charles H. Harris Elementary</t>
  </si>
  <si>
    <t>D.V.U.S.D.#97 - HEAD START I CONSTITUTION</t>
  </si>
  <si>
    <t>18440 N 15th Ave</t>
  </si>
  <si>
    <t>A.E.S.D.#68 - CORDOVA MIDDLE SCHOOL</t>
  </si>
  <si>
    <t>(602) 246-5155</t>
  </si>
  <si>
    <t>W.E.S.D.#6 - DESERT VIEW ELEMENTARY SCHOOL</t>
  </si>
  <si>
    <t>1300 N 48th St</t>
  </si>
  <si>
    <t>R.E.S.D.#66 - ED PASTOR SCHOOL</t>
  </si>
  <si>
    <t>3818 N 67th Ave</t>
  </si>
  <si>
    <t>114 E 3rd St</t>
  </si>
  <si>
    <t>(520) 466-7189</t>
  </si>
  <si>
    <t>Foothills Village</t>
  </si>
  <si>
    <t>6218 S 7th St</t>
  </si>
  <si>
    <t>(602) 276-2334 - 481</t>
  </si>
  <si>
    <t>F.E.S.D.#45 - HEAD START AT FOWLER ELEMENTARY SCHOOL</t>
  </si>
  <si>
    <t>3637 N 55th Ave</t>
  </si>
  <si>
    <t>SOUTHWEST HEAD START @ ENCANTO</t>
  </si>
  <si>
    <t>1426 W Osborn Rd</t>
  </si>
  <si>
    <t>6925 W Osborn Rd</t>
  </si>
  <si>
    <t>A.E.S.D.#68 - HEAD START - GRANADA PRIMARY SCHOOL</t>
  </si>
  <si>
    <t>09CH011347</t>
  </si>
  <si>
    <t>402 N 24th St</t>
  </si>
  <si>
    <t>(602) 889-6165</t>
  </si>
  <si>
    <t>MARICOPA COUNTY HUMAN SERVICES - FIRST PRESBYTERIAN CHURCH HEAD START</t>
  </si>
  <si>
    <t>161 N Mesa Dr</t>
  </si>
  <si>
    <t>(480) 962-1428</t>
  </si>
  <si>
    <t>P.E.S.D.#1 - HEARD ELEMENTARY SCHOOL</t>
  </si>
  <si>
    <t>4417 N 66th Ave</t>
  </si>
  <si>
    <t>FIRST UNITED METHODIST CHURCH HEAD START</t>
  </si>
  <si>
    <t>15 E 1st Ave</t>
  </si>
  <si>
    <t># 1</t>
  </si>
  <si>
    <t>(480) 969-5577</t>
  </si>
  <si>
    <t>N.A.C.O.G. - FLAGSTAFF EARLY HEAD START</t>
  </si>
  <si>
    <t>4000 N Cummings St</t>
  </si>
  <si>
    <t>Coconino County</t>
  </si>
  <si>
    <t>(928) 214-8461</t>
  </si>
  <si>
    <t>R.E.S.D.#66 - I. CONCHOS</t>
  </si>
  <si>
    <t>FLORENCE HEAD START</t>
  </si>
  <si>
    <t>40 E Celaya St</t>
  </si>
  <si>
    <t>Florence</t>
  </si>
  <si>
    <t>(520) 868-8940</t>
  </si>
  <si>
    <t>R.E.S.D.#66 - KENNEDY HEAD START</t>
  </si>
  <si>
    <t>W.A.C.O.G. - FOOTHILLS HEAD START</t>
  </si>
  <si>
    <t>2950 S Avenue 10 E</t>
  </si>
  <si>
    <t>(928) 305-1652</t>
  </si>
  <si>
    <t>W.E.S.D.#6 - JOHN JACOBS ELEMENTARY SCHOOL</t>
  </si>
  <si>
    <t>14421 N 23rd Ave</t>
  </si>
  <si>
    <t>R.E.S.D.#66 - DAVIS HEAD START</t>
  </si>
  <si>
    <t>Joseph Zito Elementary</t>
  </si>
  <si>
    <t>Justine Spitalny</t>
  </si>
  <si>
    <t>3201 N 46th Dr</t>
  </si>
  <si>
    <t>3201 W Sherman St</t>
  </si>
  <si>
    <t>GREATER PHOENIX URBAN LEAGUE HEAD START - M C  CASH</t>
  </si>
  <si>
    <t>R.E.S.D.#66 - M L KING HEAD START</t>
  </si>
  <si>
    <t>4615 S 22nd St</t>
  </si>
  <si>
    <t>R.E.S.D.#66 - BUSH HEAD START</t>
  </si>
  <si>
    <t>W.E.S.D.#6 - MANZANITA ELEMENTARY</t>
  </si>
  <si>
    <t>8430 N 39th Ave</t>
  </si>
  <si>
    <t>GARDEN CITY CHILD DEVELOPMENT CENTER - BUCKEYE</t>
  </si>
  <si>
    <t>406 N 1st St</t>
  </si>
  <si>
    <t>(623) 386-2246</t>
  </si>
  <si>
    <t>GREATER PHOENIX URBAN LEAGUE HEAD START - MARCOS DE NIZA</t>
  </si>
  <si>
    <t>301 W Pima St</t>
  </si>
  <si>
    <t>SOUTHWEST HEAD START @ GATEWAY</t>
  </si>
  <si>
    <t>90HM000017</t>
  </si>
  <si>
    <t>Migrant EHS</t>
  </si>
  <si>
    <t>CHICANOS POR LA CAUSA, INC</t>
  </si>
  <si>
    <t>304 W Alsdorf Rd</t>
  </si>
  <si>
    <t>W.E.S.D.#6 - MARYLAND ELEMENTARY</t>
  </si>
  <si>
    <t>MARICOPA COUNTY HUMAN SERVICES - GILBERT HEAD START</t>
  </si>
  <si>
    <t>44 N Oak St</t>
  </si>
  <si>
    <t>(480) 813-2879</t>
  </si>
  <si>
    <t>1700 N 41st Ave</t>
  </si>
  <si>
    <t>W.E.S.D.#6 - MOON MOUNTAIN SCHOOL</t>
  </si>
  <si>
    <t>W.E.S.D.#6 - MOUNTAIN VIEW ELEMENTARY</t>
  </si>
  <si>
    <t>3225 W Ocotillo Rd</t>
  </si>
  <si>
    <t>Great Explorers</t>
  </si>
  <si>
    <t>15637 N Hollyhock St</t>
  </si>
  <si>
    <t>(623) 972-9478</t>
  </si>
  <si>
    <t>MARICOPA COUNTY HUMAN SERVICES - GUADALUPE HEAD START</t>
  </si>
  <si>
    <t>9401 S Avenida Del Yaqui</t>
  </si>
  <si>
    <t>Guadalupe</t>
  </si>
  <si>
    <t>(480) 755-5063</t>
  </si>
  <si>
    <t>GREATER PHOENIX URBAN LEAGUE - P.T. COE ELEMENTARY</t>
  </si>
  <si>
    <t>Palm Lane School</t>
  </si>
  <si>
    <t>2043 N 64th Dr</t>
  </si>
  <si>
    <t>840 E 22nd St</t>
  </si>
  <si>
    <t>(928) 502-8400</t>
  </si>
  <si>
    <t>W.E.S.D.#6 - PALO VERDE HEAD START</t>
  </si>
  <si>
    <t>7502 N 39th Ave</t>
  </si>
  <si>
    <t>GREATER PHOENIX URBAN LEAGUE HEAD START - PENDERGAST EARLY CHILDHOOD CENTER</t>
  </si>
  <si>
    <t>3841 N 91st Ave</t>
  </si>
  <si>
    <t>GREATER PHOENIX URBAN LEAGUE HEAD START - PERALTA</t>
  </si>
  <si>
    <t>7125 W Encanto Blvd</t>
  </si>
  <si>
    <t>W.E.S.D.#6 - SAHUARO SCHOOL</t>
  </si>
  <si>
    <t>12835 N 33rd Ave</t>
  </si>
  <si>
    <t>N.A.C.O.G. - HOLBROOK HEAD START</t>
  </si>
  <si>
    <t>165 W Arizona St</t>
  </si>
  <si>
    <t>Holbrook</t>
  </si>
  <si>
    <t>Navajo County</t>
  </si>
  <si>
    <t>(928) 524-6831</t>
  </si>
  <si>
    <t>A.E.S.D.#68 - HEAD START - SEVILLA PRIMARY SCHOOL</t>
  </si>
  <si>
    <t>12202 N 21st Ave</t>
  </si>
  <si>
    <t>R.E.S.D.#66 - SOUTHWEST HEAD START</t>
  </si>
  <si>
    <t>1111 W Dobbins Rd</t>
  </si>
  <si>
    <t>GREATER PHOENIX URBAN LEAGUE HEAD START - STARLIGHT PARK</t>
  </si>
  <si>
    <t>7960 W Osborn Rd</t>
  </si>
  <si>
    <t>Homer Davis head start</t>
  </si>
  <si>
    <t>2 N 31st Ave</t>
  </si>
  <si>
    <t>Sunburst Elementary</t>
  </si>
  <si>
    <t>W.E.S.D.#6 - SUNNYSLOPE ELEMENTARY</t>
  </si>
  <si>
    <t>245 E Mountain View Rd</t>
  </si>
  <si>
    <t>W.A.C.O.G. - HUBBS HOUSE HEAD START</t>
  </si>
  <si>
    <t>421 Golconda Ave</t>
  </si>
  <si>
    <t>(928) 753-1066</t>
  </si>
  <si>
    <t>F.E.S.D.#45 - HEAD START AT SUNRIDGE ELEMENTARY SCHOOL</t>
  </si>
  <si>
    <t>6244 W Roosevelt St</t>
  </si>
  <si>
    <t>D.V.U.S.D.#97 - SUNRISE ELEMENTARY</t>
  </si>
  <si>
    <t>17624 N 31st Ave</t>
  </si>
  <si>
    <t>R.E.S.D.#66 - T. G.  BARR HEAD START</t>
  </si>
  <si>
    <t>(623) 435-7268</t>
  </si>
  <si>
    <t>GREATER PHOENIX URBAN LEAGUE HEAD START - TRAVIS WILLIAMS</t>
  </si>
  <si>
    <t>4732 S Central Ave</t>
  </si>
  <si>
    <t>IMMANUEL CARE FOR CHILDREN</t>
  </si>
  <si>
    <t>1620 W Camelback Rd</t>
  </si>
  <si>
    <t>(602) 472-3000</t>
  </si>
  <si>
    <t>W.E.S.D.#6 - TUMBLEWEED KIDSPACE AND HEAD START</t>
  </si>
  <si>
    <t>4001 W Laurel Ln</t>
  </si>
  <si>
    <t>F.E.S.D.#45 - TUSCANO PRESCHOOL</t>
  </si>
  <si>
    <t>3850 S 79th Ave</t>
  </si>
  <si>
    <t>(660) 262-4040</t>
  </si>
  <si>
    <t>Valley View Elementary</t>
  </si>
  <si>
    <t>8220 S 7th Ave</t>
  </si>
  <si>
    <t>D.V.U.S.D.#97 - HEAD START I I VILLAGE MEADOWS</t>
  </si>
  <si>
    <t>2020 W Morningside Dr</t>
  </si>
  <si>
    <t>Jardin Angelical</t>
  </si>
  <si>
    <t>4240 W Daisy St</t>
  </si>
  <si>
    <t>(928) 627-5050</t>
  </si>
  <si>
    <t>F.E.S.D.#45 - FOWLER HEAD START/ WESTERN VALLEY CHILD CARE CENTER</t>
  </si>
  <si>
    <t>W.E.S.D.#7 - WILSON PRIMARY SCHOOL PRESCHOOL</t>
  </si>
  <si>
    <t>90CI010056</t>
  </si>
  <si>
    <t>Cocopah Indian Tribe</t>
  </si>
  <si>
    <t>AIAN HS</t>
  </si>
  <si>
    <t>COCOPAH HEAD START</t>
  </si>
  <si>
    <t>Cocopah Head Start</t>
  </si>
  <si>
    <t>14515 S Veterans Dr</t>
  </si>
  <si>
    <t>(928) 627-2811</t>
  </si>
  <si>
    <t>90CI009986</t>
  </si>
  <si>
    <t>Colorado River Indian Tribes</t>
  </si>
  <si>
    <t>COLORADO RIVER INDIAN TRIBES (ONAP)</t>
  </si>
  <si>
    <t>Colorado River Indian Tribes Head Start  Program</t>
  </si>
  <si>
    <t>18026 Mohave Rd</t>
  </si>
  <si>
    <t>La Paz County</t>
  </si>
  <si>
    <t>(928) 662-4311</t>
  </si>
  <si>
    <t>90CI009952</t>
  </si>
  <si>
    <t>Gila River Indian Community</t>
  </si>
  <si>
    <t>D6 HS/EHS Center</t>
  </si>
  <si>
    <t>16675 S St Johns Rd</t>
  </si>
  <si>
    <t>(520) 550-2434</t>
  </si>
  <si>
    <t>AIAN EHS</t>
  </si>
  <si>
    <t>GILA RIVER INDIAN COMMUNITY</t>
  </si>
  <si>
    <t>90HI000031</t>
  </si>
  <si>
    <t>Early Education Child Care Center</t>
  </si>
  <si>
    <t>280 S Ocotillo Rd</t>
  </si>
  <si>
    <t>(520) 562-3640</t>
  </si>
  <si>
    <t>Sacaton HS/EHS D3</t>
  </si>
  <si>
    <t>112 W Seed Farm Road</t>
  </si>
  <si>
    <t>(520) 562-6901</t>
  </si>
  <si>
    <t>Santan HS/EHS Center D4</t>
  </si>
  <si>
    <t>1467 W Santan Road</t>
  </si>
  <si>
    <t>(520) 418-3471</t>
  </si>
  <si>
    <t>Vah-Ki Head Start/EHS Center D5</t>
  </si>
  <si>
    <t>3441 W Casa Blanca Rd</t>
  </si>
  <si>
    <t>(520) 315-3636</t>
  </si>
  <si>
    <t>LA MESITA HEAD START</t>
  </si>
  <si>
    <t>2254 W Main St</t>
  </si>
  <si>
    <t>(480) 969-1276</t>
  </si>
  <si>
    <t>90CI9948</t>
  </si>
  <si>
    <t>Havasupai Tribe</t>
  </si>
  <si>
    <t>Havasupai Head Start</t>
  </si>
  <si>
    <t>PO Box 130</t>
  </si>
  <si>
    <t>130 Main Street</t>
  </si>
  <si>
    <t>Supai</t>
  </si>
  <si>
    <t>(928) 448-2821</t>
  </si>
  <si>
    <t>Incomplete</t>
  </si>
  <si>
    <t>90HI000017</t>
  </si>
  <si>
    <t>Havasupai Tribal Council (Head Start)</t>
  </si>
  <si>
    <t>Havasupai Early Head Start Program</t>
  </si>
  <si>
    <t>130 Main St</t>
  </si>
  <si>
    <t>90CI010046</t>
  </si>
  <si>
    <t>The Hopi Tribe</t>
  </si>
  <si>
    <t>HOPI INDIAN TRIBAL COUNCIL</t>
  </si>
  <si>
    <t>Hotevilla Bacavi Head Start Center</t>
  </si>
  <si>
    <t>751 Hotevilla Bacavi Head Start</t>
  </si>
  <si>
    <t>Hotevilla</t>
  </si>
  <si>
    <t>(928) 743-3513</t>
  </si>
  <si>
    <t>Moencopi Center</t>
  </si>
  <si>
    <t>Ktc Badger Moenkopi St. Head Start</t>
  </si>
  <si>
    <t>Tc Badger Moenkopi St. Head Start</t>
  </si>
  <si>
    <t>Moenkopi</t>
  </si>
  <si>
    <t>(928) 734-3513</t>
  </si>
  <si>
    <t>(623) 772-4416</t>
  </si>
  <si>
    <t>Polacca Center</t>
  </si>
  <si>
    <t>6214 Polacca 1 M Sch Head Start</t>
  </si>
  <si>
    <t>Polacca</t>
  </si>
  <si>
    <t>Second Mesa Center</t>
  </si>
  <si>
    <t>1104 Kykotsmovi Head Start Admin</t>
  </si>
  <si>
    <t>Kykotsmovi</t>
  </si>
  <si>
    <t>90CI010049</t>
  </si>
  <si>
    <t>Hualapai Tribe</t>
  </si>
  <si>
    <t>Hualapai Head Start</t>
  </si>
  <si>
    <t>Hualapai Tribe Head Start</t>
  </si>
  <si>
    <t>479 Hualapai Way</t>
  </si>
  <si>
    <t>(928) 769-2522</t>
  </si>
  <si>
    <t>Maricopa County Head Start</t>
  </si>
  <si>
    <t>1st Academy Center</t>
  </si>
  <si>
    <t>MARICOPA COUNTY HUMAN SERVICES - ADAMS HEAD START</t>
  </si>
  <si>
    <t>SOUTHWEST HEAD START @ LOMA LINDA</t>
  </si>
  <si>
    <t>CITY OF TEMPE - KID ZONE - AGUILAR SCHOOL</t>
  </si>
  <si>
    <t>5800 S Forest Ave</t>
  </si>
  <si>
    <t>(480) 897-2544</t>
  </si>
  <si>
    <t>O.E.S.D.#8 - LONGVIEW ELEMENTARY SCHOOL</t>
  </si>
  <si>
    <t>(480) 434-9424</t>
  </si>
  <si>
    <t>MARICOPA COUNTY HUMAN SERVICES - EDISON - ZERO  FIVE PROGRAM</t>
  </si>
  <si>
    <t>545 N Horne Ave</t>
  </si>
  <si>
    <t>Rm 5</t>
  </si>
  <si>
    <t>(480) 472-5305</t>
  </si>
  <si>
    <t>(480) 969-7914</t>
  </si>
  <si>
    <t>MARICOPA COUNTY HUMAN SERVICES - FRANK HEAD START</t>
  </si>
  <si>
    <t>8409 S Avenida Del Yaqui</t>
  </si>
  <si>
    <t># 24</t>
  </si>
  <si>
    <t>(480) 897-6202</t>
  </si>
  <si>
    <t>MARICOPA COUNTY HUMAN SERVICES - GALVESTON HEAD START</t>
  </si>
  <si>
    <t>661 E Galveston St</t>
  </si>
  <si>
    <t>(480) 812-6535</t>
  </si>
  <si>
    <t>(480) 756-8712</t>
  </si>
  <si>
    <t>MARICOPA COUNTY HUMAN SERVICES - HAMILTON HEAD START</t>
  </si>
  <si>
    <t>130 N Hamilton St</t>
  </si>
  <si>
    <t>Ofc 26</t>
  </si>
  <si>
    <t>(480) 786-5965</t>
  </si>
  <si>
    <t>SOUTHWEST HEAD START @ MADISON PARK</t>
  </si>
  <si>
    <t>1431 E Campbell Ave</t>
  </si>
  <si>
    <t>Mammoth Early Head Start</t>
  </si>
  <si>
    <t>110 S Main St</t>
  </si>
  <si>
    <t>Mammoth</t>
  </si>
  <si>
    <t>(520) 487-2843</t>
  </si>
  <si>
    <t>MARICOPA COUNTY HUMAN SERVICES - HUGHES HEAD START</t>
  </si>
  <si>
    <t>630 N Hunt Dr</t>
  </si>
  <si>
    <t>(480) 472-7481</t>
  </si>
  <si>
    <t>(480) 649-4029</t>
  </si>
  <si>
    <t>MARICOPA COUNTY HUMAN SERVICES - LINCOLN HEAD START</t>
  </si>
  <si>
    <t>930 S Sirrine</t>
  </si>
  <si>
    <t>Rm 50</t>
  </si>
  <si>
    <t>(480) 472-6350</t>
  </si>
  <si>
    <t>MARICOPA COUNTY HUMAN SERVICES -  LINDBERGH 1 &amp; 2 HEAD START</t>
  </si>
  <si>
    <t>930 S Lazona Dr</t>
  </si>
  <si>
    <t>Rm 704</t>
  </si>
  <si>
    <t>(480) 472-6281</t>
  </si>
  <si>
    <t>Maricopa Head Start &amp; Early Head Start</t>
  </si>
  <si>
    <t>44931 W Edwards Cir</t>
  </si>
  <si>
    <t>(520) 568-2577</t>
  </si>
  <si>
    <t>MARICOPA COUNTY HUMAN SERVICES - LONGFELLOW HEAD START</t>
  </si>
  <si>
    <t>Rm 18</t>
  </si>
  <si>
    <t>(480) 472-6575</t>
  </si>
  <si>
    <t>MARICOPA COUNTY HUMAN SERVICES - LOWELL HEAD START</t>
  </si>
  <si>
    <t>Rm 49</t>
  </si>
  <si>
    <t>(480) 472-1449</t>
  </si>
  <si>
    <t>MARICOPA COUNTY HUMAN SERVICES - NORTH TEMPE HEAD START I &amp; II</t>
  </si>
  <si>
    <t>1555 N Bridalwreath St</t>
  </si>
  <si>
    <t>(480) 858-6537</t>
  </si>
  <si>
    <t>MARICOPA COUNTY HUMAN SERVICES - PAIUTE HEAD START</t>
  </si>
  <si>
    <t>(480) 312-7683</t>
  </si>
  <si>
    <t>MI ESCUELITA CHILD CARE</t>
  </si>
  <si>
    <t>2747 W Southern Ave</t>
  </si>
  <si>
    <t>Ste 4</t>
  </si>
  <si>
    <t>(480) 292-9233</t>
  </si>
  <si>
    <t>Miami Head Start &amp; Early Head Start</t>
  </si>
  <si>
    <t>131 N Plaza Cir</t>
  </si>
  <si>
    <t>Gila County</t>
  </si>
  <si>
    <t>(928) 473-3640</t>
  </si>
  <si>
    <t>MARICOPA COUNTY HUMAN SERVICES - PALM LANE HEAD START</t>
  </si>
  <si>
    <t>660 S Palm Ln</t>
  </si>
  <si>
    <t>(480) 917-3212</t>
  </si>
  <si>
    <t>RED MOUNTAIN CENTER</t>
  </si>
  <si>
    <t>950 N Sunvalley Blvd</t>
  </si>
  <si>
    <t>(480) 472-3975</t>
  </si>
  <si>
    <t>Sonrise</t>
  </si>
  <si>
    <t>800 W Galveston St</t>
  </si>
  <si>
    <t>(480) 946-9669</t>
  </si>
  <si>
    <t>MARICOPA COUNTY HUMAN SERVICES - STEVENSON HEAD START</t>
  </si>
  <si>
    <t>638 S 96th St</t>
  </si>
  <si>
    <t>Rm 30</t>
  </si>
  <si>
    <t>(480) 472-9052</t>
  </si>
  <si>
    <t>MARICOPA COUNTY HUMAN SERVICES - TAFT ELEMENTARY S</t>
  </si>
  <si>
    <t>9800 E Quarterline Rd</t>
  </si>
  <si>
    <t>Rm 41</t>
  </si>
  <si>
    <t>(480) 380-1948</t>
  </si>
  <si>
    <t>Tutor Time #6066</t>
  </si>
  <si>
    <t>CDC-13863</t>
  </si>
  <si>
    <t>3901 E Guadalupe Rd</t>
  </si>
  <si>
    <t>Tutor Time #6096</t>
  </si>
  <si>
    <t>CDC-13851</t>
  </si>
  <si>
    <t>905 N McClintock Dr</t>
  </si>
  <si>
    <t>MARICOPA COUNTY HUMAN SERVICES - VALOR ON 8TH</t>
  </si>
  <si>
    <t>1001 E 8th St</t>
  </si>
  <si>
    <t>(480) 272-6885</t>
  </si>
  <si>
    <t>SOUTHWEST HEAD START @ MONTECITO</t>
  </si>
  <si>
    <t>715 E Montecito Ave</t>
  </si>
  <si>
    <t>MARICOPA COUNTY HUMAN SERVICES - WEBSTER HEAD START</t>
  </si>
  <si>
    <t>(480) 472-4839</t>
  </si>
  <si>
    <t>MARICOPA COUNTY HUMAN SERVICES - WESTSIDE MULTI GENERATIONAL HEAD START</t>
  </si>
  <si>
    <t>715 W 5th St</t>
  </si>
  <si>
    <t>(480) 858-2407</t>
  </si>
  <si>
    <t>MARICOPA COUNTY HUMAN SERVICES - WHITMAN -  ZERO FIVE PROGRAM</t>
  </si>
  <si>
    <t>1829 N Grand</t>
  </si>
  <si>
    <t>(480) 472-5038</t>
  </si>
  <si>
    <t>3140 W Buckeye Rd</t>
  </si>
  <si>
    <t>(602) 353-5400</t>
  </si>
  <si>
    <t>N.U.S.D.#81 - NADABURG PRESCHOOL</t>
  </si>
  <si>
    <t>(623) 388-2321 - 2602</t>
  </si>
  <si>
    <t>N.A.C.O.G. -ASH FORK HEAD START</t>
  </si>
  <si>
    <t>450 Lewis Avenue</t>
  </si>
  <si>
    <t>Ash Fork</t>
  </si>
  <si>
    <t>(928) 637-1027</t>
  </si>
  <si>
    <t>N.A.C.O.G. - BEAVER CREEK HEAD START</t>
  </si>
  <si>
    <t>4810 E Beaver Creek Rd</t>
  </si>
  <si>
    <t>Rimrock</t>
  </si>
  <si>
    <t>(928) 567-4631 - 1103</t>
  </si>
  <si>
    <t>N.A.C.O.G. - BLUE RIDGE HEAD START</t>
  </si>
  <si>
    <t>1200 W White Mountain Blvd</t>
  </si>
  <si>
    <t>Lakeside</t>
  </si>
  <si>
    <t>(928) 774-9504</t>
  </si>
  <si>
    <t>NINA'S FAMILY CHILD CARE CENTER</t>
  </si>
  <si>
    <t>3502 E Indian School Rd</t>
  </si>
  <si>
    <t>(602) 335-8951</t>
  </si>
  <si>
    <t>Ninas Family Care Center-Park Lee EHSCCP</t>
  </si>
  <si>
    <t>1600 W Highland Ave</t>
  </si>
  <si>
    <t>N.A.C.O.G. - CLARK HOMES HEAD START</t>
  </si>
  <si>
    <t>1000 N Clark Cir</t>
  </si>
  <si>
    <t>(928) 774-4021</t>
  </si>
  <si>
    <t>Clear Creek Head Start</t>
  </si>
  <si>
    <t>1017 N Apache Ave</t>
  </si>
  <si>
    <t>Winslow</t>
  </si>
  <si>
    <t>N.A.C.O.G. -  NYE CHILD AND FAMILY DEVELOPMENT CENTER</t>
  </si>
  <si>
    <t>8623 E Spouse Dr</t>
  </si>
  <si>
    <t>(928) 237-5119</t>
  </si>
  <si>
    <t>N.A.C.O.G. - COTTONWOOD HEAD START</t>
  </si>
  <si>
    <t>270 E Mingus Ave</t>
  </si>
  <si>
    <t>Cottonwood</t>
  </si>
  <si>
    <t>(928) 634-8236</t>
  </si>
  <si>
    <t>N.A.C.O.G. - CROMER HEAD START</t>
  </si>
  <si>
    <t>7150 Silver Saddle Rd</t>
  </si>
  <si>
    <t>(928) 773-4150</t>
  </si>
  <si>
    <t>N.A.C.O.G. - HUMBOLDT HEAD START</t>
  </si>
  <si>
    <t>6411 N Robert Rd</t>
  </si>
  <si>
    <t>(928) 759-5112</t>
  </si>
  <si>
    <t>3849 W Encanto Blvd</t>
  </si>
  <si>
    <t>N.A.C.O.G. - LIBERTY TRADITIONAL SCHOOL HEAD START</t>
  </si>
  <si>
    <t>3300 N Lake Valley Rd</t>
  </si>
  <si>
    <t>(928) 759-4500</t>
  </si>
  <si>
    <t>11 Cameron Road</t>
  </si>
  <si>
    <t>Page</t>
  </si>
  <si>
    <t>(928) 645-8080</t>
  </si>
  <si>
    <t>N.A.C.O.G. - PONDEROSA HEAD START</t>
  </si>
  <si>
    <t>2500 N 1st St</t>
  </si>
  <si>
    <t>(928) 779-3244</t>
  </si>
  <si>
    <t>N.A.C.O.G. - PRESCOTT VALLEY HEAD START</t>
  </si>
  <si>
    <t>6955 Panther Path</t>
  </si>
  <si>
    <t># A</t>
  </si>
  <si>
    <t>(928) 772-7726</t>
  </si>
  <si>
    <t>F.U.S.D.#1 - WEITZEL FACTS/PUENTE DE HOZHO</t>
  </si>
  <si>
    <t>3401 N 4th St</t>
  </si>
  <si>
    <t>(928) 773-4090</t>
  </si>
  <si>
    <t>N.A.C.O.G. - ROUND VALLEY HEAD START</t>
  </si>
  <si>
    <t>940 E Maricopa Dr</t>
  </si>
  <si>
    <t>Springerville</t>
  </si>
  <si>
    <t>Apache County</t>
  </si>
  <si>
    <t>(928) 551-6696</t>
  </si>
  <si>
    <t>N.A.C.O.G.- SHOW LOW HEAD START</t>
  </si>
  <si>
    <t>760 E McNeil</t>
  </si>
  <si>
    <t>Show Low</t>
  </si>
  <si>
    <t>(928) 537-7716</t>
  </si>
  <si>
    <t>N.A.C.O.G. - SILER HEAD START</t>
  </si>
  <si>
    <t>3581 N Fanning Dr</t>
  </si>
  <si>
    <t>(928) 526-1069</t>
  </si>
  <si>
    <t>SOUTHWEST HEAD START @ PALOMINO SCHOOL</t>
  </si>
  <si>
    <t>(602) 266-5676</t>
  </si>
  <si>
    <t>N.A.C.O.G. - SNOWFLAKE HEAD START</t>
  </si>
  <si>
    <t>680 West 4th South</t>
  </si>
  <si>
    <t>(928) 536-7330</t>
  </si>
  <si>
    <t>SOUTHWEST HEAD START @ PAPAGO SCHOOL</t>
  </si>
  <si>
    <t>N.A.C.O.G. - ST. JOHNS HEAD START</t>
  </si>
  <si>
    <t>610 W Cleveland</t>
  </si>
  <si>
    <t>Saint Johns</t>
  </si>
  <si>
    <t>(928) 337-4211</t>
  </si>
  <si>
    <t>Old Country Club / Airport Road</t>
  </si>
  <si>
    <t>(928) 289-2651</t>
  </si>
  <si>
    <t>W.A.C.O.G. - PECAN GROVE HEAD START</t>
  </si>
  <si>
    <t>(928) 502-8050</t>
  </si>
  <si>
    <t>90CI010010</t>
  </si>
  <si>
    <t>Pascua Yaqui Tribe of Arizona</t>
  </si>
  <si>
    <t>PASCUA YAQUI TRIBE</t>
  </si>
  <si>
    <t>Pascua Yaqui Head Start (Ili Uusim Mahtawapo)</t>
  </si>
  <si>
    <t>5060 W Calle Tetakusim</t>
  </si>
  <si>
    <t>(520) 838-7150</t>
  </si>
  <si>
    <t>(480) 982-4516 - 1</t>
  </si>
  <si>
    <t>(623) 320-7361</t>
  </si>
  <si>
    <t>SOUTHWEST HEAD START @ PHOENIX COLLEGE</t>
  </si>
  <si>
    <t>3310 N 10th Ave</t>
  </si>
  <si>
    <t>N.A.C.O.G. - PINETOP HEAD START</t>
  </si>
  <si>
    <t>1721 S Penrod Lane</t>
  </si>
  <si>
    <t>Pinetop</t>
  </si>
  <si>
    <t>(928) 367-2121</t>
  </si>
  <si>
    <t>San Tan Valley Head Start &amp; Early Head Start</t>
  </si>
  <si>
    <t>301 E Combs Rd</t>
  </si>
  <si>
    <t>Rm 505</t>
  </si>
  <si>
    <t>(480) 987-1845</t>
  </si>
  <si>
    <t>Stanfield Head Start &amp; Early Head Start</t>
  </si>
  <si>
    <t>(520) 424-3265</t>
  </si>
  <si>
    <t>Prescott</t>
  </si>
  <si>
    <t>828 Rodeo Dr</t>
  </si>
  <si>
    <t>Superior Head Start</t>
  </si>
  <si>
    <t>150 N Lobb Ave</t>
  </si>
  <si>
    <t>Superior</t>
  </si>
  <si>
    <t>(520) 689-2812</t>
  </si>
  <si>
    <t>N.A.C.O.G. - PRESCOTT VALLEY EARLY HEAD START</t>
  </si>
  <si>
    <t>3045 N Tani Rd</t>
  </si>
  <si>
    <t>(928) 772-7274</t>
  </si>
  <si>
    <t>Toltec Head Start</t>
  </si>
  <si>
    <t>3720 N Marsh Street</t>
  </si>
  <si>
    <t>(520) 466-4036</t>
  </si>
  <si>
    <t>90CI9868</t>
  </si>
  <si>
    <t>Salt River Pima-Maricopa Indian Community Educational SE, The</t>
  </si>
  <si>
    <t>Salt River Pima-Maricopa Indian Community</t>
  </si>
  <si>
    <t>SRPMIC Early Childhood Education Center</t>
  </si>
  <si>
    <t>4836 N Center St</t>
  </si>
  <si>
    <t>(480) 362-2200</t>
  </si>
  <si>
    <t>90HI000019</t>
  </si>
  <si>
    <t>San Carlos Apache Tribe</t>
  </si>
  <si>
    <t>Bylas Early Head Start Toddler</t>
  </si>
  <si>
    <t>297 E US Highway 70</t>
  </si>
  <si>
    <t>(928) 475-3298</t>
  </si>
  <si>
    <t>Gilson Wash Early Head Start</t>
  </si>
  <si>
    <t>Indian Route 6 Ocotillo Road</t>
  </si>
  <si>
    <t>(928) 475-2739</t>
  </si>
  <si>
    <t>C.P.L.C./ RANCHO VIEJO-M.E.H.S./ RANCHO VIEJO C.C.P.</t>
  </si>
  <si>
    <t>Tonto Early Head Start Infant</t>
  </si>
  <si>
    <t>03 Tonto Street</t>
  </si>
  <si>
    <t>(928) 475-2002</t>
  </si>
  <si>
    <t>W.A.C.O.G. - RANCHO VIEJO HEAD START</t>
  </si>
  <si>
    <t>(928) 782-3621</t>
  </si>
  <si>
    <t>90CI9933</t>
  </si>
  <si>
    <t>San Carlos Apache Tribe Head Start</t>
  </si>
  <si>
    <t>Bylas I</t>
  </si>
  <si>
    <t>Highway 60</t>
  </si>
  <si>
    <t>(928) 475-3294</t>
  </si>
  <si>
    <t>Gilson Wash</t>
  </si>
  <si>
    <t>Indian Route/ Ocotillo Rd</t>
  </si>
  <si>
    <t>(928) 475-2733</t>
  </si>
  <si>
    <t>Peridot I</t>
  </si>
  <si>
    <t>Rodeo Lane</t>
  </si>
  <si>
    <t>Peridot</t>
  </si>
  <si>
    <t>(928) 475-2727</t>
  </si>
  <si>
    <t>Seven Mile</t>
  </si>
  <si>
    <t>White Mountain Ave</t>
  </si>
  <si>
    <t>(928) 475-2730</t>
  </si>
  <si>
    <t>SOUTHWEST HEAD START @ BALSZ SCHOOL</t>
  </si>
  <si>
    <t>R.E.S.D.#2 - RIVERSIDE ELEMENTARY SCHOOL</t>
  </si>
  <si>
    <t>1414 S 51st Ave</t>
  </si>
  <si>
    <t>room #602</t>
  </si>
  <si>
    <t>SOUTHWEST HEAD START @ CAMPO BELLO</t>
  </si>
  <si>
    <t>2650 E Contention Mine Rd</t>
  </si>
  <si>
    <t>SOUTHWEST CREIGHTON HEAD START</t>
  </si>
  <si>
    <t>2802 E McDowell Rd</t>
  </si>
  <si>
    <t>(602) 266-3065</t>
  </si>
  <si>
    <t>SOUTHWEST HEAD START @ KENNEDY</t>
  </si>
  <si>
    <t>SOUTHWEST HEAD START @ MACHAN SCHOOL</t>
  </si>
  <si>
    <t>720 E Cesar Chavez BLVD</t>
  </si>
  <si>
    <t>(928) 627-3981</t>
  </si>
  <si>
    <t>720 E Juan Sanchez Blvd</t>
  </si>
  <si>
    <t>(520) 987-1845</t>
  </si>
  <si>
    <t>SOUTHWEST HEAD START @ MONTE VISTA SCHOOL</t>
  </si>
  <si>
    <t>(602) 923-6234</t>
  </si>
  <si>
    <t>90CI9889</t>
  </si>
  <si>
    <t>The Navajo Nation</t>
  </si>
  <si>
    <t>The Navajo Nation Tribal Government</t>
  </si>
  <si>
    <t>Blue Gap</t>
  </si>
  <si>
    <t>150 Ft North of Cameron Chapter House</t>
  </si>
  <si>
    <t>(928) 679-2004</t>
  </si>
  <si>
    <t>US Highway 191 E 7 Rd 50 Ft S of Chapter House</t>
  </si>
  <si>
    <t>(928) 674-2156</t>
  </si>
  <si>
    <t>US Highway 191 E 7 Rd 102 Str 1st and Bannock Dr</t>
  </si>
  <si>
    <t>(928) 674-2157</t>
  </si>
  <si>
    <t>Cornfields</t>
  </si>
  <si>
    <t>US Highway 264 W on 15 Road South on 151 Road</t>
  </si>
  <si>
    <t>(928) 755-5917</t>
  </si>
  <si>
    <t>(928) 221-4324</t>
  </si>
  <si>
    <t>Cowsprings</t>
  </si>
  <si>
    <t>Navajo Trail 160</t>
  </si>
  <si>
    <t>Tonalea</t>
  </si>
  <si>
    <t>(928) 283-8802</t>
  </si>
  <si>
    <t>Del Muerto</t>
  </si>
  <si>
    <t>State Route 191 and Navajo Route 7</t>
  </si>
  <si>
    <t>Twelve Miles From Canyon Dechelly National Park Service on NR7</t>
  </si>
  <si>
    <t>(928) 674-2137</t>
  </si>
  <si>
    <t>Dennehotso</t>
  </si>
  <si>
    <t>State Road 160</t>
  </si>
  <si>
    <t>25 Miles East of Kayenta, AZ</t>
  </si>
  <si>
    <t>(928) 658-3212</t>
  </si>
  <si>
    <t>Dilkon</t>
  </si>
  <si>
    <t>Highway 15 S on 9851</t>
  </si>
  <si>
    <t>200FT NW of Chapter House</t>
  </si>
  <si>
    <t>(928) 657-8103</t>
  </si>
  <si>
    <t>Dine College EHS</t>
  </si>
  <si>
    <t>1 Circle Dr</t>
  </si>
  <si>
    <t>(928) 724-6906</t>
  </si>
  <si>
    <t>Ft Defiance Early Head Start</t>
  </si>
  <si>
    <t>Kit Carson Drive</t>
  </si>
  <si>
    <t>Corner of Old Red Lake Road and Kit Carson Dr.</t>
  </si>
  <si>
    <t>(928) 729-4387</t>
  </si>
  <si>
    <t>Indian Rte 15</t>
  </si>
  <si>
    <t>West of Ganado High School Within Gusd Campus</t>
  </si>
  <si>
    <t>(928) 755-5927</t>
  </si>
  <si>
    <t>Gap</t>
  </si>
  <si>
    <t>863516 - US - 89 Cameron AZ</t>
  </si>
  <si>
    <t>(928) 283-3228</t>
  </si>
  <si>
    <t>(623) 847-1487</t>
  </si>
  <si>
    <t>Inscription House</t>
  </si>
  <si>
    <t>Indian Rte 16</t>
  </si>
  <si>
    <t>(928) 672-2822</t>
  </si>
  <si>
    <t>O.E.S.D.#8 - SOLANO ELEMENTARY SCHOOL</t>
  </si>
  <si>
    <t>Jeddito School Road</t>
  </si>
  <si>
    <t>Inside Jeddito Elementary School Room J4</t>
  </si>
  <si>
    <t>(928) 738-5211</t>
  </si>
  <si>
    <t>Comb Ridge Road</t>
  </si>
  <si>
    <t>(928) 697-5730 - 5728</t>
  </si>
  <si>
    <t>Kin da li chi</t>
  </si>
  <si>
    <t>Kinlichee Chapter Road</t>
  </si>
  <si>
    <t>Kin-Li-Chee</t>
  </si>
  <si>
    <t>(928) 755-6364</t>
  </si>
  <si>
    <t>Low Mountain</t>
  </si>
  <si>
    <t>W Nr 4 To N65</t>
  </si>
  <si>
    <t>10 Miles South in Low Mountain Chapter</t>
  </si>
  <si>
    <t>(928) 725-3704</t>
  </si>
  <si>
    <t>Luepp</t>
  </si>
  <si>
    <t>50 Ft South of Senior Center</t>
  </si>
  <si>
    <t>Leupp</t>
  </si>
  <si>
    <t>(928) 686-3298</t>
  </si>
  <si>
    <t>Lukachukai</t>
  </si>
  <si>
    <t>1/2 Mile North of Chapter House</t>
  </si>
  <si>
    <t>(928) 787-2505</t>
  </si>
  <si>
    <t>Lupton</t>
  </si>
  <si>
    <t>50 Ft West of Lupton Chapter House</t>
  </si>
  <si>
    <t>(928) 688-3150</t>
  </si>
  <si>
    <t>80 Ft SW of Many Farms Chapter House</t>
  </si>
  <si>
    <t>(928) 781-6381</t>
  </si>
  <si>
    <t>Navajo Mountain</t>
  </si>
  <si>
    <t>50 Ft From Navajo Mountain Chapter House</t>
  </si>
  <si>
    <t>(928) 672-2407</t>
  </si>
  <si>
    <t>Nazlini</t>
  </si>
  <si>
    <t>250 Ft West of Chinle Chapter House</t>
  </si>
  <si>
    <t>(928) 755-5906</t>
  </si>
  <si>
    <t>50 Ft SE of Pinon High School</t>
  </si>
  <si>
    <t>(928) 725-3366</t>
  </si>
  <si>
    <t>Red Mesa</t>
  </si>
  <si>
    <t>50 Ft East of Red Mesa Chapter House</t>
  </si>
  <si>
    <t>2302 W. Colter St</t>
  </si>
  <si>
    <t>(602) 374-8767</t>
  </si>
  <si>
    <t>Red Valley</t>
  </si>
  <si>
    <t>Located on the NM and AZ Stateline</t>
  </si>
  <si>
    <t>(928) 653-5998</t>
  </si>
  <si>
    <t>Rock Point</t>
  </si>
  <si>
    <t>Rough Rock</t>
  </si>
  <si>
    <t>Sanders (Rural)</t>
  </si>
  <si>
    <t>Shon Din St.</t>
  </si>
  <si>
    <t>(928) 688-2273</t>
  </si>
  <si>
    <t>N.A.C.O.G. - SUNNYSIDE HEAD START</t>
  </si>
  <si>
    <t>1825 N Main St</t>
  </si>
  <si>
    <t>(928) 773-7970</t>
  </si>
  <si>
    <t>Sawmill</t>
  </si>
  <si>
    <t>50 Yards South of Sawmill Chapter House</t>
  </si>
  <si>
    <t>(928) 729-4435</t>
  </si>
  <si>
    <t>1 MI South of Shonto Boarding School on Indian Route 6320</t>
  </si>
  <si>
    <t>(928) 672-2454</t>
  </si>
  <si>
    <t>St Michaels</t>
  </si>
  <si>
    <t>1/4 MI W of St Michaels Chapter House</t>
  </si>
  <si>
    <t>(928) 871-7851</t>
  </si>
  <si>
    <t>Steamboat</t>
  </si>
  <si>
    <t>100 Ft Nnw of Steamboat Chapter House</t>
  </si>
  <si>
    <t>(928) 736-2634</t>
  </si>
  <si>
    <t>Near Tonalea Chapter House</t>
  </si>
  <si>
    <t>(928) 283-3245</t>
  </si>
  <si>
    <t>08CH011348</t>
  </si>
  <si>
    <t>The Learning Center For Families</t>
  </si>
  <si>
    <t>THE LEARNING CENTER FOR FAMILIES</t>
  </si>
  <si>
    <t>The Learning Center for Families at El Capitan Preschool</t>
  </si>
  <si>
    <t>El Capitan Preschool</t>
  </si>
  <si>
    <t>55 N. Carling St.</t>
  </si>
  <si>
    <t>Colorado City</t>
  </si>
  <si>
    <t>(928) 875-8711</t>
  </si>
  <si>
    <t>N of Intersection of Maloney St</t>
  </si>
  <si>
    <t>(928) 283-3240</t>
  </si>
  <si>
    <t>Whippoorwill</t>
  </si>
  <si>
    <t>30 Yards West of Whippoorwill Chapter House</t>
  </si>
  <si>
    <t>(928) 755-3506</t>
  </si>
  <si>
    <t>Wide Ruins</t>
  </si>
  <si>
    <t>Wide Ruins Community School</t>
  </si>
  <si>
    <t>204 Dine Immerson School</t>
  </si>
  <si>
    <t>(928) 871-7980</t>
  </si>
  <si>
    <t>90CI9923</t>
  </si>
  <si>
    <t>Tohono O'odham Nation</t>
  </si>
  <si>
    <t>Home Based</t>
  </si>
  <si>
    <t>Business Loop- Highway Route 86</t>
  </si>
  <si>
    <t>(520) 383-7800</t>
  </si>
  <si>
    <t>North Komelic</t>
  </si>
  <si>
    <t>Federal Route 15 Milepost 27 (North Komelik Village)</t>
  </si>
  <si>
    <t>Headstart Program</t>
  </si>
  <si>
    <t>(520) 361-2369</t>
  </si>
  <si>
    <t>Pisinemo</t>
  </si>
  <si>
    <t>Indian Route 21 Milepost 18 (Pisinemo Village)</t>
  </si>
  <si>
    <t>(520) 362-2465</t>
  </si>
  <si>
    <t>San Lucy Center</t>
  </si>
  <si>
    <t>1122 B Ave.</t>
  </si>
  <si>
    <t>(928) 683-2126</t>
  </si>
  <si>
    <t>San Xavier</t>
  </si>
  <si>
    <t>1960 W. Wa:K Lane</t>
  </si>
  <si>
    <t>Head Start Program</t>
  </si>
  <si>
    <t>(520) 807-8658</t>
  </si>
  <si>
    <t>Tutor Time  #6083</t>
  </si>
  <si>
    <t>CDC-13847</t>
  </si>
  <si>
    <t>690 W Warner Rd</t>
  </si>
  <si>
    <t>(480) 963-9457</t>
  </si>
  <si>
    <t>Tutor Time  #6084</t>
  </si>
  <si>
    <t>CDC-13846</t>
  </si>
  <si>
    <t>5911 W Thunderbird Rd</t>
  </si>
  <si>
    <t>Santa Rosa</t>
  </si>
  <si>
    <t>Indian Route 15 Milepost 13 (Santa Rosa Village)</t>
  </si>
  <si>
    <t>(520) 361-2244</t>
  </si>
  <si>
    <t>(480) 633-3737</t>
  </si>
  <si>
    <t>Tutor Time #6080</t>
  </si>
  <si>
    <t>CDC-13848</t>
  </si>
  <si>
    <t>2050 W Ray Rd</t>
  </si>
  <si>
    <t>(480) 820-7111</t>
  </si>
  <si>
    <t>Tutor Time #6081</t>
  </si>
  <si>
    <t>CDC-13849</t>
  </si>
  <si>
    <t>5550 W Bell Rd</t>
  </si>
  <si>
    <t>(602) 504-1510</t>
  </si>
  <si>
    <t>PO Box 837</t>
  </si>
  <si>
    <t>(480) 838-6700</t>
  </si>
  <si>
    <t>Vaya Chin</t>
  </si>
  <si>
    <t>Indian Route 34 Milepost 53 (Vaya Chin Community-Ajo, Az)</t>
  </si>
  <si>
    <t>(520) 362-2205</t>
  </si>
  <si>
    <t>09HP000109</t>
  </si>
  <si>
    <t>Urban Strategies, LLC</t>
  </si>
  <si>
    <t>URBAN STRATEGIES, LLC</t>
  </si>
  <si>
    <t>Urban Strategies Family &amp; Child Academy Early Head Start-Phoenix</t>
  </si>
  <si>
    <t>1918 W Van Buren St</t>
  </si>
  <si>
    <t>Bldg G</t>
  </si>
  <si>
    <t>(602) 718-1720</t>
  </si>
  <si>
    <t>W.A.C.O.G. - BRIAN MEYER DAVIS HEAD START</t>
  </si>
  <si>
    <t>601 Van Buren St</t>
  </si>
  <si>
    <t>(928) 753-8730</t>
  </si>
  <si>
    <t>W.A.C.O.G. - CARLISLE HEAD START CENTER</t>
  </si>
  <si>
    <t>241 N Congress Avenue</t>
  </si>
  <si>
    <t>(928) 627-3922</t>
  </si>
  <si>
    <t>W.A.C.O.G. - CARVER HEAD START CENTER</t>
  </si>
  <si>
    <t>(928) 782-0005</t>
  </si>
  <si>
    <t>W.A.C.O.G. - CERBAT HEAD START CENTER</t>
  </si>
  <si>
    <t>2689 E Jagerson Ave</t>
  </si>
  <si>
    <t>(928) 757-7574</t>
  </si>
  <si>
    <t>W.A.C.O.G. - EHRENBERG HEAD START</t>
  </si>
  <si>
    <t>49241 Ehrenberg- Poston Highway</t>
  </si>
  <si>
    <t>Ehrenberg</t>
  </si>
  <si>
    <t>(928) 923-9866</t>
  </si>
  <si>
    <t>Washington EHS Socialization</t>
  </si>
  <si>
    <t>1502 W Mountain View Rd</t>
  </si>
  <si>
    <t>W.A.C.O.G. - GOLDEN VALLEY HEAD START</t>
  </si>
  <si>
    <t>3404 N Santa Maria Rd</t>
  </si>
  <si>
    <t>Golden Valley</t>
  </si>
  <si>
    <t>(928) 565-4507</t>
  </si>
  <si>
    <t>(928) 783-0336</t>
  </si>
  <si>
    <t>W.A.C.O.G. - HAVASUPAI HEAD START CENTER</t>
  </si>
  <si>
    <t>880 Cashmere Dr</t>
  </si>
  <si>
    <t>Lake Havasu City</t>
  </si>
  <si>
    <t>(928) 505-6046</t>
  </si>
  <si>
    <t>(480) 967-7299</t>
  </si>
  <si>
    <t>W.A.C.O.G. - HEAD START - HELPING HAND</t>
  </si>
  <si>
    <t>384 S 13th Ave</t>
  </si>
  <si>
    <t>Head Start</t>
  </si>
  <si>
    <t>(928) 783-4706</t>
  </si>
  <si>
    <t>W.A.C.O.G. - KINGMAN NORTH HEAD START</t>
  </si>
  <si>
    <t>1971 E Jagerson Ave</t>
  </si>
  <si>
    <t>(928) 692-7481</t>
  </si>
  <si>
    <t>W.A.C.O.G. - LAKE HAVASU CITY HEAD START</t>
  </si>
  <si>
    <t>2385 Pima Dr N</t>
  </si>
  <si>
    <t>(928) 680-6212</t>
  </si>
  <si>
    <t>W.A.C.O.G. - MOHAVE VALLEY HEAD START</t>
  </si>
  <si>
    <t>1425 E Willow Dr</t>
  </si>
  <si>
    <t>Mohave Valley</t>
  </si>
  <si>
    <t>(928) 768-1090</t>
  </si>
  <si>
    <t>W.A.C.O.G. - NAUTILIS HEAD START</t>
  </si>
  <si>
    <t>1425 Patrician Dr</t>
  </si>
  <si>
    <t>(928) 680-3355</t>
  </si>
  <si>
    <t>W.A.C.O.G. - ORANGE GROVE HEAD START</t>
  </si>
  <si>
    <t>3525 W County 16 1/2 St</t>
  </si>
  <si>
    <t>(928) 627-2601</t>
  </si>
  <si>
    <t>W.A.C.O.G. - ORO GRANDE HEAD START</t>
  </si>
  <si>
    <t>1250 Pawnee Dr</t>
  </si>
  <si>
    <t>(928) 680-4962</t>
  </si>
  <si>
    <t>N.A.C.O.G. - WILLIAMS HEAD START</t>
  </si>
  <si>
    <t>310 W Sherman Ave</t>
  </si>
  <si>
    <t>(928) 635-4273</t>
  </si>
  <si>
    <t>W.A.C.O.G. - WELLTON HEAD START</t>
  </si>
  <si>
    <t>29126 East San Jose Avenue</t>
  </si>
  <si>
    <t>Wellton</t>
  </si>
  <si>
    <t>(928) 785-4118</t>
  </si>
  <si>
    <t>Winkelman Early Head Start</t>
  </si>
  <si>
    <t>824 Thorne Ave</t>
  </si>
  <si>
    <t>Winkelman</t>
  </si>
  <si>
    <t>(520) 840-0722</t>
  </si>
  <si>
    <t>W.A.C.O.G. - YUMA WEST HEAD START CENTER</t>
  </si>
  <si>
    <t>2505 W 20th St</t>
  </si>
  <si>
    <t>(928) 782-2130</t>
  </si>
  <si>
    <t>710 N. Apache Ave</t>
  </si>
  <si>
    <t>(928) 289-2122</t>
  </si>
  <si>
    <t>90CI9941</t>
  </si>
  <si>
    <t>White Mountain Apache Tribe</t>
  </si>
  <si>
    <t>Cibecue Head Start</t>
  </si>
  <si>
    <t>24 N Cromwell Road</t>
  </si>
  <si>
    <t>Cibecue</t>
  </si>
  <si>
    <t>(928) 332-2581</t>
  </si>
  <si>
    <t>N.A.C.O.G. - YAVAPAI HEAD START</t>
  </si>
  <si>
    <t>601 Black Hills Dr</t>
  </si>
  <si>
    <t>Clarkdale</t>
  </si>
  <si>
    <t>(928) 634-8308</t>
  </si>
  <si>
    <t>Mc Nary Head Start</t>
  </si>
  <si>
    <t>81 North Evergreen Road</t>
  </si>
  <si>
    <t>(928) 334-2165</t>
  </si>
  <si>
    <t>WHTIERIVER CENTER</t>
  </si>
  <si>
    <t>102 E Spruce St</t>
  </si>
  <si>
    <t>(928) 338-4939</t>
  </si>
  <si>
    <t>072432002</t>
  </si>
  <si>
    <t>072432000</t>
  </si>
  <si>
    <t>073464005</t>
  </si>
  <si>
    <t>073464000</t>
  </si>
  <si>
    <t>ALHAMBRA TRADITIONAL SCHOOL</t>
  </si>
  <si>
    <t>073315000</t>
  </si>
  <si>
    <t>073315001</t>
  </si>
  <si>
    <t>073482001</t>
  </si>
  <si>
    <t>073482000</t>
  </si>
  <si>
    <t>Cary Terri, Inc. dba Panda Bear Learning Center</t>
  </si>
  <si>
    <t>073197001</t>
  </si>
  <si>
    <t>073197000</t>
  </si>
  <si>
    <t>078592001</t>
  </si>
  <si>
    <t>078592000</t>
  </si>
  <si>
    <t>070468119</t>
  </si>
  <si>
    <t>ALHAMBRA PRESCHOOL ACADEMY</t>
  </si>
  <si>
    <t>073098001</t>
  </si>
  <si>
    <t>St. Louis the King Catholic School</t>
  </si>
  <si>
    <t>072094000</t>
  </si>
  <si>
    <t>072094001</t>
  </si>
  <si>
    <t>073309000</t>
  </si>
  <si>
    <t>THE EARLY LEARNING CENTER DAYCARE</t>
  </si>
  <si>
    <t>078535000</t>
  </si>
  <si>
    <t>078535101</t>
  </si>
  <si>
    <t>LaPetite Academy, Inc</t>
  </si>
  <si>
    <t xml:space="preserve">LATTIE COOR </t>
  </si>
  <si>
    <t>070444104</t>
  </si>
  <si>
    <t>073254000</t>
  </si>
  <si>
    <t>073254001</t>
  </si>
  <si>
    <t xml:space="preserve">LOVING CARE DAY </t>
  </si>
  <si>
    <t>EDUCARE ARIZONA HEAD START</t>
  </si>
  <si>
    <t>072630131</t>
  </si>
  <si>
    <t>072630000</t>
  </si>
  <si>
    <t>BUCKEYE ELEMENTARY SCHOOL DISTRICT PRESCHOOL</t>
  </si>
  <si>
    <t>NORTHERN ARIZONA COUNCIL OF GOVERNMENTS (NACOG)</t>
  </si>
  <si>
    <t>032602010</t>
  </si>
  <si>
    <t>Camp Verde Head Start</t>
  </si>
  <si>
    <t>073282002</t>
  </si>
  <si>
    <t>073282000</t>
  </si>
  <si>
    <t>BYRON A. BARRY ECSE</t>
  </si>
  <si>
    <t>CARTWRIGHT EARLY CHILDHOOD CENTER</t>
  </si>
  <si>
    <t>070483111</t>
  </si>
  <si>
    <t>CARTWRIGHT EMPLOYEE DAYCARE</t>
  </si>
  <si>
    <t>073361000</t>
  </si>
  <si>
    <t>073301001</t>
  </si>
  <si>
    <t>073361001</t>
  </si>
  <si>
    <t>073301000</t>
  </si>
  <si>
    <t>112602001</t>
  </si>
  <si>
    <t>CHINLE ELEMENTARY SCHOOL PRE SCHOOL</t>
  </si>
  <si>
    <t>CANYON DE CHELLY</t>
  </si>
  <si>
    <t>MANY FARMS ELEMENTARY SCHOOL</t>
  </si>
  <si>
    <t>010224160</t>
  </si>
  <si>
    <t>010224155</t>
  </si>
  <si>
    <t>TSAILE ELEMENTARY SCHOOL</t>
  </si>
  <si>
    <t>010224165</t>
  </si>
  <si>
    <t>010224150</t>
  </si>
  <si>
    <t>073327001</t>
  </si>
  <si>
    <t>073327000</t>
  </si>
  <si>
    <t>092204001</t>
  </si>
  <si>
    <t>078687000</t>
  </si>
  <si>
    <t>078687101</t>
  </si>
  <si>
    <t>EXCELENCIA Head Start</t>
  </si>
  <si>
    <t>072630190</t>
  </si>
  <si>
    <t>073121001</t>
  </si>
  <si>
    <t>073121000</t>
  </si>
  <si>
    <t>073711000</t>
  </si>
  <si>
    <t>073711001</t>
  </si>
  <si>
    <t>GATEWAY SCHOOL</t>
  </si>
  <si>
    <t>070414120</t>
  </si>
  <si>
    <t>072634000</t>
  </si>
  <si>
    <t>Dysart Center Head Start</t>
  </si>
  <si>
    <t>072634006</t>
  </si>
  <si>
    <t>072634013</t>
  </si>
  <si>
    <t>072634005</t>
  </si>
  <si>
    <t>Eloy Center Head Start</t>
  </si>
  <si>
    <t>Eloy Head Start &amp; Early Head Start</t>
  </si>
  <si>
    <t>DINE FAMILY LEARNING CENTER/LEUPP</t>
  </si>
  <si>
    <t>072634016</t>
  </si>
  <si>
    <t>Las Casitas Head Start</t>
  </si>
  <si>
    <t>SAN LUIS HEAD START</t>
  </si>
  <si>
    <t>SAN LUIS PRESCHOOL</t>
  </si>
  <si>
    <t xml:space="preserve">Bienestar Child Development Center, LLC </t>
  </si>
  <si>
    <t>GANADO PRE-K ACADEMY</t>
  </si>
  <si>
    <t>GILA BEND SCHOOL DISTRICT PRESCHOOL</t>
  </si>
  <si>
    <t>073445001</t>
  </si>
  <si>
    <t>073445000</t>
  </si>
  <si>
    <t>073719001</t>
  </si>
  <si>
    <t>072628105</t>
  </si>
  <si>
    <t>ISAAC E. IMES SCHOOL</t>
  </si>
  <si>
    <t>070440102</t>
  </si>
  <si>
    <t>SINE COMMUNITY EDUCATION PRESCHOOL</t>
  </si>
  <si>
    <t>072167001</t>
  </si>
  <si>
    <t>072167000</t>
  </si>
  <si>
    <t xml:space="preserve">Children's Center for Neurodevelopmental Studies </t>
  </si>
  <si>
    <t>073029002</t>
  </si>
  <si>
    <t>073029000</t>
  </si>
  <si>
    <t xml:space="preserve">Kids Koala - T Kampus </t>
  </si>
  <si>
    <t>073488001</t>
  </si>
  <si>
    <t xml:space="preserve">Sam Mat Enterprises dba Tots Unlimited #26 </t>
  </si>
  <si>
    <t>073488000</t>
  </si>
  <si>
    <t>COPPER RIM ELEMENTARY SCHOOL</t>
  </si>
  <si>
    <t>040201003</t>
  </si>
  <si>
    <t>079014181</t>
  </si>
  <si>
    <t>073321002</t>
  </si>
  <si>
    <t xml:space="preserve">Happy Kids Child Care Center, LLC </t>
  </si>
  <si>
    <t>073321000</t>
  </si>
  <si>
    <t>073491001</t>
  </si>
  <si>
    <t xml:space="preserve">JTW LLC dba Active Learning Center #4 </t>
  </si>
  <si>
    <t>073491000</t>
  </si>
  <si>
    <t>073116001</t>
  </si>
  <si>
    <t xml:space="preserve">For Children Inc. Dba Children's Campus </t>
  </si>
  <si>
    <t>073116000</t>
  </si>
  <si>
    <t>072432001</t>
  </si>
  <si>
    <t xml:space="preserve">Homeward Bound </t>
  </si>
  <si>
    <t>073541000</t>
  </si>
  <si>
    <t>ISAAC PRESCHOOL CAMPUS</t>
  </si>
  <si>
    <t>073368001</t>
  </si>
  <si>
    <t xml:space="preserve">VT Enterprises LLC </t>
  </si>
  <si>
    <t>073368000</t>
  </si>
  <si>
    <t>073024001</t>
  </si>
  <si>
    <t xml:space="preserve">A Kiddie's Kingdom, Inc. </t>
  </si>
  <si>
    <t>073024000</t>
  </si>
  <si>
    <t>073293001</t>
  </si>
  <si>
    <t xml:space="preserve">Out of this World Christian Child Care, Inc. </t>
  </si>
  <si>
    <t>073293000</t>
  </si>
  <si>
    <t>A B C PRESCHOOL</t>
  </si>
  <si>
    <t>MAMMOTH - SAN MANUEL PRESCHOOL</t>
  </si>
  <si>
    <t>C.O.P.E.</t>
  </si>
  <si>
    <t>040240109</t>
  </si>
  <si>
    <t>072634017</t>
  </si>
  <si>
    <t xml:space="preserve">Murphy Early Head Start </t>
  </si>
  <si>
    <t>Lourdes Catholic School</t>
  </si>
  <si>
    <t xml:space="preserve">Sacred Heart Catholic School </t>
  </si>
  <si>
    <t xml:space="preserve">Child-Parent Centers, Inc. </t>
  </si>
  <si>
    <t>MOUNTAIN VISTA SCHOOL</t>
  </si>
  <si>
    <t>073526000</t>
  </si>
  <si>
    <t>Teach N Tots</t>
  </si>
  <si>
    <t>073526001</t>
  </si>
  <si>
    <t>PAGE UNIFIED PRESCHOOLL</t>
  </si>
  <si>
    <t xml:space="preserve">NORTHERN ARIZONA COUNCIL OF GOVERNMENTS (NACOG) </t>
  </si>
  <si>
    <t>032602000</t>
  </si>
  <si>
    <t>032602080</t>
  </si>
  <si>
    <t>PAGE HEAD START</t>
  </si>
  <si>
    <t>030208102</t>
  </si>
  <si>
    <t>PALOMA PRESCHOOL</t>
  </si>
  <si>
    <t>071914013</t>
  </si>
  <si>
    <t xml:space="preserve">Lincoln Family Downtown YMCA </t>
  </si>
  <si>
    <t xml:space="preserve">St. Mary's Food Bank Alliance </t>
  </si>
  <si>
    <t>071914000</t>
  </si>
  <si>
    <t xml:space="preserve">Mary Mcleod Bethune School </t>
  </si>
  <si>
    <t xml:space="preserve">Thomas A Edison School </t>
  </si>
  <si>
    <t xml:space="preserve">Silvestre S Herrera School </t>
  </si>
  <si>
    <t>5206 </t>
  </si>
  <si>
    <t>070401118</t>
  </si>
  <si>
    <t>070401113</t>
  </si>
  <si>
    <t>070401105</t>
  </si>
  <si>
    <t>070401101</t>
  </si>
  <si>
    <t>072215001</t>
  </si>
  <si>
    <t xml:space="preserve">Phoenix Day Child and Family Learning Center </t>
  </si>
  <si>
    <t>072215000</t>
  </si>
  <si>
    <t xml:space="preserve"> PINON ELEMENTARY SCHOOL</t>
  </si>
  <si>
    <t>090204101</t>
  </si>
  <si>
    <t>073723000</t>
  </si>
  <si>
    <t xml:space="preserve">1st Step to Greatness LLC </t>
  </si>
  <si>
    <t>073723001</t>
  </si>
  <si>
    <t>073330000</t>
  </si>
  <si>
    <t>079062011</t>
  </si>
  <si>
    <t>072013000</t>
  </si>
  <si>
    <t xml:space="preserve">St. Catherine of Siena Catholic School </t>
  </si>
  <si>
    <t xml:space="preserve">St. Catherine's School </t>
  </si>
  <si>
    <t>0702013001</t>
  </si>
  <si>
    <t>071940004</t>
  </si>
  <si>
    <t xml:space="preserve">My Brothers Keeper </t>
  </si>
  <si>
    <t>071940000</t>
  </si>
  <si>
    <t>079047004</t>
  </si>
  <si>
    <t>SALOME ELEMENTARY SCHOOL</t>
  </si>
  <si>
    <t>150430101</t>
  </si>
  <si>
    <t>SANDERS ELEMENTARY SCHOOL PRESCHOOL</t>
  </si>
  <si>
    <t>010218001</t>
  </si>
  <si>
    <t>STANFIELD ELEMENTARY SCHOOL</t>
  </si>
  <si>
    <t xml:space="preserve">Ocotillo Early Learning Elementary School </t>
  </si>
  <si>
    <t>SUNNYSIDE INFANT CENTER</t>
  </si>
  <si>
    <t xml:space="preserve">T.T. #6670, LLC dba Children's Learning Adventure Child Care Centers </t>
  </si>
  <si>
    <t>073598001</t>
  </si>
  <si>
    <t xml:space="preserve">YMCA of Southern Arizona-Mulcahy YMCA </t>
  </si>
  <si>
    <t xml:space="preserve">Little Town Day Care - 1 </t>
  </si>
  <si>
    <t>TUBA CITY HIGH SCHOOL CHILD DEVELOPMENT LEARNING CENTER</t>
  </si>
  <si>
    <t xml:space="preserve">YMCA Holsclaw Family Child Care Center </t>
  </si>
  <si>
    <t xml:space="preserve">Kids Village </t>
  </si>
  <si>
    <t xml:space="preserve">D &amp; J Educational Business Inc. </t>
  </si>
  <si>
    <t>WASHINGTON ELEMENTARY SCHOOL</t>
  </si>
  <si>
    <t>070406168</t>
  </si>
  <si>
    <t>073152001</t>
  </si>
  <si>
    <t>KINDERCARE  #1465</t>
  </si>
  <si>
    <t xml:space="preserve">KinderCare Learning Centers, LLC </t>
  </si>
  <si>
    <t>073591001</t>
  </si>
  <si>
    <t>073345001</t>
  </si>
  <si>
    <t xml:space="preserve">TLGG LLC dba Active Learning Center #7 </t>
  </si>
  <si>
    <t>073345000</t>
  </si>
  <si>
    <t>073568001</t>
  </si>
  <si>
    <t xml:space="preserve">Childrens Country Club, LLC </t>
  </si>
  <si>
    <t>073568000</t>
  </si>
  <si>
    <t>072016001</t>
  </si>
  <si>
    <t>072016000</t>
  </si>
  <si>
    <t xml:space="preserve">SS. Simon and Jude </t>
  </si>
  <si>
    <t>WENDEN ELEMENTARY SCHOOL</t>
  </si>
  <si>
    <t>150419101</t>
  </si>
  <si>
    <t>072603014</t>
  </si>
  <si>
    <t>TSEHOOTSOI INTEGRATED PRESCHOOL PROGRAM I &amp; II</t>
  </si>
  <si>
    <t xml:space="preserve">Winslow Early Head Start </t>
  </si>
  <si>
    <t>032602043</t>
  </si>
  <si>
    <t xml:space="preserve">Western Arizona Council of Governments </t>
  </si>
  <si>
    <t>GWYNETH HAM EARLY LEARNING CENTER</t>
  </si>
  <si>
    <t>WONDER KIDZ PRESCHOOL</t>
  </si>
  <si>
    <t xml:space="preserve">Wonder Kidz Preschool, LLC </t>
  </si>
  <si>
    <t>OBJECTID</t>
  </si>
  <si>
    <t>FileSource</t>
  </si>
  <si>
    <t>rundate</t>
  </si>
  <si>
    <t>subtype</t>
  </si>
  <si>
    <t>FACID</t>
  </si>
  <si>
    <t>FACTYPE</t>
  </si>
  <si>
    <t>LICENSE</t>
  </si>
  <si>
    <t>LICENSE_EFFECTIVE</t>
  </si>
  <si>
    <t>LICENSE_EXPIRATION</t>
  </si>
  <si>
    <t>EMAIL</t>
  </si>
  <si>
    <t>TELEPHONE</t>
  </si>
  <si>
    <t>FAXPHONE</t>
  </si>
  <si>
    <t>CAPACITY</t>
  </si>
  <si>
    <t>INFANT</t>
  </si>
  <si>
    <t>ONES</t>
  </si>
  <si>
    <t>TWOS</t>
  </si>
  <si>
    <t>THREE_TO_FIVE</t>
  </si>
  <si>
    <t>SCHOOL_AGE</t>
  </si>
  <si>
    <t>DistrictType</t>
  </si>
  <si>
    <t>SchoolType</t>
  </si>
  <si>
    <t>GEOID_TRK</t>
  </si>
  <si>
    <t>GEOID_BLK</t>
  </si>
  <si>
    <t>ZCTA</t>
  </si>
  <si>
    <t>FTF</t>
  </si>
  <si>
    <t>PCA</t>
  </si>
  <si>
    <t>OpportunityZone</t>
  </si>
  <si>
    <t>Rural/Urban</t>
  </si>
  <si>
    <t>TribalLand</t>
  </si>
  <si>
    <t>TSG_Below</t>
  </si>
  <si>
    <t>District_ELA_MP_AVG</t>
  </si>
  <si>
    <t>Census_TRK_Pov_150_PCT</t>
  </si>
  <si>
    <t>Census_BLK_Pov_150_PCT</t>
  </si>
  <si>
    <t>Preschool_GAP_PCT</t>
  </si>
  <si>
    <t>Score_Capacity</t>
  </si>
  <si>
    <t>Score_OpZone</t>
  </si>
  <si>
    <t>Score_Rural/Urban</t>
  </si>
  <si>
    <t>Score_Tribal</t>
  </si>
  <si>
    <t>Score_TSG_Below</t>
  </si>
  <si>
    <t>Score_District_ELA_MP_AVG</t>
  </si>
  <si>
    <t>Score_Census_Pov_150_PCT</t>
  </si>
  <si>
    <t>Score_Preschool_GAP_PCT</t>
  </si>
  <si>
    <t>W_Score_TSG_Below</t>
  </si>
  <si>
    <t>W_Score_District_ELA_MP_AVG</t>
  </si>
  <si>
    <t>W_Score_Census_Pov_150_PCT</t>
  </si>
  <si>
    <t>CUM_SCORE</t>
  </si>
  <si>
    <t>CUT_SCORE</t>
  </si>
  <si>
    <t>Arizona Licensing File</t>
  </si>
  <si>
    <t>CHILD CARE CENTER</t>
  </si>
  <si>
    <t>CDC6788</t>
  </si>
  <si>
    <t>C11</t>
  </si>
  <si>
    <t>CDC-6788</t>
  </si>
  <si>
    <t>kerry.lara@pgccs.org</t>
  </si>
  <si>
    <t>(520)723-4951</t>
  </si>
  <si>
    <t>(520)723-0981</t>
  </si>
  <si>
    <t>N/A</t>
  </si>
  <si>
    <t>LICENSED</t>
  </si>
  <si>
    <t>Unified</t>
  </si>
  <si>
    <t>04021001000</t>
  </si>
  <si>
    <t>040210010001</t>
  </si>
  <si>
    <t>Urban</t>
  </si>
  <si>
    <t>CHILD CARE PUBLIC SCHOOL</t>
  </si>
  <si>
    <t>CDC16318</t>
  </si>
  <si>
    <t>C51</t>
  </si>
  <si>
    <t>CDC-16318</t>
  </si>
  <si>
    <t>lemual.adson@kayenta.k12.az.us</t>
  </si>
  <si>
    <t>(928)697-2461</t>
  </si>
  <si>
    <t>(928)697-2945</t>
  </si>
  <si>
    <t>04017942500</t>
  </si>
  <si>
    <t>040179425001</t>
  </si>
  <si>
    <t>Navajo Nation</t>
  </si>
  <si>
    <t>Rural</t>
  </si>
  <si>
    <t>CDC1229</t>
  </si>
  <si>
    <t>CDC-1229</t>
  </si>
  <si>
    <t>djiron@smdaz.org</t>
  </si>
  <si>
    <t>(602)353-5181</t>
  </si>
  <si>
    <t>(602)353-5188</t>
  </si>
  <si>
    <t>Elementary</t>
  </si>
  <si>
    <t>04013117300</t>
  </si>
  <si>
    <t>040131173002</t>
  </si>
  <si>
    <t>Phoenix South</t>
  </si>
  <si>
    <t>Central City Village</t>
  </si>
  <si>
    <t>CDC15345</t>
  </si>
  <si>
    <t>CDC-15345</t>
  </si>
  <si>
    <t>Lena.Thompson@sandersusd.net</t>
  </si>
  <si>
    <t>(928)688-3850</t>
  </si>
  <si>
    <t>(928)688-3888</t>
  </si>
  <si>
    <t>04001945100</t>
  </si>
  <si>
    <t>040019451002</t>
  </si>
  <si>
    <t>Navajo/Apache</t>
  </si>
  <si>
    <t>CDC7481</t>
  </si>
  <si>
    <t>CDC-7481</t>
  </si>
  <si>
    <t>hclits@kayenta.K12.az.us</t>
  </si>
  <si>
    <t>(928)697-2205</t>
  </si>
  <si>
    <t>(928)697-2246</t>
  </si>
  <si>
    <t>9</t>
  </si>
  <si>
    <t>12</t>
  </si>
  <si>
    <t>CDC16238</t>
  </si>
  <si>
    <t>CDC-16238</t>
  </si>
  <si>
    <t>lhubbell@pusdatsa.org</t>
  </si>
  <si>
    <t>(928)725-2202</t>
  </si>
  <si>
    <t>(928)725-2216</t>
  </si>
  <si>
    <t>04017940011</t>
  </si>
  <si>
    <t>040179400113</t>
  </si>
  <si>
    <t>CDC17566</t>
  </si>
  <si>
    <t>CDC-17566</t>
  </si>
  <si>
    <t>vaqueromed@yahoo.com</t>
  </si>
  <si>
    <t>(602)559-4755</t>
  </si>
  <si>
    <t>(602)559-4079</t>
  </si>
  <si>
    <t>10</t>
  </si>
  <si>
    <t>29</t>
  </si>
  <si>
    <t>04013110100</t>
  </si>
  <si>
    <t>040131101001</t>
  </si>
  <si>
    <t>Phoenix North</t>
  </si>
  <si>
    <t>Maryvale Village</t>
  </si>
  <si>
    <t>CDC18715</t>
  </si>
  <si>
    <t>CDC-18715</t>
  </si>
  <si>
    <t>cherbert@tcusd.org</t>
  </si>
  <si>
    <t>(928)283-1151</t>
  </si>
  <si>
    <t>(   )   -</t>
  </si>
  <si>
    <t>04005944900</t>
  </si>
  <si>
    <t>040059449003</t>
  </si>
  <si>
    <t>Hopi Tribe</t>
  </si>
  <si>
    <t>CDC12323</t>
  </si>
  <si>
    <t>CDC-12323</t>
  </si>
  <si>
    <t>richardm@gbusd.org</t>
  </si>
  <si>
    <t>(928)683-2225</t>
  </si>
  <si>
    <t>04013723305</t>
  </si>
  <si>
    <t>040137233051</t>
  </si>
  <si>
    <t>Southwest Maricopa</t>
  </si>
  <si>
    <t>CHILD CARE SMALL GROUP HOME</t>
  </si>
  <si>
    <t>SGH18504</t>
  </si>
  <si>
    <t>C21</t>
  </si>
  <si>
    <t>SGH-18504</t>
  </si>
  <si>
    <t>LUCY022000@HOTMAIL.COM</t>
  </si>
  <si>
    <t>(520)432-4762</t>
  </si>
  <si>
    <t>04003001100</t>
  </si>
  <si>
    <t>040030011002</t>
  </si>
  <si>
    <t>CDC6417</t>
  </si>
  <si>
    <t>CDC-6417</t>
  </si>
  <si>
    <t>rstaires@fusd1.org</t>
  </si>
  <si>
    <t>(928)686-6266</t>
  </si>
  <si>
    <t>(928)686-6246</t>
  </si>
  <si>
    <t>04005945100</t>
  </si>
  <si>
    <t>040059451002</t>
  </si>
  <si>
    <t>CDC16869</t>
  </si>
  <si>
    <t>CDC-16869</t>
  </si>
  <si>
    <t>(928)755-1000</t>
  </si>
  <si>
    <t>(928)755-1202</t>
  </si>
  <si>
    <t>04001944901</t>
  </si>
  <si>
    <t>040019449011</t>
  </si>
  <si>
    <t>CDC1770</t>
  </si>
  <si>
    <t>CDC-1770</t>
  </si>
  <si>
    <t>egonzalez@msdaz.org</t>
  </si>
  <si>
    <t>(602)353-5440</t>
  </si>
  <si>
    <t>(602)353-5479</t>
  </si>
  <si>
    <t>04013114500</t>
  </si>
  <si>
    <t>040131145003</t>
  </si>
  <si>
    <t>Estrella Village - Tolleson</t>
  </si>
  <si>
    <t>CDC11529</t>
  </si>
  <si>
    <t>CDC-11529</t>
  </si>
  <si>
    <t>mhricas@msdaz.org</t>
  </si>
  <si>
    <t>(602)233-0506</t>
  </si>
  <si>
    <t>040131145002</t>
  </si>
  <si>
    <t>CDC7536</t>
  </si>
  <si>
    <t>CDC-7536</t>
  </si>
  <si>
    <t>Pcase@pusd.org</t>
  </si>
  <si>
    <t>(928)608-4176</t>
  </si>
  <si>
    <t>(928)608-4120</t>
  </si>
  <si>
    <t>04005002100</t>
  </si>
  <si>
    <t>040050021004</t>
  </si>
  <si>
    <t>CDC17099</t>
  </si>
  <si>
    <t>CDC-17099</t>
  </si>
  <si>
    <t>sstilson@rmusd.net</t>
  </si>
  <si>
    <t>(928)656-4252</t>
  </si>
  <si>
    <t>(928)656-4251</t>
  </si>
  <si>
    <t>04001942700</t>
  </si>
  <si>
    <t>040019427001</t>
  </si>
  <si>
    <t>CDC16679</t>
  </si>
  <si>
    <t>CDC-16679</t>
  </si>
  <si>
    <t>khenderson@wrschool.net</t>
  </si>
  <si>
    <t>(928)729-6754</t>
  </si>
  <si>
    <t>(928)729-7630</t>
  </si>
  <si>
    <t>04001944000</t>
  </si>
  <si>
    <t>040019440002</t>
  </si>
  <si>
    <t>CDC18085</t>
  </si>
  <si>
    <t>CDC-18085</t>
  </si>
  <si>
    <t>1ststep2greatness@gmail.com</t>
  </si>
  <si>
    <t>(602)601-6192</t>
  </si>
  <si>
    <t>5</t>
  </si>
  <si>
    <t>16</t>
  </si>
  <si>
    <t>04013116500</t>
  </si>
  <si>
    <t>040131165003</t>
  </si>
  <si>
    <t>South Mountain Village - Guadalupe</t>
  </si>
  <si>
    <t>CDC17552</t>
  </si>
  <si>
    <t>CDC-17552</t>
  </si>
  <si>
    <t>geraldina.figueroa@cplc.org</t>
  </si>
  <si>
    <t>(602)307-5818</t>
  </si>
  <si>
    <t>(602)307-5868</t>
  </si>
  <si>
    <t>25</t>
  </si>
  <si>
    <t>04021001900</t>
  </si>
  <si>
    <t>040210019002</t>
  </si>
  <si>
    <t>CDC14048</t>
  </si>
  <si>
    <t>CDC-14048</t>
  </si>
  <si>
    <t>fernando3002@live.com</t>
  </si>
  <si>
    <t>(602)712-0793</t>
  </si>
  <si>
    <t>(602)477-0101</t>
  </si>
  <si>
    <t>48</t>
  </si>
  <si>
    <t>04013116900</t>
  </si>
  <si>
    <t>040131169001</t>
  </si>
  <si>
    <t>Alhambra Village</t>
  </si>
  <si>
    <t>CDC0125</t>
  </si>
  <si>
    <t>CDC-0125</t>
  </si>
  <si>
    <t>(928)289-2651</t>
  </si>
  <si>
    <t>(928)289-5401</t>
  </si>
  <si>
    <t>04017960500</t>
  </si>
  <si>
    <t>040179605002</t>
  </si>
  <si>
    <t>CDC17676</t>
  </si>
  <si>
    <t>CDC-17676</t>
  </si>
  <si>
    <t>b.moreno@riseandshonecenter.com</t>
  </si>
  <si>
    <t>(623)204-9121</t>
  </si>
  <si>
    <t>CDC17376</t>
  </si>
  <si>
    <t>CDC-17376</t>
  </si>
  <si>
    <t>lsalter@blake.easterseals.com</t>
  </si>
  <si>
    <t>(520)494-5140</t>
  </si>
  <si>
    <t>24</t>
  </si>
  <si>
    <t>04021001200</t>
  </si>
  <si>
    <t>040210012001</t>
  </si>
  <si>
    <t>CDC1210</t>
  </si>
  <si>
    <t>CDC-1210</t>
  </si>
  <si>
    <t>erika.manriquez@pgccs.org</t>
  </si>
  <si>
    <t>(520)424-3265</t>
  </si>
  <si>
    <t>(520)424-3976</t>
  </si>
  <si>
    <t>04021941400</t>
  </si>
  <si>
    <t>040219414004</t>
  </si>
  <si>
    <t>CDC8689</t>
  </si>
  <si>
    <t>CDC-8689</t>
  </si>
  <si>
    <t>sunbright@qwestoffice.net</t>
  </si>
  <si>
    <t>(623)435-9503</t>
  </si>
  <si>
    <t>(623)931-0422</t>
  </si>
  <si>
    <t>20</t>
  </si>
  <si>
    <t>04013092401</t>
  </si>
  <si>
    <t>040130924012</t>
  </si>
  <si>
    <t>Northwest Maricopa</t>
  </si>
  <si>
    <t>Glendale Central</t>
  </si>
  <si>
    <t>CDC17614</t>
  </si>
  <si>
    <t>CDC-17614</t>
  </si>
  <si>
    <t>sun293@sunrisepreschools.com</t>
  </si>
  <si>
    <t>(602)263-0985</t>
  </si>
  <si>
    <t>(602)263-0998</t>
  </si>
  <si>
    <t>11</t>
  </si>
  <si>
    <t>13</t>
  </si>
  <si>
    <t>04013109003</t>
  </si>
  <si>
    <t>040131090032</t>
  </si>
  <si>
    <t>CDC13348</t>
  </si>
  <si>
    <t>CDC-13348</t>
  </si>
  <si>
    <t>Yvette.angulo@usw.salvationarmy.org</t>
  </si>
  <si>
    <t>(928)402-0517</t>
  </si>
  <si>
    <t>(928)425-8518</t>
  </si>
  <si>
    <t>04007001100</t>
  </si>
  <si>
    <t>040070011004</t>
  </si>
  <si>
    <t>CDC8060</t>
  </si>
  <si>
    <t>CDC-8060</t>
  </si>
  <si>
    <t>preschool.tumc@gmail.com</t>
  </si>
  <si>
    <t>(520)432-2696</t>
  </si>
  <si>
    <t>CDC18360</t>
  </si>
  <si>
    <t>CDC-18360</t>
  </si>
  <si>
    <t>julianagonzales@alhambraaesd.org</t>
  </si>
  <si>
    <t>(602)484-8816</t>
  </si>
  <si>
    <t>(602)484-8952</t>
  </si>
  <si>
    <t>04013107300</t>
  </si>
  <si>
    <t>040131073004</t>
  </si>
  <si>
    <t>CDC14056</t>
  </si>
  <si>
    <t>CDC-14056</t>
  </si>
  <si>
    <t>misti.harmon@globeschools.org</t>
  </si>
  <si>
    <t>(928)402-5800</t>
  </si>
  <si>
    <t>(928)425-8936</t>
  </si>
  <si>
    <t>040070011002</t>
  </si>
  <si>
    <t>CDC6080</t>
  </si>
  <si>
    <t>CDC-6080</t>
  </si>
  <si>
    <t>rmaciast@roadrunners24.net</t>
  </si>
  <si>
    <t>(520)424-3353</t>
  </si>
  <si>
    <t>(520)424-3798</t>
  </si>
  <si>
    <t>CDC6171</t>
  </si>
  <si>
    <t>CDC-6171</t>
  </si>
  <si>
    <t>paulo@susd12.org</t>
  </si>
  <si>
    <t>(520)545-3670</t>
  </si>
  <si>
    <t>18</t>
  </si>
  <si>
    <t>04019004122</t>
  </si>
  <si>
    <t>040190041221</t>
  </si>
  <si>
    <t>Pima South</t>
  </si>
  <si>
    <t>Tucson South</t>
  </si>
  <si>
    <t>CDC6795</t>
  </si>
  <si>
    <t>CDC-6795</t>
  </si>
  <si>
    <t>Michaele.Pilsbury@wesdschools.org</t>
  </si>
  <si>
    <t>(602)347-3415</t>
  </si>
  <si>
    <t>(602)347-3420</t>
  </si>
  <si>
    <t>04013105501</t>
  </si>
  <si>
    <t>040131055012</t>
  </si>
  <si>
    <t>North Mountain Village</t>
  </si>
  <si>
    <t>CDC18883</t>
  </si>
  <si>
    <t>CDC-18883</t>
  </si>
  <si>
    <t>ESTRELLITAPRESCHOOL@GMAIL.COM</t>
  </si>
  <si>
    <t>(928)722-5242</t>
  </si>
  <si>
    <t>23</t>
  </si>
  <si>
    <t>04027011403</t>
  </si>
  <si>
    <t>040270114032</t>
  </si>
  <si>
    <t>CDC16036</t>
  </si>
  <si>
    <t>CDC-16036</t>
  </si>
  <si>
    <t>abc_123_childcare@yahoo.com</t>
  </si>
  <si>
    <t>(520)424-2959</t>
  </si>
  <si>
    <t>04021001100</t>
  </si>
  <si>
    <t>040210011001</t>
  </si>
  <si>
    <t>CDC10283</t>
  </si>
  <si>
    <t>CDC-10283</t>
  </si>
  <si>
    <t>alexa@alc4.com</t>
  </si>
  <si>
    <t>(602)272-3609</t>
  </si>
  <si>
    <t>(602)272-3674</t>
  </si>
  <si>
    <t>14</t>
  </si>
  <si>
    <t>04013112700</t>
  </si>
  <si>
    <t>040131127001</t>
  </si>
  <si>
    <t>CDC5307</t>
  </si>
  <si>
    <t>CDC-5307</t>
  </si>
  <si>
    <t>csamamigos@gmail.com</t>
  </si>
  <si>
    <t>(623)848-1295</t>
  </si>
  <si>
    <t>04013109701</t>
  </si>
  <si>
    <t>040131097014</t>
  </si>
  <si>
    <t>CDC16807</t>
  </si>
  <si>
    <t>CDC-16807</t>
  </si>
  <si>
    <t>jenelljones@me.com</t>
  </si>
  <si>
    <t>(623)846-6900</t>
  </si>
  <si>
    <t>(623)670-5928</t>
  </si>
  <si>
    <t>8</t>
  </si>
  <si>
    <t>71</t>
  </si>
  <si>
    <t>04013109602</t>
  </si>
  <si>
    <t>040131096023</t>
  </si>
  <si>
    <t>CDC15354</t>
  </si>
  <si>
    <t>CDC-15354</t>
  </si>
  <si>
    <t>carol.odomirok@cplc.org</t>
  </si>
  <si>
    <t>(602)353-5415</t>
  </si>
  <si>
    <t>(602)353-5401</t>
  </si>
  <si>
    <t>CDC1247</t>
  </si>
  <si>
    <t>CDC-1247</t>
  </si>
  <si>
    <t>ccthomas2830@yahoo.com</t>
  </si>
  <si>
    <t>(602)233-2218</t>
  </si>
  <si>
    <t>(602)233-1715</t>
  </si>
  <si>
    <t>04013112302</t>
  </si>
  <si>
    <t>040131123024</t>
  </si>
  <si>
    <t>CDC18711</t>
  </si>
  <si>
    <t>CDC-18711</t>
  </si>
  <si>
    <t>amy.hust@pgccs.org</t>
  </si>
  <si>
    <t>(520)316-4518</t>
  </si>
  <si>
    <t>(520)836-9672</t>
  </si>
  <si>
    <t>040210011004</t>
  </si>
  <si>
    <t>CDC18194</t>
  </si>
  <si>
    <t>CDC-18194</t>
  </si>
  <si>
    <t>discoveryzonelgc@gmail.com</t>
  </si>
  <si>
    <t>(480)909-7823</t>
  </si>
  <si>
    <t>38</t>
  </si>
  <si>
    <t>04021000314</t>
  </si>
  <si>
    <t>040210003143</t>
  </si>
  <si>
    <t>CDC16733</t>
  </si>
  <si>
    <t>CDC-16733</t>
  </si>
  <si>
    <t>emendoza@gphxul.org</t>
  </si>
  <si>
    <t>(602)276-9305</t>
  </si>
  <si>
    <t>(602)268-1544</t>
  </si>
  <si>
    <t>04013109400</t>
  </si>
  <si>
    <t>040131094002</t>
  </si>
  <si>
    <t>CDC16464</t>
  </si>
  <si>
    <t>CDC-16464</t>
  </si>
  <si>
    <t>sophiaisabellarodriguez.mr@gmail.com</t>
  </si>
  <si>
    <t>(520)481-1740</t>
  </si>
  <si>
    <t>CDC7017</t>
  </si>
  <si>
    <t>CDC-7017</t>
  </si>
  <si>
    <t>dculverphd@gmail.com</t>
  </si>
  <si>
    <t>(520)723-7567</t>
  </si>
  <si>
    <t>(520)723-8035</t>
  </si>
  <si>
    <t>15</t>
  </si>
  <si>
    <t>040210011003</t>
  </si>
  <si>
    <t>CDC17520</t>
  </si>
  <si>
    <t>CDC-17520</t>
  </si>
  <si>
    <t>thelileinsteinsacademy@gmail.com</t>
  </si>
  <si>
    <t>(480)664-8979</t>
  </si>
  <si>
    <t>(480)457-8848</t>
  </si>
  <si>
    <t>04021000214</t>
  </si>
  <si>
    <t>040210002142</t>
  </si>
  <si>
    <t>CDC17834</t>
  </si>
  <si>
    <t>CDC-17834</t>
  </si>
  <si>
    <t>dcsample@msn.com</t>
  </si>
  <si>
    <t>(520)723-2825</t>
  </si>
  <si>
    <t>040210011002</t>
  </si>
  <si>
    <t>CDC9349</t>
  </si>
  <si>
    <t>CDC-9349</t>
  </si>
  <si>
    <t>angelicafdz@msn.com</t>
  </si>
  <si>
    <t>(602)477-0100</t>
  </si>
  <si>
    <t>04013112602</t>
  </si>
  <si>
    <t>040131126021</t>
  </si>
  <si>
    <t>CDC18602</t>
  </si>
  <si>
    <t>CDC-18602</t>
  </si>
  <si>
    <t>Tresa.olson@rightatschool.com</t>
  </si>
  <si>
    <t>(480)549-1590</t>
  </si>
  <si>
    <t>CDC16689</t>
  </si>
  <si>
    <t>CDC-16689</t>
  </si>
  <si>
    <t>wonderwise@cox.net</t>
  </si>
  <si>
    <t>(480)276-1498</t>
  </si>
  <si>
    <t>(480)718-8544</t>
  </si>
  <si>
    <t>040210002141</t>
  </si>
  <si>
    <t>CDC11568</t>
  </si>
  <si>
    <t>CDC-11568</t>
  </si>
  <si>
    <t>danielle.tucker@coolidgeschools.org</t>
  </si>
  <si>
    <t>(520)723-2304</t>
  </si>
  <si>
    <t>(520)723-2442</t>
  </si>
  <si>
    <t>CDC16351</t>
  </si>
  <si>
    <t>CDC-16351</t>
  </si>
  <si>
    <t>CTScott@chinleusd.k12.az.us</t>
  </si>
  <si>
    <t>(928)674-9300</t>
  </si>
  <si>
    <t>(928)674-9399</t>
  </si>
  <si>
    <t>04001944201</t>
  </si>
  <si>
    <t>040019442012</t>
  </si>
  <si>
    <t>CDC17662</t>
  </si>
  <si>
    <t>CDC-17662</t>
  </si>
  <si>
    <t>(623)691-5700</t>
  </si>
  <si>
    <t>(623)691-5720</t>
  </si>
  <si>
    <t>21</t>
  </si>
  <si>
    <t>CDC6461</t>
  </si>
  <si>
    <t>CDC-6461</t>
  </si>
  <si>
    <t>rlee@isaacschools.org</t>
  </si>
  <si>
    <t>(602)442-2900</t>
  </si>
  <si>
    <t>(602)442-2999</t>
  </si>
  <si>
    <t>040131127004</t>
  </si>
  <si>
    <t>CDC16002</t>
  </si>
  <si>
    <t>CDC-16002</t>
  </si>
  <si>
    <t>(928)683-2588</t>
  </si>
  <si>
    <t>(928)683-2093</t>
  </si>
  <si>
    <t>040137233052</t>
  </si>
  <si>
    <t>CDC3394</t>
  </si>
  <si>
    <t>CDC-3394</t>
  </si>
  <si>
    <t>bchitwood@coolidgeaz.com</t>
  </si>
  <si>
    <t>(520)723-2744</t>
  </si>
  <si>
    <t>(520)723-6021</t>
  </si>
  <si>
    <t>CDC16616</t>
  </si>
  <si>
    <t>CDC-16616</t>
  </si>
  <si>
    <t>marlene.kaye@leonagroup.com</t>
  </si>
  <si>
    <t>(602)243-8531</t>
  </si>
  <si>
    <t>(602)243-8516</t>
  </si>
  <si>
    <t>CDC16423</t>
  </si>
  <si>
    <t>CDC-16423</t>
  </si>
  <si>
    <t>brbpreschoolyuma@gmail.com</t>
  </si>
  <si>
    <t>(928)783-3815</t>
  </si>
  <si>
    <t>(928)783-3835</t>
  </si>
  <si>
    <t>04027000700</t>
  </si>
  <si>
    <t>040270007002</t>
  </si>
  <si>
    <t>CDC15352</t>
  </si>
  <si>
    <t>CDC-15352</t>
  </si>
  <si>
    <t>sarai.vigil@cplc.org</t>
  </si>
  <si>
    <t>(928)627-4970</t>
  </si>
  <si>
    <t>(928)627-8711</t>
  </si>
  <si>
    <t>CDC8014</t>
  </si>
  <si>
    <t>CDC-8014</t>
  </si>
  <si>
    <t>(520)421-2660</t>
  </si>
  <si>
    <t>(520)421-2671</t>
  </si>
  <si>
    <t>04021001500</t>
  </si>
  <si>
    <t>040210015003</t>
  </si>
  <si>
    <t>CDC10843</t>
  </si>
  <si>
    <t>CDC-10843</t>
  </si>
  <si>
    <t>elcastillodelninodaycare@gmail.com</t>
  </si>
  <si>
    <t>(928)366-9447</t>
  </si>
  <si>
    <t>04027011600</t>
  </si>
  <si>
    <t>040270116003</t>
  </si>
  <si>
    <t>CDC16052</t>
  </si>
  <si>
    <t>CDC-16052</t>
  </si>
  <si>
    <t>lortiz@espiritu.org</t>
  </si>
  <si>
    <t>(602)243-7788</t>
  </si>
  <si>
    <t>(602)243-7799</t>
  </si>
  <si>
    <t>04013115801</t>
  </si>
  <si>
    <t>040131158011</t>
  </si>
  <si>
    <t>CDC1935</t>
  </si>
  <si>
    <t>CDC-1935</t>
  </si>
  <si>
    <t>lasanchez@cc-az.org</t>
  </si>
  <si>
    <t>(623)435-0274</t>
  </si>
  <si>
    <t>(623)934-3205</t>
  </si>
  <si>
    <t>17</t>
  </si>
  <si>
    <t>04013092900</t>
  </si>
  <si>
    <t>040130929002</t>
  </si>
  <si>
    <t>CDC16851</t>
  </si>
  <si>
    <t>CDC-16851</t>
  </si>
  <si>
    <t>ladybugchildcare@cox.net</t>
  </si>
  <si>
    <t>(623)302-7150</t>
  </si>
  <si>
    <t>(623)321-6029</t>
  </si>
  <si>
    <t>26</t>
  </si>
  <si>
    <t>04013093104</t>
  </si>
  <si>
    <t>040130931043</t>
  </si>
  <si>
    <t>CDC4755</t>
  </si>
  <si>
    <t>CDC-4755</t>
  </si>
  <si>
    <t>liberty@childparentcenters.org</t>
  </si>
  <si>
    <t>(520)573-5824</t>
  </si>
  <si>
    <t>(520)622-1927</t>
  </si>
  <si>
    <t>04019003802</t>
  </si>
  <si>
    <t>040190038022</t>
  </si>
  <si>
    <t>CDC5341</t>
  </si>
  <si>
    <t>CDC-5341</t>
  </si>
  <si>
    <t>littletownccc@cox.net</t>
  </si>
  <si>
    <t>(520)574-0626</t>
  </si>
  <si>
    <t>(520)524-0626</t>
  </si>
  <si>
    <t>04019004112</t>
  </si>
  <si>
    <t>040190041121</t>
  </si>
  <si>
    <t>CDC13461</t>
  </si>
  <si>
    <t>CDC-13461</t>
  </si>
  <si>
    <t>underwoodma@hotmail.com</t>
  </si>
  <si>
    <t>(623)931-2772</t>
  </si>
  <si>
    <t>(623)934-0120</t>
  </si>
  <si>
    <t>04013092500</t>
  </si>
  <si>
    <t>040130925002</t>
  </si>
  <si>
    <t>CDC3696</t>
  </si>
  <si>
    <t>CDC-3696</t>
  </si>
  <si>
    <t>campverde@nacog.org</t>
  </si>
  <si>
    <t>(928)567-3182</t>
  </si>
  <si>
    <t>(928)567-0357</t>
  </si>
  <si>
    <t>04025001601</t>
  </si>
  <si>
    <t>040250016011</t>
  </si>
  <si>
    <t>Cottonwood - Sedona</t>
  </si>
  <si>
    <t>CDC9918</t>
  </si>
  <si>
    <t>CDC-9918</t>
  </si>
  <si>
    <t>srh978@msn.com</t>
  </si>
  <si>
    <t>(602)249-1566</t>
  </si>
  <si>
    <t>(602)242-3855</t>
  </si>
  <si>
    <t>040131073003</t>
  </si>
  <si>
    <t>CDC13369</t>
  </si>
  <si>
    <t>CDC-13369</t>
  </si>
  <si>
    <t>Sheena@parksidecampverde.com</t>
  </si>
  <si>
    <t>(928)567-6791</t>
  </si>
  <si>
    <t>(928)567-3703</t>
  </si>
  <si>
    <t>CDC18741</t>
  </si>
  <si>
    <t>CDC-18741</t>
  </si>
  <si>
    <t>(480)862-3536</t>
  </si>
  <si>
    <t>04013112512</t>
  </si>
  <si>
    <t>040131125121</t>
  </si>
  <si>
    <t>CDC0267</t>
  </si>
  <si>
    <t>CDC-0267</t>
  </si>
  <si>
    <t>Kellymcreadyvlc@gmail.com</t>
  </si>
  <si>
    <t>(602)272-0401</t>
  </si>
  <si>
    <t>(602)272-4684</t>
  </si>
  <si>
    <t>CDC17289</t>
  </si>
  <si>
    <t>CDC-17289</t>
  </si>
  <si>
    <t>shelliestart@aol.com</t>
  </si>
  <si>
    <t>(602)232-6000</t>
  </si>
  <si>
    <t>(602)232-6003</t>
  </si>
  <si>
    <t>CDC6222</t>
  </si>
  <si>
    <t>CDC-6222</t>
  </si>
  <si>
    <t>(623)930-6225</t>
  </si>
  <si>
    <t>(623)847-1752</t>
  </si>
  <si>
    <t>CDC17714</t>
  </si>
  <si>
    <t>CDC-17714</t>
  </si>
  <si>
    <t>xramirez@thesclions.org</t>
  </si>
  <si>
    <t>(602)276-2241</t>
  </si>
  <si>
    <t>(602)268-7886</t>
  </si>
  <si>
    <t>CDC11703</t>
  </si>
  <si>
    <t>CDC-11703</t>
  </si>
  <si>
    <t>n.amireh@homewardboundaz.org</t>
  </si>
  <si>
    <t>(602)374-8770</t>
  </si>
  <si>
    <t>(602)374-8819</t>
  </si>
  <si>
    <t>CDC16046</t>
  </si>
  <si>
    <t>CDC-16046</t>
  </si>
  <si>
    <t>lhilton@cvucs.org</t>
  </si>
  <si>
    <t>(928)567-0415</t>
  </si>
  <si>
    <t>(928)567-9774</t>
  </si>
  <si>
    <t>040250016013</t>
  </si>
  <si>
    <t>CDC4596</t>
  </si>
  <si>
    <t>CDC-4596</t>
  </si>
  <si>
    <t>dianat@wacog.com</t>
  </si>
  <si>
    <t>(928)783-0473</t>
  </si>
  <si>
    <t>61</t>
  </si>
  <si>
    <t>85365</t>
  </si>
  <si>
    <t>CDC2008</t>
  </si>
  <si>
    <t>CDC-2008</t>
  </si>
  <si>
    <t>sanluis@wacog.com, adrianaf@wacog.com, debh@wacog.com</t>
  </si>
  <si>
    <t>(928)627-3981</t>
  </si>
  <si>
    <t>(928)627-8179</t>
  </si>
  <si>
    <t>040270114031</t>
  </si>
  <si>
    <t>CDC6172</t>
  </si>
  <si>
    <t>CDC-6172</t>
  </si>
  <si>
    <t>margaritarodriguez@alhambraesd.org</t>
  </si>
  <si>
    <t>(602)336-2042</t>
  </si>
  <si>
    <t>(623)849-1944</t>
  </si>
  <si>
    <t>04013109002</t>
  </si>
  <si>
    <t>040131090022</t>
  </si>
  <si>
    <t>CDC6931</t>
  </si>
  <si>
    <t>CDC-6931</t>
  </si>
  <si>
    <t>tgalvan@gesd32.org</t>
  </si>
  <si>
    <t>(928)627-6960</t>
  </si>
  <si>
    <t>CDC7179</t>
  </si>
  <si>
    <t>CDC-7179</t>
  </si>
  <si>
    <t>jhecht@gesd40.org, zperez@gesd40.org</t>
  </si>
  <si>
    <t>(623)237-4244</t>
  </si>
  <si>
    <t>(623)237-7211</t>
  </si>
  <si>
    <t>CDC6221</t>
  </si>
  <si>
    <t>CDC-6221</t>
  </si>
  <si>
    <t>jhecht@gesd40.org</t>
  </si>
  <si>
    <t>(623)237-4487</t>
  </si>
  <si>
    <t>(623)237-7292</t>
  </si>
  <si>
    <t>CDC1167</t>
  </si>
  <si>
    <t>CDC-1167</t>
  </si>
  <si>
    <t>sdbitsui@asu.edu</t>
  </si>
  <si>
    <t>(602)232-4947</t>
  </si>
  <si>
    <t>(602)243-2637</t>
  </si>
  <si>
    <t>04013115400</t>
  </si>
  <si>
    <t>040131154001</t>
  </si>
  <si>
    <t>CDC17333</t>
  </si>
  <si>
    <t>CDC-17333</t>
  </si>
  <si>
    <t>dolores.martinez@eduprizeschools.net</t>
  </si>
  <si>
    <t>(480)888-1610</t>
  </si>
  <si>
    <t>(480)888-1655</t>
  </si>
  <si>
    <t>04021000215</t>
  </si>
  <si>
    <t>040210002151</t>
  </si>
  <si>
    <t>CDC18477</t>
  </si>
  <si>
    <t>CDC-18477</t>
  </si>
  <si>
    <t>sonia.loya@pgccs.org</t>
  </si>
  <si>
    <t>(520)466-7189</t>
  </si>
  <si>
    <t>(520)466-7006</t>
  </si>
  <si>
    <t>04021002003</t>
  </si>
  <si>
    <t>040210020033</t>
  </si>
  <si>
    <t>CDC17067</t>
  </si>
  <si>
    <t>CDC-17067</t>
  </si>
  <si>
    <t>jsanchez@gphxul.org</t>
  </si>
  <si>
    <t>(602)442-3200</t>
  </si>
  <si>
    <t>CDC18320</t>
  </si>
  <si>
    <t>CDC-18320</t>
  </si>
  <si>
    <t>nalvarez@gphxul.org</t>
  </si>
  <si>
    <t>040131126022</t>
  </si>
  <si>
    <t>CDC18683</t>
  </si>
  <si>
    <t>CDC-18683</t>
  </si>
  <si>
    <t>040131097012</t>
  </si>
  <si>
    <t>CDC16668</t>
  </si>
  <si>
    <t>CDC-16668</t>
  </si>
  <si>
    <t>04013112202</t>
  </si>
  <si>
    <t>040131122021</t>
  </si>
  <si>
    <t>CDC18384</t>
  </si>
  <si>
    <t>CDC-18384</t>
  </si>
  <si>
    <t>lauriev@heartcrychurch.com</t>
  </si>
  <si>
    <t>(480)646-8515</t>
  </si>
  <si>
    <t>CDC18635</t>
  </si>
  <si>
    <t>CDC-18635</t>
  </si>
  <si>
    <t>clara.thigpen@imagineschools.org</t>
  </si>
  <si>
    <t>(520)723-5391</t>
  </si>
  <si>
    <t>(520)723-5491</t>
  </si>
  <si>
    <t>CDC18332</t>
  </si>
  <si>
    <t>CDC-18332</t>
  </si>
  <si>
    <t>druffalo@innovationlearning.com</t>
  </si>
  <si>
    <t>(602)702-4065</t>
  </si>
  <si>
    <t>(720)605-0148</t>
  </si>
  <si>
    <t>04021000209</t>
  </si>
  <si>
    <t>040210002091</t>
  </si>
  <si>
    <t>CDC17427</t>
  </si>
  <si>
    <t>CDC-17427</t>
  </si>
  <si>
    <t>msawyer@littleeinsteinpreschool.com</t>
  </si>
  <si>
    <t>(480)886-7080</t>
  </si>
  <si>
    <t>(480)304-3193</t>
  </si>
  <si>
    <t>04021000312</t>
  </si>
  <si>
    <t>040210003122</t>
  </si>
  <si>
    <t>CDC15936</t>
  </si>
  <si>
    <t>CDC-15936</t>
  </si>
  <si>
    <t>patgonzales3@yahoo.com</t>
  </si>
  <si>
    <t>(520)780-6186</t>
  </si>
  <si>
    <t>04021000700</t>
  </si>
  <si>
    <t>040210007002</t>
  </si>
  <si>
    <t>Saddlebrooke</t>
  </si>
  <si>
    <t>CDC14846</t>
  </si>
  <si>
    <t>CDC-14846</t>
  </si>
  <si>
    <t>raysofsunshine2@outlook.com, masterohwize1@yahoo.com</t>
  </si>
  <si>
    <t>(928)567-6299</t>
  </si>
  <si>
    <t>(928)567-6277</t>
  </si>
  <si>
    <t>7</t>
  </si>
  <si>
    <t>04025001603</t>
  </si>
  <si>
    <t>040250016032</t>
  </si>
  <si>
    <t>CDC17590</t>
  </si>
  <si>
    <t>CDC-17590</t>
  </si>
  <si>
    <t>lucyattlp@msn.com</t>
  </si>
  <si>
    <t>(480)646-1155</t>
  </si>
  <si>
    <t>(480)983-6685</t>
  </si>
  <si>
    <t>040210003121</t>
  </si>
  <si>
    <t>CDC5713</t>
  </si>
  <si>
    <t>CDC-5713</t>
  </si>
  <si>
    <t>04021000313</t>
  </si>
  <si>
    <t>040210003132</t>
  </si>
  <si>
    <t>CDC18454</t>
  </si>
  <si>
    <t>CDC-18454</t>
  </si>
  <si>
    <t>kschuerman@victorycollegiateacademy.com</t>
  </si>
  <si>
    <t>(623)247-3767</t>
  </si>
  <si>
    <t>04013109802</t>
  </si>
  <si>
    <t>040131098021</t>
  </si>
  <si>
    <t>CDC18641</t>
  </si>
  <si>
    <t>CDC-18641</t>
  </si>
  <si>
    <t>kristie.Scharer@csd83.org</t>
  </si>
  <si>
    <t>(623)691-5900</t>
  </si>
  <si>
    <t>040131097011</t>
  </si>
  <si>
    <t>CDC17001</t>
  </si>
  <si>
    <t>CDC-17001</t>
  </si>
  <si>
    <t>bbolen@chileusd.k12.az.us</t>
  </si>
  <si>
    <t>(928)674-9100</t>
  </si>
  <si>
    <t>(928)724-3234</t>
  </si>
  <si>
    <t>04001944100</t>
  </si>
  <si>
    <t>040019441004</t>
  </si>
  <si>
    <t>CDC18373</t>
  </si>
  <si>
    <t>CDC-18373</t>
  </si>
  <si>
    <t>(520)385-2336</t>
  </si>
  <si>
    <t>(520)385-3035</t>
  </si>
  <si>
    <t>CDC12361</t>
  </si>
  <si>
    <t>CDC-12361</t>
  </si>
  <si>
    <t>mperalta@goaj.org</t>
  </si>
  <si>
    <t>(480)982-1110</t>
  </si>
  <si>
    <t>(480)982-1274</t>
  </si>
  <si>
    <t>04021000317</t>
  </si>
  <si>
    <t>040210003171</t>
  </si>
  <si>
    <t>CDC8806</t>
  </si>
  <si>
    <t>CDC-8806</t>
  </si>
  <si>
    <t>LLard@wendenk8.org</t>
  </si>
  <si>
    <t>(928)859-3806</t>
  </si>
  <si>
    <t>(928)859-3958</t>
  </si>
  <si>
    <t>04012020100</t>
  </si>
  <si>
    <t>040120201001</t>
  </si>
  <si>
    <t>La Paz/Mohave</t>
  </si>
  <si>
    <t>Quartzsite</t>
  </si>
  <si>
    <t>CDC18836</t>
  </si>
  <si>
    <t>CDC-18836</t>
  </si>
  <si>
    <t>kimberly.shoat@ppslions.org</t>
  </si>
  <si>
    <t>(623)933-3733</t>
  </si>
  <si>
    <t>04013109801</t>
  </si>
  <si>
    <t>040131098012</t>
  </si>
  <si>
    <t>CDC11289</t>
  </si>
  <si>
    <t>CDC-11289</t>
  </si>
  <si>
    <t>casadeninos2@gmail.com</t>
  </si>
  <si>
    <t>(928)782-7770</t>
  </si>
  <si>
    <t>CDC9007</t>
  </si>
  <si>
    <t>CDC-9007</t>
  </si>
  <si>
    <t>aneyka.montoyai@cplc.org</t>
  </si>
  <si>
    <t>(623)972-7801</t>
  </si>
  <si>
    <t>(623)972-7814</t>
  </si>
  <si>
    <t>04013060801</t>
  </si>
  <si>
    <t>040130608011</t>
  </si>
  <si>
    <t>85374</t>
  </si>
  <si>
    <t>Surprise South</t>
  </si>
  <si>
    <t>CDC8249</t>
  </si>
  <si>
    <t>CDC-8249</t>
  </si>
  <si>
    <t>kristin.andrew@childcrisisaz.org</t>
  </si>
  <si>
    <t>(602)889-6165</t>
  </si>
  <si>
    <t>(602)889-6173</t>
  </si>
  <si>
    <t>59</t>
  </si>
  <si>
    <t>04013113300</t>
  </si>
  <si>
    <t>040131133003</t>
  </si>
  <si>
    <t>CDC14945</t>
  </si>
  <si>
    <t>CDC-14945</t>
  </si>
  <si>
    <t>csodja@childrenslearningadventure.com</t>
  </si>
  <si>
    <t>(520)573-7760</t>
  </si>
  <si>
    <t>(520)573-7759</t>
  </si>
  <si>
    <t>49</t>
  </si>
  <si>
    <t>04019004115</t>
  </si>
  <si>
    <t>040190041151</t>
  </si>
  <si>
    <t>CDC7609</t>
  </si>
  <si>
    <t>CDC-7609</t>
  </si>
  <si>
    <t>kimb@vosymca.org</t>
  </si>
  <si>
    <t>(602)242-7717</t>
  </si>
  <si>
    <t>(602)242-6791</t>
  </si>
  <si>
    <t>04013107400</t>
  </si>
  <si>
    <t>040131074003</t>
  </si>
  <si>
    <t>CDC18318</t>
  </si>
  <si>
    <t>CDC-18318</t>
  </si>
  <si>
    <t>kcampbell@greatheartsaz.org</t>
  </si>
  <si>
    <t>(480)247-1532</t>
  </si>
  <si>
    <t>04013109300</t>
  </si>
  <si>
    <t>040131093001</t>
  </si>
  <si>
    <t>CDC17465</t>
  </si>
  <si>
    <t>CDC-17465</t>
  </si>
  <si>
    <t>markeshapayne.guardianangels@gmail.com</t>
  </si>
  <si>
    <t>(623)772-0528</t>
  </si>
  <si>
    <t>(623)877-1845</t>
  </si>
  <si>
    <t>040131093002</t>
  </si>
  <si>
    <t>CDC15891</t>
  </si>
  <si>
    <t>CDC-15891</t>
  </si>
  <si>
    <t>agamez@harvestprep.com</t>
  </si>
  <si>
    <t>(928)276-4286</t>
  </si>
  <si>
    <t>(928)783-4543</t>
  </si>
  <si>
    <t>040270007001</t>
  </si>
  <si>
    <t>CDC18673</t>
  </si>
  <si>
    <t>CDC-18673</t>
  </si>
  <si>
    <t>(480)599-0137</t>
  </si>
  <si>
    <t>19</t>
  </si>
  <si>
    <t>04013421502</t>
  </si>
  <si>
    <t>040134215022</t>
  </si>
  <si>
    <t>Southeast Maricopa</t>
  </si>
  <si>
    <t>Mesa Central</t>
  </si>
  <si>
    <t>CDC3301</t>
  </si>
  <si>
    <t>CDC-3301</t>
  </si>
  <si>
    <t>ConnieO@tucsonymca.org</t>
  </si>
  <si>
    <t>(520)623-9211</t>
  </si>
  <si>
    <t>(520)623-8917</t>
  </si>
  <si>
    <t>04019000100</t>
  </si>
  <si>
    <t>040190001002</t>
  </si>
  <si>
    <t>Pima North</t>
  </si>
  <si>
    <t>Tucson Central</t>
  </si>
  <si>
    <t>CDC16074</t>
  </si>
  <si>
    <t>CDC-16074</t>
  </si>
  <si>
    <t>jo.digioia@imagineschools.com</t>
  </si>
  <si>
    <t>(623)344-1730</t>
  </si>
  <si>
    <t>(623)344-1740</t>
  </si>
  <si>
    <t>04013061200</t>
  </si>
  <si>
    <t>040130612001</t>
  </si>
  <si>
    <t>CDC0438</t>
  </si>
  <si>
    <t>CDC-0438</t>
  </si>
  <si>
    <t>kiddiekareaz@cox.net</t>
  </si>
  <si>
    <t>(602)242-3293</t>
  </si>
  <si>
    <t>04013106802</t>
  </si>
  <si>
    <t>040131068022</t>
  </si>
  <si>
    <t>CDC1928</t>
  </si>
  <si>
    <t>CDC-1928</t>
  </si>
  <si>
    <t>tammyb.kidsvillage@gmail.com</t>
  </si>
  <si>
    <t>(520)882-7951</t>
  </si>
  <si>
    <t>(520)794-0119</t>
  </si>
  <si>
    <t>30</t>
  </si>
  <si>
    <t>04019001302</t>
  </si>
  <si>
    <t>040190013022</t>
  </si>
  <si>
    <t>CDC5858</t>
  </si>
  <si>
    <t>CDC-5858</t>
  </si>
  <si>
    <t>cmartz@klcorp.com</t>
  </si>
  <si>
    <t>(602)371-8881</t>
  </si>
  <si>
    <t>(602)371-0711</t>
  </si>
  <si>
    <t>04013104401</t>
  </si>
  <si>
    <t>040131044012</t>
  </si>
  <si>
    <t>CDC7971</t>
  </si>
  <si>
    <t>CDC-7971</t>
  </si>
  <si>
    <t>7165@lapetite.com</t>
  </si>
  <si>
    <t>(623)935-9222</t>
  </si>
  <si>
    <t>(480)383-4994</t>
  </si>
  <si>
    <t>CDC12996</t>
  </si>
  <si>
    <t>CDC-12996</t>
  </si>
  <si>
    <t>rsandoval@cc-az.org</t>
  </si>
  <si>
    <t>(602)287-6199</t>
  </si>
  <si>
    <t>(623)486-9988</t>
  </si>
  <si>
    <t>040130612003</t>
  </si>
  <si>
    <t>CDC18662</t>
  </si>
  <si>
    <t>CDC-18662</t>
  </si>
  <si>
    <t>lncorral@vosymca.org</t>
  </si>
  <si>
    <t>(602)257-5138</t>
  </si>
  <si>
    <t>04013113100</t>
  </si>
  <si>
    <t>040131131002</t>
  </si>
  <si>
    <t>CDC18364</t>
  </si>
  <si>
    <t>CDC-18364</t>
  </si>
  <si>
    <t>lrbpreschoolyuma@gmail.com</t>
  </si>
  <si>
    <t>CDC15090</t>
  </si>
  <si>
    <t>CDC-15090</t>
  </si>
  <si>
    <t>pkinder@lcsnogales.org</t>
  </si>
  <si>
    <t>(520)287-5659</t>
  </si>
  <si>
    <t>(520)287-2910</t>
  </si>
  <si>
    <t>04023966302</t>
  </si>
  <si>
    <t>040239663021</t>
  </si>
  <si>
    <t>CDC10913</t>
  </si>
  <si>
    <t>CDC-10913</t>
  </si>
  <si>
    <t>eepavoggi@hotmail.com</t>
  </si>
  <si>
    <t>(623)932-5190</t>
  </si>
  <si>
    <t>(623)932-3406</t>
  </si>
  <si>
    <t>040130612004</t>
  </si>
  <si>
    <t>CDC16590</t>
  </si>
  <si>
    <t>CDC-16590</t>
  </si>
  <si>
    <t>vrothstein@qwestoffice.net</t>
  </si>
  <si>
    <t>(520)287-2223</t>
  </si>
  <si>
    <t>(520)287-3373</t>
  </si>
  <si>
    <t>04023966402</t>
  </si>
  <si>
    <t>040239664024</t>
  </si>
  <si>
    <t>CDC18145</t>
  </si>
  <si>
    <t>CDC-18145</t>
  </si>
  <si>
    <t>(302)485-3402</t>
  </si>
  <si>
    <t>28</t>
  </si>
  <si>
    <t>04013104402</t>
  </si>
  <si>
    <t>040131044021</t>
  </si>
  <si>
    <t>CDC12694</t>
  </si>
  <si>
    <t>CDC-12694</t>
  </si>
  <si>
    <t>hacalanis@gmail.com</t>
  </si>
  <si>
    <t>(520)841-1139</t>
  </si>
  <si>
    <t>(520)287-7845</t>
  </si>
  <si>
    <t>CDC9609</t>
  </si>
  <si>
    <t>CDC-9609</t>
  </si>
  <si>
    <t>1powers@swhd.org</t>
  </si>
  <si>
    <t>(602)266-3065</t>
  </si>
  <si>
    <t>(602)265-4768</t>
  </si>
  <si>
    <t>040131133001</t>
  </si>
  <si>
    <t>CDC17730</t>
  </si>
  <si>
    <t>CDC-17730</t>
  </si>
  <si>
    <t>sun282@sunrisepreschools.com</t>
  </si>
  <si>
    <t>(480)840-1521</t>
  </si>
  <si>
    <t>(480)834-1518</t>
  </si>
  <si>
    <t>04013422203</t>
  </si>
  <si>
    <t>040134222031</t>
  </si>
  <si>
    <t>Mesa West</t>
  </si>
  <si>
    <t>CDC11634</t>
  </si>
  <si>
    <t>CDC-11634</t>
  </si>
  <si>
    <t>tntweredynamite@yahoo.com</t>
  </si>
  <si>
    <t>(602)277-6459</t>
  </si>
  <si>
    <t>(602)279-7891</t>
  </si>
  <si>
    <t>04013108902</t>
  </si>
  <si>
    <t>040131089022</t>
  </si>
  <si>
    <t>CDC18133</t>
  </si>
  <si>
    <t>CDC-18133</t>
  </si>
  <si>
    <t>mlythgoe@ccnsaz.org</t>
  </si>
  <si>
    <t>(623)915-0345</t>
  </si>
  <si>
    <t>CDC11999</t>
  </si>
  <si>
    <t>CDC-11999</t>
  </si>
  <si>
    <t>sarrc@autismcenter.org</t>
  </si>
  <si>
    <t>(602)340-8717</t>
  </si>
  <si>
    <t>(602)340-8720</t>
  </si>
  <si>
    <t>040131133002</t>
  </si>
  <si>
    <t>CDC4976</t>
  </si>
  <si>
    <t>CDC-4976</t>
  </si>
  <si>
    <t>pat.davis@pgccs.org</t>
  </si>
  <si>
    <t>(520)466-4036</t>
  </si>
  <si>
    <t>(520)466-4677</t>
  </si>
  <si>
    <t>040210019001</t>
  </si>
  <si>
    <t>CDC16344</t>
  </si>
  <si>
    <t>CDC-16344</t>
  </si>
  <si>
    <t>jenessa.armstrong@tucsonbaptist.com</t>
  </si>
  <si>
    <t>(520)512-5157</t>
  </si>
  <si>
    <t>(520)748-0421</t>
  </si>
  <si>
    <t>04019003501</t>
  </si>
  <si>
    <t>040190035016</t>
  </si>
  <si>
    <t>Tucson Foothills</t>
  </si>
  <si>
    <t>CDC13838</t>
  </si>
  <si>
    <t>CDC-13838</t>
  </si>
  <si>
    <t>(602)254-2201</t>
  </si>
  <si>
    <t>(602)256-0493</t>
  </si>
  <si>
    <t>33</t>
  </si>
  <si>
    <t>04013113203</t>
  </si>
  <si>
    <t>040131132032</t>
  </si>
  <si>
    <t>CDC5541</t>
  </si>
  <si>
    <t>CDC-5541</t>
  </si>
  <si>
    <t>western@childparentcenters.org</t>
  </si>
  <si>
    <t>(520)287-3662</t>
  </si>
  <si>
    <t>040239664021</t>
  </si>
  <si>
    <t>CDC15058</t>
  </si>
  <si>
    <t>CDC-15058</t>
  </si>
  <si>
    <t>mariagalindo@beamspeed.net</t>
  </si>
  <si>
    <t>(928)782-7777</t>
  </si>
  <si>
    <t>CDC17493</t>
  </si>
  <si>
    <t>CDC-17493</t>
  </si>
  <si>
    <t>wonderland.playhouse@gmail.com</t>
  </si>
  <si>
    <t>(520)868-5311</t>
  </si>
  <si>
    <t>3</t>
  </si>
  <si>
    <t>04021000901</t>
  </si>
  <si>
    <t>040210009011</t>
  </si>
  <si>
    <t>CDC3120</t>
  </si>
  <si>
    <t>CDC-3120</t>
  </si>
  <si>
    <t>brittneyt@tucsonymca.org</t>
  </si>
  <si>
    <t>(520)294-1449</t>
  </si>
  <si>
    <t>(520)294-1586</t>
  </si>
  <si>
    <t>040190038021</t>
  </si>
  <si>
    <t>CDC18586</t>
  </si>
  <si>
    <t>CDC-18586</t>
  </si>
  <si>
    <t>margaritaherrera@Alhambraesd.org</t>
  </si>
  <si>
    <t>(602)246-5155</t>
  </si>
  <si>
    <t>CDC11043</t>
  </si>
  <si>
    <t>CDC-11043</t>
  </si>
  <si>
    <t>(928)425-3271</t>
  </si>
  <si>
    <t>(928)425-7419</t>
  </si>
  <si>
    <t>04007000900</t>
  </si>
  <si>
    <t>040070009002</t>
  </si>
  <si>
    <t>CDC17031</t>
  </si>
  <si>
    <t>CDC-17031</t>
  </si>
  <si>
    <t>cnehrmeyer@osd2.org</t>
  </si>
  <si>
    <t>(520)896-3000</t>
  </si>
  <si>
    <t>(520)896-3062</t>
  </si>
  <si>
    <t>04021002200</t>
  </si>
  <si>
    <t>040210022004</t>
  </si>
  <si>
    <t>CDC6333</t>
  </si>
  <si>
    <t>CDC-6333</t>
  </si>
  <si>
    <t>curtis.johnson@phxschools.org</t>
  </si>
  <si>
    <t>(602)257-4804</t>
  </si>
  <si>
    <t>(602)416-2013</t>
  </si>
  <si>
    <t>04013114800</t>
  </si>
  <si>
    <t>040131148002</t>
  </si>
  <si>
    <t>CDC6331</t>
  </si>
  <si>
    <t>CDC-6331</t>
  </si>
  <si>
    <t>(602)523-5827</t>
  </si>
  <si>
    <t>(602)257-3704</t>
  </si>
  <si>
    <t>CDC6328</t>
  </si>
  <si>
    <t>CDC-6328</t>
  </si>
  <si>
    <t>(602)452-6942</t>
  </si>
  <si>
    <t>04013117200</t>
  </si>
  <si>
    <t>040131172002</t>
  </si>
  <si>
    <t>CDC6324</t>
  </si>
  <si>
    <t>CDC-6324</t>
  </si>
  <si>
    <t>(602)523-8896</t>
  </si>
  <si>
    <t>(602)257-6396</t>
  </si>
  <si>
    <t>04013114900</t>
  </si>
  <si>
    <t>040131149002</t>
  </si>
  <si>
    <t>CDC6066</t>
  </si>
  <si>
    <t>CDC-6066</t>
  </si>
  <si>
    <t>marial@susd12.org</t>
  </si>
  <si>
    <t>(520)545-5355</t>
  </si>
  <si>
    <t>CDC7313</t>
  </si>
  <si>
    <t>CDC-7313</t>
  </si>
  <si>
    <t>keri.moore@wesdschools.org</t>
  </si>
  <si>
    <t>(602)896-6315</t>
  </si>
  <si>
    <t>(602)347-2215</t>
  </si>
  <si>
    <t>04013104205</t>
  </si>
  <si>
    <t>040131042051</t>
  </si>
  <si>
    <t>CDC6532</t>
  </si>
  <si>
    <t>CDC-6532</t>
  </si>
  <si>
    <t>michaele.pilsbury@wesdschools.org</t>
  </si>
  <si>
    <t>(602)347-3011</t>
  </si>
  <si>
    <t>(602)347-2722</t>
  </si>
  <si>
    <t>04013105502</t>
  </si>
  <si>
    <t>040131055021</t>
  </si>
  <si>
    <t>SGH15442</t>
  </si>
  <si>
    <t>SGH-15442</t>
  </si>
  <si>
    <t>acastellon1@cox.net</t>
  </si>
  <si>
    <t>(520)741-8306</t>
  </si>
  <si>
    <t>04019004117</t>
  </si>
  <si>
    <t>040190041171</t>
  </si>
  <si>
    <t>SGH10386</t>
  </si>
  <si>
    <t>SGH-10386</t>
  </si>
  <si>
    <t>cecyshouse@cox.net</t>
  </si>
  <si>
    <t>(602)243-5682</t>
  </si>
  <si>
    <t>040131165002</t>
  </si>
  <si>
    <t>SGH10096</t>
  </si>
  <si>
    <t>SGH-10096</t>
  </si>
  <si>
    <t>thedarringtons618@hotmail.com</t>
  </si>
  <si>
    <t>(602)268-4324</t>
  </si>
  <si>
    <t>SGH18219</t>
  </si>
  <si>
    <t>SGH-18219</t>
  </si>
  <si>
    <t>ADRIANA.BARROW@YAHOO.COM</t>
  </si>
  <si>
    <t>(520)207-6636</t>
  </si>
  <si>
    <t>04019004116</t>
  </si>
  <si>
    <t>040190041161</t>
  </si>
  <si>
    <t>SGH16382</t>
  </si>
  <si>
    <t>SGH-16382</t>
  </si>
  <si>
    <t>A.A.Acuna18@gmail.com</t>
  </si>
  <si>
    <t>(520)807-2998</t>
  </si>
  <si>
    <t>SGH16582</t>
  </si>
  <si>
    <t>SGH-16582</t>
  </si>
  <si>
    <t>olgardz27@yahoo.com</t>
  </si>
  <si>
    <t>(520)300-4823</t>
  </si>
  <si>
    <t>040190041172</t>
  </si>
  <si>
    <t>CDC18750</t>
  </si>
  <si>
    <t>CDC-18750</t>
  </si>
  <si>
    <t>jegarcia@turnanewleaf.org</t>
  </si>
  <si>
    <t>(602)252-4911</t>
  </si>
  <si>
    <t>(602)252-0979</t>
  </si>
  <si>
    <t>36</t>
  </si>
  <si>
    <t>04013114200</t>
  </si>
  <si>
    <t>040131142001</t>
  </si>
  <si>
    <t>SGH18863</t>
  </si>
  <si>
    <t>SGH-18863</t>
  </si>
  <si>
    <t>OLGAGL181950@YAHOO.COM</t>
  </si>
  <si>
    <t>(520)309-5297</t>
  </si>
  <si>
    <t>CDC0179</t>
  </si>
  <si>
    <t>CDC-0179</t>
  </si>
  <si>
    <t>sandrasellsaz@gmail.com</t>
  </si>
  <si>
    <t>(602)278-1513</t>
  </si>
  <si>
    <t>(302)278-7908</t>
  </si>
  <si>
    <t>04013112201</t>
  </si>
  <si>
    <t>040131122011</t>
  </si>
  <si>
    <t>CDC18368</t>
  </si>
  <si>
    <t>CDC-18368</t>
  </si>
  <si>
    <t>tlgarrett73@aol.com</t>
  </si>
  <si>
    <t>(602)944-6500</t>
  </si>
  <si>
    <t>6</t>
  </si>
  <si>
    <t>04013103615</t>
  </si>
  <si>
    <t>040131036151</t>
  </si>
  <si>
    <t>CDC0500</t>
  </si>
  <si>
    <t>CDC-0500</t>
  </si>
  <si>
    <t>Rhonda@americanchildcare.com</t>
  </si>
  <si>
    <t>(602)269-5045</t>
  </si>
  <si>
    <t>(602)278-6541</t>
  </si>
  <si>
    <t>040131123023</t>
  </si>
  <si>
    <t>CDC4974</t>
  </si>
  <si>
    <t>CDC-4974</t>
  </si>
  <si>
    <t>Tera.Leigh@pgccs.org</t>
  </si>
  <si>
    <t>(480)982-4516</t>
  </si>
  <si>
    <t>(480)288-9050</t>
  </si>
  <si>
    <t>04021000309</t>
  </si>
  <si>
    <t>040210003091</t>
  </si>
  <si>
    <t>CDC15486</t>
  </si>
  <si>
    <t>CDC-15486</t>
  </si>
  <si>
    <t>bienestarchildcare@yahoo.com</t>
  </si>
  <si>
    <t>(928)627-9342</t>
  </si>
  <si>
    <t>(928)627-9315</t>
  </si>
  <si>
    <t>04027011405</t>
  </si>
  <si>
    <t>040270114051</t>
  </si>
  <si>
    <t>CDC15709</t>
  </si>
  <si>
    <t>CDC-15709</t>
  </si>
  <si>
    <t>twila.ibarra@cplc.org</t>
  </si>
  <si>
    <t>(520)466-3438</t>
  </si>
  <si>
    <t>(520)466-2551</t>
  </si>
  <si>
    <t>040210020032</t>
  </si>
  <si>
    <t>CDC6742</t>
  </si>
  <si>
    <t>CDC-6742</t>
  </si>
  <si>
    <t>claudia.ozuna@cplc.org</t>
  </si>
  <si>
    <t>(928)627-2037</t>
  </si>
  <si>
    <t>(928)627-1234</t>
  </si>
  <si>
    <t>CDC10912</t>
  </si>
  <si>
    <t>CDC-10912</t>
  </si>
  <si>
    <t>jfranc4997@aol.com</t>
  </si>
  <si>
    <t>(480)288-9625</t>
  </si>
  <si>
    <t>(480)982-0956</t>
  </si>
  <si>
    <t>CDC14124</t>
  </si>
  <si>
    <t>CDC-14124</t>
  </si>
  <si>
    <t>jasonblutter@gmail.com</t>
  </si>
  <si>
    <t>(602)973-7631</t>
  </si>
  <si>
    <t>(602)973-9465</t>
  </si>
  <si>
    <t>04013105602</t>
  </si>
  <si>
    <t>040131056022</t>
  </si>
  <si>
    <t>CDC16360</t>
  </si>
  <si>
    <t>CDC-16360</t>
  </si>
  <si>
    <t>bisbeemontessori@gmail.com</t>
  </si>
  <si>
    <t>(520)432-8075</t>
  </si>
  <si>
    <t>04003001200</t>
  </si>
  <si>
    <t>040030012002</t>
  </si>
  <si>
    <t>CDC8681</t>
  </si>
  <si>
    <t>CDC-8681</t>
  </si>
  <si>
    <t>bpayne@eloyaz.gov</t>
  </si>
  <si>
    <t>(520)466-2279</t>
  </si>
  <si>
    <t>(520)464-1426</t>
  </si>
  <si>
    <t>040210020031</t>
  </si>
  <si>
    <t>CDC17681</t>
  </si>
  <si>
    <t>CDC-17681</t>
  </si>
  <si>
    <t>CDC18681</t>
  </si>
  <si>
    <t>CDC-18681</t>
  </si>
  <si>
    <t>CDC17680</t>
  </si>
  <si>
    <t>CDC-17680</t>
  </si>
  <si>
    <t>04013112504</t>
  </si>
  <si>
    <t>040131125041</t>
  </si>
  <si>
    <t>CDC17679</t>
  </si>
  <si>
    <t>CDC-17679</t>
  </si>
  <si>
    <t>(602)442-3100</t>
  </si>
  <si>
    <t>040131126024</t>
  </si>
  <si>
    <t>CDC15306</t>
  </si>
  <si>
    <t>CDC-15306</t>
  </si>
  <si>
    <t>(928)782-2052</t>
  </si>
  <si>
    <t>(928)276-9681</t>
  </si>
  <si>
    <t>04027011406</t>
  </si>
  <si>
    <t>040270114062</t>
  </si>
  <si>
    <t>CDC16313</t>
  </si>
  <si>
    <t>CDC-16313</t>
  </si>
  <si>
    <t>ihmcatholic@cableone.net</t>
  </si>
  <si>
    <t>(928)645-2301</t>
  </si>
  <si>
    <t>(928)645-2351</t>
  </si>
  <si>
    <t>040050021006</t>
  </si>
  <si>
    <t>CDC9665</t>
  </si>
  <si>
    <t>CDC-9665</t>
  </si>
  <si>
    <t>klccanyonkids@gmail.com</t>
  </si>
  <si>
    <t>(928)638-6333</t>
  </si>
  <si>
    <t>(928)638-6336</t>
  </si>
  <si>
    <t>04005002300</t>
  </si>
  <si>
    <t>040050023005</t>
  </si>
  <si>
    <t>Grand Canyon Village</t>
  </si>
  <si>
    <t>CDC9817</t>
  </si>
  <si>
    <t>CDC-9817</t>
  </si>
  <si>
    <t>rlopez3337@hotmail.com</t>
  </si>
  <si>
    <t>(602)841-7338</t>
  </si>
  <si>
    <t>(602)841-7647</t>
  </si>
  <si>
    <t>04013107101</t>
  </si>
  <si>
    <t>040131071012</t>
  </si>
  <si>
    <t>CDC12197</t>
  </si>
  <si>
    <t>CDC-12197</t>
  </si>
  <si>
    <t>burnsk86@gmail.com</t>
  </si>
  <si>
    <t>(623)934-5689</t>
  </si>
  <si>
    <t>(623)979-6095</t>
  </si>
  <si>
    <t>04013092802</t>
  </si>
  <si>
    <t>040130928022</t>
  </si>
  <si>
    <t>CDC16859</t>
  </si>
  <si>
    <t>CDC-16859</t>
  </si>
  <si>
    <t>angelapico85@gmail.com</t>
  </si>
  <si>
    <t>(520)294-1642</t>
  </si>
  <si>
    <t>04019003902</t>
  </si>
  <si>
    <t>040190039021</t>
  </si>
  <si>
    <t>CDC5222</t>
  </si>
  <si>
    <t>CDC-5222</t>
  </si>
  <si>
    <t>page@nacog.org</t>
  </si>
  <si>
    <t>(928)645-8080</t>
  </si>
  <si>
    <t>(928)645-8081</t>
  </si>
  <si>
    <t>CDC15449</t>
  </si>
  <si>
    <t>CDC-15449</t>
  </si>
  <si>
    <t>pswenson@nacog.org</t>
  </si>
  <si>
    <t>(928)774-9504</t>
  </si>
  <si>
    <t>(928)779-0514</t>
  </si>
  <si>
    <t>04017960400</t>
  </si>
  <si>
    <t>040179604003</t>
  </si>
  <si>
    <t>CDC1532</t>
  </si>
  <si>
    <t>CDC-1532</t>
  </si>
  <si>
    <t>ncdaycare@aol.com</t>
  </si>
  <si>
    <t>(602)273-7940</t>
  </si>
  <si>
    <t>(602)273-3884</t>
  </si>
  <si>
    <t>04013113501</t>
  </si>
  <si>
    <t>040131135011</t>
  </si>
  <si>
    <t>CDC7009</t>
  </si>
  <si>
    <t>CDC-7009</t>
  </si>
  <si>
    <t>jmontoya_2002@yahoo.com</t>
  </si>
  <si>
    <t>(602)272-3780</t>
  </si>
  <si>
    <t>(602)272-3797</t>
  </si>
  <si>
    <t>CDC5405</t>
  </si>
  <si>
    <t>CDC-5405</t>
  </si>
  <si>
    <t>hiralparikhjs@yahoo.com</t>
  </si>
  <si>
    <t>(623)937-7598</t>
  </si>
  <si>
    <t>(623)435-9481</t>
  </si>
  <si>
    <t>04013093101</t>
  </si>
  <si>
    <t>040130931014</t>
  </si>
  <si>
    <t>CDC14498</t>
  </si>
  <si>
    <t>CDC-14498</t>
  </si>
  <si>
    <t>cchrisman@simonjude.org</t>
  </si>
  <si>
    <t>(602)242-1299</t>
  </si>
  <si>
    <t>04013106801</t>
  </si>
  <si>
    <t>040131068012</t>
  </si>
  <si>
    <t>CDC17511</t>
  </si>
  <si>
    <t>CDC-17511</t>
  </si>
  <si>
    <t>(602)268-3774</t>
  </si>
  <si>
    <t>(602)243-3460</t>
  </si>
  <si>
    <t>04013116000</t>
  </si>
  <si>
    <t>040131160003</t>
  </si>
  <si>
    <t>CDC15893</t>
  </si>
  <si>
    <t>CDC-15893</t>
  </si>
  <si>
    <t>lpowers@swhd.org</t>
  </si>
  <si>
    <t>(602)845-4150</t>
  </si>
  <si>
    <t>109</t>
  </si>
  <si>
    <t>04013113700</t>
  </si>
  <si>
    <t>040131137005</t>
  </si>
  <si>
    <t>Camelback East Village</t>
  </si>
  <si>
    <t>CDC14371</t>
  </si>
  <si>
    <t>CDC-14371</t>
  </si>
  <si>
    <t>jenniferweworski@slkschool.com</t>
  </si>
  <si>
    <t>(623)939-4260</t>
  </si>
  <si>
    <t>(623)930-1129</t>
  </si>
  <si>
    <t>04013093002</t>
  </si>
  <si>
    <t>040130930023</t>
  </si>
  <si>
    <t>CDC17380</t>
  </si>
  <si>
    <t>CDC-17380</t>
  </si>
  <si>
    <t>scox@blake.easterseals.com</t>
  </si>
  <si>
    <t>(480)677-7768</t>
  </si>
  <si>
    <t>04021000315</t>
  </si>
  <si>
    <t>040210003151</t>
  </si>
  <si>
    <t>CDC18184</t>
  </si>
  <si>
    <t>CDC-18184</t>
  </si>
  <si>
    <t>Rommel.Apostol@usw.salvationarmy.org</t>
  </si>
  <si>
    <t>(602)425-5000</t>
  </si>
  <si>
    <t>04013115900</t>
  </si>
  <si>
    <t>040131159001</t>
  </si>
  <si>
    <t>CDC15222</t>
  </si>
  <si>
    <t>CDC-15222</t>
  </si>
  <si>
    <t>todaystomorrowlc@gmail.com</t>
  </si>
  <si>
    <t>(602)275-0203</t>
  </si>
  <si>
    <t>(602)275-0207</t>
  </si>
  <si>
    <t>22</t>
  </si>
  <si>
    <t>04013111601</t>
  </si>
  <si>
    <t>040131116012</t>
  </si>
  <si>
    <t>Encanto Village</t>
  </si>
  <si>
    <t>CDC9937</t>
  </si>
  <si>
    <t>CDC-9937</t>
  </si>
  <si>
    <t>staceytots@hotmail.com</t>
  </si>
  <si>
    <t>(623)463-3373</t>
  </si>
  <si>
    <t>(623)463-2700</t>
  </si>
  <si>
    <t>040130928023</t>
  </si>
  <si>
    <t>CDC0849</t>
  </si>
  <si>
    <t>CDC-0849</t>
  </si>
  <si>
    <t>valleychildcareaz@gmail.com</t>
  </si>
  <si>
    <t>(602)938-3100</t>
  </si>
  <si>
    <t>(602)993-0004</t>
  </si>
  <si>
    <t>04013104226</t>
  </si>
  <si>
    <t>040131042263</t>
  </si>
  <si>
    <t>Deer Valley Village</t>
  </si>
  <si>
    <t>CDC15514</t>
  </si>
  <si>
    <t>CDC-15514</t>
  </si>
  <si>
    <t>eboettcher@bwsd33.org</t>
  </si>
  <si>
    <t>(623)925-3333</t>
  </si>
  <si>
    <t>(623)386-6219</t>
  </si>
  <si>
    <t>04013050702</t>
  </si>
  <si>
    <t>040130507023</t>
  </si>
  <si>
    <t>CDC18311</t>
  </si>
  <si>
    <t>CDC-18311</t>
  </si>
  <si>
    <t>khartsuff@creightonschools.org</t>
  </si>
  <si>
    <t>(602)381-4665</t>
  </si>
  <si>
    <t>(602)381-4662</t>
  </si>
  <si>
    <t>04013113601</t>
  </si>
  <si>
    <t>040131136012</t>
  </si>
  <si>
    <t>CDC17786</t>
  </si>
  <si>
    <t>CDC-17786</t>
  </si>
  <si>
    <t>jmdowse@chinleusd.k12.az.us</t>
  </si>
  <si>
    <t>(928)674-9200</t>
  </si>
  <si>
    <t>CDC17000</t>
  </si>
  <si>
    <t>CDC-17000</t>
  </si>
  <si>
    <t>sdorden@chinle.usd.k12.az.us</t>
  </si>
  <si>
    <t>(928)674-9000</t>
  </si>
  <si>
    <t>(928)674-9099</t>
  </si>
  <si>
    <t>04001944300</t>
  </si>
  <si>
    <t>040019443001</t>
  </si>
  <si>
    <t>CDC18226</t>
  </si>
  <si>
    <t>CDC-18226</t>
  </si>
  <si>
    <t>rosalinda.duron@csd83.org</t>
  </si>
  <si>
    <t>CDC16233</t>
  </si>
  <si>
    <t>CDC-16233</t>
  </si>
  <si>
    <t>candrew@pageud.org</t>
  </si>
  <si>
    <t>(928)608-4200</t>
  </si>
  <si>
    <t>(928)645-5059</t>
  </si>
  <si>
    <t>040050021001</t>
  </si>
  <si>
    <t>CDC16713</t>
  </si>
  <si>
    <t>CDC-16713</t>
  </si>
  <si>
    <t>(928)859-3339</t>
  </si>
  <si>
    <t>(928)859-3085</t>
  </si>
  <si>
    <t>040120201002</t>
  </si>
  <si>
    <t>CDC6526</t>
  </si>
  <si>
    <t>CDC-6526</t>
  </si>
  <si>
    <t>(602)347-2415</t>
  </si>
  <si>
    <t>(602)347-2420</t>
  </si>
  <si>
    <t>04013106900</t>
  </si>
  <si>
    <t>040131069004</t>
  </si>
  <si>
    <t>CDC6535</t>
  </si>
  <si>
    <t>CDC-6535</t>
  </si>
  <si>
    <t>steve.morowsky@wesdschool.org</t>
  </si>
  <si>
    <t>(602)347-3115</t>
  </si>
  <si>
    <t>04013105800</t>
  </si>
  <si>
    <t>040131058004</t>
  </si>
  <si>
    <t>CDC6539</t>
  </si>
  <si>
    <t>CDC-6539</t>
  </si>
  <si>
    <t>(602)347-4215</t>
  </si>
  <si>
    <t>04013103900</t>
  </si>
  <si>
    <t>040131039002</t>
  </si>
  <si>
    <t>SGH16759</t>
  </si>
  <si>
    <t>SGH-16759</t>
  </si>
  <si>
    <t>kisha74@gmail.com</t>
  </si>
  <si>
    <t>(623)614-5540</t>
  </si>
  <si>
    <t>(623)247-2199</t>
  </si>
  <si>
    <t>SGH16573</t>
  </si>
  <si>
    <t>SGH-16573</t>
  </si>
  <si>
    <t>dianalopez602@gmail.com</t>
  </si>
  <si>
    <t>(623)873-9595</t>
  </si>
  <si>
    <t>04013109900</t>
  </si>
  <si>
    <t>040131099003</t>
  </si>
  <si>
    <t>SGH8851</t>
  </si>
  <si>
    <t>SGH-8851</t>
  </si>
  <si>
    <t>sandrawhite@cox.net</t>
  </si>
  <si>
    <t>(623)873-2964</t>
  </si>
  <si>
    <t>(623)247-6115</t>
  </si>
  <si>
    <t>040131094004</t>
  </si>
  <si>
    <t>CDC18731</t>
  </si>
  <si>
    <t>CDC-18731</t>
  </si>
  <si>
    <t>fnagy@wccphx.net</t>
  </si>
  <si>
    <t>(602)233-0017</t>
  </si>
  <si>
    <t>040131122012</t>
  </si>
  <si>
    <t>CDC18853</t>
  </si>
  <si>
    <t>CDC-18853</t>
  </si>
  <si>
    <t>OlivetreePreschooloffinearts@gmail.com</t>
  </si>
  <si>
    <t>(480)327-7300</t>
  </si>
  <si>
    <t>Organizations below do not have a valid Parent organization identified for them with the School Finance team at the Arizona Department of Education.  A valid Parent entity and a valid relationship between the Parent entity and site must be confirmed or created.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</si>
</sst>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3" borderId="0" xfId="0" applyFont="1" applyFill="1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0" applyFont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/>
    </xf>
    <xf numFmtId="0" fontId="5" fillId="0" borderId="0" xfId="1" applyFont="1" applyAlignment="1">
      <alignment wrapText="1"/>
    </xf>
    <xf numFmtId="0" fontId="5" fillId="0" borderId="0" xfId="1" applyFont="1"/>
    <xf numFmtId="0" fontId="3" fillId="0" borderId="0" xfId="1"/>
    <xf numFmtId="0" fontId="7" fillId="5" borderId="1" xfId="2" applyFont="1" applyFill="1" applyBorder="1" applyAlignment="1">
      <alignment horizontal="center" vertical="center" wrapText="1"/>
    </xf>
    <xf numFmtId="0" fontId="6" fillId="0" borderId="0" xfId="2"/>
    <xf numFmtId="0" fontId="6" fillId="0" borderId="0" xfId="2" applyAlignment="1">
      <alignment horizontal="center"/>
    </xf>
    <xf numFmtId="0" fontId="6" fillId="6" borderId="0" xfId="2" applyFill="1" applyAlignment="1">
      <alignment horizontal="center"/>
    </xf>
    <xf numFmtId="0" fontId="6" fillId="6" borderId="0" xfId="2" applyFill="1"/>
    <xf numFmtId="0" fontId="0" fillId="7" borderId="1" xfId="0" applyFill="1" applyBorder="1"/>
    <xf numFmtId="0" fontId="2" fillId="0" borderId="0" xfId="0" applyFont="1" applyAlignment="1"/>
    <xf numFmtId="0" fontId="2" fillId="0" borderId="0" xfId="0" applyFont="1" applyAlignment="1">
      <alignment vertical="top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Fill="1" applyAlignment="1">
      <alignment vertical="top"/>
    </xf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/>
    </xf>
    <xf numFmtId="0" fontId="2" fillId="0" borderId="2" xfId="0" quotePrefix="1" applyFont="1" applyFill="1" applyBorder="1" applyAlignment="1">
      <alignment horizontal="left"/>
    </xf>
    <xf numFmtId="0" fontId="2" fillId="0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3" applyFont="1" applyFill="1" applyBorder="1" applyAlignment="1" applyProtection="1">
      <alignment horizontal="center"/>
    </xf>
    <xf numFmtId="0" fontId="1" fillId="8" borderId="0" xfId="3" applyFont="1" applyFill="1" applyBorder="1" applyAlignment="1" applyProtection="1">
      <alignment horizontal="center"/>
    </xf>
    <xf numFmtId="0" fontId="2" fillId="0" borderId="0" xfId="3" applyFont="1"/>
    <xf numFmtId="1" fontId="2" fillId="0" borderId="0" xfId="3" applyNumberFormat="1" applyFont="1" applyFill="1" applyBorder="1" applyAlignment="1" applyProtection="1"/>
    <xf numFmtId="0" fontId="2" fillId="0" borderId="0" xfId="3" applyFont="1" applyFill="1" applyBorder="1" applyAlignment="1" applyProtection="1"/>
    <xf numFmtId="164" fontId="2" fillId="0" borderId="0" xfId="3" applyNumberFormat="1" applyFont="1" applyFill="1" applyBorder="1" applyAlignment="1" applyProtection="1"/>
    <xf numFmtId="0" fontId="2" fillId="0" borderId="0" xfId="3" applyFont="1" applyFill="1" applyBorder="1" applyAlignment="1" applyProtection="1">
      <alignment horizontal="center"/>
    </xf>
    <xf numFmtId="0" fontId="2" fillId="8" borderId="0" xfId="3" applyFont="1" applyFill="1" applyBorder="1" applyAlignment="1" applyProtection="1">
      <alignment horizontal="center"/>
    </xf>
    <xf numFmtId="1" fontId="2" fillId="0" borderId="0" xfId="3" applyNumberFormat="1" applyFont="1" applyFill="1" applyBorder="1" applyAlignment="1" applyProtection="1">
      <alignment horizontal="center"/>
    </xf>
    <xf numFmtId="0" fontId="9" fillId="0" borderId="0" xfId="3"/>
    <xf numFmtId="0" fontId="2" fillId="0" borderId="0" xfId="0" applyFont="1" applyFill="1" applyBorder="1" applyAlignment="1">
      <alignment wrapText="1"/>
    </xf>
    <xf numFmtId="0" fontId="2" fillId="0" borderId="2" xfId="0" quotePrefix="1" applyFont="1" applyFill="1" applyBorder="1" applyAlignment="1">
      <alignment horizontal="left" vertical="top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2" fillId="0" borderId="2" xfId="0" quotePrefix="1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8" fillId="3" borderId="2" xfId="0" applyFont="1" applyFill="1" applyBorder="1" applyAlignment="1">
      <alignment wrapText="1"/>
    </xf>
    <xf numFmtId="0" fontId="0" fillId="0" borderId="2" xfId="0" applyBorder="1" applyAlignment="1"/>
  </cellXfs>
  <cellStyles count="4">
    <cellStyle name="Normal" xfId="0" builtinId="0"/>
    <cellStyle name="Normal 2" xfId="3" xr:uid="{0B11B55D-2B5F-4F2E-B907-1B0F6CE0F4DD}"/>
    <cellStyle name="Normal 3" xfId="2" xr:uid="{E8D82B8C-23AE-4F1D-9701-D3B5BEBEAF97}"/>
    <cellStyle name="Normal 4" xfId="1" xr:uid="{480DC7F8-9000-48C3-952D-8E683824F7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decloud-my.sharepoint.com/personal/lori_masseur_azed_gov/Documents/Desktop/Literacy%20grant/Data/Updated%20Preschool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LDCARE_FACILITIES"/>
      <sheetName val="childcare entity IDs"/>
      <sheetName val="CACFP FRL"/>
      <sheetName val="Head Start QF 1-5 Stars"/>
      <sheetName val="HS Centers"/>
    </sheetNames>
    <sheetDataSet>
      <sheetData sheetId="0">
        <row r="1">
          <cell r="N1" t="str">
            <v>LEGALNAME</v>
          </cell>
          <cell r="O1" t="str">
            <v>ADDRESS</v>
          </cell>
          <cell r="P1" t="str">
            <v>EMAIL</v>
          </cell>
          <cell r="Q1" t="str">
            <v>LICENSE</v>
          </cell>
          <cell r="AJ1" t="str">
            <v>Entity ID</v>
          </cell>
          <cell r="AK1" t="str">
            <v>LICENSE</v>
          </cell>
          <cell r="AL1" t="str">
            <v>FACID</v>
          </cell>
        </row>
        <row r="2">
          <cell r="N2" t="str">
            <v>1ST ACADEMY PRESCHOOL &amp; CHILDCARE</v>
          </cell>
          <cell r="O2" t="str">
            <v>1133 SOUTH DOBSON ROAD - SUITE 101</v>
          </cell>
          <cell r="P2" t="str">
            <v>bunnie@1stacademy.com</v>
          </cell>
          <cell r="Q2" t="str">
            <v>CDC-17859</v>
          </cell>
          <cell r="AJ2">
            <v>790972</v>
          </cell>
          <cell r="AK2" t="str">
            <v>CDC-17859</v>
          </cell>
          <cell r="AL2" t="str">
            <v>CDC17859</v>
          </cell>
        </row>
        <row r="3">
          <cell r="N3" t="str">
            <v>1ST STEP TO GREATNESS, LLC</v>
          </cell>
          <cell r="O3" t="str">
            <v>6807 SOUTH CENTRAL AVENUE</v>
          </cell>
          <cell r="P3" t="str">
            <v>1ststep2greatness@gmail.com</v>
          </cell>
          <cell r="Q3" t="str">
            <v>CDC-18085</v>
          </cell>
          <cell r="AJ3" t="e">
            <v>#N/A</v>
          </cell>
          <cell r="AK3" t="str">
            <v>CDC-18085</v>
          </cell>
          <cell r="AL3" t="str">
            <v>CDC18085</v>
          </cell>
        </row>
        <row r="4">
          <cell r="N4" t="str">
            <v>5TH PLACE COMMUNITY CHILDCARE</v>
          </cell>
          <cell r="O4" t="str">
            <v>306 WEST 5TH PLACE</v>
          </cell>
          <cell r="P4" t="str">
            <v>crachellewis@gmail.com</v>
          </cell>
          <cell r="Q4" t="str">
            <v>CDC-14548</v>
          </cell>
          <cell r="AJ4">
            <v>90153</v>
          </cell>
          <cell r="AK4" t="str">
            <v>CDC-14548</v>
          </cell>
          <cell r="AL4" t="str">
            <v>CDC14548</v>
          </cell>
        </row>
        <row r="5">
          <cell r="N5" t="str">
            <v>A B C PRESCHOOL</v>
          </cell>
          <cell r="O5" t="str">
            <v>6311 SOUTH RURAL ROAD</v>
          </cell>
          <cell r="P5" t="str">
            <v>abcpreschool123@yahoo.com</v>
          </cell>
          <cell r="Q5" t="str">
            <v>CDC-11150</v>
          </cell>
          <cell r="AJ5" t="e">
            <v>#N/A</v>
          </cell>
          <cell r="AK5" t="str">
            <v>CDC-11150</v>
          </cell>
          <cell r="AL5" t="str">
            <v>CDC11150</v>
          </cell>
        </row>
        <row r="6">
          <cell r="N6" t="str">
            <v>A CHILD'S PLACE AT THE RANCHES,  L.L.C.</v>
          </cell>
          <cell r="O6" t="str">
            <v>3636 SOUTH ATHERTON BOULEVARD</v>
          </cell>
          <cell r="P6" t="str">
            <v>kristina@achildsplaceattheranches.com</v>
          </cell>
          <cell r="Q6" t="str">
            <v>CDC-11818</v>
          </cell>
          <cell r="AJ6" t="e">
            <v>#N/A</v>
          </cell>
          <cell r="AK6" t="str">
            <v>CDC-11818</v>
          </cell>
          <cell r="AL6" t="str">
            <v>CDC11818</v>
          </cell>
        </row>
        <row r="7">
          <cell r="N7" t="str">
            <v>A DREAM COME TRUE PRESCHOOL AND LEARNING CENTER</v>
          </cell>
          <cell r="O7" t="str">
            <v>6163 SOUTH MIDVALE PARK</v>
          </cell>
          <cell r="P7" t="str">
            <v>armidafierroadct@yahoo.com</v>
          </cell>
          <cell r="Q7" t="str">
            <v>CDC-12527</v>
          </cell>
          <cell r="AJ7" t="e">
            <v>#N/A</v>
          </cell>
          <cell r="AK7" t="str">
            <v>CDC-12527</v>
          </cell>
          <cell r="AL7" t="str">
            <v>CDC12527</v>
          </cell>
        </row>
        <row r="8">
          <cell r="N8" t="str">
            <v>A GREAT BEGINNING INC.</v>
          </cell>
          <cell r="O8" t="str">
            <v>13380 WEST VAN BUREN STREET</v>
          </cell>
          <cell r="P8" t="str">
            <v>agbschool6@yahoo.com</v>
          </cell>
          <cell r="Q8" t="str">
            <v>CDC-17384</v>
          </cell>
          <cell r="AJ8" t="e">
            <v>#N/A</v>
          </cell>
          <cell r="AK8" t="str">
            <v>CDC-17384</v>
          </cell>
          <cell r="AL8" t="str">
            <v>CDC17384</v>
          </cell>
        </row>
        <row r="9">
          <cell r="N9" t="str">
            <v>A KIDDIE'S KINGDOM</v>
          </cell>
          <cell r="O9" t="str">
            <v>2318 NORTH 35TH AVENUE</v>
          </cell>
          <cell r="P9" t="str">
            <v>sandrasellsaz@gmail.com</v>
          </cell>
          <cell r="Q9" t="str">
            <v>CDC-0179</v>
          </cell>
          <cell r="AJ9">
            <v>9019</v>
          </cell>
          <cell r="AK9" t="str">
            <v>CDC-0179</v>
          </cell>
          <cell r="AL9" t="str">
            <v>CDC0179</v>
          </cell>
        </row>
        <row r="10">
          <cell r="N10" t="str">
            <v>A NEW LEAF'S PHOENIX DAY</v>
          </cell>
          <cell r="O10" t="str">
            <v>115 EAST TONTO STREET</v>
          </cell>
          <cell r="P10" t="str">
            <v>jegarcia@turnanewleaf.org</v>
          </cell>
          <cell r="Q10" t="str">
            <v>CDC-18750</v>
          </cell>
          <cell r="AJ10">
            <v>8680</v>
          </cell>
          <cell r="AK10" t="str">
            <v>CDC-18750</v>
          </cell>
          <cell r="AL10" t="str">
            <v>CDC18750</v>
          </cell>
        </row>
        <row r="11">
          <cell r="N11" t="str">
            <v>A PLACE 4 EVERYONE LEARNING CENTER</v>
          </cell>
          <cell r="O11" t="str">
            <v>7040 EAST SUPERSTITION SPRINGS BLVD</v>
          </cell>
          <cell r="P11" t="str">
            <v>maxine@aplace4everyone.com</v>
          </cell>
          <cell r="Q11" t="str">
            <v>CDC-18252</v>
          </cell>
          <cell r="AJ11" t="e">
            <v>#N/A</v>
          </cell>
          <cell r="AK11" t="str">
            <v>CDC-18252</v>
          </cell>
          <cell r="AL11" t="str">
            <v>CDC18252</v>
          </cell>
        </row>
        <row r="12">
          <cell r="N12" t="str">
            <v>A S U CHILD DEVELOPMENT LAB</v>
          </cell>
          <cell r="O12" t="str">
            <v>851 SOUTH FOREST MALL - BLDG. 17</v>
          </cell>
          <cell r="P12" t="str">
            <v>clromle@asu.edu</v>
          </cell>
          <cell r="Q12" t="str">
            <v>CDC-0958</v>
          </cell>
          <cell r="AJ12" t="e">
            <v>#N/A</v>
          </cell>
          <cell r="AK12" t="str">
            <v>CDC-0958</v>
          </cell>
          <cell r="AL12" t="str">
            <v>CDC0958</v>
          </cell>
        </row>
        <row r="13">
          <cell r="N13" t="str">
            <v>A S U PREPARATORY ACADEMY PRESCHOOL - PHOENIX</v>
          </cell>
          <cell r="O13" t="str">
            <v>735 EAST FILLMORE STREET</v>
          </cell>
          <cell r="P13" t="str">
            <v>Stephanie.M.Celis@asu.edu</v>
          </cell>
          <cell r="Q13" t="str">
            <v>CDC-16671</v>
          </cell>
          <cell r="AJ13" t="e">
            <v>#N/A</v>
          </cell>
          <cell r="AK13" t="str">
            <v>CDC-16671</v>
          </cell>
          <cell r="AL13" t="str">
            <v>CDC16671</v>
          </cell>
        </row>
        <row r="14">
          <cell r="N14" t="str">
            <v>A SHINING STAR PRESCHOOL INC</v>
          </cell>
          <cell r="O14" t="str">
            <v>810 EAST SOUTHERN AVENUE</v>
          </cell>
          <cell r="P14" t="str">
            <v>izjoy@yahoo.com</v>
          </cell>
          <cell r="Q14" t="str">
            <v>CDC-13240</v>
          </cell>
          <cell r="AJ14">
            <v>89464</v>
          </cell>
          <cell r="AK14" t="str">
            <v>CDC-13240</v>
          </cell>
          <cell r="AL14" t="str">
            <v>CDC13240</v>
          </cell>
        </row>
        <row r="15">
          <cell r="N15" t="str">
            <v>A STEP AHEAD PRESCHOOL &amp; MONTESSORI</v>
          </cell>
          <cell r="O15" t="str">
            <v>4221 EAST CHANDLER BLVD</v>
          </cell>
          <cell r="P15" t="str">
            <v>maysafini@yahoo.com</v>
          </cell>
          <cell r="Q15" t="str">
            <v>CDC-18198</v>
          </cell>
          <cell r="AJ15" t="e">
            <v>#N/A</v>
          </cell>
          <cell r="AK15" t="str">
            <v>CDC-18198</v>
          </cell>
          <cell r="AL15" t="str">
            <v>CDC18198</v>
          </cell>
        </row>
        <row r="16">
          <cell r="N16" t="str">
            <v>A.F.C. LITTLE LEARNERS</v>
          </cell>
          <cell r="O16" t="str">
            <v xml:space="preserve"> 8743 EAST PECOS ROAD #119:</v>
          </cell>
          <cell r="P16" t="str">
            <v>jenniderrevolt@yahoo.com</v>
          </cell>
          <cell r="Q16" t="str">
            <v>CDC-18286</v>
          </cell>
          <cell r="AJ16" t="e">
            <v>#N/A</v>
          </cell>
          <cell r="AK16" t="str">
            <v>CDC-18286</v>
          </cell>
          <cell r="AL16" t="str">
            <v>CDC18286</v>
          </cell>
        </row>
        <row r="17">
          <cell r="N17" t="str">
            <v>A.S.U. PREPARATORY ACADEMY</v>
          </cell>
          <cell r="O17" t="str">
            <v>6950 EAST WILIAMS FIELD ROAD</v>
          </cell>
          <cell r="P17" t="str">
            <v>claudia.mendoza@asu.edu</v>
          </cell>
          <cell r="Q17" t="str">
            <v>CDC-18675</v>
          </cell>
          <cell r="AJ17" t="e">
            <v>#N/A</v>
          </cell>
          <cell r="AK17" t="str">
            <v>CDC-18675</v>
          </cell>
          <cell r="AL17" t="str">
            <v>CDC18675</v>
          </cell>
        </row>
        <row r="18">
          <cell r="N18" t="str">
            <v>ABC &amp; 123 SMALL BLESSINGS CENTER L L C</v>
          </cell>
          <cell r="O18" t="str">
            <v>1060 NORTH ARIZONA BLVD</v>
          </cell>
          <cell r="P18" t="str">
            <v>abc_123_childcare@yahoo.com</v>
          </cell>
          <cell r="Q18" t="str">
            <v>CDC-16036</v>
          </cell>
          <cell r="AJ18">
            <v>91322</v>
          </cell>
          <cell r="AK18" t="str">
            <v>CDC-16036</v>
          </cell>
          <cell r="AL18" t="str">
            <v>CDC16036</v>
          </cell>
        </row>
        <row r="19">
          <cell r="N19" t="str">
            <v>ABC &amp; 123 SMALL BLESSINGS CENTER, L.L.C.</v>
          </cell>
          <cell r="O19" t="str">
            <v>1530 NORTH PINAL AVENUE</v>
          </cell>
          <cell r="P19" t="str">
            <v>abc_123_childcare@yahoo.com</v>
          </cell>
          <cell r="Q19" t="str">
            <v>CDC-18774</v>
          </cell>
          <cell r="AJ19">
            <v>1000394</v>
          </cell>
          <cell r="AK19" t="str">
            <v>CDC-18774</v>
          </cell>
          <cell r="AL19" t="str">
            <v>CDC18774</v>
          </cell>
        </row>
        <row r="20">
          <cell r="N20" t="str">
            <v>ABUNDANT LIFE PRESCHOOL</v>
          </cell>
          <cell r="O20" t="str">
            <v>3475 EAST SOLIERE AVENUE</v>
          </cell>
          <cell r="P20" t="str">
            <v>suzie@ccof.church</v>
          </cell>
          <cell r="Q20" t="str">
            <v>CDC-8740</v>
          </cell>
          <cell r="AJ20" t="e">
            <v>#N/A</v>
          </cell>
          <cell r="AK20" t="str">
            <v>CDC-8740</v>
          </cell>
          <cell r="AL20" t="str">
            <v>CDC8740</v>
          </cell>
        </row>
        <row r="21">
          <cell r="N21" t="str">
            <v>ACADEMY FOR EARLY LEARNING</v>
          </cell>
          <cell r="O21" t="str">
            <v>51020 HIGHWAY 60</v>
          </cell>
          <cell r="P21" t="str">
            <v>j.derubeis@yahoo.com</v>
          </cell>
          <cell r="Q21" t="str">
            <v>CDC-12515</v>
          </cell>
          <cell r="AJ21" t="e">
            <v>#N/A</v>
          </cell>
          <cell r="AK21" t="str">
            <v>CDC-12515</v>
          </cell>
          <cell r="AL21" t="str">
            <v>CDC12515</v>
          </cell>
        </row>
        <row r="22">
          <cell r="N22" t="str">
            <v>ACCELERATED LEARNING LABORATORY</v>
          </cell>
          <cell r="O22" t="str">
            <v>5245 NORTH CAMINO DE OESTE</v>
          </cell>
          <cell r="P22" t="str">
            <v>alctucson@msn.com</v>
          </cell>
          <cell r="Q22" t="str">
            <v>CDC-9509</v>
          </cell>
          <cell r="AJ22" t="e">
            <v>#N/A</v>
          </cell>
          <cell r="AK22" t="str">
            <v>CDC-9509</v>
          </cell>
          <cell r="AL22" t="str">
            <v>CDC9509</v>
          </cell>
        </row>
        <row r="23">
          <cell r="N23" t="str">
            <v>ACORN CHRISTIAN MONTESSORI SCHOOL</v>
          </cell>
          <cell r="O23" t="str">
            <v>7555 EAST LONG LOOK DRIVE</v>
          </cell>
          <cell r="P23" t="str">
            <v>acorndawn@cableone.net</v>
          </cell>
          <cell r="Q23" t="str">
            <v>CDC-12649</v>
          </cell>
          <cell r="AJ23">
            <v>79301</v>
          </cell>
          <cell r="AK23" t="str">
            <v>CDC-12649</v>
          </cell>
          <cell r="AL23" t="str">
            <v>CDC12649</v>
          </cell>
        </row>
        <row r="24">
          <cell r="N24" t="str">
            <v>ACORN CHRISTIAN MONTESSORI SCHOOL</v>
          </cell>
          <cell r="O24" t="str">
            <v>8556 EAST LOOS DRIVE</v>
          </cell>
          <cell r="P24" t="str">
            <v>acms@cableone.net</v>
          </cell>
          <cell r="Q24" t="str">
            <v>CDC-8852</v>
          </cell>
          <cell r="AJ24" t="e">
            <v>#N/A</v>
          </cell>
          <cell r="AK24" t="str">
            <v>CDC-8852</v>
          </cell>
          <cell r="AL24" t="str">
            <v>CDC8852</v>
          </cell>
        </row>
        <row r="25">
          <cell r="N25" t="str">
            <v>ACORN CHRISTIAN MONTESSORI SCHOOL - NORTH CAMPUS</v>
          </cell>
          <cell r="O25" t="str">
            <v>8085 EAST MANLEY DRIVE</v>
          </cell>
          <cell r="P25" t="str">
            <v>acornkendal@cableone.net</v>
          </cell>
          <cell r="Q25" t="str">
            <v>CDC-18907</v>
          </cell>
          <cell r="AJ25" t="e">
            <v>#N/A</v>
          </cell>
          <cell r="AK25" t="str">
            <v>CDC-18907</v>
          </cell>
          <cell r="AL25" t="str">
            <v>CDC18907</v>
          </cell>
        </row>
        <row r="26">
          <cell r="N26" t="str">
            <v>ACTIVE LEARNING CENTER #4</v>
          </cell>
          <cell r="O26" t="str">
            <v>3342 WEST ROOSEVELT STREET</v>
          </cell>
          <cell r="P26" t="str">
            <v>alexa@alc4.com</v>
          </cell>
          <cell r="Q26" t="str">
            <v>CDC-10283</v>
          </cell>
          <cell r="AJ26">
            <v>80922</v>
          </cell>
          <cell r="AK26" t="str">
            <v>CDC-10283</v>
          </cell>
          <cell r="AL26" t="str">
            <v>CDC10283</v>
          </cell>
        </row>
        <row r="27">
          <cell r="N27" t="str">
            <v>ACTIVE LEARNING CENTER #6</v>
          </cell>
          <cell r="O27" t="str">
            <v>704 EAST BUTLER DRIVE</v>
          </cell>
          <cell r="P27" t="str">
            <v>tlgarrett73@aol.com</v>
          </cell>
          <cell r="Q27" t="str">
            <v>CDC-13631</v>
          </cell>
          <cell r="AJ27">
            <v>89753</v>
          </cell>
          <cell r="AK27" t="str">
            <v>CDC-13631</v>
          </cell>
          <cell r="AL27" t="str">
            <v>CDC13631</v>
          </cell>
        </row>
        <row r="28">
          <cell r="N28" t="str">
            <v>ACTIVE LEARNING CENTER #7</v>
          </cell>
          <cell r="O28" t="str">
            <v>10701 NORTH 15TH AVENUE</v>
          </cell>
          <cell r="P28" t="str">
            <v>tlgarrett73@aol.com</v>
          </cell>
          <cell r="Q28" t="str">
            <v>CDC-18368</v>
          </cell>
          <cell r="AJ28">
            <v>1000062</v>
          </cell>
          <cell r="AK28" t="str">
            <v>CDC-18368</v>
          </cell>
          <cell r="AL28" t="str">
            <v>CDC18368</v>
          </cell>
        </row>
        <row r="29">
          <cell r="N29" t="str">
            <v>ACTIVE LEARNING CENTER #8</v>
          </cell>
          <cell r="O29" t="str">
            <v>4494 WEST PEORIA AVENUE #120</v>
          </cell>
          <cell r="P29" t="str">
            <v>tlgarrett73@aol.com</v>
          </cell>
          <cell r="Q29" t="str">
            <v>CDC-18832</v>
          </cell>
          <cell r="AJ29">
            <v>1001131</v>
          </cell>
          <cell r="AK29" t="str">
            <v>CDC-18832</v>
          </cell>
          <cell r="AL29" t="str">
            <v>CDC18832</v>
          </cell>
        </row>
        <row r="30">
          <cell r="N30" t="str">
            <v>ADAMS TRADITIONAL BEGINNINGS</v>
          </cell>
          <cell r="O30" t="str">
            <v>2323 WEST PARKSIDE LANE</v>
          </cell>
          <cell r="P30" t="str">
            <v>drydery@atbchoice.org</v>
          </cell>
          <cell r="Q30" t="str">
            <v>CDC-16285</v>
          </cell>
          <cell r="AJ30" t="e">
            <v>#N/A</v>
          </cell>
          <cell r="AK30" t="str">
            <v>CDC-16285</v>
          </cell>
          <cell r="AL30" t="str">
            <v>CDC16285</v>
          </cell>
        </row>
        <row r="31">
          <cell r="N31" t="str">
            <v>ADOBE MONTESSORI SCHOOL</v>
          </cell>
          <cell r="O31" t="str">
            <v>6400 WEST DEL RIO STREET</v>
          </cell>
          <cell r="P31" t="str">
            <v>admin@adobemontessori.com</v>
          </cell>
          <cell r="Q31" t="str">
            <v>CDC-10712</v>
          </cell>
          <cell r="AJ31" t="e">
            <v>#N/A</v>
          </cell>
          <cell r="AK31" t="str">
            <v>CDC-10712</v>
          </cell>
          <cell r="AL31" t="str">
            <v>CDC10712</v>
          </cell>
        </row>
        <row r="32">
          <cell r="N32" t="str">
            <v>ADVANCE U</v>
          </cell>
          <cell r="O32" t="str">
            <v>449 EAST SOUTHERN AVENUE</v>
          </cell>
          <cell r="P32" t="str">
            <v>marlene.kaye@leonagroup.com</v>
          </cell>
          <cell r="Q32" t="str">
            <v>CDC-16616</v>
          </cell>
          <cell r="AJ32" t="e">
            <v>#N/A</v>
          </cell>
          <cell r="AK32" t="str">
            <v>CDC-16616</v>
          </cell>
          <cell r="AL32" t="str">
            <v>CDC16616</v>
          </cell>
        </row>
        <row r="33">
          <cell r="N33" t="str">
            <v>ADVENTURE SCHOOL</v>
          </cell>
          <cell r="O33" t="str">
            <v>5757 EAST PIMA ROAD</v>
          </cell>
          <cell r="P33" t="str">
            <v>maryann@academyadventures.com</v>
          </cell>
          <cell r="Q33" t="str">
            <v>CDC-9146</v>
          </cell>
          <cell r="AJ33" t="e">
            <v>#N/A</v>
          </cell>
          <cell r="AK33" t="str">
            <v>CDC-9146</v>
          </cell>
          <cell r="AL33" t="str">
            <v>CDC9146</v>
          </cell>
        </row>
        <row r="34">
          <cell r="N34" t="str">
            <v>ADVENTURE SCHOOL 2</v>
          </cell>
          <cell r="O34" t="str">
            <v>5801 E PIMA STREET</v>
          </cell>
          <cell r="P34" t="str">
            <v>lesparza@academyadventures.com</v>
          </cell>
          <cell r="Q34" t="str">
            <v>CDC-13640</v>
          </cell>
          <cell r="AJ34" t="e">
            <v>#N/A</v>
          </cell>
          <cell r="AK34" t="str">
            <v>CDC-13640</v>
          </cell>
          <cell r="AL34" t="str">
            <v>CDC13640</v>
          </cell>
        </row>
        <row r="35">
          <cell r="N35" t="str">
            <v>ADVENTURES IN LEARNING</v>
          </cell>
          <cell r="O35" t="str">
            <v>3821 NORTH THIRD STREET</v>
          </cell>
          <cell r="P35" t="str">
            <v>advpreschool@yahoo.com</v>
          </cell>
          <cell r="Q35" t="str">
            <v>CDC-3507</v>
          </cell>
          <cell r="AJ35" t="e">
            <v>#N/A</v>
          </cell>
          <cell r="AK35" t="str">
            <v>CDC-3507</v>
          </cell>
          <cell r="AL35" t="str">
            <v>CDC3507</v>
          </cell>
        </row>
        <row r="36">
          <cell r="N36" t="str">
            <v>AFM CHANDLER MONTESSORI</v>
          </cell>
          <cell r="O36" t="str">
            <v>5570 WEST CHANDLER BOULEVARD SUITE #1</v>
          </cell>
          <cell r="P36" t="str">
            <v>chandler@afmeducation.com</v>
          </cell>
          <cell r="Q36" t="str">
            <v>CDC-17641</v>
          </cell>
          <cell r="AJ36" t="e">
            <v>#N/A</v>
          </cell>
          <cell r="AK36" t="str">
            <v>CDC-17641</v>
          </cell>
          <cell r="AL36" t="str">
            <v>CDC17641</v>
          </cell>
        </row>
        <row r="37">
          <cell r="N37" t="str">
            <v>AGAPE PRESCHOOL LLC</v>
          </cell>
          <cell r="O37" t="str">
            <v>8726 WEST OLIVE AVENUE</v>
          </cell>
          <cell r="P37" t="str">
            <v>Tori@celebrationaz.com</v>
          </cell>
          <cell r="Q37" t="str">
            <v>CDC-18576</v>
          </cell>
          <cell r="AJ37" t="e">
            <v>#N/A</v>
          </cell>
          <cell r="AK37" t="str">
            <v>CDC-18576</v>
          </cell>
          <cell r="AL37" t="str">
            <v>CDC18576</v>
          </cell>
        </row>
        <row r="38">
          <cell r="N38" t="str">
            <v>AHWATUKEE FOOTHILLS MONTESSORI CENTER</v>
          </cell>
          <cell r="O38" t="str">
            <v>3221 EAST CHANDLER BOULEVARD</v>
          </cell>
          <cell r="P38" t="str">
            <v>officehhw@gmail.com, ahwatukee@afmeducation.com</v>
          </cell>
          <cell r="Q38" t="str">
            <v>CDC-5248</v>
          </cell>
          <cell r="AJ38" t="e">
            <v>#N/A</v>
          </cell>
          <cell r="AK38" t="str">
            <v>CDC-5248</v>
          </cell>
          <cell r="AL38" t="str">
            <v>CDC5248</v>
          </cell>
        </row>
        <row r="39">
          <cell r="N39" t="str">
            <v>AHWATUKEE PRESCHOOL</v>
          </cell>
          <cell r="O39" t="str">
            <v>11002 SOUTH 48TH STREET</v>
          </cell>
          <cell r="P39" t="str">
            <v>madams@mvlutheran.org</v>
          </cell>
          <cell r="Q39" t="str">
            <v>CDC-1036</v>
          </cell>
          <cell r="AJ39" t="e">
            <v>#N/A</v>
          </cell>
          <cell r="AK39" t="str">
            <v>CDC-1036</v>
          </cell>
          <cell r="AL39" t="str">
            <v>CDC1036</v>
          </cell>
        </row>
        <row r="40">
          <cell r="N40" t="str">
            <v>AJO HEAD START</v>
          </cell>
          <cell r="O40" t="str">
            <v>111 WELL ROAD</v>
          </cell>
          <cell r="P40" t="str">
            <v>ajo@childparentcenters.org</v>
          </cell>
          <cell r="Q40" t="str">
            <v>CDC-10284</v>
          </cell>
          <cell r="AJ40">
            <v>84192</v>
          </cell>
          <cell r="AK40" t="str">
            <v>CDC-10284</v>
          </cell>
          <cell r="AL40" t="str">
            <v>CDC10284</v>
          </cell>
        </row>
        <row r="41">
          <cell r="N41" t="str">
            <v>AKIRA'S LEARNING CENTER L.L.C.</v>
          </cell>
          <cell r="O41" t="str">
            <v>1200 EAST PATAGONIA HIGHWAY, STE# 2</v>
          </cell>
          <cell r="P41" t="str">
            <v>ALCBRIGHTKIDS@GMAIL.COM</v>
          </cell>
          <cell r="Q41" t="str">
            <v>CDC-18260</v>
          </cell>
          <cell r="AJ41" t="e">
            <v>#N/A</v>
          </cell>
          <cell r="AK41" t="str">
            <v>CDC-18260</v>
          </cell>
          <cell r="AL41" t="str">
            <v>CDC18260</v>
          </cell>
        </row>
        <row r="42">
          <cell r="N42" t="str">
            <v>AL HUDA ISLAMIC SCHOOL</v>
          </cell>
          <cell r="O42" t="str">
            <v>2800 EAST RIVER ROAD</v>
          </cell>
          <cell r="P42" t="str">
            <v>lchourani@aol.com</v>
          </cell>
          <cell r="Q42" t="str">
            <v>CDC-16525</v>
          </cell>
          <cell r="AJ42" t="e">
            <v>#N/A</v>
          </cell>
          <cell r="AK42" t="str">
            <v>CDC-16525</v>
          </cell>
          <cell r="AL42" t="str">
            <v>CDC16525</v>
          </cell>
        </row>
        <row r="43">
          <cell r="N43" t="str">
            <v>ALA LITTLE LEADERS - ANTHEM</v>
          </cell>
          <cell r="O43" t="str">
            <v>4380 NORTH HUNT HIGHWAY</v>
          </cell>
          <cell r="P43" t="str">
            <v>creynolds@alaschools.org</v>
          </cell>
          <cell r="Q43" t="str">
            <v>CDC-18333</v>
          </cell>
          <cell r="AJ43" t="e">
            <v>#N/A</v>
          </cell>
          <cell r="AK43" t="str">
            <v>CDC-18333</v>
          </cell>
          <cell r="AL43" t="str">
            <v>CDC18333</v>
          </cell>
        </row>
        <row r="44">
          <cell r="N44" t="str">
            <v>ALA LITTLE LEADERS - GILBERT SOUTH</v>
          </cell>
          <cell r="O44" t="str">
            <v>1750 EAST RIGGS ROAD</v>
          </cell>
          <cell r="P44" t="str">
            <v>jaseycpron@alaschools.org</v>
          </cell>
          <cell r="Q44" t="str">
            <v>CDC-18285</v>
          </cell>
          <cell r="AJ44" t="e">
            <v>#N/A</v>
          </cell>
          <cell r="AK44" t="str">
            <v>CDC-18285</v>
          </cell>
          <cell r="AL44" t="str">
            <v>CDC18285</v>
          </cell>
        </row>
        <row r="45">
          <cell r="N45" t="str">
            <v>ALA LITTLE LEADERS - MESA</v>
          </cell>
          <cell r="O45" t="str">
            <v>4507 SOUTH MOUNTAIN ROAD</v>
          </cell>
          <cell r="P45" t="str">
            <v>drichards@alaschools.org</v>
          </cell>
          <cell r="Q45" t="str">
            <v>CDC-18870</v>
          </cell>
          <cell r="AJ45" t="e">
            <v>#N/A</v>
          </cell>
          <cell r="AK45" t="str">
            <v>CDC-18870</v>
          </cell>
          <cell r="AL45" t="str">
            <v>CDC18870</v>
          </cell>
        </row>
        <row r="46">
          <cell r="N46" t="str">
            <v>ALA LITTLE LEADERS - SIGNAL BUTTE</v>
          </cell>
          <cell r="O46" t="str">
            <v>22512 SOUTH SIGNAL BUTTE</v>
          </cell>
          <cell r="P46" t="str">
            <v>Dwilliamson@alaschools.org</v>
          </cell>
          <cell r="Q46" t="str">
            <v>CDC-18284</v>
          </cell>
          <cell r="AJ46" t="e">
            <v>#N/A</v>
          </cell>
          <cell r="AK46" t="str">
            <v>CDC-18284</v>
          </cell>
          <cell r="AL46" t="str">
            <v>CDC18284</v>
          </cell>
        </row>
        <row r="47">
          <cell r="N47" t="str">
            <v>ALDEA MONTESSORI SCHOOL</v>
          </cell>
          <cell r="O47" t="str">
            <v>15639 NORTH 40TH STREET</v>
          </cell>
          <cell r="P47" t="str">
            <v>aldea@aldeamontessori.com</v>
          </cell>
          <cell r="Q47" t="str">
            <v>CDC-9859</v>
          </cell>
          <cell r="AJ47" t="e">
            <v>#N/A</v>
          </cell>
          <cell r="AK47" t="str">
            <v>CDC-9859</v>
          </cell>
          <cell r="AL47" t="str">
            <v>CDC9859</v>
          </cell>
        </row>
        <row r="48">
          <cell r="N48" t="str">
            <v>ALEGRIAS CHILD CARE &amp; LEARNING CENTER</v>
          </cell>
          <cell r="O48" t="str">
            <v>7420 SOUTH RURAL ROAD</v>
          </cell>
          <cell r="P48" t="str">
            <v>alegriaschildcare@gmail.com</v>
          </cell>
          <cell r="Q48" t="str">
            <v>CDC-15792</v>
          </cell>
          <cell r="AJ48" t="e">
            <v>#N/A</v>
          </cell>
          <cell r="AK48" t="str">
            <v>CDC-15792</v>
          </cell>
          <cell r="AL48" t="str">
            <v>CDC15792</v>
          </cell>
        </row>
        <row r="49">
          <cell r="N49" t="str">
            <v>ALL SAINTS CATHOLIC SCHOOL</v>
          </cell>
          <cell r="O49" t="str">
            <v>1425 EAST YAQUI STREET</v>
          </cell>
          <cell r="P49" t="str">
            <v>cserrano@diocesetucson.org</v>
          </cell>
          <cell r="Q49" t="str">
            <v>CDC-12508</v>
          </cell>
          <cell r="AJ49" t="e">
            <v>#N/A</v>
          </cell>
          <cell r="AK49" t="str">
            <v>CDC-12508</v>
          </cell>
          <cell r="AL49" t="str">
            <v>CDC12508</v>
          </cell>
        </row>
        <row r="50">
          <cell r="N50" t="str">
            <v>ALL SAINTS EXTENDED SCHOOL PROGRAM</v>
          </cell>
          <cell r="O50" t="str">
            <v>6300 NORTH CENTRAL AVENUE</v>
          </cell>
          <cell r="P50" t="str">
            <v>sduchaine@allsaints.org</v>
          </cell>
          <cell r="Q50" t="str">
            <v>CDC-1692</v>
          </cell>
          <cell r="AJ50" t="e">
            <v>#N/A</v>
          </cell>
          <cell r="AK50" t="str">
            <v>CDC-1692</v>
          </cell>
          <cell r="AL50" t="str">
            <v>CDC1692</v>
          </cell>
        </row>
        <row r="51">
          <cell r="N51" t="str">
            <v>ALL STAR PRESCHOOL</v>
          </cell>
          <cell r="O51" t="str">
            <v>1830 NORTH COUNTRY CLUB DRIVE</v>
          </cell>
          <cell r="P51" t="str">
            <v>allstarpreschool85201@gmail.com</v>
          </cell>
          <cell r="Q51" t="str">
            <v>CDC-14563</v>
          </cell>
          <cell r="AJ51">
            <v>90475</v>
          </cell>
          <cell r="AK51" t="str">
            <v>CDC-14563</v>
          </cell>
          <cell r="AL51" t="str">
            <v>CDC14563</v>
          </cell>
        </row>
        <row r="52">
          <cell r="N52" t="str">
            <v>ALL TOGETHER NOW PRESCHOOL AND CHILDCARE</v>
          </cell>
          <cell r="O52" t="str">
            <v>516 SOUTH DOBSON ROAD</v>
          </cell>
          <cell r="P52" t="str">
            <v>alltogethernow516@msn.com</v>
          </cell>
          <cell r="Q52" t="str">
            <v>CDC-9725</v>
          </cell>
          <cell r="AJ52">
            <v>79711</v>
          </cell>
          <cell r="AK52" t="str">
            <v>CDC-9725</v>
          </cell>
          <cell r="AL52" t="str">
            <v>CDC9725</v>
          </cell>
        </row>
        <row r="53">
          <cell r="N53" t="str">
            <v>ALPHABEST @ COPPER CREEK ELEMENTARY</v>
          </cell>
          <cell r="O53" t="str">
            <v>11620 NORTH COPPER SPRING TRAIL</v>
          </cell>
          <cell r="P53" t="str">
            <v>coppercreekamphi@alphabest.org</v>
          </cell>
          <cell r="Q53" t="str">
            <v>CDC-18889</v>
          </cell>
          <cell r="AJ53" t="e">
            <v>#N/A</v>
          </cell>
          <cell r="AK53" t="str">
            <v>CDC-18889</v>
          </cell>
          <cell r="AL53" t="str">
            <v>CDC18889</v>
          </cell>
        </row>
        <row r="54">
          <cell r="N54" t="str">
            <v>ALPHABEST @ DONALDSON ELEMENTARY</v>
          </cell>
          <cell r="O54" t="str">
            <v>2040 WEST OMAR DRIVE</v>
          </cell>
          <cell r="P54" t="str">
            <v>donaldsonamphi@alphabest.org</v>
          </cell>
          <cell r="Q54" t="str">
            <v>CDC-18884</v>
          </cell>
          <cell r="AJ54" t="e">
            <v>#N/A</v>
          </cell>
          <cell r="AK54" t="str">
            <v>CDC-18884</v>
          </cell>
          <cell r="AL54" t="str">
            <v>CDC18884</v>
          </cell>
        </row>
        <row r="55">
          <cell r="N55" t="str">
            <v>ALPHABEST @ HARELSON ELEMENTARY</v>
          </cell>
          <cell r="O55" t="str">
            <v>826 WEST CHAPALA DRIVE</v>
          </cell>
          <cell r="P55" t="str">
            <v>harelsonamphi@alphabest.org</v>
          </cell>
          <cell r="Q55" t="str">
            <v>CDC-18891</v>
          </cell>
          <cell r="AJ55" t="e">
            <v>#N/A</v>
          </cell>
          <cell r="AK55" t="str">
            <v>CDC-18891</v>
          </cell>
          <cell r="AL55" t="str">
            <v>CDC18891</v>
          </cell>
        </row>
        <row r="56">
          <cell r="N56" t="str">
            <v>ALPHABEST @ HOLAWAY ELEMENTARY</v>
          </cell>
          <cell r="O56" t="str">
            <v>3500 NORTH CHERRY AVENUE</v>
          </cell>
          <cell r="P56" t="str">
            <v>holawayamphi@alphabest.org, shammack82@gmail.com</v>
          </cell>
          <cell r="Q56" t="str">
            <v>CDC-18886</v>
          </cell>
          <cell r="AJ56" t="e">
            <v>#N/A</v>
          </cell>
          <cell r="AK56" t="str">
            <v>CDC-18886</v>
          </cell>
          <cell r="AL56" t="str">
            <v>CDC18886</v>
          </cell>
        </row>
        <row r="57">
          <cell r="N57" t="str">
            <v>ALPHABEST @ INNOVATION ACADEMY</v>
          </cell>
          <cell r="O57" t="str">
            <v>825 WEST DESERT FAIRWAYS DRIVE</v>
          </cell>
          <cell r="P57" t="str">
            <v>innovationamphi@alphabest.org</v>
          </cell>
          <cell r="Q57" t="str">
            <v>CDC-18892</v>
          </cell>
          <cell r="AJ57" t="e">
            <v>#N/A</v>
          </cell>
          <cell r="AK57" t="str">
            <v>CDC-18892</v>
          </cell>
          <cell r="AL57" t="str">
            <v>CDC18892</v>
          </cell>
        </row>
        <row r="58">
          <cell r="N58" t="str">
            <v>ALPHABEST @ MESA VERDE ELEMENTARY</v>
          </cell>
          <cell r="O58" t="str">
            <v>1661 WEST SAGE STREET</v>
          </cell>
          <cell r="P58" t="str">
            <v>igallardo@alphabest.org</v>
          </cell>
          <cell r="Q58" t="str">
            <v>CDC-18887</v>
          </cell>
          <cell r="AJ58" t="e">
            <v>#N/A</v>
          </cell>
          <cell r="AK58" t="str">
            <v>CDC-18887</v>
          </cell>
          <cell r="AL58" t="str">
            <v>CDC18887</v>
          </cell>
        </row>
        <row r="59">
          <cell r="N59" t="str">
            <v>ALPHABEST @ PAINTED SKY ELEMENTARY</v>
          </cell>
          <cell r="O59" t="str">
            <v>12620 NORTH WOODBURNE AVENUE</v>
          </cell>
          <cell r="P59" t="str">
            <v>jminor@alphabest.org</v>
          </cell>
          <cell r="Q59" t="str">
            <v>CDC-18885</v>
          </cell>
          <cell r="AJ59" t="e">
            <v>#N/A</v>
          </cell>
          <cell r="AK59" t="str">
            <v>CDC-18885</v>
          </cell>
          <cell r="AL59" t="str">
            <v>CDC18885</v>
          </cell>
        </row>
        <row r="60">
          <cell r="N60" t="str">
            <v>ALPHABEST @ WALKER ELEMENTARY</v>
          </cell>
          <cell r="O60" t="str">
            <v>1750 WEST ROLLER COASTER ROAD</v>
          </cell>
          <cell r="P60" t="str">
            <v>walkeramphi@alphabest.org</v>
          </cell>
          <cell r="Q60" t="str">
            <v>CDC-18890</v>
          </cell>
          <cell r="AJ60" t="e">
            <v>#N/A</v>
          </cell>
          <cell r="AK60" t="str">
            <v>CDC-18890</v>
          </cell>
          <cell r="AL60" t="str">
            <v>CDC18890</v>
          </cell>
        </row>
        <row r="61">
          <cell r="N61" t="str">
            <v>ALPHABEST @ WILSON K-8 SCHOOL</v>
          </cell>
          <cell r="O61" t="str">
            <v>2330 WEST GLOVER ROAD</v>
          </cell>
          <cell r="P61" t="str">
            <v>igallardo@alphabest.org</v>
          </cell>
          <cell r="Q61" t="str">
            <v>CDC-18888</v>
          </cell>
          <cell r="AJ61" t="e">
            <v>#N/A</v>
          </cell>
          <cell r="AK61" t="str">
            <v>CDC-18888</v>
          </cell>
          <cell r="AL61" t="str">
            <v>CDC18888</v>
          </cell>
        </row>
        <row r="62">
          <cell r="N62" t="str">
            <v>ALPINE ACADEMY PRESCHOOL</v>
          </cell>
          <cell r="O62" t="str">
            <v>5200 EAST CORTLAND BLVD STE A-22</v>
          </cell>
          <cell r="P62" t="str">
            <v>alpineacademypreschool@gmail.com</v>
          </cell>
          <cell r="Q62" t="str">
            <v>CDC-18417</v>
          </cell>
          <cell r="AJ62" t="e">
            <v>#N/A</v>
          </cell>
          <cell r="AK62" t="str">
            <v>CDC-18417</v>
          </cell>
          <cell r="AL62" t="str">
            <v>CDC18417</v>
          </cell>
        </row>
        <row r="63">
          <cell r="N63" t="str">
            <v>AMERICAN CHILD CARE #48</v>
          </cell>
          <cell r="O63" t="str">
            <v>4715 WEST THOMAS ROAD</v>
          </cell>
          <cell r="P63" t="str">
            <v>Rhonda@americanchildcare.com</v>
          </cell>
          <cell r="Q63" t="str">
            <v>CDC-0500</v>
          </cell>
          <cell r="AJ63">
            <v>91886</v>
          </cell>
          <cell r="AK63" t="str">
            <v>CDC-0500</v>
          </cell>
          <cell r="AL63" t="str">
            <v>CDC0500</v>
          </cell>
        </row>
        <row r="64">
          <cell r="N64" t="str">
            <v>AMERICAN CHILD CARE #50</v>
          </cell>
          <cell r="O64" t="str">
            <v>8515 NORTH 51ST AVENUE</v>
          </cell>
          <cell r="P64" t="str">
            <v>erinjones3713@gmail.com</v>
          </cell>
          <cell r="Q64" t="str">
            <v>CDC-0715</v>
          </cell>
          <cell r="AJ64">
            <v>91890</v>
          </cell>
          <cell r="AK64" t="str">
            <v>CDC-0715</v>
          </cell>
          <cell r="AL64" t="str">
            <v>CDC0715</v>
          </cell>
        </row>
        <row r="65">
          <cell r="N65" t="str">
            <v>AMERICAN CHILD CARE, # 52</v>
          </cell>
          <cell r="O65" t="str">
            <v>5933 WEST MCDOWELL ROAD</v>
          </cell>
          <cell r="P65" t="str">
            <v>hiralparikhhjs@yahoo.com</v>
          </cell>
          <cell r="Q65" t="str">
            <v>CDC-0852</v>
          </cell>
          <cell r="AJ65">
            <v>91891</v>
          </cell>
          <cell r="AK65" t="str">
            <v>CDC-0852</v>
          </cell>
          <cell r="AL65" t="str">
            <v>CDC0852</v>
          </cell>
        </row>
        <row r="66">
          <cell r="N66" t="str">
            <v>AMERICAN LUTHERAN SCHOOL</v>
          </cell>
          <cell r="O66" t="str">
            <v>1085 SCOTT DRIVE</v>
          </cell>
          <cell r="Q66" t="str">
            <v>CDC-1907</v>
          </cell>
          <cell r="AJ66" t="e">
            <v>#N/A</v>
          </cell>
          <cell r="AK66" t="str">
            <v>CDC-1907</v>
          </cell>
          <cell r="AL66" t="str">
            <v>CDC1907</v>
          </cell>
        </row>
        <row r="67">
          <cell r="N67" t="str">
            <v>AMICI TRILINGUAL MONTESSORI</v>
          </cell>
          <cell r="O67" t="str">
            <v>1244 EAST CHANDLER BOULEVARD</v>
          </cell>
          <cell r="P67" t="str">
            <v>info@amicimontessori.org</v>
          </cell>
          <cell r="Q67" t="str">
            <v>CDC-18613</v>
          </cell>
          <cell r="AJ67" t="e">
            <v>#N/A</v>
          </cell>
          <cell r="AK67" t="str">
            <v>CDC-18613</v>
          </cell>
          <cell r="AL67" t="str">
            <v>CDC18613</v>
          </cell>
        </row>
        <row r="68">
          <cell r="N68" t="str">
            <v>AMIGO PRESCHOOLS #2</v>
          </cell>
          <cell r="O68" t="str">
            <v>4035 NORTH 71ST AVENUE</v>
          </cell>
          <cell r="P68" t="str">
            <v>csamamigos@gmail.com</v>
          </cell>
          <cell r="Q68" t="str">
            <v>CDC-5307</v>
          </cell>
          <cell r="AJ68">
            <v>9511</v>
          </cell>
          <cell r="AK68" t="str">
            <v>CDC-5307</v>
          </cell>
          <cell r="AL68" t="str">
            <v>CDC5307</v>
          </cell>
        </row>
        <row r="69">
          <cell r="N69" t="str">
            <v>AMPHI HEAD START</v>
          </cell>
          <cell r="O69" t="str">
            <v>1075 WEST ROGER ROAD</v>
          </cell>
          <cell r="P69" t="str">
            <v>amphi@childparentcenters.org</v>
          </cell>
          <cell r="Q69" t="str">
            <v>CDC-3656</v>
          </cell>
          <cell r="AJ69">
            <v>7928</v>
          </cell>
          <cell r="AK69" t="str">
            <v>CDC-3656</v>
          </cell>
          <cell r="AL69" t="str">
            <v>CDC3656</v>
          </cell>
        </row>
        <row r="70">
          <cell r="N70" t="str">
            <v>ANDERSON PREPARATORY ACADEMY  L L C</v>
          </cell>
          <cell r="O70" t="str">
            <v>14235 NORTH 7TH STREET</v>
          </cell>
          <cell r="P70" t="str">
            <v>info@AndersonPrep.com</v>
          </cell>
          <cell r="Q70" t="str">
            <v>CDC-15627</v>
          </cell>
          <cell r="AJ70" t="e">
            <v>#N/A</v>
          </cell>
          <cell r="AK70" t="str">
            <v>CDC-15627</v>
          </cell>
          <cell r="AL70" t="str">
            <v>CDC15627</v>
          </cell>
        </row>
        <row r="71">
          <cell r="N71" t="str">
            <v>ANGELS &amp; RASCALS DAY CARE L.L.C.</v>
          </cell>
          <cell r="O71" t="str">
            <v>101 WEST ROUNDUP ROAD</v>
          </cell>
          <cell r="P71" t="str">
            <v>mitchc59@gmail.com</v>
          </cell>
          <cell r="Q71" t="str">
            <v>CDC-18220</v>
          </cell>
          <cell r="AJ71" t="e">
            <v>#N/A</v>
          </cell>
          <cell r="AK71" t="str">
            <v>CDC-18220</v>
          </cell>
          <cell r="AL71" t="str">
            <v>CDC18220</v>
          </cell>
        </row>
        <row r="72">
          <cell r="N72" t="str">
            <v>ANTHEM COMMUNITY CENTER</v>
          </cell>
          <cell r="O72" t="str">
            <v>41130 NORTH FREEDOM WAY</v>
          </cell>
          <cell r="P72" t="str">
            <v>lcombe@anthemcouncil.com</v>
          </cell>
          <cell r="Q72" t="str">
            <v>CDC-15661</v>
          </cell>
          <cell r="AJ72" t="e">
            <v>#N/A</v>
          </cell>
          <cell r="AK72" t="str">
            <v>CDC-15661</v>
          </cell>
          <cell r="AL72" t="str">
            <v>CDC15661</v>
          </cell>
        </row>
        <row r="73">
          <cell r="N73" t="str">
            <v>APACHE JUNCTION HEAD START</v>
          </cell>
          <cell r="O73" t="str">
            <v>900 NORTH PLAZA DRIVE</v>
          </cell>
          <cell r="P73" t="str">
            <v>Tera.Leigh@pgccs.org</v>
          </cell>
          <cell r="Q73" t="str">
            <v>CDC-4974</v>
          </cell>
          <cell r="AJ73">
            <v>8067</v>
          </cell>
          <cell r="AK73" t="str">
            <v>CDC-4974</v>
          </cell>
          <cell r="AL73" t="str">
            <v>CDC4974</v>
          </cell>
        </row>
        <row r="74">
          <cell r="N74" t="str">
            <v>APOSTLES LUTHERAN PRESCHOOL</v>
          </cell>
          <cell r="O74" t="str">
            <v>7020 WEST CACTUS ROAD</v>
          </cell>
          <cell r="P74" t="str">
            <v>preschool.apostles@phxcoxmail.com</v>
          </cell>
          <cell r="Q74" t="str">
            <v>CDC-5279</v>
          </cell>
          <cell r="AJ74" t="e">
            <v>#N/A</v>
          </cell>
          <cell r="AK74" t="str">
            <v>CDC-5279</v>
          </cell>
          <cell r="AL74" t="str">
            <v>CDC5279</v>
          </cell>
        </row>
        <row r="75">
          <cell r="N75" t="str">
            <v>ARCADIA MONTESSORI SCHOOL</v>
          </cell>
          <cell r="O75" t="str">
            <v>5115 EAST VIRGINIA AVENUE</v>
          </cell>
          <cell r="P75" t="str">
            <v>teresa@arcadiamontessori.com</v>
          </cell>
          <cell r="Q75" t="str">
            <v>CDC-7039</v>
          </cell>
          <cell r="AJ75" t="e">
            <v>#N/A</v>
          </cell>
          <cell r="AK75" t="str">
            <v>CDC-7039</v>
          </cell>
          <cell r="AL75" t="str">
            <v>CDC7039</v>
          </cell>
        </row>
        <row r="76">
          <cell r="N76" t="str">
            <v>ARIVACA ACTION CENTER</v>
          </cell>
          <cell r="O76" t="str">
            <v>15925 W UNIVERSAL RANCH RD</v>
          </cell>
          <cell r="P76" t="str">
            <v>nathaliedresang@gmail.com</v>
          </cell>
          <cell r="Q76" t="str">
            <v>CDC-16179</v>
          </cell>
          <cell r="AJ76" t="e">
            <v>#N/A</v>
          </cell>
          <cell r="AK76" t="str">
            <v>CDC-16179</v>
          </cell>
          <cell r="AL76" t="str">
            <v>CDC16179</v>
          </cell>
        </row>
        <row r="77">
          <cell r="N77" t="str">
            <v>ARIZONA CHARTER ACADEMY</v>
          </cell>
          <cell r="O77" t="str">
            <v>16011 NORTH DYSART ROAD</v>
          </cell>
          <cell r="P77" t="str">
            <v>lalvarez@azcharter.com</v>
          </cell>
          <cell r="Q77" t="str">
            <v>CDC-14186</v>
          </cell>
          <cell r="AJ77" t="e">
            <v>#N/A</v>
          </cell>
          <cell r="AK77" t="str">
            <v>CDC-14186</v>
          </cell>
          <cell r="AL77" t="str">
            <v>CDC14186</v>
          </cell>
        </row>
        <row r="78">
          <cell r="N78" t="str">
            <v>ARIZONA CHILDREN'S ACADEMY</v>
          </cell>
          <cell r="O78" t="str">
            <v>900 NORTH MCQUEEN ROAD</v>
          </cell>
          <cell r="P78" t="str">
            <v>vennila@cox.net</v>
          </cell>
          <cell r="Q78" t="str">
            <v>CDC-17823</v>
          </cell>
          <cell r="AJ78">
            <v>603438</v>
          </cell>
          <cell r="AK78" t="str">
            <v>CDC-17823</v>
          </cell>
          <cell r="AL78" t="str">
            <v>CDC17823</v>
          </cell>
        </row>
        <row r="79">
          <cell r="N79" t="str">
            <v>ARIZONA CULTURAL ACADEMY &amp; COLLEGE PREP. MONTESSORI</v>
          </cell>
          <cell r="O79" t="str">
            <v>7810 SOUTH 42ND PLACE</v>
          </cell>
          <cell r="P79" t="str">
            <v>christine.mcgee@azacademy.org</v>
          </cell>
          <cell r="Q79" t="str">
            <v>CDC-9228</v>
          </cell>
          <cell r="AJ79" t="e">
            <v>#N/A</v>
          </cell>
          <cell r="AK79" t="str">
            <v>CDC-9228</v>
          </cell>
          <cell r="AL79" t="str">
            <v>CDC9228</v>
          </cell>
        </row>
        <row r="80">
          <cell r="N80" t="str">
            <v>ARIZONA DESERT HEAD START</v>
          </cell>
          <cell r="O80" t="str">
            <v>8803 WEST VAN BUREN STREET</v>
          </cell>
          <cell r="P80" t="str">
            <v>vferguson@cc-az.org</v>
          </cell>
          <cell r="Q80" t="str">
            <v>CDC-17054</v>
          </cell>
          <cell r="AJ80" t="e">
            <v>#N/A</v>
          </cell>
          <cell r="AK80" t="str">
            <v>CDC-17054</v>
          </cell>
          <cell r="AL80" t="str">
            <v>CDC17054</v>
          </cell>
        </row>
        <row r="81">
          <cell r="N81" t="str">
            <v>ARIZONA SUNRAYS</v>
          </cell>
          <cell r="O81" t="str">
            <v>15801 NORTH 32ND STREET</v>
          </cell>
          <cell r="P81" t="str">
            <v>cindy@arizonasunrays.com</v>
          </cell>
          <cell r="Q81" t="str">
            <v>CDC-18040</v>
          </cell>
          <cell r="AJ81" t="e">
            <v>#N/A</v>
          </cell>
          <cell r="AK81" t="str">
            <v>CDC-18040</v>
          </cell>
          <cell r="AL81" t="str">
            <v>CDC18040</v>
          </cell>
        </row>
        <row r="82">
          <cell r="N82" t="str">
            <v>ARROWHEAD MONTESSORI</v>
          </cell>
          <cell r="O82" t="str">
            <v>14801 NORTH 83RD AVENUE</v>
          </cell>
          <cell r="P82" t="str">
            <v>info@arrowheadmontessori.com</v>
          </cell>
          <cell r="Q82" t="str">
            <v>CDC-10010</v>
          </cell>
          <cell r="AJ82" t="e">
            <v>#N/A</v>
          </cell>
          <cell r="AK82" t="str">
            <v>CDC-10010</v>
          </cell>
          <cell r="AL82" t="str">
            <v>CDC10010</v>
          </cell>
        </row>
        <row r="83">
          <cell r="N83" t="str">
            <v>ARTS FOR ALL, INC</v>
          </cell>
          <cell r="O83" t="str">
            <v>2520 NORTH ORACLE ROAD</v>
          </cell>
          <cell r="P83" t="str">
            <v>execdirector@artsforallinc.org</v>
          </cell>
          <cell r="Q83" t="str">
            <v>CDC-9821</v>
          </cell>
          <cell r="AJ83" t="e">
            <v>#N/A</v>
          </cell>
          <cell r="AK83" t="str">
            <v>CDC-9821</v>
          </cell>
          <cell r="AL83" t="str">
            <v>CDC9821</v>
          </cell>
        </row>
        <row r="84">
          <cell r="N84" t="str">
            <v>ASCENSION LUTHERAN PRESCHOOL</v>
          </cell>
          <cell r="O84" t="str">
            <v>1220 WEST MAGEE ROAD</v>
          </cell>
          <cell r="P84" t="str">
            <v>e.clonts@alcs-az.org</v>
          </cell>
          <cell r="Q84" t="str">
            <v>CDC-1414</v>
          </cell>
          <cell r="AJ84" t="e">
            <v>#N/A</v>
          </cell>
          <cell r="AK84" t="str">
            <v>CDC-1414</v>
          </cell>
          <cell r="AL84" t="str">
            <v>CDC1414</v>
          </cell>
        </row>
        <row r="85">
          <cell r="N85" t="str">
            <v>ASU CHILD DEVELOPMENT LABORATORY I I</v>
          </cell>
          <cell r="O85" t="str">
            <v>950 SOUTH MCALLISTER STREET</v>
          </cell>
          <cell r="P85" t="str">
            <v>anne.kupfer@asu.edu</v>
          </cell>
          <cell r="Q85" t="str">
            <v>CDC-0854</v>
          </cell>
          <cell r="AJ85" t="e">
            <v>#N/A</v>
          </cell>
          <cell r="AK85" t="str">
            <v>CDC-0854</v>
          </cell>
          <cell r="AL85" t="str">
            <v>CDC0854</v>
          </cell>
        </row>
        <row r="86">
          <cell r="N86" t="str">
            <v>AT TEACH AND PLAY</v>
          </cell>
          <cell r="O86" t="str">
            <v>5827 NORTH 35TH AVENUE</v>
          </cell>
          <cell r="P86" t="str">
            <v>allaboardcharterschool@cox.net</v>
          </cell>
          <cell r="Q86" t="str">
            <v>CDC-3469</v>
          </cell>
          <cell r="AJ86" t="e">
            <v>#N/A</v>
          </cell>
          <cell r="AK86" t="str">
            <v>CDC-3469</v>
          </cell>
          <cell r="AL86" t="str">
            <v>CDC3469</v>
          </cell>
        </row>
        <row r="87">
          <cell r="N87" t="str">
            <v>ATONEMENT LUTHERAN PRESCHOOL</v>
          </cell>
          <cell r="O87" t="str">
            <v>4001 WEST BEARDSLEY ROAD</v>
          </cell>
          <cell r="P87" t="str">
            <v>school@atonementlc.org</v>
          </cell>
          <cell r="Q87" t="str">
            <v>CDC-1700</v>
          </cell>
          <cell r="AJ87" t="e">
            <v>#N/A</v>
          </cell>
          <cell r="AK87" t="str">
            <v>CDC-1700</v>
          </cell>
          <cell r="AL87" t="str">
            <v>CDC1700</v>
          </cell>
        </row>
        <row r="88">
          <cell r="N88" t="str">
            <v>AVONDALE SOUTH HEAD START</v>
          </cell>
          <cell r="O88" t="str">
            <v>525 EAST HARRISON DRIVE</v>
          </cell>
          <cell r="P88" t="str">
            <v>pthompson@cc-az.org</v>
          </cell>
          <cell r="Q88" t="str">
            <v>CDC-10401</v>
          </cell>
          <cell r="AJ88" t="e">
            <v>#N/A</v>
          </cell>
          <cell r="AK88" t="str">
            <v>CDC-10401</v>
          </cell>
          <cell r="AL88" t="str">
            <v>CDC10401</v>
          </cell>
        </row>
        <row r="89">
          <cell r="N89" t="str">
            <v>AWAKENING SEED SCHOOL</v>
          </cell>
          <cell r="O89" t="str">
            <v>6630 SOUTH 40TH STREET</v>
          </cell>
          <cell r="P89" t="str">
            <v>dirseed@icloud.com</v>
          </cell>
          <cell r="Q89" t="str">
            <v>CDC-8422</v>
          </cell>
          <cell r="AJ89" t="e">
            <v>#N/A</v>
          </cell>
          <cell r="AK89" t="str">
            <v>CDC-8422</v>
          </cell>
          <cell r="AL89" t="str">
            <v>CDC8422</v>
          </cell>
        </row>
        <row r="90">
          <cell r="N90" t="str">
            <v>AZ WESTERN COLLEGE CHILD DEVELOPMENT LEARNING LAB</v>
          </cell>
          <cell r="O90" t="str">
            <v>9500 SOUTH AVENUE 8 E</v>
          </cell>
          <cell r="P90" t="str">
            <v>alma.barrandey@azwestern.edu</v>
          </cell>
          <cell r="Q90" t="str">
            <v>CDC-0366</v>
          </cell>
          <cell r="AJ90" t="e">
            <v>#N/A</v>
          </cell>
          <cell r="AK90" t="str">
            <v>CDC-0366</v>
          </cell>
          <cell r="AL90" t="str">
            <v>CDC0366</v>
          </cell>
        </row>
        <row r="91">
          <cell r="N91" t="str">
            <v>BAMBINOS BILINGUAL MONTESSORI</v>
          </cell>
          <cell r="O91" t="str">
            <v>15450 GOODYEAR BLVD NORTH SUITE 135</v>
          </cell>
          <cell r="P91" t="str">
            <v>bambinosbilibgualmontessori@gmail.com</v>
          </cell>
          <cell r="Q91" t="str">
            <v>CDC-17988</v>
          </cell>
          <cell r="AJ91" t="e">
            <v>#N/A</v>
          </cell>
          <cell r="AK91" t="str">
            <v>CDC-17988</v>
          </cell>
          <cell r="AL91" t="str">
            <v>CDC17988</v>
          </cell>
        </row>
        <row r="92">
          <cell r="N92" t="str">
            <v>BAYER PRIVATE SCHOOL</v>
          </cell>
          <cell r="O92" t="str">
            <v>23555 N 67TH AVENUE</v>
          </cell>
          <cell r="P92" t="str">
            <v>smahaffy@bayerschool.com</v>
          </cell>
          <cell r="Q92" t="str">
            <v>CDC-17334</v>
          </cell>
          <cell r="AJ92" t="e">
            <v>#N/A</v>
          </cell>
          <cell r="AK92" t="str">
            <v>CDC-17334</v>
          </cell>
          <cell r="AL92" t="str">
            <v>CDC17334</v>
          </cell>
        </row>
        <row r="93">
          <cell r="N93" t="str">
            <v>BEACON LEARNING CENTER</v>
          </cell>
          <cell r="O93" t="str">
            <v>8801 NORTH 43RD AVENUE</v>
          </cell>
          <cell r="P93" t="str">
            <v>spavlisick@beaconlcaz.org</v>
          </cell>
          <cell r="Q93" t="str">
            <v>CDC-17575</v>
          </cell>
          <cell r="AJ93" t="e">
            <v>#N/A</v>
          </cell>
          <cell r="AK93" t="str">
            <v>CDC-17575</v>
          </cell>
          <cell r="AL93" t="str">
            <v>CDC17575</v>
          </cell>
        </row>
        <row r="94">
          <cell r="N94" t="str">
            <v>BEAUTIFUL OASIS CHILD CARE CENTER</v>
          </cell>
          <cell r="O94" t="str">
            <v>1010 WEST SOUTHERN AVENUE</v>
          </cell>
          <cell r="P94" t="str">
            <v>adansby.beautiful@gmail.com</v>
          </cell>
          <cell r="Q94" t="str">
            <v>CDC-5982</v>
          </cell>
          <cell r="AJ94">
            <v>79020</v>
          </cell>
          <cell r="AK94" t="str">
            <v>CDC-5982</v>
          </cell>
          <cell r="AL94" t="str">
            <v>CDC5982</v>
          </cell>
        </row>
        <row r="95">
          <cell r="N95" t="str">
            <v>BEAUTIFUL SAVIOR ACADEMY</v>
          </cell>
          <cell r="O95" t="str">
            <v>7570 NORTH THORNYDALE</v>
          </cell>
          <cell r="P95" t="str">
            <v>rhondakar@yahoo.com</v>
          </cell>
          <cell r="Q95" t="str">
            <v>CDC-4248</v>
          </cell>
          <cell r="AJ95" t="e">
            <v>#N/A</v>
          </cell>
          <cell r="AK95" t="str">
            <v>CDC-4248</v>
          </cell>
          <cell r="AL95" t="str">
            <v>CDC4248</v>
          </cell>
        </row>
        <row r="96">
          <cell r="N96" t="str">
            <v>BEI BEI AMIGOS LANGUAGE PRESCHOOL L L C</v>
          </cell>
          <cell r="O96" t="str">
            <v>751 EAST UNION HILLS DRIVE - SUITE #19</v>
          </cell>
          <cell r="P96" t="str">
            <v>sean@beibeiamigos.com</v>
          </cell>
          <cell r="Q96" t="str">
            <v>CDC-15053</v>
          </cell>
          <cell r="AJ96" t="e">
            <v>#N/A</v>
          </cell>
          <cell r="AK96" t="str">
            <v>CDC-15053</v>
          </cell>
          <cell r="AL96" t="str">
            <v>CDC15053</v>
          </cell>
        </row>
        <row r="97">
          <cell r="N97" t="str">
            <v>BEL ESPRIT DAY SCHOOL AT PALM VALLEY</v>
          </cell>
          <cell r="O97" t="str">
            <v>1375 NORTH LITCHFIELD ROAD STE 104</v>
          </cell>
          <cell r="P97" t="str">
            <v>Admin@belespritdayschool.com</v>
          </cell>
          <cell r="Q97" t="str">
            <v>CDC-15966</v>
          </cell>
          <cell r="AJ97" t="e">
            <v>#N/A</v>
          </cell>
          <cell r="AK97" t="str">
            <v>CDC-15966</v>
          </cell>
          <cell r="AL97" t="str">
            <v>CDC15966</v>
          </cell>
        </row>
        <row r="98">
          <cell r="N98" t="str">
            <v>BELLA MONTESSORI</v>
          </cell>
          <cell r="O98" t="str">
            <v>700 SOUTH ISLANDS DRIVE</v>
          </cell>
          <cell r="P98" t="str">
            <v>davina@bellamontessori.com</v>
          </cell>
          <cell r="Q98" t="str">
            <v>CDC-16175</v>
          </cell>
          <cell r="AJ98" t="e">
            <v>#N/A</v>
          </cell>
          <cell r="AK98" t="str">
            <v>CDC-16175</v>
          </cell>
          <cell r="AL98" t="str">
            <v>CDC16175</v>
          </cell>
        </row>
        <row r="99">
          <cell r="N99" t="str">
            <v>BENCHMARK SCHOOL</v>
          </cell>
          <cell r="O99" t="str">
            <v>4120 EAST ACOMA DRIVE</v>
          </cell>
          <cell r="P99" t="str">
            <v>bobbie@benchmarkschool.net</v>
          </cell>
          <cell r="Q99" t="str">
            <v>CDC-10021</v>
          </cell>
          <cell r="AJ99" t="e">
            <v>#N/A</v>
          </cell>
          <cell r="AK99" t="str">
            <v>CDC-10021</v>
          </cell>
          <cell r="AL99" t="str">
            <v>CDC10021</v>
          </cell>
        </row>
        <row r="100">
          <cell r="N100" t="str">
            <v>BENSON HEAD START</v>
          </cell>
          <cell r="O100" t="str">
            <v>300 WEST UNION STREET</v>
          </cell>
          <cell r="P100" t="str">
            <v>benson@childparentcenters.org</v>
          </cell>
          <cell r="Q100" t="str">
            <v>CDC-9789</v>
          </cell>
          <cell r="AJ100">
            <v>80550</v>
          </cell>
          <cell r="AK100" t="str">
            <v>CDC-9789</v>
          </cell>
          <cell r="AL100" t="str">
            <v>CDC9789</v>
          </cell>
        </row>
        <row r="101">
          <cell r="N101" t="str">
            <v>BEST FRIENDS PRESCHOOL INC</v>
          </cell>
          <cell r="O101" t="str">
            <v>2038 SOUTH DON CARLOS</v>
          </cell>
          <cell r="P101" t="str">
            <v>bestfriendspreschoolmesa@gmail.com</v>
          </cell>
          <cell r="Q101" t="str">
            <v>CDC-4447</v>
          </cell>
          <cell r="AJ101" t="e">
            <v>#N/A</v>
          </cell>
          <cell r="AK101" t="str">
            <v>CDC-4447</v>
          </cell>
          <cell r="AL101" t="str">
            <v>CDC4447</v>
          </cell>
        </row>
        <row r="102">
          <cell r="N102" t="str">
            <v>BEST OF THE WEST ACADEMY LLC</v>
          </cell>
          <cell r="O102" t="str">
            <v>10740 WEST LOWER BUCKEYE ROAD, #101</v>
          </cell>
          <cell r="P102" t="str">
            <v>Md.sandoval@brighterangels.com</v>
          </cell>
          <cell r="Q102" t="str">
            <v>CDC-12680</v>
          </cell>
          <cell r="AJ102" t="e">
            <v>#N/A</v>
          </cell>
          <cell r="AK102" t="str">
            <v>CDC-12680</v>
          </cell>
          <cell r="AL102" t="str">
            <v>CDC12680</v>
          </cell>
        </row>
        <row r="103">
          <cell r="N103" t="str">
            <v>BEST PALS NEIGHBORHOOD PRESCHOOL</v>
          </cell>
          <cell r="O103" t="str">
            <v>30845 NORTH CAVE CREEK ROAD #117</v>
          </cell>
          <cell r="P103" t="str">
            <v>info@bestpalspreschools.com</v>
          </cell>
          <cell r="Q103" t="str">
            <v>CDC-13613</v>
          </cell>
          <cell r="AJ103" t="e">
            <v>#N/A</v>
          </cell>
          <cell r="AK103" t="str">
            <v>CDC-13613</v>
          </cell>
          <cell r="AL103" t="str">
            <v>CDC13613</v>
          </cell>
        </row>
        <row r="104">
          <cell r="N104" t="str">
            <v>BETH EL CENTER FOR EARLY CHILDHOOD EDUCATION</v>
          </cell>
          <cell r="O104" t="str">
            <v>1118 WEST GLENDALE AVENUE</v>
          </cell>
          <cell r="P104" t="str">
            <v>jcharnow@bethelphoenix.com</v>
          </cell>
          <cell r="Q104" t="str">
            <v>CDC-0871</v>
          </cell>
          <cell r="AJ104" t="e">
            <v>#N/A</v>
          </cell>
          <cell r="AK104" t="str">
            <v>CDC-0871</v>
          </cell>
          <cell r="AL104" t="str">
            <v>CDC0871</v>
          </cell>
        </row>
        <row r="105">
          <cell r="N105" t="str">
            <v>BEYOND CARE INC.</v>
          </cell>
          <cell r="O105" t="str">
            <v>1601 EAST BELL ROAD A19</v>
          </cell>
          <cell r="P105" t="str">
            <v>schneidergirls23@gmail.com</v>
          </cell>
          <cell r="Q105" t="str">
            <v>CDC-7550</v>
          </cell>
          <cell r="AJ105">
            <v>10365</v>
          </cell>
          <cell r="AK105" t="str">
            <v>CDC-7550</v>
          </cell>
          <cell r="AL105" t="str">
            <v>CDC7550</v>
          </cell>
        </row>
        <row r="106">
          <cell r="N106" t="str">
            <v>BIENESTAR CHILD DEVELOPMENT CENTER</v>
          </cell>
          <cell r="O106" t="str">
            <v>1504 LIBERTY ST</v>
          </cell>
          <cell r="P106" t="str">
            <v>bienestarchildcare@yahoo.com</v>
          </cell>
          <cell r="Q106" t="str">
            <v>CDC-15486</v>
          </cell>
          <cell r="AJ106" t="e">
            <v>#N/A</v>
          </cell>
          <cell r="AK106" t="str">
            <v>CDC-15486</v>
          </cell>
          <cell r="AL106" t="str">
            <v>CDC15486</v>
          </cell>
        </row>
        <row r="107">
          <cell r="N107" t="str">
            <v>BIENESTAR DEL CIELO</v>
          </cell>
          <cell r="O107" t="str">
            <v>144 WEST BRENDA STREET</v>
          </cell>
          <cell r="P107" t="str">
            <v>bienestarchildcare@yahoo.com</v>
          </cell>
          <cell r="Q107" t="str">
            <v>CDC-18499</v>
          </cell>
          <cell r="AJ107" t="e">
            <v>#N/A</v>
          </cell>
          <cell r="AK107" t="str">
            <v>CDC-18499</v>
          </cell>
          <cell r="AL107" t="str">
            <v>CDC18499</v>
          </cell>
        </row>
        <row r="108">
          <cell r="N108" t="str">
            <v>BIG DREAMS PRESCHOOL &amp; KINDERGARTEN</v>
          </cell>
          <cell r="O108" t="str">
            <v>28570 EL MIRAGE ROAD</v>
          </cell>
          <cell r="P108" t="str">
            <v>debbie@bigdreamslearning.phxcoxmail.com</v>
          </cell>
          <cell r="Q108" t="str">
            <v>CDC-17091</v>
          </cell>
          <cell r="AJ108" t="e">
            <v>#N/A</v>
          </cell>
          <cell r="AK108" t="str">
            <v>CDC-17091</v>
          </cell>
          <cell r="AL108" t="str">
            <v>CDC17091</v>
          </cell>
        </row>
        <row r="109">
          <cell r="N109" t="str">
            <v>BIG RED BARN</v>
          </cell>
          <cell r="O109" t="str">
            <v>2175 SOUTH ARIZONA AVENUE</v>
          </cell>
          <cell r="P109" t="str">
            <v>brbpreschoolyuma@gmail.com</v>
          </cell>
          <cell r="Q109" t="str">
            <v>CDC-16423</v>
          </cell>
          <cell r="AJ109" t="e">
            <v>#N/A</v>
          </cell>
          <cell r="AK109" t="str">
            <v>CDC-16423</v>
          </cell>
          <cell r="AL109" t="str">
            <v>CDC16423</v>
          </cell>
        </row>
        <row r="110">
          <cell r="N110" t="str">
            <v>BLACK MOUNTAIN SCIENCE ACADEMY</v>
          </cell>
          <cell r="O110" t="str">
            <v>21461 NORTH 78TH AVENUE SUITE 185</v>
          </cell>
          <cell r="P110" t="str">
            <v>rebecca.grim@yahoo.com</v>
          </cell>
          <cell r="Q110" t="str">
            <v>CDC-16980</v>
          </cell>
          <cell r="AJ110" t="e">
            <v>#N/A</v>
          </cell>
          <cell r="AK110" t="str">
            <v>CDC-16980</v>
          </cell>
          <cell r="AL110" t="str">
            <v>CDC16980</v>
          </cell>
        </row>
        <row r="111">
          <cell r="N111" t="str">
            <v>BLESSED BEGINNINGS OF ORO VALLEY</v>
          </cell>
          <cell r="O111" t="str">
            <v>9200 NORTH ORACLE ROAD</v>
          </cell>
          <cell r="P111" t="str">
            <v>cbaker@cdobaptist.org</v>
          </cell>
          <cell r="Q111" t="str">
            <v>CDC-18720</v>
          </cell>
          <cell r="AJ111" t="e">
            <v>#N/A</v>
          </cell>
          <cell r="AK111" t="str">
            <v>CDC-18720</v>
          </cell>
          <cell r="AL111" t="str">
            <v>CDC18720</v>
          </cell>
        </row>
        <row r="112">
          <cell r="N112" t="str">
            <v>BLESSED SACRAMENT PRESCHOOL / KINDERGARTEN</v>
          </cell>
          <cell r="O112" t="str">
            <v>11300 NORTH 64TH STREET</v>
          </cell>
          <cell r="P112" t="str">
            <v>hfraher@bscaz.org</v>
          </cell>
          <cell r="Q112" t="str">
            <v>CDC-14173</v>
          </cell>
          <cell r="AJ112" t="e">
            <v>#N/A</v>
          </cell>
          <cell r="AK112" t="str">
            <v>CDC-14173</v>
          </cell>
          <cell r="AL112" t="str">
            <v>CDC14173</v>
          </cell>
        </row>
        <row r="113">
          <cell r="N113" t="str">
            <v>BLUE CACTUS PRESCHOOL</v>
          </cell>
          <cell r="O113" t="str">
            <v>45295 WEST HONEYCUTT AVENUE</v>
          </cell>
          <cell r="P113" t="str">
            <v>t.graysmark@me.com</v>
          </cell>
          <cell r="Q113" t="str">
            <v>CDC-18476</v>
          </cell>
          <cell r="AJ113" t="e">
            <v>#N/A</v>
          </cell>
          <cell r="AK113" t="str">
            <v>CDC-18476</v>
          </cell>
          <cell r="AL113" t="str">
            <v>CDC18476</v>
          </cell>
        </row>
        <row r="114">
          <cell r="N114" t="str">
            <v>BONITA HEADSTART</v>
          </cell>
          <cell r="O114" t="str">
            <v>1201 EAST 16TH STREET</v>
          </cell>
          <cell r="P114" t="str">
            <v>bonita@childparentcenters.org</v>
          </cell>
          <cell r="Q114" t="str">
            <v>CDC-5245</v>
          </cell>
          <cell r="AJ114">
            <v>9846</v>
          </cell>
          <cell r="AK114" t="str">
            <v>CDC-5245</v>
          </cell>
          <cell r="AL114" t="str">
            <v>CDC5245</v>
          </cell>
        </row>
        <row r="115">
          <cell r="N115" t="str">
            <v>BOOKER T  WASHINGTON CHILD DEVELOPMENT CENTER</v>
          </cell>
          <cell r="O115" t="str">
            <v>1522 EAST ADAMS STREET</v>
          </cell>
          <cell r="P115" t="str">
            <v>aduran@btwchild.org</v>
          </cell>
          <cell r="Q115" t="str">
            <v>CDC-10139</v>
          </cell>
          <cell r="AJ115" t="e">
            <v>#N/A</v>
          </cell>
          <cell r="AK115" t="str">
            <v>CDC-10139</v>
          </cell>
          <cell r="AL115" t="str">
            <v>CDC10139</v>
          </cell>
        </row>
        <row r="116">
          <cell r="N116" t="str">
            <v>BOOKER T  WASHINGTON CHILD DEVELOPMENT CENTER</v>
          </cell>
          <cell r="O116" t="str">
            <v>804 NORTH 18TH STREET</v>
          </cell>
          <cell r="P116" t="str">
            <v>aquintana@btwchild.org</v>
          </cell>
          <cell r="Q116" t="str">
            <v>CDC-12281</v>
          </cell>
          <cell r="AJ116" t="e">
            <v>#N/A</v>
          </cell>
          <cell r="AK116" t="str">
            <v>CDC-12281</v>
          </cell>
          <cell r="AL116" t="str">
            <v>CDC12281</v>
          </cell>
        </row>
        <row r="117">
          <cell r="N117" t="str">
            <v>BOOKER T. WASHINGTON  - CAPITOL</v>
          </cell>
          <cell r="O117" t="str">
            <v>330 NORTH 16TH AVENUE</v>
          </cell>
          <cell r="P117" t="str">
            <v>jayon@btwchild.org</v>
          </cell>
          <cell r="Q117" t="str">
            <v>CDC-16650</v>
          </cell>
          <cell r="AJ117" t="e">
            <v>#N/A</v>
          </cell>
          <cell r="AK117" t="str">
            <v>CDC-16650</v>
          </cell>
          <cell r="AL117" t="str">
            <v>CDC16650</v>
          </cell>
        </row>
        <row r="118">
          <cell r="N118" t="str">
            <v>BOOKER T. WASHINGTON - BETHUNE</v>
          </cell>
          <cell r="O118" t="str">
            <v>1310 SOUTH 15TH AVENUE</v>
          </cell>
          <cell r="P118" t="str">
            <v>CScott@btwchild.org</v>
          </cell>
          <cell r="Q118" t="str">
            <v>CDC-16658</v>
          </cell>
          <cell r="AJ118" t="e">
            <v>#N/A</v>
          </cell>
          <cell r="AK118" t="str">
            <v>CDC-16658</v>
          </cell>
          <cell r="AL118" t="str">
            <v>CDC16658</v>
          </cell>
        </row>
        <row r="119">
          <cell r="N119" t="str">
            <v>BRIDGES EARLY CHILDHOOD EDUCATION</v>
          </cell>
          <cell r="O119" t="str">
            <v>1201 NORTH 66TH STREET</v>
          </cell>
          <cell r="P119" t="str">
            <v>courtney@bridgespreschool.com</v>
          </cell>
          <cell r="Q119" t="str">
            <v>CDC-11758</v>
          </cell>
          <cell r="AJ119" t="e">
            <v>#N/A</v>
          </cell>
          <cell r="AK119" t="str">
            <v>CDC-11758</v>
          </cell>
          <cell r="AL119" t="str">
            <v>CDC11758</v>
          </cell>
        </row>
        <row r="120">
          <cell r="N120" t="str">
            <v>BRIDGES PRESCHOOL</v>
          </cell>
          <cell r="O120" t="str">
            <v>1494 SOUTH GILBERT ROAD</v>
          </cell>
          <cell r="P120" t="str">
            <v>tiffany@bridgespreschool.com</v>
          </cell>
          <cell r="Q120" t="str">
            <v>CDC-14103</v>
          </cell>
          <cell r="AJ120" t="e">
            <v>#N/A</v>
          </cell>
          <cell r="AK120" t="str">
            <v>CDC-14103</v>
          </cell>
          <cell r="AL120" t="str">
            <v>CDC14103</v>
          </cell>
        </row>
        <row r="121">
          <cell r="N121" t="str">
            <v>BRIDGES PRESCHOOL</v>
          </cell>
          <cell r="O121" t="str">
            <v>7570 SOUTH WILLOW DRIVE</v>
          </cell>
          <cell r="P121" t="str">
            <v>cari@bridgespreschool.com</v>
          </cell>
          <cell r="Q121" t="str">
            <v>CDC-15646</v>
          </cell>
          <cell r="AJ121" t="e">
            <v>#N/A</v>
          </cell>
          <cell r="AK121" t="str">
            <v>CDC-15646</v>
          </cell>
          <cell r="AL121" t="str">
            <v>CDC15646</v>
          </cell>
        </row>
        <row r="122">
          <cell r="N122" t="str">
            <v>BRIDGES PRESCHOOL</v>
          </cell>
          <cell r="O122" t="str">
            <v>1997 WEST ELLIOT ROAD</v>
          </cell>
          <cell r="P122" t="str">
            <v>adrienne@bridgespreschool.com</v>
          </cell>
          <cell r="Q122" t="str">
            <v>CDC-16032</v>
          </cell>
          <cell r="AJ122" t="e">
            <v>#N/A</v>
          </cell>
          <cell r="AK122" t="str">
            <v>CDC-16032</v>
          </cell>
          <cell r="AL122" t="str">
            <v>CDC16032</v>
          </cell>
        </row>
        <row r="123">
          <cell r="N123" t="str">
            <v>BRIDGES PRESCHOOL</v>
          </cell>
          <cell r="O123" t="str">
            <v>20635 SOUTH OLD ELLSWORTH ROAD</v>
          </cell>
          <cell r="P123" t="str">
            <v>alicia@bridgespreschool.com</v>
          </cell>
          <cell r="Q123" t="str">
            <v>CDC-16374</v>
          </cell>
          <cell r="AJ123" t="e">
            <v>#N/A</v>
          </cell>
          <cell r="AK123" t="str">
            <v>CDC-16374</v>
          </cell>
          <cell r="AL123" t="str">
            <v>CDC16374</v>
          </cell>
        </row>
        <row r="124">
          <cell r="N124" t="str">
            <v>BRIGHT BEGINNINGS LEARNING CENTER &amp; CHILDCARE</v>
          </cell>
          <cell r="O124" t="str">
            <v>420 WEST COTTONWOOD LANE</v>
          </cell>
          <cell r="P124" t="str">
            <v>cmr25@cox.net</v>
          </cell>
          <cell r="Q124" t="str">
            <v>CDC-8265</v>
          </cell>
          <cell r="AJ124" t="e">
            <v>#N/A</v>
          </cell>
          <cell r="AK124" t="str">
            <v>CDC-8265</v>
          </cell>
          <cell r="AL124" t="str">
            <v>CDC8265</v>
          </cell>
        </row>
        <row r="125">
          <cell r="N125" t="str">
            <v>BRIGHT BEGINNINGS PRESCHOOL &amp; CHILDCARE</v>
          </cell>
          <cell r="O125" t="str">
            <v>6835 WEST PEORIA AVENUE</v>
          </cell>
          <cell r="P125" t="str">
            <v>brightbeginnings602@gmail.com</v>
          </cell>
          <cell r="Q125" t="str">
            <v>CDC-17248</v>
          </cell>
          <cell r="AJ125">
            <v>93012</v>
          </cell>
          <cell r="AK125" t="str">
            <v>CDC-17248</v>
          </cell>
          <cell r="AL125" t="str">
            <v>CDC17248</v>
          </cell>
        </row>
        <row r="126">
          <cell r="N126" t="str">
            <v>BRIGHT BEGINNINGS SCHOOL</v>
          </cell>
          <cell r="O126" t="str">
            <v>400 NORTH ANDERSEN BLVD</v>
          </cell>
          <cell r="P126" t="str">
            <v>pfrench@bbschl.com</v>
          </cell>
          <cell r="Q126" t="str">
            <v>CDC-8572</v>
          </cell>
          <cell r="AJ126" t="e">
            <v>#N/A</v>
          </cell>
          <cell r="AK126" t="str">
            <v>CDC-8572</v>
          </cell>
          <cell r="AL126" t="str">
            <v>CDC8572</v>
          </cell>
        </row>
        <row r="127">
          <cell r="N127" t="str">
            <v>BRIGHT FUTURES CHILD CARE</v>
          </cell>
          <cell r="O127" t="str">
            <v>19 EAST BEECH STREET</v>
          </cell>
          <cell r="P127" t="str">
            <v>bf.bvcs@gmail.com</v>
          </cell>
          <cell r="Q127" t="str">
            <v>CDC-11892</v>
          </cell>
          <cell r="AJ127" t="e">
            <v>#N/A</v>
          </cell>
          <cell r="AK127" t="str">
            <v>CDC-11892</v>
          </cell>
          <cell r="AL127" t="str">
            <v>CDC11892</v>
          </cell>
        </row>
        <row r="128">
          <cell r="N128" t="str">
            <v>BRIGHT HORIZONS AT BANNER BAYWOOD</v>
          </cell>
          <cell r="O128" t="str">
            <v>6435 EAST BAYWOOD AVENUE</v>
          </cell>
          <cell r="P128" t="str">
            <v>michelle.colbert@brighthorizons.com</v>
          </cell>
          <cell r="Q128" t="str">
            <v>CDC-17391</v>
          </cell>
          <cell r="AJ128" t="e">
            <v>#N/A</v>
          </cell>
          <cell r="AK128" t="str">
            <v>CDC-17391</v>
          </cell>
          <cell r="AL128" t="str">
            <v>CDC17391</v>
          </cell>
        </row>
        <row r="129">
          <cell r="N129" t="str">
            <v>BRIGHT HORIZONS AT BOSWELL</v>
          </cell>
          <cell r="O129" t="str">
            <v>10457 WEST THUNDERBIRD BLVD</v>
          </cell>
          <cell r="P129" t="str">
            <v>sarah.welch@brighthorizons.com</v>
          </cell>
          <cell r="Q129" t="str">
            <v>CDC-16952</v>
          </cell>
          <cell r="AJ129" t="e">
            <v>#N/A</v>
          </cell>
          <cell r="AK129" t="str">
            <v>CDC-16952</v>
          </cell>
          <cell r="AL129" t="str">
            <v>CDC16952</v>
          </cell>
        </row>
        <row r="130">
          <cell r="N130" t="str">
            <v>BRIGHT HORIZONS AT DOWNTOWN PHOENIX</v>
          </cell>
          <cell r="O130" t="str">
            <v>150 NORTH 4TH AVENUE</v>
          </cell>
          <cell r="P130" t="str">
            <v>stephanie.hooper@brighthorizons.com</v>
          </cell>
          <cell r="Q130" t="str">
            <v>CDC-17533</v>
          </cell>
          <cell r="AJ130" t="e">
            <v>#N/A</v>
          </cell>
          <cell r="AK130" t="str">
            <v>CDC-17533</v>
          </cell>
          <cell r="AL130" t="str">
            <v>CDC17533</v>
          </cell>
        </row>
        <row r="131">
          <cell r="N131" t="str">
            <v>BRIGHT HORIZONS AT NORTERRA</v>
          </cell>
          <cell r="O131" t="str">
            <v>ONE NORTH NORTERRA PARKWAY</v>
          </cell>
          <cell r="P131" t="str">
            <v>Brandy.Mcintosh@brighthorizons.com</v>
          </cell>
          <cell r="Q131" t="str">
            <v>CDC-11473</v>
          </cell>
          <cell r="AJ131" t="e">
            <v>#N/A</v>
          </cell>
          <cell r="AK131" t="str">
            <v>CDC-11473</v>
          </cell>
          <cell r="AL131" t="str">
            <v>CDC11473</v>
          </cell>
        </row>
        <row r="132">
          <cell r="N132" t="str">
            <v>BRIGHT HORIZONS AT SCOTTSDALE LINCOLN HEALTH NETWORK</v>
          </cell>
          <cell r="O132" t="str">
            <v>10028 NORTH 92ND STREET</v>
          </cell>
          <cell r="P132" t="str">
            <v>henhoeffer@brighthorizons.com</v>
          </cell>
          <cell r="Q132" t="str">
            <v>CDC-17140</v>
          </cell>
          <cell r="AJ132" t="e">
            <v>#N/A</v>
          </cell>
          <cell r="AK132" t="str">
            <v>CDC-17140</v>
          </cell>
          <cell r="AL132" t="str">
            <v>CDC17140</v>
          </cell>
        </row>
        <row r="133">
          <cell r="N133" t="str">
            <v>BRIGHT HORIZONS FAMILY CENTER</v>
          </cell>
          <cell r="O133" t="str">
            <v>7660 SOUTH RESEARCH DRIVE</v>
          </cell>
          <cell r="P133" t="str">
            <v>patricia.widders@brighthorizons.com</v>
          </cell>
          <cell r="Q133" t="str">
            <v>CDC-8306</v>
          </cell>
          <cell r="AJ133" t="e">
            <v>#N/A</v>
          </cell>
          <cell r="AK133" t="str">
            <v>CDC-8306</v>
          </cell>
          <cell r="AL133" t="str">
            <v>CDC8306</v>
          </cell>
        </row>
        <row r="134">
          <cell r="N134" t="str">
            <v>BRIGHT HORIZONS FAMILY CENTER</v>
          </cell>
          <cell r="O134" t="str">
            <v>1151 WEST RAY ROAD</v>
          </cell>
          <cell r="P134" t="str">
            <v>kelly.swadner@brighthorizons.com</v>
          </cell>
          <cell r="Q134" t="str">
            <v>CDC-9073</v>
          </cell>
          <cell r="AJ134" t="e">
            <v>#N/A</v>
          </cell>
          <cell r="AK134" t="str">
            <v>CDC-9073</v>
          </cell>
          <cell r="AL134" t="str">
            <v>CDC9073</v>
          </cell>
        </row>
        <row r="135">
          <cell r="N135" t="str">
            <v>BRIGHT IDEAS CHILDCARE &amp; LEARNING CENTER</v>
          </cell>
          <cell r="O135" t="str">
            <v>4358 EAST BROADWAY ROAD</v>
          </cell>
          <cell r="P135" t="str">
            <v>ryann@brightideaschildcare.com</v>
          </cell>
          <cell r="Q135" t="str">
            <v>CDC-17967</v>
          </cell>
          <cell r="AJ135" t="e">
            <v>#N/A</v>
          </cell>
          <cell r="AK135" t="str">
            <v>CDC-17967</v>
          </cell>
          <cell r="AL135" t="str">
            <v>CDC17967</v>
          </cell>
        </row>
        <row r="136">
          <cell r="N136" t="str">
            <v>BRIGHT IDEAS CHILDCARE AT EVIT</v>
          </cell>
          <cell r="O136" t="str">
            <v>1601 WEST MAIN STREET - BUILDING 4</v>
          </cell>
          <cell r="P136" t="str">
            <v>beth@brightideaschildcare.com</v>
          </cell>
          <cell r="Q136" t="str">
            <v>CDC-18813</v>
          </cell>
          <cell r="AJ136" t="e">
            <v>#N/A</v>
          </cell>
          <cell r="AK136" t="str">
            <v>CDC-18813</v>
          </cell>
          <cell r="AL136" t="str">
            <v>CDC18813</v>
          </cell>
        </row>
        <row r="137">
          <cell r="N137" t="str">
            <v>BRIGHT IDEAS CHILDCARE AT TEMPE</v>
          </cell>
          <cell r="O137" t="str">
            <v>2720 SOUTH DORSEY LANE</v>
          </cell>
          <cell r="P137" t="str">
            <v>rodica@brightideaschildcare.com</v>
          </cell>
          <cell r="Q137" t="str">
            <v>CDC-15529</v>
          </cell>
          <cell r="AJ137" t="e">
            <v>#N/A</v>
          </cell>
          <cell r="AK137" t="str">
            <v>CDC-15529</v>
          </cell>
          <cell r="AL137" t="str">
            <v>CDC15529</v>
          </cell>
        </row>
        <row r="138">
          <cell r="N138" t="str">
            <v>BRIGHT STAR PRESCHOOL</v>
          </cell>
          <cell r="O138" t="str">
            <v>1750 EAST PRINCE ROAD</v>
          </cell>
          <cell r="P138" t="str">
            <v>amiller@creative-kids.net</v>
          </cell>
          <cell r="Q138" t="str">
            <v>CDC-10741</v>
          </cell>
          <cell r="AJ138">
            <v>81194</v>
          </cell>
          <cell r="AK138" t="str">
            <v>CDC-10741</v>
          </cell>
          <cell r="AL138" t="str">
            <v>CDC10741</v>
          </cell>
        </row>
        <row r="139">
          <cell r="N139" t="str">
            <v>BRILLIANT SCHOLARS PRESCHOOL</v>
          </cell>
          <cell r="O139" t="str">
            <v>18185 NORTH 83RD AVENUE STE 113</v>
          </cell>
          <cell r="P139" t="str">
            <v>admin@brilliantscholarspreschool.com</v>
          </cell>
          <cell r="Q139" t="str">
            <v>CDC-17711</v>
          </cell>
          <cell r="AJ139" t="e">
            <v>#N/A</v>
          </cell>
          <cell r="AK139" t="str">
            <v>CDC-17711</v>
          </cell>
          <cell r="AL139" t="str">
            <v>CDC17711</v>
          </cell>
        </row>
        <row r="140">
          <cell r="N140" t="str">
            <v>BUBBLES CHILDCARE &amp; PRESCHOOL</v>
          </cell>
          <cell r="O140" t="str">
            <v>1403 SOUTH 5TH AVENUE</v>
          </cell>
          <cell r="P140" t="str">
            <v>bubbleschildcareyuma@gmail.com</v>
          </cell>
          <cell r="Q140" t="str">
            <v>CDC-17319</v>
          </cell>
          <cell r="AJ140">
            <v>93015</v>
          </cell>
          <cell r="AK140" t="str">
            <v>CDC-17319</v>
          </cell>
          <cell r="AL140" t="str">
            <v>CDC17319</v>
          </cell>
        </row>
        <row r="141">
          <cell r="N141" t="str">
            <v>BUBBLES EARLY LEARNING CENTER L.L.C.</v>
          </cell>
          <cell r="O141" t="str">
            <v>2464 WEST 8TH STREET</v>
          </cell>
          <cell r="P141" t="str">
            <v>bubblesearlylearningcenter2018@gmail.com</v>
          </cell>
          <cell r="Q141" t="str">
            <v>CDC-18430</v>
          </cell>
          <cell r="AJ141">
            <v>1000134</v>
          </cell>
          <cell r="AK141" t="str">
            <v>CDC-18430</v>
          </cell>
          <cell r="AL141" t="str">
            <v>CDC18430</v>
          </cell>
        </row>
        <row r="142">
          <cell r="N142" t="str">
            <v>BUCKEYE ELEMENTARY HEAD START</v>
          </cell>
          <cell r="O142" t="str">
            <v>405 SOUTH 7TH STREET</v>
          </cell>
          <cell r="P142" t="str">
            <v>vferguson@cc-az.org</v>
          </cell>
          <cell r="Q142" t="str">
            <v>CDC-13963</v>
          </cell>
          <cell r="AJ142" t="e">
            <v>#N/A</v>
          </cell>
          <cell r="AK142" t="str">
            <v>CDC-13963</v>
          </cell>
          <cell r="AL142" t="str">
            <v>CDC13963</v>
          </cell>
        </row>
        <row r="143">
          <cell r="N143" t="str">
            <v>BUCKEYE HEAD START</v>
          </cell>
          <cell r="O143" t="str">
            <v>113 EAST CENTRE AVENUE</v>
          </cell>
          <cell r="P143" t="str">
            <v>kkellenberger@cc-az.org</v>
          </cell>
          <cell r="Q143" t="str">
            <v>CDC-1955</v>
          </cell>
          <cell r="AJ143" t="e">
            <v>#N/A</v>
          </cell>
          <cell r="AK143" t="str">
            <v>CDC-1955</v>
          </cell>
          <cell r="AL143" t="str">
            <v>CDC1955</v>
          </cell>
        </row>
        <row r="144">
          <cell r="N144" t="str">
            <v>BUG-A-BOO CHILDCARE LLC</v>
          </cell>
          <cell r="O144" t="str">
            <v>1061 NORTH OLD CHISHOLM TRAIL</v>
          </cell>
          <cell r="P144" t="str">
            <v>CandaceMontgomery74@gmail.com</v>
          </cell>
          <cell r="Q144" t="str">
            <v>CDC-18833</v>
          </cell>
          <cell r="AJ144" t="e">
            <v>#N/A</v>
          </cell>
          <cell r="AK144" t="str">
            <v>CDC-18833</v>
          </cell>
          <cell r="AL144" t="str">
            <v>CDC18833</v>
          </cell>
        </row>
        <row r="145">
          <cell r="N145" t="str">
            <v>BUILDING BLOCKS PRESCHOOL</v>
          </cell>
          <cell r="O145" t="str">
            <v>2040 GOLDEN GATE AVENUE</v>
          </cell>
          <cell r="P145" t="str">
            <v>builidngblockspreschoolmbc@gmail.com</v>
          </cell>
          <cell r="Q145" t="str">
            <v>CDC-16141</v>
          </cell>
          <cell r="AJ145" t="e">
            <v>#N/A</v>
          </cell>
          <cell r="AK145" t="str">
            <v>CDC-16141</v>
          </cell>
          <cell r="AL145" t="str">
            <v>CDC16141</v>
          </cell>
        </row>
        <row r="146">
          <cell r="N146" t="str">
            <v>BUILDING BLOCKS PRESCHOOL - SCOTTSDALE CAMPUS</v>
          </cell>
          <cell r="O146" t="str">
            <v>12001 EAST SHEA BOULEVARD</v>
          </cell>
          <cell r="P146" t="str">
            <v>Julie.Kearney@basised.com</v>
          </cell>
          <cell r="Q146" t="str">
            <v>CDC-18850</v>
          </cell>
          <cell r="AJ146" t="e">
            <v>#N/A</v>
          </cell>
          <cell r="AK146" t="str">
            <v>CDC-18850</v>
          </cell>
          <cell r="AL146" t="str">
            <v>CDC18850</v>
          </cell>
        </row>
        <row r="147">
          <cell r="N147" t="str">
            <v>BUILDING KID OF PHOENIX</v>
          </cell>
          <cell r="O147" t="str">
            <v>2710 WEST SOUTHERN AVENUE</v>
          </cell>
          <cell r="P147" t="str">
            <v>anas@buildingkidz.com</v>
          </cell>
          <cell r="Q147" t="str">
            <v>CDC-14465</v>
          </cell>
          <cell r="AJ147" t="e">
            <v>#N/A</v>
          </cell>
          <cell r="AK147" t="str">
            <v>CDC-14465</v>
          </cell>
          <cell r="AL147" t="str">
            <v>CDC14465</v>
          </cell>
        </row>
        <row r="148">
          <cell r="N148" t="str">
            <v>BUILDING KIDZ OF CHANDLER</v>
          </cell>
          <cell r="O148" t="str">
            <v>2200 NORTH ALMA SCHOOL ROAD</v>
          </cell>
          <cell r="P148" t="str">
            <v>MeaghanS@buildingkidz.com</v>
          </cell>
          <cell r="Q148" t="str">
            <v>CDC-18242</v>
          </cell>
          <cell r="AJ148" t="e">
            <v>#N/A</v>
          </cell>
          <cell r="AK148" t="str">
            <v>CDC-18242</v>
          </cell>
          <cell r="AL148" t="str">
            <v>CDC18242</v>
          </cell>
        </row>
        <row r="149">
          <cell r="N149" t="str">
            <v>BURTON HEAD START</v>
          </cell>
          <cell r="O149" t="str">
            <v>4801 WEST MARYLAND AVENUE</v>
          </cell>
          <cell r="P149" t="str">
            <v>carol.zinter@brighthorizons</v>
          </cell>
          <cell r="Q149" t="str">
            <v>CDC-1774</v>
          </cell>
          <cell r="AJ149" t="e">
            <v>#N/A</v>
          </cell>
          <cell r="AK149" t="str">
            <v>CDC-1774</v>
          </cell>
          <cell r="AL149" t="str">
            <v>CDC1774</v>
          </cell>
        </row>
        <row r="150">
          <cell r="N150" t="str">
            <v>BUSY BEE LEARNING CENTER</v>
          </cell>
          <cell r="O150" t="str">
            <v>8665 EAST FLORENTINE</v>
          </cell>
          <cell r="P150" t="str">
            <v>snkmcc77@aol.com</v>
          </cell>
          <cell r="Q150" t="str">
            <v>CDC-1192</v>
          </cell>
          <cell r="AJ150">
            <v>9282</v>
          </cell>
          <cell r="AK150" t="str">
            <v>CDC-1192</v>
          </cell>
          <cell r="AL150" t="str">
            <v>CDC1192</v>
          </cell>
        </row>
        <row r="151">
          <cell r="N151" t="str">
            <v>BUSY BEE'Z PRESCHOOL &amp; CHILD CARE</v>
          </cell>
          <cell r="O151" t="str">
            <v>2375 S AVE A</v>
          </cell>
          <cell r="P151" t="str">
            <v>busybeezpreschool@hotmail.com</v>
          </cell>
          <cell r="Q151" t="str">
            <v>CDC-14022</v>
          </cell>
          <cell r="AJ151" t="e">
            <v>#N/A</v>
          </cell>
          <cell r="AK151" t="str">
            <v>CDC-14022</v>
          </cell>
          <cell r="AL151" t="str">
            <v>CDC14022</v>
          </cell>
        </row>
        <row r="152">
          <cell r="N152" t="str">
            <v>C.P.L.C./ ARIZONA MIGRANT &amp; SEASONAL HEAD START</v>
          </cell>
          <cell r="O152" t="str">
            <v>649 NORTH 9TH AVENUE</v>
          </cell>
          <cell r="P152" t="str">
            <v>Estela.amaya@cplc.org</v>
          </cell>
          <cell r="Q152" t="str">
            <v>CDC-9811</v>
          </cell>
          <cell r="AJ152" t="e">
            <v>#N/A</v>
          </cell>
          <cell r="AK152" t="str">
            <v>CDC-9811</v>
          </cell>
          <cell r="AL152" t="str">
            <v>CDC9811</v>
          </cell>
        </row>
        <row r="153">
          <cell r="N153" t="str">
            <v>C.P.L.C./ E.C.D.</v>
          </cell>
          <cell r="O153" t="str">
            <v>1875 SOUTH 45TH AVENUE</v>
          </cell>
          <cell r="P153" t="str">
            <v>lizeth.angulo@cplc.org</v>
          </cell>
          <cell r="Q153" t="str">
            <v>CDC-12247</v>
          </cell>
          <cell r="AJ153" t="e">
            <v>#N/A</v>
          </cell>
          <cell r="AK153" t="str">
            <v>CDC-12247</v>
          </cell>
          <cell r="AL153" t="str">
            <v>CDC12247</v>
          </cell>
        </row>
        <row r="154">
          <cell r="N154" t="str">
            <v>C.P.L.C./ E.H.S. BIENSTAR FIRST STEP</v>
          </cell>
          <cell r="O154" t="str">
            <v>690 NORTH 10TH AVENUE</v>
          </cell>
          <cell r="P154" t="str">
            <v>mariaelena.perez@cplc.org</v>
          </cell>
          <cell r="Q154" t="str">
            <v>CDC-15353</v>
          </cell>
          <cell r="AJ154" t="e">
            <v>#N/A</v>
          </cell>
          <cell r="AK154" t="str">
            <v>CDC-15353</v>
          </cell>
          <cell r="AL154" t="str">
            <v>CDC15353</v>
          </cell>
        </row>
        <row r="155">
          <cell r="N155" t="str">
            <v>C.P.L.C./ E.H.S. LA CASITAS</v>
          </cell>
          <cell r="O155" t="str">
            <v>541 6TH AVENUE</v>
          </cell>
          <cell r="P155" t="str">
            <v>sarai.vigil@cplc.org</v>
          </cell>
          <cell r="Q155" t="str">
            <v>CDC-15352</v>
          </cell>
          <cell r="AJ155" t="e">
            <v>#N/A</v>
          </cell>
          <cell r="AK155" t="str">
            <v>CDC-15352</v>
          </cell>
          <cell r="AL155" t="str">
            <v>CDC15352</v>
          </cell>
        </row>
        <row r="156">
          <cell r="N156" t="str">
            <v>C.P.L.C./ ELOY MIGRANT &amp; SEASONAL HEAD START</v>
          </cell>
          <cell r="O156" t="str">
            <v>201 NORTH SUNSHINE BOULEVARD</v>
          </cell>
          <cell r="P156" t="str">
            <v>twila.ibarra@cplc.org</v>
          </cell>
          <cell r="Q156" t="str">
            <v>CDC-15709</v>
          </cell>
          <cell r="AJ156" t="e">
            <v>#N/A</v>
          </cell>
          <cell r="AK156" t="str">
            <v>CDC-15709</v>
          </cell>
          <cell r="AL156" t="str">
            <v>CDC15709</v>
          </cell>
        </row>
        <row r="157">
          <cell r="N157" t="str">
            <v>C.P.L.C./ RANCHO VIEJO-M.E.H.S./ RANCHO VIEJO C.C.P.</v>
          </cell>
          <cell r="O157" t="str">
            <v>930 S AVENUE C</v>
          </cell>
          <cell r="P157" t="str">
            <v>heidy.lira@cplc.org</v>
          </cell>
          <cell r="Q157" t="str">
            <v>CDC-15351</v>
          </cell>
          <cell r="AJ157" t="e">
            <v>#N/A</v>
          </cell>
          <cell r="AK157" t="str">
            <v>CDC-15351</v>
          </cell>
          <cell r="AL157" t="str">
            <v>CDC15351</v>
          </cell>
        </row>
        <row r="158">
          <cell r="N158" t="str">
            <v>C.P.L.C./ SAN LUIS MIGRANT</v>
          </cell>
          <cell r="O158" t="str">
            <v>1770 "D" STREET</v>
          </cell>
          <cell r="P158" t="str">
            <v>claudia.ozuna@cplc.org</v>
          </cell>
          <cell r="Q158" t="str">
            <v>CDC-8283</v>
          </cell>
          <cell r="AJ158" t="e">
            <v>#N/A</v>
          </cell>
          <cell r="AK158" t="str">
            <v>CDC-8283</v>
          </cell>
          <cell r="AL158" t="str">
            <v>CDC8283</v>
          </cell>
        </row>
        <row r="159">
          <cell r="N159" t="str">
            <v>C.P.L.C./ SAN LUIS MIGRANT HEAD START</v>
          </cell>
          <cell r="O159" t="str">
            <v>1522 EAST C STREET</v>
          </cell>
          <cell r="P159" t="str">
            <v>claudia.ozuna@cplc.org</v>
          </cell>
          <cell r="Q159" t="str">
            <v>CDC-6742</v>
          </cell>
          <cell r="AJ159" t="e">
            <v>#N/A</v>
          </cell>
          <cell r="AK159" t="str">
            <v>CDC-6742</v>
          </cell>
          <cell r="AL159" t="str">
            <v>CDC6742</v>
          </cell>
        </row>
        <row r="160">
          <cell r="N160" t="str">
            <v>C.P.L.C./ SOMERTON MIGRANT &amp; SEASONAL HEAD START</v>
          </cell>
          <cell r="O160" t="str">
            <v>435 WEST JACOBS</v>
          </cell>
          <cell r="P160" t="str">
            <v>elsa.zamudio@cplc.org</v>
          </cell>
          <cell r="Q160" t="str">
            <v>CDC-6741</v>
          </cell>
          <cell r="AJ160" t="e">
            <v>#N/A</v>
          </cell>
          <cell r="AK160" t="str">
            <v>CDC-6741</v>
          </cell>
          <cell r="AL160" t="str">
            <v>CDC6741</v>
          </cell>
        </row>
        <row r="161">
          <cell r="N161" t="str">
            <v>C.P.L.C./ WILLCOX MIGRANT &amp; SEASONAL HEAD START</v>
          </cell>
          <cell r="O161" t="str">
            <v>611 NORTH BISBEE AVENUE</v>
          </cell>
          <cell r="P161" t="str">
            <v>brenda.rivera@cplc.org</v>
          </cell>
          <cell r="Q161" t="str">
            <v>CDC-8720</v>
          </cell>
          <cell r="AJ161" t="e">
            <v>#N/A</v>
          </cell>
          <cell r="AK161" t="str">
            <v>CDC-8720</v>
          </cell>
          <cell r="AL161" t="str">
            <v>CDC8720</v>
          </cell>
        </row>
        <row r="162">
          <cell r="N162" t="str">
            <v>CACTUS KIDS PRESCHOOL</v>
          </cell>
          <cell r="O162" t="str">
            <v>7418 WEST INDIAN SCHOOL ROAD</v>
          </cell>
          <cell r="P162" t="str">
            <v>jenelljones@me.com</v>
          </cell>
          <cell r="Q162" t="str">
            <v>CDC-16807</v>
          </cell>
          <cell r="AJ162" t="e">
            <v>#N/A</v>
          </cell>
          <cell r="AK162" t="str">
            <v>CDC-16807</v>
          </cell>
          <cell r="AL162" t="str">
            <v>CDC16807</v>
          </cell>
        </row>
        <row r="163">
          <cell r="N163" t="str">
            <v>CACTUS WREN COOPERATIVE PRESCHOOL</v>
          </cell>
          <cell r="O163" t="str">
            <v>800 TAYLOR DR</v>
          </cell>
          <cell r="P163" t="str">
            <v>directorcactuswrenpreschool@gmail.com</v>
          </cell>
          <cell r="Q163" t="str">
            <v>CDC-15907</v>
          </cell>
          <cell r="AJ163" t="e">
            <v>#N/A</v>
          </cell>
          <cell r="AK163" t="str">
            <v>CDC-15907</v>
          </cell>
          <cell r="AL163" t="str">
            <v>CDC15907</v>
          </cell>
        </row>
        <row r="164">
          <cell r="N164" t="str">
            <v>CALIBRE ACADEMY SURPRISE</v>
          </cell>
          <cell r="O164" t="str">
            <v>15688 WEST ACOMA DRIVE</v>
          </cell>
          <cell r="P164" t="str">
            <v>sharonkaplan@calibreacademy.com</v>
          </cell>
          <cell r="Q164" t="str">
            <v>CDC-12270</v>
          </cell>
          <cell r="AJ164" t="e">
            <v>#N/A</v>
          </cell>
          <cell r="AK164" t="str">
            <v>CDC-12270</v>
          </cell>
          <cell r="AL164" t="str">
            <v>CDC12270</v>
          </cell>
        </row>
        <row r="165">
          <cell r="N165" t="str">
            <v>CALVARY CENTRAL DAY CARE, INC.</v>
          </cell>
          <cell r="O165" t="str">
            <v>2831 WEST GLENDALE AVENUE</v>
          </cell>
          <cell r="P165" t="str">
            <v>aarenesh@calvarycentral.org</v>
          </cell>
          <cell r="Q165" t="str">
            <v>CDC-13632</v>
          </cell>
          <cell r="AJ165" t="e">
            <v>#N/A</v>
          </cell>
          <cell r="AK165" t="str">
            <v>CDC-13632</v>
          </cell>
          <cell r="AL165" t="str">
            <v>CDC13632</v>
          </cell>
        </row>
        <row r="166">
          <cell r="N166" t="str">
            <v>CALVARY CHRISTIAN ACADEMY</v>
          </cell>
          <cell r="O166" t="str">
            <v>1605 SOUTH MCCULLOCH BLVD</v>
          </cell>
          <cell r="P166" t="str">
            <v>office@ccahavasu.com</v>
          </cell>
          <cell r="Q166" t="str">
            <v>CDC-10906</v>
          </cell>
          <cell r="AJ166" t="e">
            <v>#N/A</v>
          </cell>
          <cell r="AK166" t="str">
            <v>CDC-10906</v>
          </cell>
          <cell r="AL166" t="str">
            <v>CDC10906</v>
          </cell>
        </row>
        <row r="167">
          <cell r="N167" t="str">
            <v>CALVARY CHRISTIAN PRESCHOOL &amp; DAYCARE</v>
          </cell>
          <cell r="O167" t="str">
            <v>2334 EAST SOUTHERN AVENUE</v>
          </cell>
          <cell r="P167" t="str">
            <v>emily-higgins@hotmail.com</v>
          </cell>
          <cell r="Q167" t="str">
            <v>CDC-17022</v>
          </cell>
          <cell r="AJ167" t="e">
            <v>#N/A</v>
          </cell>
          <cell r="AK167" t="str">
            <v>CDC-17022</v>
          </cell>
          <cell r="AL167" t="str">
            <v>CDC17022</v>
          </cell>
        </row>
        <row r="168">
          <cell r="N168" t="str">
            <v>CALVARY CHRISTIAN SCHOOL</v>
          </cell>
          <cell r="O168" t="str">
            <v>19248 EAST SAN TAN BOULEVARD</v>
          </cell>
          <cell r="P168" t="str">
            <v>mary.chapman@ccsqcaz.org</v>
          </cell>
          <cell r="Q168" t="str">
            <v>CDC-11662</v>
          </cell>
          <cell r="AJ168" t="e">
            <v>#N/A</v>
          </cell>
          <cell r="AK168" t="str">
            <v>CDC-11662</v>
          </cell>
          <cell r="AL168" t="str">
            <v>CDC11662</v>
          </cell>
        </row>
        <row r="169">
          <cell r="N169" t="str">
            <v>CALVARY NORTH PRESCHOOL</v>
          </cell>
          <cell r="O169" t="str">
            <v>14201 NORTH 32ND STREET</v>
          </cell>
          <cell r="P169" t="str">
            <v>cindy@calvarynorth.com</v>
          </cell>
          <cell r="Q169" t="str">
            <v>CDC-15937</v>
          </cell>
          <cell r="AJ169" t="e">
            <v>#N/A</v>
          </cell>
          <cell r="AK169" t="str">
            <v>CDC-15937</v>
          </cell>
          <cell r="AL169" t="str">
            <v>CDC15937</v>
          </cell>
        </row>
        <row r="170">
          <cell r="N170" t="str">
            <v>CAMBRIDGE CUBS</v>
          </cell>
          <cell r="O170" t="str">
            <v>20365 EAST OCOTILLO ROAD</v>
          </cell>
          <cell r="P170" t="str">
            <v>juliolinda@yahoo.com</v>
          </cell>
          <cell r="Q170" t="str">
            <v>CDC-18095</v>
          </cell>
          <cell r="AJ170" t="e">
            <v>#N/A</v>
          </cell>
          <cell r="AK170" t="str">
            <v>CDC-18095</v>
          </cell>
          <cell r="AL170" t="str">
            <v>CDC18095</v>
          </cell>
        </row>
        <row r="171">
          <cell r="N171" t="str">
            <v>CAMELBACK CHRISTIAN SCHOOL</v>
          </cell>
          <cell r="O171" t="str">
            <v>3900 EAST STANFORD DRIVE</v>
          </cell>
          <cell r="P171" t="str">
            <v>abell@camelbackbible.com</v>
          </cell>
          <cell r="Q171" t="str">
            <v>CDC-1536</v>
          </cell>
          <cell r="AJ171" t="e">
            <v>#N/A</v>
          </cell>
          <cell r="AK171" t="str">
            <v>CDC-1536</v>
          </cell>
          <cell r="AL171" t="str">
            <v>CDC1536</v>
          </cell>
        </row>
        <row r="172">
          <cell r="N172" t="str">
            <v>CAMELBACK DESERT SCHOOL</v>
          </cell>
          <cell r="O172" t="str">
            <v>9606 EAST KALIL DRIVE</v>
          </cell>
          <cell r="P172" t="str">
            <v>victoria.sully@nlcinc.com</v>
          </cell>
          <cell r="Q172" t="str">
            <v>CDC-14099</v>
          </cell>
          <cell r="AJ172" t="e">
            <v>#N/A</v>
          </cell>
          <cell r="AK172" t="str">
            <v>CDC-14099</v>
          </cell>
          <cell r="AL172" t="str">
            <v>CDC14099</v>
          </cell>
        </row>
        <row r="173">
          <cell r="N173" t="str">
            <v>CAMELBACK HOLISTIC PRESCHOOL</v>
          </cell>
          <cell r="O173" t="str">
            <v>3530 NORTH 32ND STREET</v>
          </cell>
          <cell r="P173" t="str">
            <v>tfominaya@outlook.com</v>
          </cell>
          <cell r="Q173" t="str">
            <v>CDC-17828</v>
          </cell>
          <cell r="AJ173" t="e">
            <v>#N/A</v>
          </cell>
          <cell r="AK173" t="str">
            <v>CDC-17828</v>
          </cell>
          <cell r="AL173" t="str">
            <v>CDC17828</v>
          </cell>
        </row>
        <row r="174">
          <cell r="N174" t="str">
            <v>CAPSTONE QUEST ACADEMY</v>
          </cell>
          <cell r="O174" t="str">
            <v>1150 NORTH COUNTRY CLUB RD</v>
          </cell>
          <cell r="P174" t="str">
            <v>cbravo@amerischools.org</v>
          </cell>
          <cell r="Q174" t="str">
            <v>CDC-17293</v>
          </cell>
          <cell r="AJ174" t="e">
            <v>#N/A</v>
          </cell>
          <cell r="AK174" t="str">
            <v>CDC-17293</v>
          </cell>
          <cell r="AL174" t="str">
            <v>CDC17293</v>
          </cell>
        </row>
        <row r="175">
          <cell r="N175" t="str">
            <v>CAPSTONE QUEST ACADEMY</v>
          </cell>
          <cell r="O175" t="str">
            <v>1220 SOUTH 4TH AVENUE</v>
          </cell>
          <cell r="P175" t="str">
            <v>lmccormack@amerischools.org</v>
          </cell>
          <cell r="Q175" t="str">
            <v>CDC-17301</v>
          </cell>
          <cell r="AJ175" t="e">
            <v>#N/A</v>
          </cell>
          <cell r="AK175" t="str">
            <v>CDC-17301</v>
          </cell>
          <cell r="AL175" t="str">
            <v>CDC17301</v>
          </cell>
        </row>
        <row r="176">
          <cell r="N176" t="str">
            <v>CAPSTONE QUEST ACADEMY</v>
          </cell>
          <cell r="O176" t="str">
            <v>2098 SOUTH 3RD AVENUE</v>
          </cell>
          <cell r="P176" t="str">
            <v>ashleyfox@amerischools.org</v>
          </cell>
          <cell r="Q176" t="str">
            <v>CDC-17302</v>
          </cell>
          <cell r="AJ176" t="e">
            <v>#N/A</v>
          </cell>
          <cell r="AK176" t="str">
            <v>CDC-17302</v>
          </cell>
          <cell r="AL176" t="str">
            <v>CDC17302</v>
          </cell>
        </row>
        <row r="177">
          <cell r="N177" t="str">
            <v>CARDEN CHRISTIAN ACADEMY CENTRAL</v>
          </cell>
          <cell r="O177" t="str">
            <v>2727 NORTH SWAN ROAD</v>
          </cell>
          <cell r="P177" t="str">
            <v>ccacnsbc@qwestoffice.net</v>
          </cell>
          <cell r="Q177" t="str">
            <v>CDC-8409</v>
          </cell>
          <cell r="AJ177" t="e">
            <v>#N/A</v>
          </cell>
          <cell r="AK177" t="str">
            <v>CDC-8409</v>
          </cell>
          <cell r="AL177" t="str">
            <v>CDC8409</v>
          </cell>
        </row>
        <row r="178">
          <cell r="N178" t="str">
            <v>CAREBEAR PRESCHOOL</v>
          </cell>
          <cell r="O178" t="str">
            <v>244 WEST CHANDLER HEIGHTS ROAD</v>
          </cell>
          <cell r="P178" t="str">
            <v>missbecky@carebearpreschool.com</v>
          </cell>
          <cell r="Q178" t="str">
            <v>CDC-14055</v>
          </cell>
          <cell r="AJ178" t="e">
            <v>#N/A</v>
          </cell>
          <cell r="AK178" t="str">
            <v>CDC-14055</v>
          </cell>
          <cell r="AL178" t="str">
            <v>CDC14055</v>
          </cell>
        </row>
        <row r="179">
          <cell r="N179" t="str">
            <v>CAREER SUCCESS SAGE</v>
          </cell>
          <cell r="O179" t="str">
            <v>3120 NORTH 32ND STREET</v>
          </cell>
          <cell r="P179" t="str">
            <v>rgutierrez@csschools.com</v>
          </cell>
          <cell r="Q179" t="str">
            <v>CDC-15245</v>
          </cell>
          <cell r="AJ179" t="e">
            <v>#N/A</v>
          </cell>
          <cell r="AK179" t="str">
            <v>CDC-15245</v>
          </cell>
          <cell r="AL179" t="str">
            <v>CDC15245</v>
          </cell>
        </row>
        <row r="180">
          <cell r="N180" t="str">
            <v>CARMICHAEL HEAD START</v>
          </cell>
          <cell r="O180" t="str">
            <v>701 CARMICHAEL AVENUE</v>
          </cell>
          <cell r="P180" t="str">
            <v>carmichael@childparentcenters.org</v>
          </cell>
          <cell r="Q180" t="str">
            <v>CDC-3752</v>
          </cell>
          <cell r="AJ180">
            <v>9851</v>
          </cell>
          <cell r="AK180" t="str">
            <v>CDC-3752</v>
          </cell>
          <cell r="AL180" t="str">
            <v>CDC3752</v>
          </cell>
        </row>
        <row r="181">
          <cell r="N181" t="str">
            <v>CASA DE LOS NINOS KELLY EARLY EDUCATION CENTER</v>
          </cell>
          <cell r="O181" t="str">
            <v>328 EAST HELEN STREET</v>
          </cell>
          <cell r="P181" t="str">
            <v>kellyearlyeducationcenter@casadelosninos.org</v>
          </cell>
          <cell r="Q181" t="str">
            <v>CDC-18560</v>
          </cell>
          <cell r="AJ181">
            <v>1000256</v>
          </cell>
          <cell r="AK181" t="str">
            <v>CDC-18560</v>
          </cell>
          <cell r="AL181" t="str">
            <v>CDC18560</v>
          </cell>
        </row>
        <row r="182">
          <cell r="N182" t="str">
            <v>CASA DE NINOS</v>
          </cell>
          <cell r="O182" t="str">
            <v>585 EAST 16TH STREET</v>
          </cell>
          <cell r="P182" t="str">
            <v>casadeninos2@gmail.com</v>
          </cell>
          <cell r="Q182" t="str">
            <v>CDC-11289</v>
          </cell>
          <cell r="AJ182" t="e">
            <v>#N/A</v>
          </cell>
          <cell r="AK182" t="str">
            <v>CDC-11289</v>
          </cell>
          <cell r="AL182" t="str">
            <v>CDC11289</v>
          </cell>
        </row>
        <row r="183">
          <cell r="N183" t="str">
            <v>CASA DEL NINO BILINGUAL MONTESSORI ELEMENTARY SCHOOL</v>
          </cell>
          <cell r="O183" t="str">
            <v>2625 WEST QUEEN CREEK ROAD STE 6</v>
          </cell>
          <cell r="P183" t="str">
            <v>director@casadelnino.co</v>
          </cell>
          <cell r="Q183" t="str">
            <v>CDC-16378</v>
          </cell>
          <cell r="AJ183" t="e">
            <v>#N/A</v>
          </cell>
          <cell r="AK183" t="str">
            <v>CDC-16378</v>
          </cell>
          <cell r="AL183" t="str">
            <v>CDC16378</v>
          </cell>
        </row>
        <row r="184">
          <cell r="N184" t="str">
            <v>CASA DEL SOL MONTESSORI</v>
          </cell>
          <cell r="O184" t="str">
            <v>13206 NORTH 7TH STREET</v>
          </cell>
          <cell r="P184" t="str">
            <v>casadelsolmontessori@gmail.com</v>
          </cell>
          <cell r="Q184" t="str">
            <v>CDC-18209</v>
          </cell>
          <cell r="AJ184" t="e">
            <v>#N/A</v>
          </cell>
          <cell r="AK184" t="str">
            <v>CDC-18209</v>
          </cell>
          <cell r="AL184" t="str">
            <v>CDC18209</v>
          </cell>
        </row>
        <row r="185">
          <cell r="N185" t="str">
            <v>CASA GRANDE HEAD START</v>
          </cell>
          <cell r="O185" t="str">
            <v>468 WEST MCMURRAY BOULEVARD</v>
          </cell>
          <cell r="P185" t="str">
            <v>amy.hust@pgccs.org</v>
          </cell>
          <cell r="Q185" t="str">
            <v>CDC-8014</v>
          </cell>
          <cell r="AJ185">
            <v>10086</v>
          </cell>
          <cell r="AK185" t="str">
            <v>CDC-8014</v>
          </cell>
          <cell r="AL185" t="str">
            <v>CDC8014</v>
          </cell>
        </row>
        <row r="186">
          <cell r="N186" t="str">
            <v>CASA NINOS SCHOOL OF MONTESSORI</v>
          </cell>
          <cell r="O186" t="str">
            <v>8655 EAST BROADWAY</v>
          </cell>
          <cell r="P186" t="str">
            <v>jruth1@cox.net</v>
          </cell>
          <cell r="Q186" t="str">
            <v>CDC-4228</v>
          </cell>
          <cell r="AJ186" t="e">
            <v>#N/A</v>
          </cell>
          <cell r="AK186" t="str">
            <v>CDC-4228</v>
          </cell>
          <cell r="AL186" t="str">
            <v>CDC4228</v>
          </cell>
        </row>
        <row r="187">
          <cell r="N187" t="str">
            <v>CASITA DAYCARE &amp; PRESCHOOL</v>
          </cell>
          <cell r="O187" t="str">
            <v>1440 WEST AJO WAY</v>
          </cell>
          <cell r="P187" t="str">
            <v>tucsonarizonadavid@gmail.com</v>
          </cell>
          <cell r="Q187" t="str">
            <v>CDC-18433</v>
          </cell>
          <cell r="AJ187">
            <v>1000171</v>
          </cell>
          <cell r="AK187" t="str">
            <v>CDC-18433</v>
          </cell>
          <cell r="AL187" t="str">
            <v>CDC18433</v>
          </cell>
        </row>
        <row r="188">
          <cell r="N188" t="str">
            <v>CASTLEHILL COUNTRY DAY SCHOOL</v>
          </cell>
          <cell r="O188" t="str">
            <v>3225 NORTH CRAYCROFT</v>
          </cell>
          <cell r="P188" t="str">
            <v>tbartlett@stgphx.com</v>
          </cell>
          <cell r="Q188" t="str">
            <v>CDC-1930</v>
          </cell>
          <cell r="AJ188" t="e">
            <v>#N/A</v>
          </cell>
          <cell r="AK188" t="str">
            <v>CDC-1930</v>
          </cell>
          <cell r="AL188" t="str">
            <v>CDC1930</v>
          </cell>
        </row>
        <row r="189">
          <cell r="N189" t="str">
            <v>CATALINA CHRISTIAN LEARNING CENTER</v>
          </cell>
          <cell r="O189" t="str">
            <v>3505 EAST WILDS ROAD</v>
          </cell>
          <cell r="P189" t="str">
            <v>catalinachristianlearningctr@gmail.com</v>
          </cell>
          <cell r="Q189" t="str">
            <v>CDC-15004</v>
          </cell>
          <cell r="AJ189" t="e">
            <v>#N/A</v>
          </cell>
          <cell r="AK189" t="str">
            <v>CDC-15004</v>
          </cell>
          <cell r="AL189" t="str">
            <v>CDC15004</v>
          </cell>
        </row>
        <row r="190">
          <cell r="N190" t="str">
            <v>CATALINA METHODIST DAY SCHOOL</v>
          </cell>
          <cell r="O190" t="str">
            <v>2700 EAST SPEEDWAY BLVD.</v>
          </cell>
          <cell r="P190" t="str">
            <v>carolyn@catalinamethodist.org</v>
          </cell>
          <cell r="Q190" t="str">
            <v>CDC-0278</v>
          </cell>
          <cell r="AJ190">
            <v>9724</v>
          </cell>
          <cell r="AK190" t="str">
            <v>CDC-0278</v>
          </cell>
          <cell r="AL190" t="str">
            <v>CDC0278</v>
          </cell>
        </row>
        <row r="191">
          <cell r="N191" t="str">
            <v>CAURUS EXPLORERS, L.L.C.</v>
          </cell>
          <cell r="O191" t="str">
            <v>41900 NORTH 42ND AVENUE</v>
          </cell>
          <cell r="P191" t="str">
            <v>dameon.blair@caurusacademy.org</v>
          </cell>
          <cell r="Q191" t="str">
            <v>CDC-17581</v>
          </cell>
          <cell r="AJ191" t="e">
            <v>#N/A</v>
          </cell>
          <cell r="AK191" t="str">
            <v>CDC-17581</v>
          </cell>
          <cell r="AL191" t="str">
            <v>CDC17581</v>
          </cell>
        </row>
        <row r="192">
          <cell r="N192" t="str">
            <v>CAVE CREEK MONTESSORI</v>
          </cell>
          <cell r="O192" t="str">
            <v>29209 NORTH 56TH STREET</v>
          </cell>
          <cell r="P192" t="str">
            <v>kelsey.catalo@gmail.com</v>
          </cell>
          <cell r="Q192" t="str">
            <v>CDC-7912</v>
          </cell>
          <cell r="AJ192" t="e">
            <v>#N/A</v>
          </cell>
          <cell r="AK192" t="str">
            <v>CDC-7912</v>
          </cell>
          <cell r="AL192" t="str">
            <v>CDC7912</v>
          </cell>
        </row>
        <row r="193">
          <cell r="N193" t="str">
            <v>CAVETT HEAD START</v>
          </cell>
          <cell r="O193" t="str">
            <v>2125 EAST POQUITA VISTA</v>
          </cell>
          <cell r="P193" t="str">
            <v>cavett@childparentcenters.org</v>
          </cell>
          <cell r="Q193" t="str">
            <v>CDC-10823</v>
          </cell>
          <cell r="AJ193">
            <v>84338</v>
          </cell>
          <cell r="AK193" t="str">
            <v>CDC-10823</v>
          </cell>
          <cell r="AL193" t="str">
            <v>CDC10823</v>
          </cell>
        </row>
        <row r="194">
          <cell r="N194" t="str">
            <v>CEDAR TREE MONTESSORI INC</v>
          </cell>
          <cell r="O194" t="str">
            <v>129 NORTH PLEASANT STREET</v>
          </cell>
          <cell r="P194" t="str">
            <v>cedartreemontessori@gmail.com</v>
          </cell>
          <cell r="Q194" t="str">
            <v>CDC-16315</v>
          </cell>
          <cell r="AJ194" t="e">
            <v>#N/A</v>
          </cell>
          <cell r="AK194" t="str">
            <v>CDC-16315</v>
          </cell>
          <cell r="AL194" t="str">
            <v>CDC16315</v>
          </cell>
        </row>
        <row r="195">
          <cell r="N195" t="str">
            <v>CHABAD ALEPH BET PRESCHOOL</v>
          </cell>
          <cell r="O195" t="str">
            <v>2110 EAST LINCOLN DRIVE</v>
          </cell>
          <cell r="P195" t="str">
            <v>mussie@alephbetaz.com</v>
          </cell>
          <cell r="Q195" t="str">
            <v>CDC-10971</v>
          </cell>
          <cell r="AJ195" t="e">
            <v>#N/A</v>
          </cell>
          <cell r="AK195" t="str">
            <v>CDC-10971</v>
          </cell>
          <cell r="AL195" t="str">
            <v>CDC10971</v>
          </cell>
        </row>
        <row r="196">
          <cell r="N196" t="str">
            <v>CHAI CHILDHOOD CENTER</v>
          </cell>
          <cell r="O196" t="str">
            <v>4645 EAST MARILYN ROAD</v>
          </cell>
          <cell r="P196" t="str">
            <v>mpassell@templechai.com</v>
          </cell>
          <cell r="Q196" t="str">
            <v>CDC-10891</v>
          </cell>
          <cell r="AJ196" t="e">
            <v>#N/A</v>
          </cell>
          <cell r="AK196" t="str">
            <v>CDC-10891</v>
          </cell>
          <cell r="AL196" t="str">
            <v>CDC10891</v>
          </cell>
        </row>
        <row r="197">
          <cell r="N197" t="str">
            <v>CHALLENGE CHARTER SCHOOL</v>
          </cell>
          <cell r="O197" t="str">
            <v>5801 WEST GREENBRIAR DRIVE</v>
          </cell>
          <cell r="P197" t="str">
            <v>scalderon@challengecharterschool.net</v>
          </cell>
          <cell r="Q197" t="str">
            <v>CDC-10209</v>
          </cell>
          <cell r="AJ197" t="e">
            <v>#N/A</v>
          </cell>
          <cell r="AK197" t="str">
            <v>CDC-10209</v>
          </cell>
          <cell r="AL197" t="str">
            <v>CDC10209</v>
          </cell>
        </row>
        <row r="198">
          <cell r="N198" t="str">
            <v>CHALLENGER HEAD START</v>
          </cell>
          <cell r="O198" t="str">
            <v>901 EAST CALLE MEYER</v>
          </cell>
          <cell r="P198" t="str">
            <v>challenger@childparentcenters.org</v>
          </cell>
          <cell r="Q198" t="str">
            <v>CDC-3861</v>
          </cell>
          <cell r="AJ198">
            <v>7930</v>
          </cell>
          <cell r="AK198" t="str">
            <v>CDC-3861</v>
          </cell>
          <cell r="AL198" t="str">
            <v>CDC3861</v>
          </cell>
        </row>
        <row r="199">
          <cell r="N199" t="str">
            <v>CHAMPION - SAN TAN VALLEY</v>
          </cell>
          <cell r="O199" t="str">
            <v>1846 EAST BELLA VISTA ROAD</v>
          </cell>
          <cell r="P199" t="str">
            <v>llewis@championschool.org</v>
          </cell>
          <cell r="Q199" t="str">
            <v>CDC-18158</v>
          </cell>
          <cell r="AJ199" t="e">
            <v>#N/A</v>
          </cell>
          <cell r="AK199" t="str">
            <v>CDC-18158</v>
          </cell>
          <cell r="AL199" t="str">
            <v>CDC18158</v>
          </cell>
        </row>
        <row r="200">
          <cell r="N200" t="str">
            <v>CHAMPION CHANDLER PRESCHOOL</v>
          </cell>
          <cell r="O200" t="str">
            <v>250 SOUTH MCQUEEN ROAD</v>
          </cell>
          <cell r="P200" t="str">
            <v>mkingmixay@championschools.org</v>
          </cell>
          <cell r="Q200" t="str">
            <v>CDC-17487</v>
          </cell>
          <cell r="AJ200" t="e">
            <v>#N/A</v>
          </cell>
          <cell r="AK200" t="str">
            <v>CDC-17487</v>
          </cell>
          <cell r="AL200" t="str">
            <v>CDC17487</v>
          </cell>
        </row>
        <row r="201">
          <cell r="N201" t="str">
            <v>CHAMPION SCHOOLS - SOUTH MOUNTAIN</v>
          </cell>
          <cell r="O201" t="str">
            <v>7900 SOUTH JESSE OWENS PARKWAY</v>
          </cell>
          <cell r="P201" t="str">
            <v>sruiz@championschools.org</v>
          </cell>
          <cell r="Q201" t="str">
            <v>CDC-17872</v>
          </cell>
          <cell r="AJ201" t="e">
            <v>#N/A</v>
          </cell>
          <cell r="AK201" t="str">
            <v>CDC-17872</v>
          </cell>
          <cell r="AL201" t="str">
            <v>CDC17872</v>
          </cell>
        </row>
        <row r="202">
          <cell r="N202" t="str">
            <v>CHANDLER JEWISH PRESCHOOL &amp; KINDERGARTEN</v>
          </cell>
          <cell r="O202" t="str">
            <v>875 NORTH MCCLINTOCK DRIVE</v>
          </cell>
          <cell r="P202" t="str">
            <v>rabbi@chabadcenter.com</v>
          </cell>
          <cell r="Q202" t="str">
            <v>CDC-16683</v>
          </cell>
          <cell r="AJ202" t="e">
            <v>#N/A</v>
          </cell>
          <cell r="AK202" t="str">
            <v>CDC-16683</v>
          </cell>
          <cell r="AL202" t="str">
            <v>CDC16683</v>
          </cell>
        </row>
        <row r="203">
          <cell r="N203" t="str">
            <v>CHANDLER LEARNING ACADEMY</v>
          </cell>
          <cell r="O203" t="str">
            <v>5792 WEST OAKLAND STREET</v>
          </cell>
          <cell r="P203" t="str">
            <v>chandlerlearning@hotmail.com</v>
          </cell>
          <cell r="Q203" t="str">
            <v>CDC-18014</v>
          </cell>
          <cell r="AJ203" t="e">
            <v>#N/A</v>
          </cell>
          <cell r="AK203" t="str">
            <v>CDC-18014</v>
          </cell>
          <cell r="AL203" t="str">
            <v>CDC18014</v>
          </cell>
        </row>
        <row r="204">
          <cell r="N204" t="str">
            <v>CHAPARRAL CHRISTIAN SCHOOL</v>
          </cell>
          <cell r="O204" t="str">
            <v>6451 EAST SHEA BOULEVARD</v>
          </cell>
          <cell r="P204" t="str">
            <v>ccpk@chaparral.org</v>
          </cell>
          <cell r="Q204" t="str">
            <v>CDC-4484</v>
          </cell>
          <cell r="AJ204" t="e">
            <v>#N/A</v>
          </cell>
          <cell r="AK204" t="str">
            <v>CDC-4484</v>
          </cell>
          <cell r="AL204" t="str">
            <v>CDC4484</v>
          </cell>
        </row>
        <row r="205">
          <cell r="N205" t="str">
            <v>CHICANOS POR LA CAUSA - DYSART MIGRANT &amp; SEASONAL HEAD START</v>
          </cell>
          <cell r="O205" t="str">
            <v>15815 NORTH DESERT SAGE</v>
          </cell>
          <cell r="P205" t="str">
            <v>aneyka.montoyai@cplc.org</v>
          </cell>
          <cell r="Q205" t="str">
            <v>CDC-9007</v>
          </cell>
          <cell r="AJ205" t="e">
            <v>#N/A</v>
          </cell>
          <cell r="AK205" t="str">
            <v>CDC-9007</v>
          </cell>
          <cell r="AL205" t="str">
            <v>CDC9007</v>
          </cell>
        </row>
        <row r="206">
          <cell r="N206" t="str">
            <v>CHICANOS POR LA CAUSA - PHOENIX EARLY HEAD START</v>
          </cell>
          <cell r="O206" t="str">
            <v>1402 SOUTH CENTRAL AVENUE</v>
          </cell>
          <cell r="P206" t="str">
            <v>marijo.salazar@cplc.org</v>
          </cell>
          <cell r="Q206" t="str">
            <v>CDC-10099</v>
          </cell>
          <cell r="AJ206" t="e">
            <v>#N/A</v>
          </cell>
          <cell r="AK206" t="str">
            <v>CDC-10099</v>
          </cell>
          <cell r="AL206" t="str">
            <v>CDC10099</v>
          </cell>
        </row>
        <row r="207">
          <cell r="N207" t="str">
            <v>CHICANOS POR LA CAUSA INC/ MURPHY E.C.D.</v>
          </cell>
          <cell r="O207" t="str">
            <v>3140 WEST BUCKEYE ROAD</v>
          </cell>
          <cell r="P207" t="str">
            <v>carol.odomirok@cplc.org</v>
          </cell>
          <cell r="Q207" t="str">
            <v>CDC-15354</v>
          </cell>
          <cell r="AJ207" t="e">
            <v>#N/A</v>
          </cell>
          <cell r="AK207" t="str">
            <v>CDC-15354</v>
          </cell>
          <cell r="AL207" t="str">
            <v>CDC15354</v>
          </cell>
        </row>
        <row r="208">
          <cell r="N208" t="str">
            <v>CHILD CRISIS ARIZONA EARLY EDUCATION SERVICES</v>
          </cell>
          <cell r="O208" t="str">
            <v>402 NORTH 24TH STREET</v>
          </cell>
          <cell r="P208" t="str">
            <v>kristin.andrew@childcrisisaz.org</v>
          </cell>
          <cell r="Q208" t="str">
            <v>CDC-8249</v>
          </cell>
          <cell r="AJ208" t="e">
            <v>#N/A</v>
          </cell>
          <cell r="AK208" t="str">
            <v>CDC-8249</v>
          </cell>
          <cell r="AL208" t="str">
            <v>CDC8249</v>
          </cell>
        </row>
        <row r="209">
          <cell r="N209" t="str">
            <v>CHILD CRISIS ARIZONA EARLY EDUCATION SERVICES-MESA</v>
          </cell>
          <cell r="O209" t="str">
            <v>817 NORTH COUNTRY CLUB DRIVE</v>
          </cell>
          <cell r="P209" t="str">
            <v>kristin.andrew@childcrisisaz.org</v>
          </cell>
          <cell r="Q209" t="str">
            <v>CDC-17844</v>
          </cell>
          <cell r="AJ209" t="e">
            <v>#N/A</v>
          </cell>
          <cell r="AK209" t="str">
            <v>CDC-17844</v>
          </cell>
          <cell r="AL209" t="str">
            <v>CDC17844</v>
          </cell>
        </row>
        <row r="210">
          <cell r="N210" t="str">
            <v>CHILD ENRICHMENT CENTER</v>
          </cell>
          <cell r="O210" t="str">
            <v>405 NORTH 3RD STREET</v>
          </cell>
          <cell r="P210" t="str">
            <v>farmanfire@aol.com</v>
          </cell>
          <cell r="Q210" t="str">
            <v>CDC-1407</v>
          </cell>
          <cell r="AJ210" t="e">
            <v>#N/A</v>
          </cell>
          <cell r="AK210" t="str">
            <v>CDC-1407</v>
          </cell>
          <cell r="AL210" t="str">
            <v>CDC1407</v>
          </cell>
        </row>
        <row r="211">
          <cell r="N211" t="str">
            <v>CHILDREN OF HOPE CHILD DEVELOPMENT CENTER</v>
          </cell>
          <cell r="O211" t="str">
            <v>2601 EAST THUNDERHILL PLACE</v>
          </cell>
          <cell r="P211" t="str">
            <v>childrenofhope@myesperanza.org</v>
          </cell>
          <cell r="Q211" t="str">
            <v>CDC-13476</v>
          </cell>
          <cell r="AJ211" t="e">
            <v>#N/A</v>
          </cell>
          <cell r="AK211" t="str">
            <v>CDC-13476</v>
          </cell>
          <cell r="AL211" t="str">
            <v>CDC13476</v>
          </cell>
        </row>
        <row r="212">
          <cell r="N212" t="str">
            <v>CHILDREN ONLY</v>
          </cell>
          <cell r="O212" t="str">
            <v>850 SOUTH IRONWOOD DRIVE  #114</v>
          </cell>
          <cell r="P212" t="str">
            <v>jfranc4997@aol.com</v>
          </cell>
          <cell r="Q212" t="str">
            <v>CDC-10912</v>
          </cell>
          <cell r="AJ212" t="e">
            <v>#N/A</v>
          </cell>
          <cell r="AK212" t="str">
            <v>CDC-10912</v>
          </cell>
          <cell r="AL212" t="str">
            <v>CDC10912</v>
          </cell>
        </row>
        <row r="213">
          <cell r="N213" t="str">
            <v>CHILDREN'S ACHIEVEMENT CENTER</v>
          </cell>
          <cell r="O213" t="str">
            <v>330 NORTH COMMERCE PARK LOOP</v>
          </cell>
          <cell r="P213" t="str">
            <v>kperez@blake.easterseals.com</v>
          </cell>
          <cell r="Q213" t="str">
            <v>CDC-8494</v>
          </cell>
          <cell r="AJ213">
            <v>9740</v>
          </cell>
          <cell r="AK213" t="str">
            <v>CDC-8494</v>
          </cell>
          <cell r="AL213" t="str">
            <v>CDC8494</v>
          </cell>
        </row>
        <row r="214">
          <cell r="N214" t="str">
            <v>CHILDREN'S CAMPUS</v>
          </cell>
          <cell r="O214" t="str">
            <v>2830 NORTH 43RD AVENUE</v>
          </cell>
          <cell r="P214" t="str">
            <v>ccthomas2830@yahoo.com</v>
          </cell>
          <cell r="Q214" t="str">
            <v>CDC-1247</v>
          </cell>
          <cell r="AJ214">
            <v>9174</v>
          </cell>
          <cell r="AK214" t="str">
            <v>CDC-1247</v>
          </cell>
          <cell r="AL214" t="str">
            <v>CDC1247</v>
          </cell>
        </row>
        <row r="215">
          <cell r="N215" t="str">
            <v>CHILDREN'S CHOICE - SEQUOYA ELEMENTARY</v>
          </cell>
          <cell r="O215" t="str">
            <v>11808 NORTH 64TH STREET</v>
          </cell>
          <cell r="P215" t="str">
            <v>phutchinson@susdgapps.org</v>
          </cell>
          <cell r="Q215" t="str">
            <v>CDC-10425</v>
          </cell>
          <cell r="AJ215" t="e">
            <v>#N/A</v>
          </cell>
          <cell r="AK215" t="str">
            <v>CDC-10425</v>
          </cell>
          <cell r="AL215" t="str">
            <v>CDC10425</v>
          </cell>
        </row>
        <row r="216">
          <cell r="N216" t="str">
            <v>CHILDREN'S COUNTRY CLUB</v>
          </cell>
          <cell r="O216" t="str">
            <v>8935 NORTH 35TH AVENUE</v>
          </cell>
          <cell r="P216" t="str">
            <v>jasonblutter@gmail.com</v>
          </cell>
          <cell r="Q216" t="str">
            <v>CDC-14124</v>
          </cell>
          <cell r="AJ216">
            <v>90079</v>
          </cell>
          <cell r="AK216" t="str">
            <v>CDC-14124</v>
          </cell>
          <cell r="AL216" t="str">
            <v>CDC14124</v>
          </cell>
        </row>
        <row r="217">
          <cell r="N217" t="str">
            <v>CHILDREN'S DAY CARE CENTER</v>
          </cell>
          <cell r="O217" t="str">
            <v>1701 SOUTH AVENUE  B SUITE 101-103</v>
          </cell>
          <cell r="P217" t="str">
            <v>childrens20011@hotmail.com</v>
          </cell>
          <cell r="Q217" t="str">
            <v>CDC-16369</v>
          </cell>
          <cell r="AJ217" t="e">
            <v>#N/A</v>
          </cell>
          <cell r="AK217" t="str">
            <v>CDC-16369</v>
          </cell>
          <cell r="AL217" t="str">
            <v>CDC16369</v>
          </cell>
        </row>
        <row r="218">
          <cell r="N218" t="str">
            <v>CHILDREN'S LEARNING ADVENTURE CHILDCARE CENTER</v>
          </cell>
          <cell r="O218" t="str">
            <v>7616 SOUTH 55TH AVENUE</v>
          </cell>
          <cell r="P218" t="str">
            <v>csodja@childrenslearningadventure.com</v>
          </cell>
          <cell r="Q218" t="str">
            <v>CDC-14185</v>
          </cell>
          <cell r="AJ218">
            <v>90121</v>
          </cell>
          <cell r="AK218" t="str">
            <v>CDC-14185</v>
          </cell>
          <cell r="AL218" t="str">
            <v>CDC14185</v>
          </cell>
        </row>
        <row r="219">
          <cell r="N219" t="str">
            <v>CHILDREN'S LEARNING ADVENTURE CHILDCARE CENTER</v>
          </cell>
          <cell r="O219" t="str">
            <v>20600 NORTH JOHN WAYNE PKWY</v>
          </cell>
          <cell r="P219" t="str">
            <v>tvenegas@childrenslearningadventure.com</v>
          </cell>
          <cell r="Q219" t="str">
            <v>CDC-14193</v>
          </cell>
          <cell r="AJ219">
            <v>90102</v>
          </cell>
          <cell r="AK219" t="str">
            <v>CDC-14193</v>
          </cell>
          <cell r="AL219" t="str">
            <v>CDC14193</v>
          </cell>
        </row>
        <row r="220">
          <cell r="N220" t="str">
            <v>CHILDREN'S LEARNING ADVENTURE CHILDCARE CENTER</v>
          </cell>
          <cell r="O220" t="str">
            <v>2190 W RIVER ROAD</v>
          </cell>
          <cell r="P220" t="str">
            <v>csodja@childrenslearningadventure.com</v>
          </cell>
          <cell r="Q220" t="str">
            <v>CDC-14288</v>
          </cell>
          <cell r="AJ220">
            <v>90129</v>
          </cell>
          <cell r="AK220" t="str">
            <v>CDC-14288</v>
          </cell>
          <cell r="AL220" t="str">
            <v>CDC14288</v>
          </cell>
        </row>
        <row r="221">
          <cell r="N221" t="str">
            <v>CHILDREN'S LEARNING ADVENTURE CHILDCARE CENTER</v>
          </cell>
          <cell r="O221" t="str">
            <v>3690 EAST HEMISPHERE LOOP</v>
          </cell>
          <cell r="P221" t="str">
            <v>csodja@childrenslearningadventure.com</v>
          </cell>
          <cell r="Q221" t="str">
            <v>CDC-14945</v>
          </cell>
          <cell r="AJ221">
            <v>90519</v>
          </cell>
          <cell r="AK221" t="str">
            <v>CDC-14945</v>
          </cell>
          <cell r="AL221" t="str">
            <v>CDC14945</v>
          </cell>
        </row>
        <row r="222">
          <cell r="N222" t="str">
            <v>CHILDREN'S LEARNING ADVENTURE CHILDCARE CENTER</v>
          </cell>
          <cell r="O222" t="str">
            <v>14775 NORTH SCOTTSDALE ROAD</v>
          </cell>
          <cell r="P222" t="str">
            <v>bsoliz@childrenslearningadventure.com</v>
          </cell>
          <cell r="Q222" t="str">
            <v>CDC-16284</v>
          </cell>
          <cell r="AJ222" t="e">
            <v>#N/A</v>
          </cell>
          <cell r="AK222" t="str">
            <v>CDC-16284</v>
          </cell>
          <cell r="AL222" t="str">
            <v>CDC16284</v>
          </cell>
        </row>
        <row r="223">
          <cell r="N223" t="str">
            <v>CHILDREN'S PLACE LEARNING CENTER</v>
          </cell>
          <cell r="O223" t="str">
            <v>4541 NORTH 7TH STREET</v>
          </cell>
          <cell r="P223" t="str">
            <v>carefuntime@gmail.com</v>
          </cell>
          <cell r="Q223" t="str">
            <v>CDC-17201</v>
          </cell>
          <cell r="AJ223" t="e">
            <v>#N/A</v>
          </cell>
          <cell r="AK223" t="str">
            <v>CDC-17201</v>
          </cell>
          <cell r="AL223" t="str">
            <v>CDC17201</v>
          </cell>
        </row>
        <row r="224">
          <cell r="N224" t="str">
            <v>CHILDREN'S PLAYHOUSE PRESCHOOL</v>
          </cell>
          <cell r="O224" t="str">
            <v>1940 WEST GREENWAY ROAD</v>
          </cell>
          <cell r="P224" t="str">
            <v>inshala01@aol.com</v>
          </cell>
          <cell r="Q224" t="str">
            <v>CDC-8382</v>
          </cell>
          <cell r="AJ224" t="e">
            <v>#N/A</v>
          </cell>
          <cell r="AK224" t="str">
            <v>CDC-8382</v>
          </cell>
          <cell r="AL224" t="str">
            <v>CDC8382</v>
          </cell>
        </row>
        <row r="225">
          <cell r="N225" t="str">
            <v>CHILDREN'S SAFARI LEARNING CENTER L L C</v>
          </cell>
          <cell r="O225" t="str">
            <v>7307 EAST HAMPTON AVENUE STE 103</v>
          </cell>
          <cell r="P225" t="str">
            <v>admin@azchildrenssafari.com</v>
          </cell>
          <cell r="Q225" t="str">
            <v>CDC-13554</v>
          </cell>
          <cell r="AJ225" t="e">
            <v>#N/A</v>
          </cell>
          <cell r="AK225" t="str">
            <v>CDC-13554</v>
          </cell>
          <cell r="AL225" t="str">
            <v>CDC13554</v>
          </cell>
        </row>
        <row r="226">
          <cell r="N226" t="str">
            <v>CHILDRENS LEARNING CENTER OF VINEYARD</v>
          </cell>
          <cell r="O226" t="str">
            <v>6422 NORTH 65TH DRIVE</v>
          </cell>
          <cell r="P226" t="str">
            <v>selinai1@aol.com</v>
          </cell>
          <cell r="Q226" t="str">
            <v>CDC-16900</v>
          </cell>
          <cell r="AJ226" t="e">
            <v>#N/A</v>
          </cell>
          <cell r="AK226" t="str">
            <v>CDC-16900</v>
          </cell>
          <cell r="AL226" t="str">
            <v>CDC16900</v>
          </cell>
        </row>
        <row r="227">
          <cell r="N227" t="str">
            <v>CHILDTIME CHILD CARE</v>
          </cell>
          <cell r="O227" t="str">
            <v>1299 NORTH 7TH STREET</v>
          </cell>
          <cell r="P227" t="str">
            <v>1433@childtime.com</v>
          </cell>
          <cell r="Q227" t="str">
            <v>CDC-1106</v>
          </cell>
          <cell r="AJ227">
            <v>9469</v>
          </cell>
          <cell r="AK227" t="str">
            <v>CDC-1106</v>
          </cell>
          <cell r="AL227" t="str">
            <v>CDC1106</v>
          </cell>
        </row>
        <row r="228">
          <cell r="N228" t="str">
            <v>CHILDTIME CHILDCARE</v>
          </cell>
          <cell r="O228" t="str">
            <v>5050 EAST WARNER ROAD</v>
          </cell>
          <cell r="P228" t="str">
            <v>1414@childtime.com</v>
          </cell>
          <cell r="Q228" t="str">
            <v>CDC-1220</v>
          </cell>
          <cell r="AJ228">
            <v>89716</v>
          </cell>
          <cell r="AK228" t="str">
            <v>CDC-1220</v>
          </cell>
          <cell r="AL228" t="str">
            <v>CDC1220</v>
          </cell>
        </row>
        <row r="229">
          <cell r="N229" t="str">
            <v>CHILDTIME CHILDCARE</v>
          </cell>
          <cell r="O229" t="str">
            <v>7090 NORTH THORNYDALE</v>
          </cell>
          <cell r="P229" t="str">
            <v>1413@childtime.com</v>
          </cell>
          <cell r="Q229" t="str">
            <v>CDC-1627</v>
          </cell>
          <cell r="AJ229">
            <v>9473</v>
          </cell>
          <cell r="AK229" t="str">
            <v>CDC-1627</v>
          </cell>
          <cell r="AL229" t="str">
            <v>CDC1627</v>
          </cell>
        </row>
        <row r="230">
          <cell r="N230" t="str">
            <v>CHILDTIME CHILDCARE</v>
          </cell>
          <cell r="O230" t="str">
            <v>109 EAST OAK AVENUE</v>
          </cell>
          <cell r="P230" t="str">
            <v>1460@childtime.com</v>
          </cell>
          <cell r="Q230" t="str">
            <v>CDC-6624</v>
          </cell>
          <cell r="AJ230">
            <v>9475</v>
          </cell>
          <cell r="AK230" t="str">
            <v>CDC-6624</v>
          </cell>
          <cell r="AL230" t="str">
            <v>CDC6624</v>
          </cell>
        </row>
        <row r="231">
          <cell r="N231" t="str">
            <v>CHILDTIME CHILDREN'S CENTER</v>
          </cell>
          <cell r="O231" t="str">
            <v>1111 NORTH HORNE</v>
          </cell>
          <cell r="P231" t="str">
            <v>1488@@childtime.com</v>
          </cell>
          <cell r="Q231" t="str">
            <v>CDC-1398</v>
          </cell>
          <cell r="AJ231" t="e">
            <v>#N/A</v>
          </cell>
          <cell r="AK231" t="str">
            <v>CDC-1398</v>
          </cell>
          <cell r="AL231" t="str">
            <v>CDC1398</v>
          </cell>
        </row>
        <row r="232">
          <cell r="N232" t="str">
            <v>CHILDTIME CHILDREN'S CENTER</v>
          </cell>
          <cell r="O232" t="str">
            <v>5154 EAST ADOBE STREET</v>
          </cell>
          <cell r="P232" t="str">
            <v>phausenfluck@childtime.com</v>
          </cell>
          <cell r="Q232" t="str">
            <v>CDC-6088</v>
          </cell>
          <cell r="AJ232" t="e">
            <v>#N/A</v>
          </cell>
          <cell r="AK232" t="str">
            <v>CDC-6088</v>
          </cell>
          <cell r="AL232" t="str">
            <v>CDC6088</v>
          </cell>
        </row>
        <row r="233">
          <cell r="N233" t="str">
            <v>CHILDTIME CHILDREN'S CENTER</v>
          </cell>
          <cell r="O233" t="str">
            <v>350 NORTH PENNINGTON DRIVE</v>
          </cell>
          <cell r="P233" t="str">
            <v>1435@childtime.com</v>
          </cell>
          <cell r="Q233" t="str">
            <v>CDC-7010</v>
          </cell>
          <cell r="AJ233" t="e">
            <v>#N/A</v>
          </cell>
          <cell r="AK233" t="str">
            <v>CDC-7010</v>
          </cell>
          <cell r="AL233" t="str">
            <v>CDC7010</v>
          </cell>
        </row>
        <row r="234">
          <cell r="N234" t="str">
            <v>CHILDTIME CHILDREN'S CENTER</v>
          </cell>
          <cell r="O234" t="str">
            <v>3011 WEST BELL ROAD</v>
          </cell>
          <cell r="P234" t="str">
            <v>1408@childtime.com</v>
          </cell>
          <cell r="Q234" t="str">
            <v>CDC-8443</v>
          </cell>
          <cell r="AJ234">
            <v>80686</v>
          </cell>
          <cell r="AK234" t="str">
            <v>CDC-8443</v>
          </cell>
          <cell r="AL234" t="str">
            <v>CDC8443</v>
          </cell>
        </row>
        <row r="235">
          <cell r="N235" t="str">
            <v>CHILDTIME CHILDREN'S CENTER #1</v>
          </cell>
          <cell r="O235" t="str">
            <v>5675 EAST RIVER</v>
          </cell>
          <cell r="P235" t="str">
            <v>1450@childtime.com</v>
          </cell>
          <cell r="Q235" t="str">
            <v>CDC-7014</v>
          </cell>
          <cell r="AJ235">
            <v>80671</v>
          </cell>
          <cell r="AK235" t="str">
            <v>CDC-7014</v>
          </cell>
          <cell r="AL235" t="str">
            <v>CDC7014</v>
          </cell>
        </row>
        <row r="236">
          <cell r="N236" t="str">
            <v>CHILDTIME CHILDREN'S CENTER/CHILDTIME CHILDCARE</v>
          </cell>
          <cell r="O236" t="str">
            <v>1212 EAST GLENDALE AVENUE</v>
          </cell>
          <cell r="P236" t="str">
            <v>emendez2@childtime.com</v>
          </cell>
          <cell r="Q236" t="str">
            <v>CDC-0590</v>
          </cell>
          <cell r="AJ236">
            <v>9461</v>
          </cell>
          <cell r="AK236" t="str">
            <v>CDC-0590</v>
          </cell>
          <cell r="AL236" t="str">
            <v>CDC0590</v>
          </cell>
        </row>
        <row r="237">
          <cell r="N237" t="str">
            <v>CHILDTIME LEARNING CENTERS</v>
          </cell>
          <cell r="O237" t="str">
            <v>1120 SOUTH HARRISON ROAD</v>
          </cell>
          <cell r="P237" t="str">
            <v>1421@childtime.com</v>
          </cell>
          <cell r="Q237" t="str">
            <v>CDC-1720</v>
          </cell>
          <cell r="AJ237">
            <v>78738</v>
          </cell>
          <cell r="AK237" t="str">
            <v>CDC-1720</v>
          </cell>
          <cell r="AL237" t="str">
            <v>CDC1720</v>
          </cell>
        </row>
        <row r="238">
          <cell r="N238" t="str">
            <v>CHILDTIME LEARNING CENTERS</v>
          </cell>
          <cell r="O238" t="str">
            <v>3319 EAST BASELINE ROAD</v>
          </cell>
          <cell r="P238" t="str">
            <v>Jlegg@childtime.com</v>
          </cell>
          <cell r="Q238" t="str">
            <v>CDC-5991</v>
          </cell>
          <cell r="AJ238" t="e">
            <v>#N/A</v>
          </cell>
          <cell r="AK238" t="str">
            <v>CDC-5991</v>
          </cell>
          <cell r="AL238" t="str">
            <v>CDC5991</v>
          </cell>
        </row>
        <row r="239">
          <cell r="N239" t="str">
            <v>CHRIS-TOWN Y M C A</v>
          </cell>
          <cell r="O239" t="str">
            <v>5517 NORTH 17TH AVENUE</v>
          </cell>
          <cell r="P239" t="str">
            <v>kimb@vosymca.org</v>
          </cell>
          <cell r="Q239" t="str">
            <v>CDC-7609</v>
          </cell>
          <cell r="AJ239" t="e">
            <v>#N/A</v>
          </cell>
          <cell r="AK239" t="str">
            <v>CDC-7609</v>
          </cell>
          <cell r="AL239" t="str">
            <v>CDC7609</v>
          </cell>
        </row>
        <row r="240">
          <cell r="N240" t="str">
            <v>CHRIST CHURCH SCHOOL</v>
          </cell>
          <cell r="O240" t="str">
            <v>4015 EAST LINCOLN DRIVE</v>
          </cell>
          <cell r="P240" t="str">
            <v>headofschool@ccsaz.org</v>
          </cell>
          <cell r="Q240" t="str">
            <v>CDC-10528</v>
          </cell>
          <cell r="AJ240" t="e">
            <v>#N/A</v>
          </cell>
          <cell r="AK240" t="str">
            <v>CDC-10528</v>
          </cell>
          <cell r="AL240" t="str">
            <v>CDC10528</v>
          </cell>
        </row>
        <row r="241">
          <cell r="N241" t="str">
            <v>CHRIST LUTHERAN PRESCHOOL</v>
          </cell>
          <cell r="O241" t="str">
            <v>3901 EAST INDIAN SCHOOL ROAD</v>
          </cell>
          <cell r="P241" t="str">
            <v>lholloway@cclphoenix.org</v>
          </cell>
          <cell r="Q241" t="str">
            <v>CDC-2021</v>
          </cell>
          <cell r="AJ241" t="e">
            <v>#N/A</v>
          </cell>
          <cell r="AK241" t="str">
            <v>CDC-2021</v>
          </cell>
          <cell r="AL241" t="str">
            <v>CDC2021</v>
          </cell>
        </row>
        <row r="242">
          <cell r="N242" t="str">
            <v>CHRIST LUTHERAN VAIL CHURCH EARLY CARE AND EDUCATION</v>
          </cell>
          <cell r="O242" t="str">
            <v>14600 EAST COLOSSAL CAVE ROAD</v>
          </cell>
          <cell r="P242" t="str">
            <v>children@christlutheranvail.org</v>
          </cell>
          <cell r="Q242" t="str">
            <v>CDC-16751</v>
          </cell>
          <cell r="AJ242" t="e">
            <v>#N/A</v>
          </cell>
          <cell r="AK242" t="str">
            <v>CDC-16751</v>
          </cell>
          <cell r="AL242" t="str">
            <v>CDC16751</v>
          </cell>
        </row>
        <row r="243">
          <cell r="N243" t="str">
            <v>CHRIST THE KING CATHOLIC SCHOOL</v>
          </cell>
          <cell r="O243" t="str">
            <v>1551 EAST DANA AVENUE</v>
          </cell>
          <cell r="P243" t="str">
            <v>magnes@ctk-catholicschool.org</v>
          </cell>
          <cell r="Q243" t="str">
            <v>CDC-14744</v>
          </cell>
          <cell r="AJ243" t="e">
            <v>#N/A</v>
          </cell>
          <cell r="AK243" t="str">
            <v>CDC-14744</v>
          </cell>
          <cell r="AL243" t="str">
            <v>CDC14744</v>
          </cell>
        </row>
        <row r="244">
          <cell r="N244" t="str">
            <v>CHRIST'S GREENFIELD LUTHERAN PRESCHOOL</v>
          </cell>
          <cell r="O244" t="str">
            <v>425 NORTH GREENFIELD ROAD</v>
          </cell>
          <cell r="P244" t="str">
            <v xml:space="preserve"> jgloss@cglschool.org</v>
          </cell>
          <cell r="Q244" t="str">
            <v>CDC-1550</v>
          </cell>
          <cell r="AJ244" t="e">
            <v>#N/A</v>
          </cell>
          <cell r="AK244" t="str">
            <v>CDC-1550</v>
          </cell>
          <cell r="AL244" t="str">
            <v>CDC1550</v>
          </cell>
        </row>
        <row r="245">
          <cell r="N245" t="str">
            <v>CITY  OF BUCKEYE - BALES ELEMENTARY</v>
          </cell>
          <cell r="O245" t="str">
            <v>24500 WEST MARICOPA</v>
          </cell>
          <cell r="P245" t="str">
            <v>clancaster@buckeyeaz.gov</v>
          </cell>
          <cell r="Q245" t="str">
            <v>CDC-12918</v>
          </cell>
          <cell r="AJ245" t="e">
            <v>#N/A</v>
          </cell>
          <cell r="AK245" t="str">
            <v>CDC-12918</v>
          </cell>
          <cell r="AL245" t="str">
            <v>CDC12918</v>
          </cell>
        </row>
        <row r="246">
          <cell r="N246" t="str">
            <v>CITY OF BUCKEYE - INCA ELEMENTARY</v>
          </cell>
          <cell r="O246" t="str">
            <v>23601 WEST DURANGO STREET</v>
          </cell>
          <cell r="P246" t="str">
            <v>clancaster@buckeyeaz.gov</v>
          </cell>
          <cell r="Q246" t="str">
            <v>CDC-15085</v>
          </cell>
          <cell r="AJ246" t="e">
            <v>#N/A</v>
          </cell>
          <cell r="AK246" t="str">
            <v>CDC-15085</v>
          </cell>
          <cell r="AL246" t="str">
            <v>CDC15085</v>
          </cell>
        </row>
        <row r="247">
          <cell r="N247" t="str">
            <v>CITY OF BUCKEYE - JASINSKI ELEMENTARY</v>
          </cell>
          <cell r="O247" t="str">
            <v>4280 SOUTH 246TH AVE</v>
          </cell>
          <cell r="P247" t="str">
            <v>clancaster@buckeyeaz.gov</v>
          </cell>
          <cell r="Q247" t="str">
            <v>CDC-13505</v>
          </cell>
          <cell r="AJ247" t="e">
            <v>#N/A</v>
          </cell>
          <cell r="AK247" t="str">
            <v>CDC-13505</v>
          </cell>
          <cell r="AL247" t="str">
            <v>CDC13505</v>
          </cell>
        </row>
        <row r="248">
          <cell r="N248" t="str">
            <v>CITY OF BUCKEYE - MARIONNEAUX ELEMENTARY</v>
          </cell>
          <cell r="O248" t="str">
            <v>24155 WEST ROESER</v>
          </cell>
          <cell r="P248" t="str">
            <v>clancaster@buckeyeaz.gov</v>
          </cell>
          <cell r="Q248" t="str">
            <v>CDC-18015</v>
          </cell>
          <cell r="AJ248" t="e">
            <v>#N/A</v>
          </cell>
          <cell r="AK248" t="str">
            <v>CDC-18015</v>
          </cell>
          <cell r="AL248" t="str">
            <v>CDC18015</v>
          </cell>
        </row>
        <row r="249">
          <cell r="N249" t="str">
            <v>CITY OF BUCKEYE - SUNDANCE ELEMENTARY</v>
          </cell>
          <cell r="O249" t="str">
            <v>23800 WEST HADLEY ROAD</v>
          </cell>
          <cell r="P249" t="str">
            <v>clancaster@buckeyeaz.gov</v>
          </cell>
          <cell r="Q249" t="str">
            <v>CDC-12651</v>
          </cell>
          <cell r="AJ249" t="e">
            <v>#N/A</v>
          </cell>
          <cell r="AK249" t="str">
            <v>CDC-12651</v>
          </cell>
          <cell r="AL249" t="str">
            <v>CDC12651</v>
          </cell>
        </row>
        <row r="250">
          <cell r="N250" t="str">
            <v>CITY OF BUCKEYE - TARTESSO ELEMENTARY</v>
          </cell>
          <cell r="O250" t="str">
            <v>29677 WEST INDIANOLA AVENUE</v>
          </cell>
          <cell r="P250" t="str">
            <v>mgomez@buckeyeaz.gov</v>
          </cell>
          <cell r="Q250" t="str">
            <v>CDC-18674</v>
          </cell>
          <cell r="AJ250" t="e">
            <v>#N/A</v>
          </cell>
          <cell r="AK250" t="str">
            <v>CDC-18674</v>
          </cell>
          <cell r="AL250" t="str">
            <v>CDC18674</v>
          </cell>
        </row>
        <row r="251">
          <cell r="N251" t="str">
            <v>CITY OF TEMPE - KID ZONE - AGUILAR SCHOOL</v>
          </cell>
          <cell r="O251" t="str">
            <v>5800 SOUTH FOREST AVENUE</v>
          </cell>
          <cell r="P251" t="str">
            <v>jillrasmussen@tempe.gov</v>
          </cell>
          <cell r="Q251" t="str">
            <v>CDC-1660</v>
          </cell>
          <cell r="AJ251" t="e">
            <v>#N/A</v>
          </cell>
          <cell r="AK251" t="str">
            <v>CDC-1660</v>
          </cell>
          <cell r="AL251" t="str">
            <v>CDC1660</v>
          </cell>
        </row>
        <row r="252">
          <cell r="N252" t="str">
            <v>CITY OF TEMPE - KID ZONE - ARREDONDO SCHOOL</v>
          </cell>
          <cell r="O252" t="str">
            <v>1330 EAST CARSON DRIVE</v>
          </cell>
          <cell r="P252" t="str">
            <v>jill_rasmussen@tempe.gov</v>
          </cell>
          <cell r="Q252" t="str">
            <v>CDC-1743</v>
          </cell>
          <cell r="AJ252" t="e">
            <v>#N/A</v>
          </cell>
          <cell r="AK252" t="str">
            <v>CDC-1743</v>
          </cell>
          <cell r="AL252" t="str">
            <v>CDC1743</v>
          </cell>
        </row>
        <row r="253">
          <cell r="N253" t="str">
            <v>CITY OF TEMPE - KID ZONE - ROVER SCHOOL</v>
          </cell>
          <cell r="O253" t="str">
            <v>1300 EAST WATSON DRIVE</v>
          </cell>
          <cell r="P253" t="str">
            <v>jill_rasmussen@tempe.gov</v>
          </cell>
          <cell r="Q253" t="str">
            <v>CDC-1657</v>
          </cell>
          <cell r="AJ253" t="e">
            <v>#N/A</v>
          </cell>
          <cell r="AK253" t="str">
            <v>CDC-1657</v>
          </cell>
          <cell r="AL253" t="str">
            <v>CDC1657</v>
          </cell>
        </row>
        <row r="254">
          <cell r="N254" t="str">
            <v>CITY OF TEMPE - KID ZONE ENRICHMENT PROGRAM - FEES COLLEGE PREP MIDDLE SCHOOL</v>
          </cell>
          <cell r="O254" t="str">
            <v>1600 EAST WATSON DRIVE</v>
          </cell>
          <cell r="P254" t="str">
            <v>jill_rasmussen@tempe.gov</v>
          </cell>
          <cell r="Q254" t="str">
            <v>CDC-18425</v>
          </cell>
          <cell r="AJ254" t="e">
            <v>#N/A</v>
          </cell>
          <cell r="AK254" t="str">
            <v>CDC-18425</v>
          </cell>
          <cell r="AL254" t="str">
            <v>CDC18425</v>
          </cell>
        </row>
        <row r="255">
          <cell r="N255" t="str">
            <v>CITY OF TEMPE - KID ZONE ENRICHMENT PROGRAM - GILLILAND MIDDLE SCHOOL</v>
          </cell>
          <cell r="O255" t="str">
            <v>1025 SOUTH BECK AVENUE</v>
          </cell>
          <cell r="P255" t="str">
            <v>jill_rasmussen@tempe.gov</v>
          </cell>
          <cell r="Q255" t="str">
            <v>CDC-18426</v>
          </cell>
          <cell r="AJ255" t="e">
            <v>#N/A</v>
          </cell>
          <cell r="AK255" t="str">
            <v>CDC-18426</v>
          </cell>
          <cell r="AL255" t="str">
            <v>CDC18426</v>
          </cell>
        </row>
        <row r="256">
          <cell r="N256" t="str">
            <v>CITY OF TEMPE - KID ZONE ENRICHMENT PROGRAM - TEMPE ACADEMY OF INTL. STUDIES</v>
          </cell>
          <cell r="O256" t="str">
            <v>2250 SOUTH COLLEGE AVENUE</v>
          </cell>
          <cell r="P256" t="str">
            <v>jill_rasumussen@tempe.gov</v>
          </cell>
          <cell r="Q256" t="str">
            <v>CDC-18424</v>
          </cell>
          <cell r="AJ256" t="e">
            <v>#N/A</v>
          </cell>
          <cell r="AK256" t="str">
            <v>CDC-18424</v>
          </cell>
          <cell r="AL256" t="str">
            <v>CDC18424</v>
          </cell>
        </row>
        <row r="257">
          <cell r="N257" t="str">
            <v>CLARKDALE DISCOVERY</v>
          </cell>
          <cell r="O257" t="str">
            <v>1615 NORTH MAIN STREET</v>
          </cell>
          <cell r="P257" t="str">
            <v>eml.bvcs@gmail.com</v>
          </cell>
          <cell r="Q257" t="str">
            <v>CDC-10530</v>
          </cell>
          <cell r="AJ257" t="e">
            <v>#N/A</v>
          </cell>
          <cell r="AK257" t="str">
            <v>CDC-10530</v>
          </cell>
          <cell r="AL257" t="str">
            <v>CDC10530</v>
          </cell>
        </row>
        <row r="258">
          <cell r="N258" t="str">
            <v>COBRE DEL SOL HEAD START</v>
          </cell>
          <cell r="O258" t="str">
            <v>951 HEAD START WAY</v>
          </cell>
          <cell r="P258" t="str">
            <v>cds@childparentcenters.org</v>
          </cell>
          <cell r="Q258" t="str">
            <v>CDC-8138</v>
          </cell>
          <cell r="AJ258">
            <v>7929</v>
          </cell>
          <cell r="AK258" t="str">
            <v>CDC-8138</v>
          </cell>
          <cell r="AL258" t="str">
            <v>CDC8138</v>
          </cell>
        </row>
        <row r="259">
          <cell r="N259" t="str">
            <v>COMMUNITY CHRISTIAN PRESCHOOL OF MARANA</v>
          </cell>
          <cell r="O259" t="str">
            <v>13610 NORTH SANDARIO ROAD</v>
          </cell>
          <cell r="P259" t="str">
            <v>alisha.hawley@comcast.net</v>
          </cell>
          <cell r="Q259" t="str">
            <v>CDC-1284</v>
          </cell>
          <cell r="AJ259" t="e">
            <v>#N/A</v>
          </cell>
          <cell r="AK259" t="str">
            <v>CDC-1284</v>
          </cell>
          <cell r="AL259" t="str">
            <v>CDC1284</v>
          </cell>
        </row>
        <row r="260">
          <cell r="N260" t="str">
            <v>COMMUNITY MONTESSORI SCHOOL</v>
          </cell>
          <cell r="O260" t="str">
            <v>3737 EAST SHEA BOULEVARD</v>
          </cell>
          <cell r="P260" t="str">
            <v>janet@communitymontessoriphoenix.com</v>
          </cell>
          <cell r="Q260" t="str">
            <v>CDC-5873</v>
          </cell>
          <cell r="AJ260" t="e">
            <v>#N/A</v>
          </cell>
          <cell r="AK260" t="str">
            <v>CDC-5873</v>
          </cell>
          <cell r="AL260" t="str">
            <v>CDC5873</v>
          </cell>
        </row>
        <row r="261">
          <cell r="N261" t="str">
            <v>COMMUNITY MONTESSORI SCHOOL OF BISBEE</v>
          </cell>
          <cell r="O261" t="str">
            <v>1900 S NACO HWY</v>
          </cell>
          <cell r="P261" t="str">
            <v>bisbeemontessori@gmail.com</v>
          </cell>
          <cell r="Q261" t="str">
            <v>CDC-16360</v>
          </cell>
          <cell r="AJ261" t="e">
            <v>#N/A</v>
          </cell>
          <cell r="AK261" t="str">
            <v>CDC-16360</v>
          </cell>
          <cell r="AL261" t="str">
            <v>CDC16360</v>
          </cell>
        </row>
        <row r="262">
          <cell r="N262" t="str">
            <v>COMMUNITY PRESBYTERIAN CHILD LEARNING CENTER</v>
          </cell>
          <cell r="O262" t="str">
            <v>800 WEST MAIN STREET</v>
          </cell>
          <cell r="P262" t="str">
            <v>cpclc3@yahoo.com</v>
          </cell>
          <cell r="Q262" t="str">
            <v>CDC-1153</v>
          </cell>
          <cell r="AJ262" t="e">
            <v>#N/A</v>
          </cell>
          <cell r="AK262" t="str">
            <v>CDC-1153</v>
          </cell>
          <cell r="AL262" t="str">
            <v>CDC1153</v>
          </cell>
        </row>
        <row r="263">
          <cell r="N263" t="str">
            <v>COMMUNITY PRESBYTERIAN CHILD LEARNING CENTER</v>
          </cell>
          <cell r="O263" t="str">
            <v>1008 SOUTH WESTERLY</v>
          </cell>
          <cell r="P263" t="str">
            <v>cpclc3@yahoo.com</v>
          </cell>
          <cell r="Q263" t="str">
            <v>CDC-18729</v>
          </cell>
          <cell r="AJ263" t="e">
            <v>#N/A</v>
          </cell>
          <cell r="AK263" t="str">
            <v>CDC-18729</v>
          </cell>
          <cell r="AL263" t="str">
            <v>CDC18729</v>
          </cell>
        </row>
        <row r="264">
          <cell r="N264" t="str">
            <v>COMMUNITY PRESBYTERIAN CHURCH PRESCHOOL</v>
          </cell>
          <cell r="O264" t="str">
            <v>590 SOUTH HUACHUCA STREET</v>
          </cell>
          <cell r="P264" t="str">
            <v>cpcpreschool@ymail.com</v>
          </cell>
          <cell r="Q264" t="str">
            <v>CDC-0897</v>
          </cell>
          <cell r="AJ264" t="e">
            <v>#N/A</v>
          </cell>
          <cell r="AK264" t="str">
            <v>CDC-0897</v>
          </cell>
          <cell r="AL264" t="str">
            <v>CDC0897</v>
          </cell>
        </row>
        <row r="265">
          <cell r="N265" t="str">
            <v>COMPASS EDUCATIONAL PROGRAMS</v>
          </cell>
          <cell r="O265" t="str">
            <v>2450 WEST SOUTH MOUNTAIN AVENUE BLDG 1</v>
          </cell>
          <cell r="P265" t="str">
            <v>laura.chavez@compassedprograms.org</v>
          </cell>
          <cell r="Q265" t="str">
            <v>CDC-15433</v>
          </cell>
          <cell r="AJ265" t="e">
            <v>#N/A</v>
          </cell>
          <cell r="AK265" t="str">
            <v>CDC-15433</v>
          </cell>
          <cell r="AL265" t="str">
            <v>CDC15433</v>
          </cell>
        </row>
        <row r="266">
          <cell r="N266" t="str">
            <v>COMPASS EDUCATIONAL PROGRAMS</v>
          </cell>
          <cell r="O266" t="str">
            <v>2435 EAST PECAN ROAD</v>
          </cell>
          <cell r="P266" t="str">
            <v>marylou.rogers@compassedprograms.org</v>
          </cell>
          <cell r="Q266" t="str">
            <v>CDC-16357</v>
          </cell>
          <cell r="AJ266" t="e">
            <v>#N/A</v>
          </cell>
          <cell r="AK266" t="str">
            <v>CDC-16357</v>
          </cell>
          <cell r="AL266" t="str">
            <v>CDC16357</v>
          </cell>
        </row>
        <row r="267">
          <cell r="N267" t="str">
            <v>COMPLETE KIDS CARE</v>
          </cell>
          <cell r="O267" t="str">
            <v>1546 NORTH PARKWAY DRIVE, SUITE 102</v>
          </cell>
          <cell r="P267" t="str">
            <v>contact@completekidscares.com</v>
          </cell>
          <cell r="Q267" t="str">
            <v>CDC-8831</v>
          </cell>
          <cell r="AJ267" t="e">
            <v>#N/A</v>
          </cell>
          <cell r="AK267" t="str">
            <v>CDC-8831</v>
          </cell>
          <cell r="AL267" t="str">
            <v>CDC8831</v>
          </cell>
        </row>
        <row r="268">
          <cell r="N268" t="str">
            <v>CONGREGATION ANSHEI ISRAEL ESTHER B FELDMAN PRESCHOOL/KINDERGARTEN</v>
          </cell>
          <cell r="O268" t="str">
            <v>5550 EAST 5TH STREET</v>
          </cell>
          <cell r="P268" t="str">
            <v>ecdirector@caiaz.org</v>
          </cell>
          <cell r="Q268" t="str">
            <v>CDC-1705</v>
          </cell>
          <cell r="AJ268" t="e">
            <v>#N/A</v>
          </cell>
          <cell r="AK268" t="str">
            <v>CDC-1705</v>
          </cell>
          <cell r="AL268" t="str">
            <v>CDC1705</v>
          </cell>
        </row>
        <row r="269">
          <cell r="N269" t="str">
            <v>CONGREGATION BETH ISRAEL CHANEN PRESCHOOL</v>
          </cell>
          <cell r="O269" t="str">
            <v>10460 NORTH 56TH STREET</v>
          </cell>
          <cell r="P269" t="str">
            <v>amy@cbiaz.org</v>
          </cell>
          <cell r="Q269" t="str">
            <v>CDC-6917</v>
          </cell>
          <cell r="AJ269" t="e">
            <v>#N/A</v>
          </cell>
          <cell r="AK269" t="str">
            <v>CDC-6917</v>
          </cell>
          <cell r="AL269" t="str">
            <v>CDC6917</v>
          </cell>
        </row>
        <row r="270">
          <cell r="N270" t="str">
            <v>CONSCIOUS EDUCATION</v>
          </cell>
          <cell r="O270" t="str">
            <v>54 BOWSTRING DRIVE</v>
          </cell>
          <cell r="P270" t="str">
            <v>Shandralight@gmail.com</v>
          </cell>
          <cell r="Q270" t="str">
            <v>CDC-18480</v>
          </cell>
          <cell r="AJ270" t="e">
            <v>#N/A</v>
          </cell>
          <cell r="AK270" t="str">
            <v>CDC-18480</v>
          </cell>
          <cell r="AL270" t="str">
            <v>CDC18480</v>
          </cell>
        </row>
        <row r="271">
          <cell r="N271" t="str">
            <v>COOLIDGE HEAD START</v>
          </cell>
          <cell r="O271" t="str">
            <v>227 WEST PINKLEY AVENUE</v>
          </cell>
          <cell r="P271" t="str">
            <v>kerry.lara@pgccs.org</v>
          </cell>
          <cell r="Q271" t="str">
            <v>CDC-6788</v>
          </cell>
          <cell r="AJ271">
            <v>8070</v>
          </cell>
          <cell r="AK271" t="str">
            <v>CDC-6788</v>
          </cell>
          <cell r="AL271" t="str">
            <v>CDC6788</v>
          </cell>
        </row>
        <row r="272">
          <cell r="N272" t="str">
            <v>COOLIDGE HEAD START AT HEARTLAND RANCH ELEMENTARY SCHOOL</v>
          </cell>
          <cell r="O272" t="str">
            <v>1667 WEST CAROLINE STREET</v>
          </cell>
          <cell r="P272" t="str">
            <v>amy.hust@pgccs.org</v>
          </cell>
          <cell r="Q272" t="str">
            <v>CDC-18711</v>
          </cell>
          <cell r="AJ272" t="e">
            <v>#N/A</v>
          </cell>
          <cell r="AK272" t="str">
            <v>CDC-18711</v>
          </cell>
          <cell r="AL272" t="str">
            <v>CDC18711</v>
          </cell>
        </row>
        <row r="273">
          <cell r="N273" t="str">
            <v>COPPER KIDS DAYCARE</v>
          </cell>
          <cell r="O273" t="str">
            <v>700 PALO VERDE</v>
          </cell>
          <cell r="P273" t="str">
            <v>copperkidsdaycare@yahoo.com</v>
          </cell>
          <cell r="Q273" t="str">
            <v>CDC-15208</v>
          </cell>
          <cell r="AJ273" t="e">
            <v>#N/A</v>
          </cell>
          <cell r="AK273" t="str">
            <v>CDC-15208</v>
          </cell>
          <cell r="AL273" t="str">
            <v>CDC15208</v>
          </cell>
        </row>
        <row r="274">
          <cell r="N274" t="str">
            <v>COQUI CHILDREN'S CENTER</v>
          </cell>
          <cell r="O274" t="str">
            <v>721 ELEVENTH STREET</v>
          </cell>
          <cell r="P274" t="str">
            <v>fernyden@aol.com</v>
          </cell>
          <cell r="Q274" t="str">
            <v>CDC-16633</v>
          </cell>
          <cell r="AJ274" t="e">
            <v>#N/A</v>
          </cell>
          <cell r="AK274" t="str">
            <v>CDC-16633</v>
          </cell>
          <cell r="AL274" t="str">
            <v>CDC16633</v>
          </cell>
        </row>
        <row r="275">
          <cell r="N275" t="str">
            <v>CORNERSTONE CHRISTIAN PRESCHOOL AND DAYCARE</v>
          </cell>
          <cell r="O275" t="str">
            <v>700 ROSSER STREET</v>
          </cell>
          <cell r="P275" t="str">
            <v>contact@prescottcornerstone.com</v>
          </cell>
          <cell r="Q275" t="str">
            <v>CDC-10273</v>
          </cell>
          <cell r="AJ275" t="e">
            <v>#N/A</v>
          </cell>
          <cell r="AK275" t="str">
            <v>CDC-10273</v>
          </cell>
          <cell r="AL275" t="str">
            <v>CDC10273</v>
          </cell>
        </row>
        <row r="276">
          <cell r="N276" t="str">
            <v>CORNERSTONE KIDZ</v>
          </cell>
          <cell r="O276" t="str">
            <v>11301 WEST INDIAN SCHOOL ROAD</v>
          </cell>
          <cell r="P276" t="str">
            <v>info@cornerstonekidzaz.org</v>
          </cell>
          <cell r="Q276" t="str">
            <v>CDC-17296</v>
          </cell>
          <cell r="AJ276" t="e">
            <v>#N/A</v>
          </cell>
          <cell r="AK276" t="str">
            <v>CDC-17296</v>
          </cell>
          <cell r="AL276" t="str">
            <v>CDC17296</v>
          </cell>
        </row>
        <row r="277">
          <cell r="N277" t="str">
            <v>CORNERSTONE PRESCHOOL</v>
          </cell>
          <cell r="O277" t="str">
            <v>1098 SOUTH 5TH AVENUE</v>
          </cell>
          <cell r="P277" t="str">
            <v>cornerstone1098@yahoo.com</v>
          </cell>
          <cell r="Q277" t="str">
            <v>CDC-7626</v>
          </cell>
          <cell r="AJ277" t="e">
            <v>#N/A</v>
          </cell>
          <cell r="AK277" t="str">
            <v>CDC-7626</v>
          </cell>
          <cell r="AL277" t="str">
            <v>CDC7626</v>
          </cell>
        </row>
        <row r="278">
          <cell r="N278" t="str">
            <v>CORONADO HEAD START</v>
          </cell>
          <cell r="O278" t="str">
            <v>3401 EAST WILD ROAD</v>
          </cell>
          <cell r="P278" t="str">
            <v>Coronado@childparentcenters.org</v>
          </cell>
          <cell r="Q278" t="str">
            <v>CDC-9714</v>
          </cell>
          <cell r="AJ278">
            <v>80551</v>
          </cell>
          <cell r="AK278" t="str">
            <v>CDC-9714</v>
          </cell>
          <cell r="AL278" t="str">
            <v>CDC9714</v>
          </cell>
        </row>
        <row r="279">
          <cell r="N279" t="str">
            <v>COUNTRYSIDE RECREATION CENTER</v>
          </cell>
          <cell r="O279" t="str">
            <v>15038 NORTH PARKVIEW PLACE</v>
          </cell>
          <cell r="P279" t="str">
            <v>gina.fasching@surpriseaz.com</v>
          </cell>
          <cell r="Q279" t="str">
            <v>CDC-10828</v>
          </cell>
          <cell r="AJ279" t="e">
            <v>#N/A</v>
          </cell>
          <cell r="AK279" t="str">
            <v>CDC-10828</v>
          </cell>
          <cell r="AL279" t="str">
            <v>CDC10828</v>
          </cell>
        </row>
        <row r="280">
          <cell r="N280" t="str">
            <v>COVENANT CHILD CARE CENTER</v>
          </cell>
          <cell r="O280" t="str">
            <v>4601 NORTH 34TH STREET</v>
          </cell>
          <cell r="P280" t="str">
            <v>sharon@cccckids.com</v>
          </cell>
          <cell r="Q280" t="str">
            <v>CDC-14322</v>
          </cell>
          <cell r="AJ280" t="e">
            <v>#N/A</v>
          </cell>
          <cell r="AK280" t="str">
            <v>CDC-14322</v>
          </cell>
          <cell r="AL280" t="str">
            <v>CDC14322</v>
          </cell>
        </row>
        <row r="281">
          <cell r="N281" t="str">
            <v>COZY CASA DAY CARE</v>
          </cell>
          <cell r="O281" t="str">
            <v>4535 NORTH JAY AVENUE</v>
          </cell>
          <cell r="P281" t="str">
            <v>schang1888@gmail.com</v>
          </cell>
          <cell r="Q281" t="str">
            <v>CDC-5460</v>
          </cell>
          <cell r="AJ281">
            <v>9971</v>
          </cell>
          <cell r="AK281" t="str">
            <v>CDC-5460</v>
          </cell>
          <cell r="AL281" t="str">
            <v>CDC5460</v>
          </cell>
        </row>
        <row r="282">
          <cell r="N282" t="str">
            <v>CREATIVE ARTS SCHOOL FOR YOUTH (CASY)</v>
          </cell>
          <cell r="O282" t="str">
            <v>10409 EAST MCDOWELL MOUNTAIN RANCH ROAD</v>
          </cell>
          <cell r="P282" t="str">
            <v>admin@casypreschool.com</v>
          </cell>
          <cell r="Q282" t="str">
            <v>CDC-18034</v>
          </cell>
          <cell r="AJ282" t="e">
            <v>#N/A</v>
          </cell>
          <cell r="AK282" t="str">
            <v>CDC-18034</v>
          </cell>
          <cell r="AL282" t="str">
            <v>CDC18034</v>
          </cell>
        </row>
        <row r="283">
          <cell r="N283" t="str">
            <v>CREATIVE BEGINNINGS</v>
          </cell>
          <cell r="O283" t="str">
            <v>2690 NORTH 1ST AVENUE</v>
          </cell>
          <cell r="P283" t="str">
            <v>creativebeginnings@dnjeducational.com</v>
          </cell>
          <cell r="Q283" t="str">
            <v>CDC-8379</v>
          </cell>
          <cell r="AJ283">
            <v>80548</v>
          </cell>
          <cell r="AK283" t="str">
            <v>CDC-8379</v>
          </cell>
          <cell r="AL283" t="str">
            <v>CDC8379</v>
          </cell>
        </row>
        <row r="284">
          <cell r="N284" t="str">
            <v>CREATIVE BEGINNINGS LEARNING CENTER</v>
          </cell>
          <cell r="O284" t="str">
            <v>814 EAST UNION HILLS DRIVE SUITE C20</v>
          </cell>
          <cell r="P284" t="str">
            <v>cblc34@gmail.com</v>
          </cell>
          <cell r="Q284" t="str">
            <v>CDC-13636</v>
          </cell>
          <cell r="AJ284">
            <v>9523</v>
          </cell>
          <cell r="AK284" t="str">
            <v>CDC-13636</v>
          </cell>
          <cell r="AL284" t="str">
            <v>CDC13636</v>
          </cell>
        </row>
        <row r="285">
          <cell r="N285" t="str">
            <v>CREATIVE BRIDGES COOPERATIVE PRESCHOOL</v>
          </cell>
          <cell r="O285" t="str">
            <v>7321 NORTH 10TH STREET</v>
          </cell>
          <cell r="P285" t="str">
            <v>pammiejane@q.com</v>
          </cell>
          <cell r="Q285" t="str">
            <v>CDC-3255</v>
          </cell>
          <cell r="AJ285" t="e">
            <v>#N/A</v>
          </cell>
          <cell r="AK285" t="str">
            <v>CDC-3255</v>
          </cell>
          <cell r="AL285" t="str">
            <v>CDC3255</v>
          </cell>
        </row>
        <row r="286">
          <cell r="N286" t="str">
            <v>CREATIVE CASTLE PRESCHOOL &amp; PLAYTIME</v>
          </cell>
          <cell r="O286" t="str">
            <v>4130 WEST OPPORTUNITY WAY</v>
          </cell>
          <cell r="P286" t="str">
            <v>rose@creativecastlepreschool.com</v>
          </cell>
          <cell r="Q286" t="str">
            <v>CDC-16691</v>
          </cell>
          <cell r="AJ286" t="e">
            <v>#N/A</v>
          </cell>
          <cell r="AK286" t="str">
            <v>CDC-16691</v>
          </cell>
          <cell r="AL286" t="str">
            <v>CDC16691</v>
          </cell>
        </row>
        <row r="287">
          <cell r="N287" t="str">
            <v>CREATIVE CENTER</v>
          </cell>
          <cell r="O287" t="str">
            <v>3020 EAST CACTUS ROAD</v>
          </cell>
          <cell r="P287" t="str">
            <v>doug@creativecenteraz.com</v>
          </cell>
          <cell r="Q287" t="str">
            <v>CDC-6138</v>
          </cell>
          <cell r="AJ287">
            <v>80729</v>
          </cell>
          <cell r="AK287" t="str">
            <v>CDC-6138</v>
          </cell>
          <cell r="AL287" t="str">
            <v>CDC6138</v>
          </cell>
        </row>
        <row r="288">
          <cell r="N288" t="str">
            <v>CREATIVE CHILD CARE, INCORPORATED</v>
          </cell>
          <cell r="O288" t="str">
            <v>17150 EAST AMHURST DRIVE</v>
          </cell>
          <cell r="P288" t="str">
            <v>lovecreativechildcare@gmail.com</v>
          </cell>
          <cell r="Q288" t="str">
            <v>CDC-5756</v>
          </cell>
          <cell r="AJ288" t="e">
            <v>#N/A</v>
          </cell>
          <cell r="AK288" t="str">
            <v>CDC-5756</v>
          </cell>
          <cell r="AL288" t="str">
            <v>CDC5756</v>
          </cell>
        </row>
        <row r="289">
          <cell r="N289" t="str">
            <v>CREATIVE KIDS PRESCHOOL</v>
          </cell>
          <cell r="O289" t="str">
            <v>1310 WEST INA ROAD</v>
          </cell>
          <cell r="P289" t="str">
            <v>creativekids@creative-kids.net, lindaK617@yahoo.com</v>
          </cell>
          <cell r="Q289" t="str">
            <v>CDC-7784</v>
          </cell>
          <cell r="AJ289" t="e">
            <v>#N/A</v>
          </cell>
          <cell r="AK289" t="str">
            <v>CDC-7784</v>
          </cell>
          <cell r="AL289" t="str">
            <v>CDC7784</v>
          </cell>
        </row>
        <row r="290">
          <cell r="N290" t="str">
            <v>CREME DE LA CREME - GOODYEAR</v>
          </cell>
          <cell r="O290" t="str">
            <v>15370 WEST VAN BUREN STREET</v>
          </cell>
          <cell r="P290" t="str">
            <v>tholmes@cremedelacreme.com</v>
          </cell>
          <cell r="Q290" t="str">
            <v>CDC-18632</v>
          </cell>
          <cell r="AJ290" t="e">
            <v>#N/A</v>
          </cell>
          <cell r="AK290" t="str">
            <v>CDC-18632</v>
          </cell>
          <cell r="AL290" t="str">
            <v>CDC18632</v>
          </cell>
        </row>
        <row r="291">
          <cell r="N291" t="str">
            <v>CREME DE LA CREME - LAKE PLEASANT</v>
          </cell>
          <cell r="O291" t="str">
            <v>25560 NORTH LAKE PLEASANT PARKWAY</v>
          </cell>
          <cell r="P291" t="str">
            <v>tholmes@cremedelacreme.com</v>
          </cell>
          <cell r="Q291" t="str">
            <v>CDC-18633</v>
          </cell>
          <cell r="AJ291" t="e">
            <v>#N/A</v>
          </cell>
          <cell r="AK291" t="str">
            <v>CDC-18633</v>
          </cell>
          <cell r="AL291" t="str">
            <v>CDC18633</v>
          </cell>
        </row>
        <row r="292">
          <cell r="N292" t="str">
            <v>CREME DE LA CREME - MESA</v>
          </cell>
          <cell r="O292" t="str">
            <v>1842 SOUTH CRIMSON ROAD</v>
          </cell>
          <cell r="P292" t="str">
            <v>tholmes@cremedelacreme.com</v>
          </cell>
          <cell r="Q292" t="str">
            <v>CDC-18631</v>
          </cell>
          <cell r="AJ292" t="e">
            <v>#N/A</v>
          </cell>
          <cell r="AK292" t="str">
            <v>CDC-18631</v>
          </cell>
          <cell r="AL292" t="str">
            <v>CDC18631</v>
          </cell>
        </row>
        <row r="293">
          <cell r="N293" t="str">
            <v>CREME DE LA CREME - POWER RANCH</v>
          </cell>
          <cell r="O293" t="str">
            <v>7140 SOUTH POWER ROAD</v>
          </cell>
          <cell r="P293" t="str">
            <v>tholmes@cremedelacreme.com</v>
          </cell>
          <cell r="Q293" t="str">
            <v>CDC-18630</v>
          </cell>
          <cell r="AJ293" t="e">
            <v>#N/A</v>
          </cell>
          <cell r="AK293" t="str">
            <v>CDC-18630</v>
          </cell>
          <cell r="AL293" t="str">
            <v>CDC18630</v>
          </cell>
        </row>
        <row r="294">
          <cell r="N294" t="str">
            <v>CREO SCHOOL</v>
          </cell>
          <cell r="O294" t="str">
            <v>1475 SOUTH HIGLEY ROAD</v>
          </cell>
          <cell r="P294" t="str">
            <v>jill@creoschool.org</v>
          </cell>
          <cell r="Q294" t="str">
            <v>CDC-17654</v>
          </cell>
          <cell r="AJ294" t="e">
            <v>#N/A</v>
          </cell>
          <cell r="AK294" t="str">
            <v>CDC-17654</v>
          </cell>
          <cell r="AL294" t="str">
            <v>CDC17654</v>
          </cell>
        </row>
        <row r="295">
          <cell r="N295" t="str">
            <v>CRIBS TO CRAYONS L.L.C.</v>
          </cell>
          <cell r="O295" t="str">
            <v>1260 SOUTH HIGHWAY 89</v>
          </cell>
          <cell r="P295" t="str">
            <v>cribstocrayons@gmail.com</v>
          </cell>
          <cell r="Q295" t="str">
            <v>CDC-18392</v>
          </cell>
          <cell r="AJ295" t="e">
            <v>#N/A</v>
          </cell>
          <cell r="AK295" t="str">
            <v>CDC-18392</v>
          </cell>
          <cell r="AL295" t="str">
            <v>CDC18392</v>
          </cell>
        </row>
        <row r="296">
          <cell r="N296" t="str">
            <v>CROSS OF GLORY PRESCHOOL</v>
          </cell>
          <cell r="O296" t="str">
            <v>10111 WEST JOMAX ROAD</v>
          </cell>
          <cell r="P296" t="str">
            <v>BKGrams@hotmail.com</v>
          </cell>
          <cell r="Q296" t="str">
            <v>CDC-11857</v>
          </cell>
          <cell r="AJ296" t="e">
            <v>#N/A</v>
          </cell>
          <cell r="AK296" t="str">
            <v>CDC-11857</v>
          </cell>
          <cell r="AL296" t="str">
            <v>CDC11857</v>
          </cell>
        </row>
        <row r="297">
          <cell r="N297" t="str">
            <v>CROSS ROADS PRESCHOOL</v>
          </cell>
          <cell r="O297" t="str">
            <v>7901 NORTH CENTRAL AVENUE</v>
          </cell>
          <cell r="P297" t="str">
            <v>director@crossroadspsk.com</v>
          </cell>
          <cell r="Q297" t="str">
            <v>CDC-0777</v>
          </cell>
          <cell r="AJ297" t="e">
            <v>#N/A</v>
          </cell>
          <cell r="AK297" t="str">
            <v>CDC-0777</v>
          </cell>
          <cell r="AL297" t="str">
            <v>CDC0777</v>
          </cell>
        </row>
        <row r="298">
          <cell r="N298" t="str">
            <v>CURIOUS KIDS PRESCHOOL</v>
          </cell>
          <cell r="O298" t="str">
            <v>2715 SOUTH ALMA SCHOOL ROAD SUITE 4</v>
          </cell>
          <cell r="P298" t="str">
            <v>ruth.davila@curiouskidspreschoolaz.com</v>
          </cell>
          <cell r="Q298" t="str">
            <v>CDC-16416</v>
          </cell>
          <cell r="AJ298" t="e">
            <v>#N/A</v>
          </cell>
          <cell r="AK298" t="str">
            <v>CDC-16416</v>
          </cell>
          <cell r="AL298" t="str">
            <v>CDC16416</v>
          </cell>
        </row>
        <row r="299">
          <cell r="N299" t="str">
            <v>DAISY EARLY LEARNING ACADEMY</v>
          </cell>
          <cell r="O299" t="str">
            <v>2325 WEST SUNSET RD</v>
          </cell>
          <cell r="P299" t="str">
            <v>delainfo@sonoranschools.org</v>
          </cell>
          <cell r="Q299" t="str">
            <v>CDC-13970</v>
          </cell>
          <cell r="AJ299">
            <v>87065</v>
          </cell>
          <cell r="AK299" t="str">
            <v>CDC-13970</v>
          </cell>
          <cell r="AL299" t="str">
            <v>CDC13970</v>
          </cell>
        </row>
        <row r="300">
          <cell r="N300" t="str">
            <v>DARKAYNU - TUCSON JEWISH MONTESSORI</v>
          </cell>
          <cell r="O300" t="str">
            <v>5150 EAST 5TH STREET</v>
          </cell>
          <cell r="P300" t="str">
            <v>admin@tucsontorah.org</v>
          </cell>
          <cell r="Q300" t="str">
            <v>CDC-17347</v>
          </cell>
          <cell r="AJ300" t="e">
            <v>#N/A</v>
          </cell>
          <cell r="AK300" t="str">
            <v>CDC-17347</v>
          </cell>
          <cell r="AL300" t="str">
            <v>CDC17347</v>
          </cell>
        </row>
        <row r="301">
          <cell r="N301" t="str">
            <v>DAYSPRING PRESCHOOL</v>
          </cell>
          <cell r="O301" t="str">
            <v>1365 EAST ELLIOT ROAD</v>
          </cell>
          <cell r="P301" t="str">
            <v>sally.logsdon@dayspringpreschool.com</v>
          </cell>
          <cell r="Q301" t="str">
            <v>CDC-1176</v>
          </cell>
          <cell r="AJ301" t="e">
            <v>#N/A</v>
          </cell>
          <cell r="AK301" t="str">
            <v>CDC-1176</v>
          </cell>
          <cell r="AL301" t="str">
            <v>CDC1176</v>
          </cell>
        </row>
        <row r="302">
          <cell r="N302" t="str">
            <v>DBA BEAUTIFUL OASIS CHILDCARE</v>
          </cell>
          <cell r="O302" t="str">
            <v>1236 SOUTH STAPLEY DRIVE</v>
          </cell>
          <cell r="P302" t="str">
            <v>toshina1236@yahoo.com</v>
          </cell>
          <cell r="Q302" t="str">
            <v>CDC-16876</v>
          </cell>
          <cell r="AJ302" t="e">
            <v>#N/A</v>
          </cell>
          <cell r="AK302" t="str">
            <v>CDC-16876</v>
          </cell>
          <cell r="AL302" t="str">
            <v>CDC16876</v>
          </cell>
        </row>
        <row r="303">
          <cell r="N303" t="str">
            <v>DECOLORES LEARNING CENTER &amp; CHILDCARE</v>
          </cell>
          <cell r="O303" t="str">
            <v>7370 SOUTH SORREL LANE</v>
          </cell>
          <cell r="P303" t="str">
            <v>rosana.jimenez43@gmail.com</v>
          </cell>
          <cell r="Q303" t="str">
            <v>CDC-16800</v>
          </cell>
          <cell r="AJ303">
            <v>92623</v>
          </cell>
          <cell r="AK303" t="str">
            <v>CDC-16800</v>
          </cell>
          <cell r="AL303" t="str">
            <v>CDC16800</v>
          </cell>
        </row>
        <row r="304">
          <cell r="N304" t="str">
            <v>DEL E. WEBB FAMILY ENRICHMENT CENTER</v>
          </cell>
          <cell r="O304" t="str">
            <v>1100 EAST SHELDON STREET</v>
          </cell>
          <cell r="P304" t="str">
            <v>Jacqueline.schlosser@yc.edu</v>
          </cell>
          <cell r="Q304" t="str">
            <v>CDC-13057</v>
          </cell>
          <cell r="AJ304">
            <v>89734</v>
          </cell>
          <cell r="AK304" t="str">
            <v>CDC-13057</v>
          </cell>
          <cell r="AL304" t="str">
            <v>CDC13057</v>
          </cell>
        </row>
        <row r="305">
          <cell r="N305" t="str">
            <v>DESERT CHRISTIAN EARLY CARE AND EDUCATION CENTER</v>
          </cell>
          <cell r="O305" t="str">
            <v>1445 WEST NORTHERN AVENUE</v>
          </cell>
          <cell r="P305" t="str">
            <v>Dcfecec@yahoo.com</v>
          </cell>
          <cell r="Q305" t="str">
            <v>CDC-15749</v>
          </cell>
          <cell r="AJ305" t="e">
            <v>#N/A</v>
          </cell>
          <cell r="AK305" t="str">
            <v>CDC-15749</v>
          </cell>
          <cell r="AL305" t="str">
            <v>CDC15749</v>
          </cell>
        </row>
        <row r="306">
          <cell r="N306" t="str">
            <v>DESERT CHRISTIAN PRE-SCHOOL</v>
          </cell>
          <cell r="O306" t="str">
            <v>9415 E WRIGHTSTOWN ROAD</v>
          </cell>
          <cell r="P306" t="str">
            <v>aalday@desertchristian.org</v>
          </cell>
          <cell r="Q306" t="str">
            <v>CDC-16101</v>
          </cell>
          <cell r="AJ306" t="e">
            <v>#N/A</v>
          </cell>
          <cell r="AK306" t="str">
            <v>CDC-16101</v>
          </cell>
          <cell r="AL306" t="str">
            <v>CDC16101</v>
          </cell>
        </row>
        <row r="307">
          <cell r="N307" t="str">
            <v>DESERT DAWN PRIVATE SCHOOL</v>
          </cell>
          <cell r="O307" t="str">
            <v>15815 NORTH 40TH STREET</v>
          </cell>
          <cell r="P307" t="str">
            <v>info@desertdawnschool.com</v>
          </cell>
          <cell r="Q307" t="str">
            <v>CDC-5444</v>
          </cell>
          <cell r="AJ307" t="e">
            <v>#N/A</v>
          </cell>
          <cell r="AK307" t="str">
            <v>CDC-5444</v>
          </cell>
          <cell r="AL307" t="str">
            <v>CDC5444</v>
          </cell>
        </row>
        <row r="308">
          <cell r="N308" t="str">
            <v>DESERT DREAMS DAYCARE</v>
          </cell>
          <cell r="O308" t="str">
            <v>13615 NORTH 35TH AVENUE STE 7</v>
          </cell>
          <cell r="P308" t="str">
            <v>essentialfoundationsplc@gmail.com</v>
          </cell>
          <cell r="Q308" t="str">
            <v>CDC-18025</v>
          </cell>
          <cell r="AJ308" t="e">
            <v>#N/A</v>
          </cell>
          <cell r="AK308" t="str">
            <v>CDC-18025</v>
          </cell>
          <cell r="AL308" t="str">
            <v>CDC18025</v>
          </cell>
        </row>
        <row r="309">
          <cell r="N309" t="str">
            <v>DESERT FOOTHILLS LUTHERAN PRESCHOOL</v>
          </cell>
          <cell r="O309" t="str">
            <v>29305 NORTH SCOTTSDALE ROAD</v>
          </cell>
          <cell r="P309" t="str">
            <v>martha@dflc.org</v>
          </cell>
          <cell r="Q309" t="str">
            <v>CDC-7736</v>
          </cell>
          <cell r="AJ309" t="e">
            <v>#N/A</v>
          </cell>
          <cell r="AK309" t="str">
            <v>CDC-7736</v>
          </cell>
          <cell r="AL309" t="str">
            <v>CDC7736</v>
          </cell>
        </row>
        <row r="310">
          <cell r="N310" t="str">
            <v>DESERT GARDEN MONTESSORI</v>
          </cell>
          <cell r="O310" t="str">
            <v>5130 EAST WARNER ROAD</v>
          </cell>
          <cell r="P310" t="str">
            <v>shetal@desertgardenmontessori.org</v>
          </cell>
          <cell r="Q310" t="str">
            <v>CDC-8042</v>
          </cell>
          <cell r="AJ310" t="e">
            <v>#N/A</v>
          </cell>
          <cell r="AK310" t="str">
            <v>CDC-8042</v>
          </cell>
          <cell r="AL310" t="str">
            <v>CDC8042</v>
          </cell>
        </row>
        <row r="311">
          <cell r="N311" t="str">
            <v>DESERT HEIGHTS PRESCHOOL</v>
          </cell>
          <cell r="O311" t="str">
            <v>5821 WEST BEVERLY LANE</v>
          </cell>
          <cell r="P311" t="str">
            <v>ciara.loadholt@dhschools.org</v>
          </cell>
          <cell r="Q311" t="str">
            <v>CDC-10670</v>
          </cell>
          <cell r="AJ311" t="e">
            <v>#N/A</v>
          </cell>
          <cell r="AK311" t="str">
            <v>CDC-10670</v>
          </cell>
          <cell r="AL311" t="str">
            <v>CDC10670</v>
          </cell>
        </row>
        <row r="312">
          <cell r="N312" t="str">
            <v>DESERT MARIGOLD SCHOOL</v>
          </cell>
          <cell r="O312" t="str">
            <v>6210 SOUTH 28TH STREET</v>
          </cell>
          <cell r="P312" t="str">
            <v>dmsoffice@desertmarigold.org</v>
          </cell>
          <cell r="Q312" t="str">
            <v>CDC-10082</v>
          </cell>
          <cell r="AJ312" t="e">
            <v>#N/A</v>
          </cell>
          <cell r="AK312" t="str">
            <v>CDC-10082</v>
          </cell>
          <cell r="AL312" t="str">
            <v>CDC10082</v>
          </cell>
        </row>
        <row r="313">
          <cell r="N313" t="str">
            <v>DESERT MIRAGE PREPARATORY ACADEMY D.B.A. DISCOVER U</v>
          </cell>
          <cell r="O313" t="str">
            <v>13226 NORTH 113TH AVENUE</v>
          </cell>
          <cell r="P313" t="str">
            <v>angela.makowski@leonagroup.com</v>
          </cell>
          <cell r="Q313" t="str">
            <v>CDC-16588</v>
          </cell>
          <cell r="AJ313" t="e">
            <v>#N/A</v>
          </cell>
          <cell r="AK313" t="str">
            <v>CDC-16588</v>
          </cell>
          <cell r="AL313" t="str">
            <v>CDC16588</v>
          </cell>
        </row>
        <row r="314">
          <cell r="N314" t="str">
            <v>DESERT SHADOWS MONTESSORI, INC.</v>
          </cell>
          <cell r="O314" t="str">
            <v>6709 EAST UNIVERSITY DRIVE</v>
          </cell>
          <cell r="P314" t="str">
            <v>Desertshadows@mac.com</v>
          </cell>
          <cell r="Q314" t="str">
            <v>CDC-3768</v>
          </cell>
          <cell r="AJ314" t="e">
            <v>#N/A</v>
          </cell>
          <cell r="AK314" t="str">
            <v>CDC-3768</v>
          </cell>
          <cell r="AL314" t="str">
            <v>CDC3768</v>
          </cell>
        </row>
        <row r="315">
          <cell r="N315" t="str">
            <v>DESERT SKIES</v>
          </cell>
          <cell r="O315" t="str">
            <v>7730 NORTH ORACLE</v>
          </cell>
          <cell r="P315" t="str">
            <v>desertskies@dnjeducational.com</v>
          </cell>
          <cell r="Q315" t="str">
            <v>CDC-9483</v>
          </cell>
          <cell r="AJ315">
            <v>80549</v>
          </cell>
          <cell r="AK315" t="str">
            <v>CDC-9483</v>
          </cell>
          <cell r="AL315" t="str">
            <v>CDC9483</v>
          </cell>
        </row>
        <row r="316">
          <cell r="N316" t="str">
            <v>DESERT SKY MONTESSORI SCHOOL</v>
          </cell>
          <cell r="O316" t="str">
            <v>12850 NORTH SCOTTSDALE RD</v>
          </cell>
          <cell r="P316" t="str">
            <v>DSmontesoriaz@gmail.com</v>
          </cell>
          <cell r="Q316" t="str">
            <v>CDC-6854</v>
          </cell>
          <cell r="AJ316" t="e">
            <v>#N/A</v>
          </cell>
          <cell r="AK316" t="str">
            <v>CDC-6854</v>
          </cell>
          <cell r="AL316" t="str">
            <v>CDC6854</v>
          </cell>
        </row>
        <row r="317">
          <cell r="N317" t="str">
            <v>DESERT SPRING CHILDREN'S CENTER</v>
          </cell>
          <cell r="O317" t="str">
            <v>740 EAST SPEEDWAY</v>
          </cell>
          <cell r="P317" t="str">
            <v>saravanslyke@gmail.com</v>
          </cell>
          <cell r="Q317" t="str">
            <v>CDC-1687</v>
          </cell>
          <cell r="AJ317" t="e">
            <v>#N/A</v>
          </cell>
          <cell r="AK317" t="str">
            <v>CDC-1687</v>
          </cell>
          <cell r="AL317" t="str">
            <v>CDC1687</v>
          </cell>
        </row>
        <row r="318">
          <cell r="N318" t="str">
            <v>DESERT SPRINGS CHRISTIAN PRESCHOOL</v>
          </cell>
          <cell r="O318" t="str">
            <v>16215 NORTH TATUM BLVD</v>
          </cell>
          <cell r="P318" t="str">
            <v>coolpreschool@desertsprings.com</v>
          </cell>
          <cell r="Q318" t="str">
            <v>CDC-2029</v>
          </cell>
          <cell r="AJ318" t="e">
            <v>#N/A</v>
          </cell>
          <cell r="AK318" t="str">
            <v>CDC-2029</v>
          </cell>
          <cell r="AL318" t="str">
            <v>CDC2029</v>
          </cell>
        </row>
        <row r="319">
          <cell r="N319" t="str">
            <v>DESERT STAR ACADEMY</v>
          </cell>
          <cell r="O319" t="str">
            <v>5635 HWY 95 STE E F G</v>
          </cell>
          <cell r="P319" t="str">
            <v>desertstarkinder@gmail.com</v>
          </cell>
          <cell r="Q319" t="str">
            <v>CDC-17588</v>
          </cell>
          <cell r="AJ319" t="e">
            <v>#N/A</v>
          </cell>
          <cell r="AK319" t="str">
            <v>CDC-17588</v>
          </cell>
          <cell r="AL319" t="str">
            <v>CDC17588</v>
          </cell>
        </row>
        <row r="320">
          <cell r="N320" t="str">
            <v>DESERT SUN CHILD DEVELOPMENT CENTER</v>
          </cell>
          <cell r="O320" t="str">
            <v>1512 WEST ELLIOT ROAD</v>
          </cell>
          <cell r="P320" t="str">
            <v>trisha@desertsun.org</v>
          </cell>
          <cell r="Q320" t="str">
            <v>CDC-5708</v>
          </cell>
          <cell r="AJ320" t="e">
            <v>#N/A</v>
          </cell>
          <cell r="AK320" t="str">
            <v>CDC-5708</v>
          </cell>
          <cell r="AL320" t="str">
            <v>CDC5708</v>
          </cell>
        </row>
        <row r="321">
          <cell r="N321" t="str">
            <v>DESERT TRAILS LEARNING CENTER</v>
          </cell>
          <cell r="O321" t="str">
            <v>802 WEST 19TH STREET</v>
          </cell>
          <cell r="P321" t="str">
            <v>happytrailsyuma@happytrailsyuma.com</v>
          </cell>
          <cell r="Q321" t="str">
            <v>CDC-3186</v>
          </cell>
          <cell r="AJ321">
            <v>10208</v>
          </cell>
          <cell r="AK321" t="str">
            <v>CDC-3186</v>
          </cell>
          <cell r="AL321" t="str">
            <v>CDC3186</v>
          </cell>
        </row>
        <row r="322">
          <cell r="N322" t="str">
            <v>DESERT VOICES ORAL LEARNING CENTER</v>
          </cell>
          <cell r="O322" t="str">
            <v>3426 EAST SHEA BLVD</v>
          </cell>
          <cell r="P322" t="str">
            <v>dchapman@desert-voices.org</v>
          </cell>
          <cell r="Q322" t="str">
            <v>CDC-9802</v>
          </cell>
          <cell r="AJ322" t="e">
            <v>#N/A</v>
          </cell>
          <cell r="AK322" t="str">
            <v>CDC-9802</v>
          </cell>
          <cell r="AL322" t="str">
            <v>CDC9802</v>
          </cell>
        </row>
        <row r="323">
          <cell r="N323" t="str">
            <v>DESERT WINDS HEAD START</v>
          </cell>
          <cell r="O323" t="str">
            <v>12655 WEST RUDASILL</v>
          </cell>
          <cell r="P323" t="str">
            <v>desertwinds@childparentcenters.org</v>
          </cell>
          <cell r="Q323" t="str">
            <v>CDC-7465</v>
          </cell>
          <cell r="AJ323">
            <v>9826</v>
          </cell>
          <cell r="AK323" t="str">
            <v>CDC-7465</v>
          </cell>
          <cell r="AL323" t="str">
            <v>CDC7465</v>
          </cell>
        </row>
        <row r="324">
          <cell r="N324" t="str">
            <v>DEVELOPING MINDS ACADEMY</v>
          </cell>
          <cell r="O324" t="str">
            <v>9659 NORTH HAYDEN ROAD</v>
          </cell>
          <cell r="P324" t="str">
            <v>aprilschaefer1@hotmail.com</v>
          </cell>
          <cell r="Q324" t="str">
            <v>CDC-17974</v>
          </cell>
          <cell r="AJ324" t="e">
            <v>#N/A</v>
          </cell>
          <cell r="AK324" t="str">
            <v>CDC-17974</v>
          </cell>
          <cell r="AL324" t="str">
            <v>CDC17974</v>
          </cell>
        </row>
        <row r="325">
          <cell r="N325" t="str">
            <v>DISCOVERY HEAD START</v>
          </cell>
          <cell r="O325" t="str">
            <v>7910 WEST MARYLAND AVENUE</v>
          </cell>
          <cell r="P325" t="str">
            <v>JMorales@cc-az.org</v>
          </cell>
          <cell r="Q325" t="str">
            <v>CDC-5854</v>
          </cell>
          <cell r="AJ325" t="e">
            <v>#N/A</v>
          </cell>
          <cell r="AK325" t="str">
            <v>CDC-5854</v>
          </cell>
          <cell r="AL325" t="str">
            <v>CDC5854</v>
          </cell>
        </row>
        <row r="326">
          <cell r="N326" t="str">
            <v>DISCOVERY LEARNING CENTER</v>
          </cell>
          <cell r="O326" t="str">
            <v>6601 EAST BROADWAY BLVD</v>
          </cell>
          <cell r="P326" t="str">
            <v>disclearncenter@earthlink.net</v>
          </cell>
          <cell r="Q326" t="str">
            <v>CDC-0238</v>
          </cell>
          <cell r="AJ326">
            <v>9949</v>
          </cell>
          <cell r="AK326" t="str">
            <v>CDC-0238</v>
          </cell>
          <cell r="AL326" t="str">
            <v>CDC0238</v>
          </cell>
        </row>
        <row r="327">
          <cell r="N327" t="str">
            <v>DISCOVERY LEARNING CENTER AND CHILD CARE</v>
          </cell>
          <cell r="O327" t="str">
            <v>1895 LAKESIDE DRIVE</v>
          </cell>
          <cell r="P327" t="str">
            <v>elizabeth.leal.flores@hotmail.com</v>
          </cell>
          <cell r="Q327" t="str">
            <v>CDC-17668</v>
          </cell>
          <cell r="AJ327" t="e">
            <v>#N/A</v>
          </cell>
          <cell r="AK327" t="str">
            <v>CDC-17668</v>
          </cell>
          <cell r="AL327" t="str">
            <v>CDC17668</v>
          </cell>
        </row>
        <row r="328">
          <cell r="N328" t="str">
            <v>DISCOVERY TIME CHILDCARE</v>
          </cell>
          <cell r="O328" t="str">
            <v>1425 WEST SOUTHERN AVENUE  STE 7</v>
          </cell>
          <cell r="P328" t="str">
            <v>laurencoley30@gmail.com</v>
          </cell>
          <cell r="Q328" t="str">
            <v>CDC-3410</v>
          </cell>
          <cell r="AJ328">
            <v>9045</v>
          </cell>
          <cell r="AK328" t="str">
            <v>CDC-3410</v>
          </cell>
          <cell r="AL328" t="str">
            <v>CDC3410</v>
          </cell>
        </row>
        <row r="329">
          <cell r="N329" t="str">
            <v>DISCOVERY ZONE CHILDCARE AND LEARNING CENTER AT LOVE GOSPEL CHURCH</v>
          </cell>
          <cell r="O329" t="str">
            <v>1890 SOUTH PLAZA DRIVE</v>
          </cell>
          <cell r="P329" t="str">
            <v>discoveryzonelgc@gmail.com</v>
          </cell>
          <cell r="Q329" t="str">
            <v>CDC-18194</v>
          </cell>
          <cell r="AJ329" t="e">
            <v>#N/A</v>
          </cell>
          <cell r="AK329" t="str">
            <v>CDC-18194</v>
          </cell>
          <cell r="AL329" t="str">
            <v>CDC18194</v>
          </cell>
        </row>
        <row r="330">
          <cell r="N330" t="str">
            <v>DIVINE CHILDREN PRESCHOOL AND DAYCARE</v>
          </cell>
          <cell r="O330" t="str">
            <v>8215 WEST INDIAN SCHOOL ROAD</v>
          </cell>
          <cell r="P330" t="str">
            <v>divinechildren1@gmail.com</v>
          </cell>
          <cell r="Q330" t="str">
            <v>CDC-17104</v>
          </cell>
          <cell r="AJ330" t="e">
            <v>#N/A</v>
          </cell>
          <cell r="AK330" t="str">
            <v>CDC-17104</v>
          </cell>
          <cell r="AL330" t="str">
            <v>CDC17104</v>
          </cell>
        </row>
        <row r="331">
          <cell r="N331" t="str">
            <v>DOBSON ACADEMY</v>
          </cell>
          <cell r="O331" t="str">
            <v>2207 NORTH DOBSON ROAD</v>
          </cell>
          <cell r="P331" t="str">
            <v>ccabrera@ballcharterschools.org</v>
          </cell>
          <cell r="Q331" t="str">
            <v>CDC-8142</v>
          </cell>
          <cell r="AJ331" t="e">
            <v>#N/A</v>
          </cell>
          <cell r="AK331" t="str">
            <v>CDC-8142</v>
          </cell>
          <cell r="AL331" t="str">
            <v>CDC8142</v>
          </cell>
        </row>
        <row r="332">
          <cell r="N332" t="str">
            <v>DOBSON MONTESSORI SCHOOL</v>
          </cell>
          <cell r="O332" t="str">
            <v>1130 SOUTH SAN JOSE STREET</v>
          </cell>
          <cell r="P332" t="str">
            <v>dobsonmontessori@aol.com</v>
          </cell>
          <cell r="Q332" t="str">
            <v>CDC-9295</v>
          </cell>
          <cell r="AJ332" t="e">
            <v>#N/A</v>
          </cell>
          <cell r="AK332" t="str">
            <v>CDC-9295</v>
          </cell>
          <cell r="AL332" t="str">
            <v>CDC9295</v>
          </cell>
        </row>
        <row r="333">
          <cell r="N333" t="str">
            <v>DR NELBA CHAVEZ CHILD/ FAMILY CENTER</v>
          </cell>
          <cell r="O333" t="str">
            <v>502 WEST 29TH STREET</v>
          </cell>
          <cell r="P333" t="str">
            <v>monica.malone@lafrontera.org</v>
          </cell>
          <cell r="Q333" t="str">
            <v>CDC-1877</v>
          </cell>
          <cell r="AJ333" t="e">
            <v>#N/A</v>
          </cell>
          <cell r="AK333" t="str">
            <v>CDC-1877</v>
          </cell>
          <cell r="AL333" t="str">
            <v>CDC1877</v>
          </cell>
        </row>
        <row r="334">
          <cell r="N334" t="str">
            <v>DR. SAIDE RECREATION CENTER</v>
          </cell>
          <cell r="O334" t="str">
            <v>1003 EAST EASON AVENUE</v>
          </cell>
          <cell r="P334" t="str">
            <v>clancaster@buckeyaz.gov</v>
          </cell>
          <cell r="Q334" t="str">
            <v>CDC-15153</v>
          </cell>
          <cell r="AJ334" t="e">
            <v>#N/A</v>
          </cell>
          <cell r="AK334" t="str">
            <v>CDC-15153</v>
          </cell>
          <cell r="AL334" t="str">
            <v>CDC15153</v>
          </cell>
        </row>
        <row r="335">
          <cell r="N335" t="str">
            <v>DREAM CITY CHRISTIAN SCHOOL - GLENDALE LLC</v>
          </cell>
          <cell r="O335" t="str">
            <v>21000 NORTH 75TH AVENUE</v>
          </cell>
          <cell r="P335" t="str">
            <v>diane.stair@joyonline.org</v>
          </cell>
          <cell r="Q335" t="str">
            <v>CDC-7556</v>
          </cell>
          <cell r="AJ335" t="e">
            <v>#N/A</v>
          </cell>
          <cell r="AK335" t="str">
            <v>CDC-7556</v>
          </cell>
          <cell r="AL335" t="str">
            <v>CDC7556</v>
          </cell>
        </row>
        <row r="336">
          <cell r="N336" t="str">
            <v>DUNCAN HEAD START</v>
          </cell>
          <cell r="O336" t="str">
            <v>1 MCGRATH AVENUE</v>
          </cell>
          <cell r="P336" t="str">
            <v>duncan@childparentcenters.org</v>
          </cell>
          <cell r="Q336" t="str">
            <v>CDC-5072</v>
          </cell>
          <cell r="AJ336">
            <v>7932</v>
          </cell>
          <cell r="AK336" t="str">
            <v>CDC-5072</v>
          </cell>
          <cell r="AL336" t="str">
            <v>CDC5072</v>
          </cell>
        </row>
        <row r="337">
          <cell r="N337" t="str">
            <v>DYNAMITE MONTESSORI SCHOOL</v>
          </cell>
          <cell r="O337" t="str">
            <v>28807 NORTH 53RD STREET</v>
          </cell>
          <cell r="P337" t="str">
            <v>paula@dynamitemontessori.com</v>
          </cell>
          <cell r="Q337" t="str">
            <v>CDC-10875</v>
          </cell>
          <cell r="AJ337" t="e">
            <v>#N/A</v>
          </cell>
          <cell r="AK337" t="str">
            <v>CDC-10875</v>
          </cell>
          <cell r="AL337" t="str">
            <v>CDC10875</v>
          </cell>
        </row>
        <row r="338">
          <cell r="N338" t="str">
            <v>E.E.I COMPASS EDUCATIONAL PARTNERS/COMPASS EDUCATIONAL PROGRAMS</v>
          </cell>
          <cell r="O338" t="str">
            <v>1619 EAST MAIN STREET</v>
          </cell>
          <cell r="P338" t="str">
            <v>marylou.rogers@compassedprograms.org</v>
          </cell>
          <cell r="Q338" t="str">
            <v>CDC-17016</v>
          </cell>
          <cell r="AJ338" t="e">
            <v>#N/A</v>
          </cell>
          <cell r="AK338" t="str">
            <v>CDC-17016</v>
          </cell>
          <cell r="AL338" t="str">
            <v>CDC17016</v>
          </cell>
        </row>
        <row r="339">
          <cell r="N339" t="str">
            <v>E.E.I. COMPASS EDUCATIONAL PARTNERS, INC.</v>
          </cell>
          <cell r="O339" t="str">
            <v>3950 NORTH 53RD AVENUE</v>
          </cell>
          <cell r="P339" t="str">
            <v>marylou.rogers@compassedprograms.org</v>
          </cell>
          <cell r="Q339" t="str">
            <v>CDC-17041</v>
          </cell>
          <cell r="AJ339" t="e">
            <v>#N/A</v>
          </cell>
          <cell r="AK339" t="str">
            <v>CDC-17041</v>
          </cell>
          <cell r="AL339" t="str">
            <v>CDC17041</v>
          </cell>
        </row>
        <row r="340">
          <cell r="N340" t="str">
            <v>EARLY EDUCATION COOPERATIVE PRESCHOOL</v>
          </cell>
          <cell r="O340" t="str">
            <v>4027 EAST LINCOLN DRIVE</v>
          </cell>
          <cell r="P340" t="str">
            <v>director@cooppreschool.org</v>
          </cell>
          <cell r="Q340" t="str">
            <v>CDC-17673</v>
          </cell>
          <cell r="AJ340" t="e">
            <v>#N/A</v>
          </cell>
          <cell r="AK340" t="str">
            <v>CDC-17673</v>
          </cell>
          <cell r="AL340" t="str">
            <v>CDC17673</v>
          </cell>
        </row>
        <row r="341">
          <cell r="N341" t="str">
            <v>EARLY EXPLORERS LEARNING CENTERS</v>
          </cell>
          <cell r="O341" t="str">
            <v>3131 EAST AIRE LIBRE AVENUE</v>
          </cell>
          <cell r="P341" t="str">
            <v>earlyexplorers_1@outlook.com</v>
          </cell>
          <cell r="Q341" t="str">
            <v>CDC-8341</v>
          </cell>
          <cell r="AJ341">
            <v>80483</v>
          </cell>
          <cell r="AK341" t="str">
            <v>CDC-8341</v>
          </cell>
          <cell r="AL341" t="str">
            <v>CDC8341</v>
          </cell>
        </row>
        <row r="342">
          <cell r="N342" t="str">
            <v>EARLY LEARNING ACADEMY INC.</v>
          </cell>
          <cell r="O342" t="str">
            <v>1013 WEST ARIZONA AVENUE - SUITE A,B,C</v>
          </cell>
          <cell r="P342" t="str">
            <v>earlylearningacademy19@gmail.com</v>
          </cell>
          <cell r="Q342" t="str">
            <v>CDC-18814</v>
          </cell>
          <cell r="AJ342" t="e">
            <v>#N/A</v>
          </cell>
          <cell r="AK342" t="str">
            <v>CDC-18814</v>
          </cell>
          <cell r="AL342" t="str">
            <v>CDC18814</v>
          </cell>
        </row>
        <row r="343">
          <cell r="N343" t="str">
            <v>EARLY LEARNING ADVENTURES L.L.C.</v>
          </cell>
          <cell r="O343" t="str">
            <v>290 WEST OAK AVENUE</v>
          </cell>
          <cell r="P343" t="str">
            <v>earlylearningadventures@hotmail.com</v>
          </cell>
          <cell r="Q343" t="str">
            <v>CDC-18500</v>
          </cell>
          <cell r="AJ343" t="e">
            <v>#N/A</v>
          </cell>
          <cell r="AK343" t="str">
            <v>CDC-18500</v>
          </cell>
          <cell r="AL343" t="str">
            <v>CDC18500</v>
          </cell>
        </row>
        <row r="344">
          <cell r="N344" t="str">
            <v>EARLY STEPS LEARNING</v>
          </cell>
          <cell r="O344" t="str">
            <v>6501 NORTH 27TH AVENUE</v>
          </cell>
          <cell r="P344" t="str">
            <v>earlystepslearning@gmail.com</v>
          </cell>
          <cell r="Q344" t="str">
            <v>CDC-18691</v>
          </cell>
          <cell r="AJ344" t="e">
            <v>#N/A</v>
          </cell>
          <cell r="AK344" t="str">
            <v>CDC-18691</v>
          </cell>
          <cell r="AL344" t="str">
            <v>CDC18691</v>
          </cell>
        </row>
        <row r="345">
          <cell r="N345" t="str">
            <v>EAST MESA CHARTER ELEMENTARY SCHOOL</v>
          </cell>
          <cell r="O345" t="str">
            <v>9701 EAST SOUTHERN AVENUE</v>
          </cell>
          <cell r="P345" t="str">
            <v>tony.mcclure@imagineschools.com</v>
          </cell>
          <cell r="Q345" t="str">
            <v>CDC-12860</v>
          </cell>
          <cell r="AJ345" t="e">
            <v>#N/A</v>
          </cell>
          <cell r="AK345" t="str">
            <v>CDC-12860</v>
          </cell>
          <cell r="AL345" t="str">
            <v>CDC12860</v>
          </cell>
        </row>
        <row r="346">
          <cell r="N346" t="str">
            <v>EAST VALLEY J C C</v>
          </cell>
          <cell r="O346" t="str">
            <v>908 NORTH ALMA SCHOOL ROAD</v>
          </cell>
          <cell r="P346" t="str">
            <v>hadassah@evjcc.org</v>
          </cell>
          <cell r="Q346" t="str">
            <v>CDC-12056</v>
          </cell>
          <cell r="AJ346" t="e">
            <v>#N/A</v>
          </cell>
          <cell r="AK346" t="str">
            <v>CDC-12056</v>
          </cell>
          <cell r="AL346" t="str">
            <v>CDC12056</v>
          </cell>
        </row>
        <row r="347">
          <cell r="N347" t="str">
            <v>EAST VALLEY LEARNING CENTER</v>
          </cell>
          <cell r="O347" t="str">
            <v>71 SOUTH MCQUEEN ROAD</v>
          </cell>
          <cell r="P347" t="str">
            <v>eastvalleylearningcenter@gmail.com</v>
          </cell>
          <cell r="Q347" t="str">
            <v>CDC-17939</v>
          </cell>
          <cell r="AJ347" t="e">
            <v>#N/A</v>
          </cell>
          <cell r="AK347" t="str">
            <v>CDC-17939</v>
          </cell>
          <cell r="AL347" t="str">
            <v>CDC17939</v>
          </cell>
        </row>
        <row r="348">
          <cell r="N348" t="str">
            <v>EASTER SEALS BLAKE FOUNDATION PALOMITA CHILDREN'S CENTER</v>
          </cell>
          <cell r="O348" t="str">
            <v>250 WEST 15TH STREET</v>
          </cell>
          <cell r="P348" t="str">
            <v>dmontez@blake.easterseals.com</v>
          </cell>
          <cell r="Q348" t="str">
            <v>CDC-9344</v>
          </cell>
          <cell r="AJ348">
            <v>80523</v>
          </cell>
          <cell r="AK348" t="str">
            <v>CDC-9344</v>
          </cell>
          <cell r="AL348" t="str">
            <v>CDC9344</v>
          </cell>
        </row>
        <row r="349">
          <cell r="N349" t="str">
            <v>EDUCATION THROUGH CONSCIOUSNESS CHILDCARE</v>
          </cell>
          <cell r="O349" t="str">
            <v>538 WEST HIGHLAND AVENUE</v>
          </cell>
          <cell r="P349" t="str">
            <v>admin@etc-academy.org</v>
          </cell>
          <cell r="Q349" t="str">
            <v>CDC-18563</v>
          </cell>
          <cell r="AJ349" t="e">
            <v>#N/A</v>
          </cell>
          <cell r="AK349" t="str">
            <v>CDC-18563</v>
          </cell>
          <cell r="AL349" t="str">
            <v>CDC18563</v>
          </cell>
        </row>
        <row r="350">
          <cell r="N350" t="str">
            <v>EDUPRIZE</v>
          </cell>
          <cell r="O350" t="str">
            <v>580 WEST MELODY AVENUE</v>
          </cell>
          <cell r="P350" t="str">
            <v>robin.yeargain@eduprizeschools.net</v>
          </cell>
          <cell r="Q350" t="str">
            <v>CDC-16905</v>
          </cell>
          <cell r="AJ350" t="e">
            <v>#N/A</v>
          </cell>
          <cell r="AK350" t="str">
            <v>CDC-16905</v>
          </cell>
          <cell r="AL350" t="str">
            <v>CDC16905</v>
          </cell>
        </row>
        <row r="351">
          <cell r="N351" t="str">
            <v>EDUPRIZE SCHOOL - QUEEN CREEK</v>
          </cell>
          <cell r="O351" t="str">
            <v>4567 WEST ROBERTS ROAD</v>
          </cell>
          <cell r="P351" t="str">
            <v>dolores.martinez@eduprizeschools.net</v>
          </cell>
          <cell r="Q351" t="str">
            <v>CDC-17333</v>
          </cell>
          <cell r="AJ351" t="e">
            <v>#N/A</v>
          </cell>
          <cell r="AK351" t="str">
            <v>CDC-17333</v>
          </cell>
          <cell r="AL351" t="str">
            <v>CDC17333</v>
          </cell>
        </row>
        <row r="352">
          <cell r="N352" t="str">
            <v>EHMKES CHILDHAVEN PRESCHOOL</v>
          </cell>
          <cell r="O352" t="str">
            <v>841 EAST MC NEIL STREET</v>
          </cell>
          <cell r="P352" t="str">
            <v>ehmkes.childhaven@yahoo.com</v>
          </cell>
          <cell r="Q352" t="str">
            <v>CDC-12301</v>
          </cell>
          <cell r="AJ352" t="e">
            <v>#N/A</v>
          </cell>
          <cell r="AK352" t="str">
            <v>CDC-12301</v>
          </cell>
          <cell r="AL352" t="str">
            <v>CDC12301</v>
          </cell>
        </row>
        <row r="353">
          <cell r="N353" t="str">
            <v>EL CASTILLO DEL NINO</v>
          </cell>
          <cell r="O353" t="str">
            <v>1409 ARDEN AVENUE</v>
          </cell>
          <cell r="P353" t="str">
            <v>elcastillodelninodaycare@gmail.com</v>
          </cell>
          <cell r="Q353" t="str">
            <v>CDC-10843</v>
          </cell>
          <cell r="AJ353" t="e">
            <v>#N/A</v>
          </cell>
          <cell r="AK353" t="str">
            <v>CDC-10843</v>
          </cell>
          <cell r="AL353" t="str">
            <v>CDC10843</v>
          </cell>
        </row>
        <row r="354">
          <cell r="N354" t="str">
            <v>EL MIRAGE HEAD START</v>
          </cell>
          <cell r="O354" t="str">
            <v>13500 NORTH EL MIRAGE ROAD</v>
          </cell>
          <cell r="P354" t="str">
            <v>rsandoval@cc-az.org</v>
          </cell>
          <cell r="Q354" t="str">
            <v>CDC-17055</v>
          </cell>
          <cell r="AJ354" t="e">
            <v>#N/A</v>
          </cell>
          <cell r="AK354" t="str">
            <v>CDC-17055</v>
          </cell>
          <cell r="AL354" t="str">
            <v>CDC17055</v>
          </cell>
        </row>
        <row r="355">
          <cell r="N355" t="str">
            <v>EL PRESIDIO DAY SCHOOL</v>
          </cell>
          <cell r="O355" t="str">
            <v>430 NORTH MAIN STREET</v>
          </cell>
          <cell r="P355" t="str">
            <v>kelli@smallmiraclesedu.com</v>
          </cell>
          <cell r="Q355" t="str">
            <v>CDC-17634</v>
          </cell>
          <cell r="AJ355">
            <v>740776</v>
          </cell>
          <cell r="AK355" t="str">
            <v>CDC-17634</v>
          </cell>
          <cell r="AL355" t="str">
            <v>CDC17634</v>
          </cell>
        </row>
        <row r="356">
          <cell r="N356" t="str">
            <v>ELITE PRESCHOOL AND LEARNING CENTER</v>
          </cell>
          <cell r="O356" t="str">
            <v>7840 WEST LOWER BUCKEYE ROAD</v>
          </cell>
          <cell r="P356" t="str">
            <v>director@elitepreschool.org</v>
          </cell>
          <cell r="Q356" t="str">
            <v>CDC-14277</v>
          </cell>
          <cell r="AJ356" t="e">
            <v>#N/A</v>
          </cell>
          <cell r="AK356" t="str">
            <v>CDC-14277</v>
          </cell>
          <cell r="AL356" t="str">
            <v>CDC14277</v>
          </cell>
        </row>
        <row r="357">
          <cell r="N357" t="str">
            <v>ELOY AFTER SCHOOL PROGRAM</v>
          </cell>
          <cell r="O357" t="str">
            <v>1000 NORTH CURIEL STREET</v>
          </cell>
          <cell r="P357" t="str">
            <v>bpayne@eloyaz.gov</v>
          </cell>
          <cell r="Q357" t="str">
            <v>CDC-8681</v>
          </cell>
          <cell r="AJ357" t="e">
            <v>#N/A</v>
          </cell>
          <cell r="AK357" t="str">
            <v>CDC-8681</v>
          </cell>
          <cell r="AL357" t="str">
            <v>CDC8681</v>
          </cell>
        </row>
        <row r="358">
          <cell r="N358" t="str">
            <v>ELOY HEAD START</v>
          </cell>
          <cell r="O358" t="str">
            <v>114 EAST 3RD STREET</v>
          </cell>
          <cell r="P358" t="str">
            <v>sonia.loya@pgccs.org</v>
          </cell>
          <cell r="Q358" t="str">
            <v>CDC-18477</v>
          </cell>
          <cell r="AJ358">
            <v>8072</v>
          </cell>
          <cell r="AK358" t="str">
            <v>CDC-18477</v>
          </cell>
          <cell r="AL358" t="str">
            <v>CDC18477</v>
          </cell>
        </row>
        <row r="359">
          <cell r="N359" t="str">
            <v>ELVIRA HEAD START</v>
          </cell>
          <cell r="O359" t="str">
            <v>205 WEST ARAGON ROAD</v>
          </cell>
          <cell r="P359" t="str">
            <v>elvira@childparentcenters.org</v>
          </cell>
          <cell r="Q359" t="str">
            <v>CDC-11133</v>
          </cell>
          <cell r="AJ359">
            <v>85207</v>
          </cell>
          <cell r="AK359" t="str">
            <v>CDC-11133</v>
          </cell>
          <cell r="AL359" t="str">
            <v>CDC11133</v>
          </cell>
        </row>
        <row r="360">
          <cell r="N360" t="str">
            <v>EMMAUS LUTHERAN CHILD CARE CENTER</v>
          </cell>
          <cell r="O360" t="str">
            <v>3841 WEST SWEETWATER AVENUE</v>
          </cell>
          <cell r="P360" t="str">
            <v>melse@emmauslutheran.com</v>
          </cell>
          <cell r="Q360" t="str">
            <v>CDC-5891</v>
          </cell>
          <cell r="AJ360" t="e">
            <v>#N/A</v>
          </cell>
          <cell r="AK360" t="str">
            <v>CDC-5891</v>
          </cell>
          <cell r="AL360" t="str">
            <v>CDC5891</v>
          </cell>
        </row>
        <row r="361">
          <cell r="N361" t="str">
            <v>ERICKSON HEAD START</v>
          </cell>
          <cell r="O361" t="str">
            <v>3333 SOUTH MANN AVENUE</v>
          </cell>
          <cell r="P361" t="str">
            <v>epacheco@childparentcenters.org</v>
          </cell>
          <cell r="Q361" t="str">
            <v>CDC-5587</v>
          </cell>
          <cell r="AJ361">
            <v>9847</v>
          </cell>
          <cell r="AK361" t="str">
            <v>CDC-5587</v>
          </cell>
          <cell r="AL361" t="str">
            <v>CDC5587</v>
          </cell>
        </row>
        <row r="362">
          <cell r="N362" t="str">
            <v>ERIK HITE FOUNDATION CHILD CARE CENTER</v>
          </cell>
          <cell r="O362" t="str">
            <v>9420 EAST GOLF LINKS ROAD, PMB 265</v>
          </cell>
          <cell r="P362" t="str">
            <v>nohemy@erikhitefoundation.org</v>
          </cell>
          <cell r="Q362" t="str">
            <v>CDC-15743</v>
          </cell>
          <cell r="AJ362" t="e">
            <v>#N/A</v>
          </cell>
          <cell r="AK362" t="str">
            <v>CDC-15743</v>
          </cell>
          <cell r="AL362" t="str">
            <v>CDC15743</v>
          </cell>
        </row>
        <row r="363">
          <cell r="N363" t="str">
            <v>ESPERANZA MONTESSORI ACADEMY</v>
          </cell>
          <cell r="O363" t="str">
            <v>4848 SOUTH 2ND STREET</v>
          </cell>
          <cell r="P363" t="str">
            <v>lortiz@espiritu.org</v>
          </cell>
          <cell r="Q363" t="str">
            <v>CDC-16052</v>
          </cell>
          <cell r="AJ363" t="e">
            <v>#N/A</v>
          </cell>
          <cell r="AK363" t="str">
            <v>CDC-16052</v>
          </cell>
          <cell r="AL363" t="str">
            <v>CDC16052</v>
          </cell>
        </row>
        <row r="364">
          <cell r="N364" t="str">
            <v>ESTRELLA MOUNTAIN PRESCHOOL</v>
          </cell>
          <cell r="O364" t="str">
            <v>10485 SOUTH ESTRELLA PARKWAY</v>
          </cell>
          <cell r="P364" t="str">
            <v>Lisat@emcaz.org</v>
          </cell>
          <cell r="Q364" t="str">
            <v>CDC-10999</v>
          </cell>
          <cell r="AJ364" t="e">
            <v>#N/A</v>
          </cell>
          <cell r="AK364" t="str">
            <v>CDC-10999</v>
          </cell>
          <cell r="AL364" t="str">
            <v>CDC10999</v>
          </cell>
        </row>
        <row r="365">
          <cell r="N365" t="str">
            <v>ESTRELLITA CHILD CARE CENTER, L.L.C.</v>
          </cell>
          <cell r="O365" t="str">
            <v>751 NORTH 4TH AVENUE</v>
          </cell>
          <cell r="P365" t="str">
            <v>ESTRELLITAPRESCHOOL@GMAIL.COM</v>
          </cell>
          <cell r="Q365" t="str">
            <v>CDC-18883</v>
          </cell>
          <cell r="AJ365">
            <v>92800</v>
          </cell>
          <cell r="AK365" t="str">
            <v>CDC-18883</v>
          </cell>
          <cell r="AL365" t="str">
            <v>CDC18883</v>
          </cell>
        </row>
        <row r="366">
          <cell r="N366" t="str">
            <v>ETHOS ACADEMY - A CHALLENGE FOUNDATION ACADEMY</v>
          </cell>
          <cell r="O366" t="str">
            <v>8840 NORTH 43RD AVENUE</v>
          </cell>
          <cell r="P366" t="str">
            <v>tsalko@ethosacademy.school</v>
          </cell>
          <cell r="Q366" t="str">
            <v>CDC-18564</v>
          </cell>
          <cell r="AJ366" t="e">
            <v>#N/A</v>
          </cell>
          <cell r="AK366" t="str">
            <v>CDC-18564</v>
          </cell>
          <cell r="AL366" t="str">
            <v>CDC18564</v>
          </cell>
        </row>
        <row r="367">
          <cell r="N367" t="str">
            <v>EXPLORERS IN LEARNING</v>
          </cell>
          <cell r="O367" t="str">
            <v>4723 EAST UNION HILLS DRIVE</v>
          </cell>
          <cell r="P367" t="str">
            <v>marcia@explorersinlearning.com</v>
          </cell>
          <cell r="Q367" t="str">
            <v>CDC-10484</v>
          </cell>
          <cell r="AJ367" t="e">
            <v>#N/A</v>
          </cell>
          <cell r="AK367" t="str">
            <v>CDC-10484</v>
          </cell>
          <cell r="AL367" t="str">
            <v>CDC10484</v>
          </cell>
        </row>
        <row r="368">
          <cell r="N368" t="str">
            <v>FAITH COMMUNITY ACADEMY</v>
          </cell>
          <cell r="O368" t="str">
            <v>2551 WEST ORANGE GROVE RD</v>
          </cell>
          <cell r="P368" t="str">
            <v>principal@fcatucson.org</v>
          </cell>
          <cell r="Q368" t="str">
            <v>CDC-4102</v>
          </cell>
          <cell r="AJ368" t="e">
            <v>#N/A</v>
          </cell>
          <cell r="AK368" t="str">
            <v>CDC-4102</v>
          </cell>
          <cell r="AL368" t="str">
            <v>CDC4102</v>
          </cell>
        </row>
        <row r="369">
          <cell r="N369" t="str">
            <v>FAITH LUTHERAN CHURCH &amp; SCHOOL &amp; PRESCHOOL</v>
          </cell>
          <cell r="O369" t="str">
            <v>3925 EAST 5TH STREET</v>
          </cell>
          <cell r="P369" t="str">
            <v>esther.lang@faith-lutheran.org</v>
          </cell>
          <cell r="Q369" t="str">
            <v>CDC-3144</v>
          </cell>
          <cell r="AJ369" t="e">
            <v>#N/A</v>
          </cell>
          <cell r="AK369" t="str">
            <v>CDC-3144</v>
          </cell>
          <cell r="AL369" t="str">
            <v>CDC3144</v>
          </cell>
        </row>
        <row r="370">
          <cell r="N370" t="str">
            <v>FAITH LUTHERAN PRESCHOOL</v>
          </cell>
          <cell r="O370" t="str">
            <v>801 EAST CAMELBACK ROAD</v>
          </cell>
          <cell r="P370" t="str">
            <v>info@faithlutheranpreschool.org</v>
          </cell>
          <cell r="Q370" t="str">
            <v>CDC-1339</v>
          </cell>
          <cell r="AJ370" t="e">
            <v>#N/A</v>
          </cell>
          <cell r="AK370" t="str">
            <v>CDC-1339</v>
          </cell>
          <cell r="AL370" t="str">
            <v>CDC1339</v>
          </cell>
        </row>
        <row r="371">
          <cell r="N371" t="str">
            <v>FAMILY LIFE ACADEMY</v>
          </cell>
          <cell r="O371" t="str">
            <v>530 SOUTH PANTANO ROAD</v>
          </cell>
          <cell r="P371" t="str">
            <v>mfaraj@ccctucson.org</v>
          </cell>
          <cell r="Q371" t="str">
            <v>CDC-4074</v>
          </cell>
          <cell r="AJ371" t="e">
            <v>#N/A</v>
          </cell>
          <cell r="AK371" t="str">
            <v>CDC-4074</v>
          </cell>
          <cell r="AL371" t="str">
            <v>CDC4074</v>
          </cell>
        </row>
        <row r="372">
          <cell r="N372" t="str">
            <v>FAMILY OF CHRIST EARLY EDUCATION CENTER</v>
          </cell>
          <cell r="O372" t="str">
            <v>3501 EAST CHANDLER BLVD</v>
          </cell>
          <cell r="P372" t="str">
            <v>snelson@focaz.org</v>
          </cell>
          <cell r="Q372" t="str">
            <v>CDC-4309</v>
          </cell>
          <cell r="AJ372" t="e">
            <v>#N/A</v>
          </cell>
          <cell r="AK372" t="str">
            <v>CDC-4309</v>
          </cell>
          <cell r="AL372" t="str">
            <v>CDC4309</v>
          </cell>
        </row>
        <row r="373">
          <cell r="N373" t="str">
            <v>FAMILY TREE DAY CARE</v>
          </cell>
          <cell r="O373" t="str">
            <v>3415 ORO GRANDE</v>
          </cell>
          <cell r="P373" t="str">
            <v>sotoonelia@yahoo.com</v>
          </cell>
          <cell r="Q373" t="str">
            <v>CDC-18411</v>
          </cell>
          <cell r="AJ373" t="e">
            <v>#N/A</v>
          </cell>
          <cell r="AK373" t="str">
            <v>CDC-18411</v>
          </cell>
          <cell r="AL373" t="str">
            <v>CDC18411</v>
          </cell>
        </row>
        <row r="374">
          <cell r="N374" t="str">
            <v>FIRST BAPTIST CHRISTIAN ACADEMY</v>
          </cell>
          <cell r="O374" t="str">
            <v>1447 SOUTH 7TH STREET</v>
          </cell>
          <cell r="P374" t="str">
            <v>fbcaprincipal@gmail.com</v>
          </cell>
          <cell r="Q374" t="str">
            <v>CDC-1413</v>
          </cell>
          <cell r="AJ374" t="e">
            <v>#N/A</v>
          </cell>
          <cell r="AK374" t="str">
            <v>CDC-1413</v>
          </cell>
          <cell r="AL374" t="str">
            <v>CDC1413</v>
          </cell>
        </row>
        <row r="375">
          <cell r="N375" t="str">
            <v>FIRST CHRISTIAN CHURCH PRESCHOOL</v>
          </cell>
          <cell r="O375" t="str">
            <v>3261 SOUTH AVENUE 6E</v>
          </cell>
          <cell r="P375" t="str">
            <v>cfrost@swcslions.org</v>
          </cell>
          <cell r="Q375" t="str">
            <v>CDC-17141</v>
          </cell>
          <cell r="AJ375" t="e">
            <v>#N/A</v>
          </cell>
          <cell r="AK375" t="str">
            <v>CDC-17141</v>
          </cell>
          <cell r="AL375" t="str">
            <v>CDC17141</v>
          </cell>
        </row>
        <row r="376">
          <cell r="N376" t="str">
            <v>FIRST IMPRESSIONS PRESCHOOL/ DAYCARE CENTER</v>
          </cell>
          <cell r="O376" t="str">
            <v>655 S CRAYCROFT</v>
          </cell>
          <cell r="P376" t="str">
            <v>firstimpressionspreschools@gmail.com</v>
          </cell>
          <cell r="Q376" t="str">
            <v>CDC-15578</v>
          </cell>
          <cell r="AJ376">
            <v>91298</v>
          </cell>
          <cell r="AK376" t="str">
            <v>CDC-15578</v>
          </cell>
          <cell r="AL376" t="str">
            <v>CDC15578</v>
          </cell>
        </row>
        <row r="377">
          <cell r="N377" t="str">
            <v>FIRST PRESBYTERIAN CHURCH OF PEORIA PRESCHOOL</v>
          </cell>
          <cell r="O377" t="str">
            <v>10236 NORTH 83RD AVENUE</v>
          </cell>
          <cell r="P377" t="str">
            <v>suntinker17@gmail.com</v>
          </cell>
          <cell r="Q377" t="str">
            <v>CDC-16812</v>
          </cell>
          <cell r="AJ377" t="e">
            <v>#N/A</v>
          </cell>
          <cell r="AK377" t="str">
            <v>CDC-16812</v>
          </cell>
          <cell r="AL377" t="str">
            <v>CDC16812</v>
          </cell>
        </row>
        <row r="378">
          <cell r="N378" t="str">
            <v>FIRST PRESBYTERIAN PRESCHOOL OF MESA</v>
          </cell>
          <cell r="O378" t="str">
            <v>161 NORTH MESA DRIVE</v>
          </cell>
          <cell r="P378" t="str">
            <v>preschool@fpcmesa.org</v>
          </cell>
          <cell r="Q378" t="str">
            <v>CDC-1596</v>
          </cell>
          <cell r="AJ378" t="e">
            <v>#N/A</v>
          </cell>
          <cell r="AK378" t="str">
            <v>CDC-1596</v>
          </cell>
          <cell r="AL378" t="str">
            <v>CDC1596</v>
          </cell>
        </row>
        <row r="379">
          <cell r="N379" t="str">
            <v>FIRST SOUTHERN CHRISTIAN SCHOOL</v>
          </cell>
          <cell r="O379" t="str">
            <v>445 EAST SPEEDWAY</v>
          </cell>
          <cell r="P379" t="str">
            <v>fscs4jesus@aol.com</v>
          </cell>
          <cell r="Q379" t="str">
            <v>CDC-2093</v>
          </cell>
          <cell r="AJ379" t="e">
            <v>#N/A</v>
          </cell>
          <cell r="AK379" t="str">
            <v>CDC-2093</v>
          </cell>
          <cell r="AL379" t="str">
            <v>CDC2093</v>
          </cell>
        </row>
        <row r="380">
          <cell r="N380" t="str">
            <v>FIRST STEPS  PRESCHOOL</v>
          </cell>
          <cell r="O380" t="str">
            <v>3110 NORTH HAYDEN ROAD</v>
          </cell>
          <cell r="P380" t="str">
            <v>mberman@cox.net</v>
          </cell>
          <cell r="Q380" t="str">
            <v>CDC-12941</v>
          </cell>
          <cell r="AJ380">
            <v>91143</v>
          </cell>
          <cell r="AK380" t="str">
            <v>CDC-12941</v>
          </cell>
          <cell r="AL380" t="str">
            <v>CDC12941</v>
          </cell>
        </row>
        <row r="381">
          <cell r="N381" t="str">
            <v>FIRST STEPS CHILDCARE</v>
          </cell>
          <cell r="O381" t="str">
            <v>1025 SOUTH KELLI LANE</v>
          </cell>
          <cell r="P381" t="str">
            <v>firststeps3377@live.com</v>
          </cell>
          <cell r="Q381" t="str">
            <v>CDC-13756</v>
          </cell>
          <cell r="AJ381">
            <v>89661</v>
          </cell>
          <cell r="AK381" t="str">
            <v>CDC-13756</v>
          </cell>
          <cell r="AL381" t="str">
            <v>CDC13756</v>
          </cell>
        </row>
        <row r="382">
          <cell r="N382" t="str">
            <v>FIRST UNITED METHODIST CHURCH HEAD START</v>
          </cell>
          <cell r="O382" t="str">
            <v>15 EAST FIRST AVENUE</v>
          </cell>
          <cell r="P382" t="str">
            <v>mcclintockm@mail.maricopa.gov</v>
          </cell>
          <cell r="Q382" t="str">
            <v>CDC-17071</v>
          </cell>
          <cell r="AJ382" t="e">
            <v>#N/A</v>
          </cell>
          <cell r="AK382" t="str">
            <v>CDC-17071</v>
          </cell>
          <cell r="AL382" t="str">
            <v>CDC17071</v>
          </cell>
        </row>
        <row r="383">
          <cell r="N383" t="str">
            <v>FIRST UNITED METHODIST CHURCH OF GILBERT PRESCHOOL</v>
          </cell>
          <cell r="O383" t="str">
            <v>331 SOUTH COOPER ROAD</v>
          </cell>
          <cell r="P383" t="str">
            <v>marlinga@gilbertumc.org</v>
          </cell>
          <cell r="Q383" t="str">
            <v>CDC-12012</v>
          </cell>
          <cell r="AJ383" t="e">
            <v>#N/A</v>
          </cell>
          <cell r="AK383" t="str">
            <v>CDC-12012</v>
          </cell>
          <cell r="AL383" t="str">
            <v>CDC12012</v>
          </cell>
        </row>
        <row r="384">
          <cell r="N384" t="str">
            <v>FIRST UNITED METHODIST PRESCHOOL / DAY CARE CENTER</v>
          </cell>
          <cell r="O384" t="str">
            <v>1020 S 10TH AVENUE</v>
          </cell>
          <cell r="P384" t="str">
            <v>sfumcdaycare@yahoo.com</v>
          </cell>
          <cell r="Q384" t="str">
            <v>CDC-0807</v>
          </cell>
          <cell r="AJ384" t="e">
            <v>#N/A</v>
          </cell>
          <cell r="AK384" t="str">
            <v>CDC-0807</v>
          </cell>
          <cell r="AL384" t="str">
            <v>CDC0807</v>
          </cell>
        </row>
        <row r="385">
          <cell r="N385" t="str">
            <v>FIT N' FUN EDUCATIONAL CENTER</v>
          </cell>
          <cell r="O385" t="str">
            <v>1700 EAST ELLIOT ROAD - #9</v>
          </cell>
          <cell r="P385" t="str">
            <v>gcsc27@cox.net</v>
          </cell>
          <cell r="Q385" t="str">
            <v>CDC-9724</v>
          </cell>
          <cell r="AJ385" t="e">
            <v>#N/A</v>
          </cell>
          <cell r="AK385" t="str">
            <v>CDC-9724</v>
          </cell>
          <cell r="AL385" t="str">
            <v>CDC9724</v>
          </cell>
        </row>
        <row r="386">
          <cell r="N386" t="str">
            <v>FLAGSTAFF COOPERATIVE PRESCHOOL</v>
          </cell>
          <cell r="O386" t="str">
            <v>3401 NORTH 4TH STREET</v>
          </cell>
          <cell r="P386" t="str">
            <v>elizabeth.m.taylor@nau.edu</v>
          </cell>
          <cell r="Q386" t="str">
            <v>CDC-10923</v>
          </cell>
          <cell r="AJ386" t="e">
            <v>#N/A</v>
          </cell>
          <cell r="AK386" t="str">
            <v>CDC-10923</v>
          </cell>
          <cell r="AL386" t="str">
            <v>CDC10923</v>
          </cell>
        </row>
        <row r="387">
          <cell r="N387" t="str">
            <v>FLAGSTAFF COOPERATIVE PRESCHOOL</v>
          </cell>
          <cell r="O387" t="str">
            <v>850 NORTH BONITA STREET</v>
          </cell>
          <cell r="P387" t="str">
            <v>elizabeth.m.taylor@nau.edu</v>
          </cell>
          <cell r="Q387" t="str">
            <v>CDC-8972</v>
          </cell>
          <cell r="AJ387" t="e">
            <v>#N/A</v>
          </cell>
          <cell r="AK387" t="str">
            <v>CDC-8972</v>
          </cell>
          <cell r="AL387" t="str">
            <v>CDC8972</v>
          </cell>
        </row>
        <row r="388">
          <cell r="N388" t="str">
            <v>FLAGSTAFF COOPERATIVE PRESCHOOL - THE DUCK POND</v>
          </cell>
          <cell r="O388" t="str">
            <v>755 NORTH BONITO STREET</v>
          </cell>
          <cell r="Q388" t="str">
            <v>CDC-18001</v>
          </cell>
          <cell r="AJ388" t="e">
            <v>#N/A</v>
          </cell>
          <cell r="AK388" t="str">
            <v>CDC-18001</v>
          </cell>
          <cell r="AL388" t="str">
            <v>CDC18001</v>
          </cell>
        </row>
        <row r="389">
          <cell r="N389" t="str">
            <v>FLAGSTAFF COOPERATIVE PRESCHOOL AT KILLIP</v>
          </cell>
          <cell r="O389" t="str">
            <v>2600 EAST 6TH AVENUE</v>
          </cell>
          <cell r="P389" t="str">
            <v>elizabeth.m.taylor@nau.edu</v>
          </cell>
          <cell r="Q389" t="str">
            <v>CDC-16655</v>
          </cell>
          <cell r="AJ389" t="e">
            <v>#N/A</v>
          </cell>
          <cell r="AK389" t="str">
            <v>CDC-16655</v>
          </cell>
          <cell r="AL389" t="str">
            <v>CDC16655</v>
          </cell>
        </row>
        <row r="390">
          <cell r="N390" t="str">
            <v>FLAGSTAFF FAMILY YMCA, Y KIDZ PRESCHOOL</v>
          </cell>
          <cell r="O390" t="str">
            <v>1001 NORTH TURQUOISE DRIVE</v>
          </cell>
          <cell r="P390" t="str">
            <v>lncorral@vosymca.org</v>
          </cell>
          <cell r="Q390" t="str">
            <v>CDC-15151</v>
          </cell>
          <cell r="AJ390" t="e">
            <v>#N/A</v>
          </cell>
          <cell r="AK390" t="str">
            <v>CDC-15151</v>
          </cell>
          <cell r="AL390" t="str">
            <v>CDC15151</v>
          </cell>
        </row>
        <row r="391">
          <cell r="N391" t="str">
            <v>FLAGSTAFF GYMNASTICS AND CHEER</v>
          </cell>
          <cell r="O391" t="str">
            <v>2366 NORTH STEVES BLVD STE B</v>
          </cell>
          <cell r="P391" t="str">
            <v>karen@flagstaffgymnastics.com</v>
          </cell>
          <cell r="Q391" t="str">
            <v>CDC-17221</v>
          </cell>
          <cell r="AJ391" t="e">
            <v>#N/A</v>
          </cell>
          <cell r="AK391" t="str">
            <v>CDC-17221</v>
          </cell>
          <cell r="AL391" t="str">
            <v>CDC17221</v>
          </cell>
        </row>
        <row r="392">
          <cell r="N392" t="str">
            <v>FLAGSTAFF JUNIOR ACADEMY CHILDREN'S HOUSE</v>
          </cell>
          <cell r="O392" t="str">
            <v>306 WEST CEDAR</v>
          </cell>
          <cell r="P392" t="str">
            <v>fja@uneedspeed.net</v>
          </cell>
          <cell r="Q392" t="str">
            <v>CDC-11778</v>
          </cell>
          <cell r="AJ392" t="e">
            <v>#N/A</v>
          </cell>
          <cell r="AK392" t="str">
            <v>CDC-11778</v>
          </cell>
          <cell r="AL392" t="str">
            <v>CDC11778</v>
          </cell>
        </row>
        <row r="393">
          <cell r="N393" t="str">
            <v>FLIP CITY GYM-N-LEARN</v>
          </cell>
          <cell r="O393" t="str">
            <v>614 SOUTH AIRPARK ROAD</v>
          </cell>
          <cell r="P393" t="str">
            <v>info@flipcitygym.org</v>
          </cell>
          <cell r="Q393" t="str">
            <v>CDC-17807</v>
          </cell>
          <cell r="AJ393" t="e">
            <v>#N/A</v>
          </cell>
          <cell r="AK393" t="str">
            <v>CDC-17807</v>
          </cell>
          <cell r="AL393" t="str">
            <v>CDC17807</v>
          </cell>
        </row>
        <row r="394">
          <cell r="N394" t="str">
            <v>FLORENCE HEAD START</v>
          </cell>
          <cell r="O394" t="str">
            <v>40 EAST CELAYA STREET</v>
          </cell>
          <cell r="P394" t="str">
            <v>mari.mcbride@pgccs.org</v>
          </cell>
          <cell r="Q394" t="str">
            <v>CDC-10719</v>
          </cell>
          <cell r="AJ394">
            <v>10098</v>
          </cell>
          <cell r="AK394" t="str">
            <v>CDC-10719</v>
          </cell>
          <cell r="AL394" t="str">
            <v>CDC10719</v>
          </cell>
        </row>
        <row r="395">
          <cell r="N395" t="str">
            <v>FOOTHILLS ACADEMY COLLEGE PREPATORY</v>
          </cell>
          <cell r="O395" t="str">
            <v>7191 EAST ASHLER HILLS DRIVE</v>
          </cell>
          <cell r="P395" t="str">
            <v>mhernandez@innovationlearning.com</v>
          </cell>
          <cell r="Q395" t="str">
            <v>CDC-18688</v>
          </cell>
          <cell r="AJ395" t="e">
            <v>#N/A</v>
          </cell>
          <cell r="AK395" t="str">
            <v>CDC-18688</v>
          </cell>
          <cell r="AL395" t="str">
            <v>CDC18688</v>
          </cell>
        </row>
        <row r="396">
          <cell r="N396" t="str">
            <v>FOOTHILLS PRESCHOOL &amp; ENRICHMENT CENTER</v>
          </cell>
          <cell r="O396" t="str">
            <v>1442 EAST CHANDLER BLVD</v>
          </cell>
          <cell r="P396" t="str">
            <v>foothillspreschoolandenrichmentcenter@mail.com</v>
          </cell>
          <cell r="Q396" t="str">
            <v>CDC-8111</v>
          </cell>
          <cell r="AJ396" t="e">
            <v>#N/A</v>
          </cell>
          <cell r="AK396" t="str">
            <v>CDC-8111</v>
          </cell>
          <cell r="AL396" t="str">
            <v>CDC8111</v>
          </cell>
        </row>
        <row r="397">
          <cell r="N397" t="str">
            <v>FORESIGHT LEARNING CENTER</v>
          </cell>
          <cell r="O397" t="str">
            <v>8245 KOCHFIELD ROAD</v>
          </cell>
          <cell r="P397" t="str">
            <v>bethsnowman@aol.com</v>
          </cell>
          <cell r="Q397" t="str">
            <v>CDC-9460</v>
          </cell>
          <cell r="AJ397" t="e">
            <v>#N/A</v>
          </cell>
          <cell r="AK397" t="str">
            <v>CDC-9460</v>
          </cell>
          <cell r="AL397" t="str">
            <v>CDC9460</v>
          </cell>
        </row>
        <row r="398">
          <cell r="N398" t="str">
            <v>FRANKLIN PHONETIC PRIMARY SCHOOL SUNNYSLOPE PRESCHOOL</v>
          </cell>
          <cell r="O398" t="str">
            <v>9317 NORTH 2ND STREET</v>
          </cell>
          <cell r="P398" t="str">
            <v>milkarf@franklinschools.com</v>
          </cell>
          <cell r="Q398" t="str">
            <v>CDC-17621</v>
          </cell>
          <cell r="AJ398" t="e">
            <v>#N/A</v>
          </cell>
          <cell r="AK398" t="str">
            <v>CDC-17621</v>
          </cell>
          <cell r="AL398" t="str">
            <v>CDC17621</v>
          </cell>
        </row>
        <row r="399">
          <cell r="N399" t="str">
            <v>FRANKLIN PHONETIC SCHOOL - PRESCOTT VALLEY</v>
          </cell>
          <cell r="O399" t="str">
            <v>6116 EAST HIGHWAY 69</v>
          </cell>
          <cell r="P399" t="str">
            <v>nilknarf@cableone.net</v>
          </cell>
          <cell r="Q399" t="str">
            <v>CDC-18249</v>
          </cell>
          <cell r="AJ399" t="e">
            <v>#N/A</v>
          </cell>
          <cell r="AK399" t="str">
            <v>CDC-18249</v>
          </cell>
          <cell r="AL399" t="str">
            <v>CDC18249</v>
          </cell>
        </row>
        <row r="400">
          <cell r="N400" t="str">
            <v>FRIENDLY HOUSE EARLY CHILDHOOD DEVELOPMENT CENTER</v>
          </cell>
          <cell r="O400" t="str">
            <v>201 EAST DURANGO STREET</v>
          </cell>
          <cell r="P400" t="str">
            <v>Lorena.gutierrez@academiadelpueblo.org</v>
          </cell>
          <cell r="Q400" t="str">
            <v>CDC-16506</v>
          </cell>
          <cell r="AJ400" t="e">
            <v>#N/A</v>
          </cell>
          <cell r="AK400" t="str">
            <v>CDC-16506</v>
          </cell>
          <cell r="AL400" t="str">
            <v>CDC16506</v>
          </cell>
        </row>
        <row r="401">
          <cell r="N401" t="str">
            <v>FROM TIME 2 TIME</v>
          </cell>
          <cell r="O401" t="str">
            <v>7440 EAST MAIN STREET #9</v>
          </cell>
          <cell r="P401" t="str">
            <v>flexiblechildcare@gmail.com</v>
          </cell>
          <cell r="Q401" t="str">
            <v>CDC-17400</v>
          </cell>
          <cell r="AJ401">
            <v>1000334</v>
          </cell>
          <cell r="AK401" t="str">
            <v>CDC-17400</v>
          </cell>
          <cell r="AL401" t="str">
            <v>CDC17400</v>
          </cell>
        </row>
        <row r="402">
          <cell r="N402" t="str">
            <v>FUN PLACE CHILDCARE &amp; PRESCHOOL</v>
          </cell>
          <cell r="O402" t="str">
            <v>2450 NORTH HUACHUCA DRIVE</v>
          </cell>
          <cell r="P402" t="str">
            <v>funplacechildcare1@gmail.com</v>
          </cell>
          <cell r="Q402" t="str">
            <v>CDC-18749</v>
          </cell>
          <cell r="AJ402" t="e">
            <v>#N/A</v>
          </cell>
          <cell r="AK402" t="str">
            <v>CDC-18749</v>
          </cell>
          <cell r="AL402" t="str">
            <v>CDC18749</v>
          </cell>
        </row>
        <row r="403">
          <cell r="N403" t="str">
            <v>FUTURE LEADERS SCHOOL L.L.C.</v>
          </cell>
          <cell r="O403" t="str">
            <v>345 WEST DRACHMAN STREET</v>
          </cell>
          <cell r="P403" t="str">
            <v>srita.luna77@gmail.com</v>
          </cell>
          <cell r="Q403" t="str">
            <v>CDC-17787</v>
          </cell>
          <cell r="AJ403" t="e">
            <v>#N/A</v>
          </cell>
          <cell r="AK403" t="str">
            <v>CDC-17787</v>
          </cell>
          <cell r="AL403" t="str">
            <v>CDC17787</v>
          </cell>
        </row>
        <row r="404">
          <cell r="N404" t="str">
            <v>GALAMUNDI EARLY CHILDHOOD DEVELOPMENT CENTER</v>
          </cell>
          <cell r="O404" t="str">
            <v>290 WEST OAK AVENUE, SUITE 1</v>
          </cell>
          <cell r="P404" t="str">
            <v>info@galamundi.com</v>
          </cell>
          <cell r="Q404" t="str">
            <v>CDC-18525</v>
          </cell>
          <cell r="AJ404" t="e">
            <v>#N/A</v>
          </cell>
          <cell r="AK404" t="str">
            <v>CDC-18525</v>
          </cell>
          <cell r="AL404" t="str">
            <v>CDC18525</v>
          </cell>
        </row>
        <row r="405">
          <cell r="N405" t="str">
            <v>GARDEN CITY CHILD DEVELOPMENT CENTER - BUCKEYE</v>
          </cell>
          <cell r="O405" t="str">
            <v>406 NORTH 1ST STREET</v>
          </cell>
          <cell r="P405" t="str">
            <v>admin@gardencitycdc.com</v>
          </cell>
          <cell r="Q405" t="str">
            <v>CDC-16208</v>
          </cell>
          <cell r="AJ405">
            <v>91893</v>
          </cell>
          <cell r="AK405" t="str">
            <v>CDC-16208</v>
          </cell>
          <cell r="AL405" t="str">
            <v>CDC16208</v>
          </cell>
        </row>
        <row r="406">
          <cell r="N406" t="str">
            <v>GARDEN LAKES CHRISTIAN ACADEMY</v>
          </cell>
          <cell r="O406" t="str">
            <v>2517 NORTH 107TH AVENUE</v>
          </cell>
          <cell r="P406" t="str">
            <v>office@glca.us</v>
          </cell>
          <cell r="Q406" t="str">
            <v>CDC-13413</v>
          </cell>
          <cell r="AJ406" t="e">
            <v>#N/A</v>
          </cell>
          <cell r="AK406" t="str">
            <v>CDC-13413</v>
          </cell>
          <cell r="AL406" t="str">
            <v>CDC13413</v>
          </cell>
        </row>
        <row r="407">
          <cell r="N407" t="str">
            <v>GATEWAY COMMUNITY COLLEGE CHILDRENS LEARNING CENTER</v>
          </cell>
          <cell r="O407" t="str">
            <v>108 NORTH 40TH STREET</v>
          </cell>
          <cell r="P407" t="str">
            <v>goto@gatewaycc.edu</v>
          </cell>
          <cell r="Q407" t="str">
            <v>CDC-1244</v>
          </cell>
          <cell r="AJ407" t="e">
            <v>#N/A</v>
          </cell>
          <cell r="AK407" t="str">
            <v>CDC-1244</v>
          </cell>
          <cell r="AL407" t="str">
            <v>CDC1244</v>
          </cell>
        </row>
        <row r="408">
          <cell r="N408" t="str">
            <v>GEORGE WASHINGTON CARVER CENTER</v>
          </cell>
          <cell r="O408" t="str">
            <v>304 WEST ALSDORF</v>
          </cell>
          <cell r="P408" t="str">
            <v>geraldina.figueroa@cplc.org</v>
          </cell>
          <cell r="Q408" t="str">
            <v>CDC-17552</v>
          </cell>
          <cell r="AJ408" t="e">
            <v>#N/A</v>
          </cell>
          <cell r="AK408" t="str">
            <v>CDC-17552</v>
          </cell>
          <cell r="AL408" t="str">
            <v>CDC17552</v>
          </cell>
        </row>
        <row r="409">
          <cell r="N409" t="str">
            <v>GETHSEMANE LUTHERAN CHURCH &amp; SCHOOL</v>
          </cell>
          <cell r="O409" t="str">
            <v>1035 EAST GUADALUPE ROAD</v>
          </cell>
          <cell r="P409" t="str">
            <v>srosenbaum@glstempe.net</v>
          </cell>
          <cell r="Q409" t="str">
            <v>CDC-0949</v>
          </cell>
          <cell r="AJ409" t="e">
            <v>#N/A</v>
          </cell>
          <cell r="AK409" t="str">
            <v>CDC-0949</v>
          </cell>
          <cell r="AL409" t="str">
            <v>CDC0949</v>
          </cell>
        </row>
        <row r="410">
          <cell r="N410" t="str">
            <v>GIGGLE AND GROW PRESCHOOL &amp; CHILD CARE</v>
          </cell>
          <cell r="O410" t="str">
            <v>2323 EAST GUADALUPE ROAD #104</v>
          </cell>
          <cell r="P410" t="str">
            <v>seni@giggleandgrow.net</v>
          </cell>
          <cell r="Q410" t="str">
            <v>CDC-17571</v>
          </cell>
          <cell r="AJ410" t="e">
            <v>#N/A</v>
          </cell>
          <cell r="AK410" t="str">
            <v>CDC-17571</v>
          </cell>
          <cell r="AL410" t="str">
            <v>CDC17571</v>
          </cell>
        </row>
        <row r="411">
          <cell r="N411" t="str">
            <v>GILBERT ARTS ACADEMY</v>
          </cell>
          <cell r="O411" t="str">
            <v>862 EAST ELLIOT ROAD</v>
          </cell>
          <cell r="P411" t="str">
            <v>lauren.arnold@leonagroup.com</v>
          </cell>
          <cell r="Q411" t="str">
            <v>CDC-14360</v>
          </cell>
          <cell r="AJ411" t="e">
            <v>#N/A</v>
          </cell>
          <cell r="AK411" t="str">
            <v>CDC-14360</v>
          </cell>
          <cell r="AL411" t="str">
            <v>CDC14360</v>
          </cell>
        </row>
        <row r="412">
          <cell r="N412" t="str">
            <v>GILBERT CHRISTIAN SCHOOLS - AGRITOPIA CAMPUS</v>
          </cell>
          <cell r="O412" t="str">
            <v>1424 SOUTH PROMENADE LANE</v>
          </cell>
          <cell r="P412" t="str">
            <v>holly.earle@gcsaz.org</v>
          </cell>
          <cell r="Q412" t="str">
            <v>CDC-18266</v>
          </cell>
          <cell r="AJ412" t="e">
            <v>#N/A</v>
          </cell>
          <cell r="AK412" t="str">
            <v>CDC-18266</v>
          </cell>
          <cell r="AL412" t="str">
            <v>CDC18266</v>
          </cell>
        </row>
        <row r="413">
          <cell r="N413" t="str">
            <v>GILBERT CHRISTIAN SCHOOLS - GREENFIELD CAMPUS</v>
          </cell>
          <cell r="O413" t="str">
            <v>4341 SOUTH GREENFIELD ROAD</v>
          </cell>
          <cell r="P413" t="str">
            <v>linda.tolson@gcsaz.org</v>
          </cell>
          <cell r="Q413" t="str">
            <v>CDC-18144</v>
          </cell>
          <cell r="AJ413" t="e">
            <v>#N/A</v>
          </cell>
          <cell r="AK413" t="str">
            <v>CDC-18144</v>
          </cell>
          <cell r="AL413" t="str">
            <v>CDC18144</v>
          </cell>
        </row>
        <row r="414">
          <cell r="N414" t="str">
            <v>GLENDALE IMES HEAD START</v>
          </cell>
          <cell r="O414" t="str">
            <v>6625 NORTH 56TH AVENUE</v>
          </cell>
          <cell r="P414" t="str">
            <v>lasanchez@cc-az.org</v>
          </cell>
          <cell r="Q414" t="str">
            <v>CDC-1935</v>
          </cell>
          <cell r="AJ414" t="e">
            <v>#N/A</v>
          </cell>
          <cell r="AK414" t="str">
            <v>CDC-1935</v>
          </cell>
          <cell r="AL414" t="str">
            <v>CDC1935</v>
          </cell>
        </row>
        <row r="415">
          <cell r="N415" t="str">
            <v>GLENDALE JACK HEAD START</v>
          </cell>
          <cell r="O415" t="str">
            <v>6600 WEST MISSOURI AVENUE</v>
          </cell>
          <cell r="P415" t="str">
            <v>sgutierrez@cc-az.org</v>
          </cell>
          <cell r="Q415" t="str">
            <v>CDC-5044</v>
          </cell>
          <cell r="AJ415" t="e">
            <v>#N/A</v>
          </cell>
          <cell r="AK415" t="str">
            <v>CDC-5044</v>
          </cell>
          <cell r="AL415" t="str">
            <v>CDC5044</v>
          </cell>
        </row>
        <row r="416">
          <cell r="N416" t="str">
            <v>GLENDALE OCOTILLO HEAD START</v>
          </cell>
          <cell r="O416" t="str">
            <v>6242 NORTH 59TH AVENUE</v>
          </cell>
          <cell r="P416" t="str">
            <v>lasanchez@cc-az.org</v>
          </cell>
          <cell r="Q416" t="str">
            <v>CDC-7871</v>
          </cell>
          <cell r="AJ416" t="e">
            <v>#N/A</v>
          </cell>
          <cell r="AK416" t="str">
            <v>CDC-7871</v>
          </cell>
          <cell r="AL416" t="str">
            <v>CDC7871</v>
          </cell>
        </row>
        <row r="417">
          <cell r="N417" t="str">
            <v>GLENDALE PEORIA FAMILY Y M C A</v>
          </cell>
          <cell r="O417" t="str">
            <v>14711 NORTH 59TH AVENUE</v>
          </cell>
          <cell r="P417" t="str">
            <v>anthony.lehn@vosymca.org</v>
          </cell>
          <cell r="Q417" t="str">
            <v>CDC-13823</v>
          </cell>
          <cell r="AJ417" t="e">
            <v>#N/A</v>
          </cell>
          <cell r="AK417" t="str">
            <v>CDC-13823</v>
          </cell>
          <cell r="AL417" t="str">
            <v>CDC13823</v>
          </cell>
        </row>
        <row r="418">
          <cell r="N418" t="str">
            <v>GLOBAL MINDS</v>
          </cell>
          <cell r="O418" t="str">
            <v>10135 EAST VIA LINDA - SUITE 130</v>
          </cell>
          <cell r="P418" t="str">
            <v>globalmindsschool@gmail.com</v>
          </cell>
          <cell r="Q418" t="str">
            <v>CDC-16673</v>
          </cell>
          <cell r="AJ418" t="e">
            <v>#N/A</v>
          </cell>
          <cell r="AK418" t="str">
            <v>CDC-16673</v>
          </cell>
          <cell r="AL418" t="str">
            <v>CDC16673</v>
          </cell>
        </row>
        <row r="419">
          <cell r="N419" t="str">
            <v>GOD'S GARDEN CHILD DEVELOPMENT CENTER</v>
          </cell>
          <cell r="O419" t="str">
            <v>1401 EAST LIBERTY LANE</v>
          </cell>
          <cell r="P419" t="str">
            <v>directorgodsgarden@horizonchurch.com</v>
          </cell>
          <cell r="Q419" t="str">
            <v>CDC-8875</v>
          </cell>
          <cell r="AJ419" t="e">
            <v>#N/A</v>
          </cell>
          <cell r="AK419" t="str">
            <v>CDC-8875</v>
          </cell>
          <cell r="AL419" t="str">
            <v>CDC8875</v>
          </cell>
        </row>
        <row r="420">
          <cell r="N420" t="str">
            <v>GOD'S WORLD</v>
          </cell>
          <cell r="O420" t="str">
            <v>3880 NORTH VALORIE DRIVE</v>
          </cell>
          <cell r="P420" t="str">
            <v>gods.worldtlc@ymail.com</v>
          </cell>
          <cell r="Q420" t="str">
            <v>CDC-2073</v>
          </cell>
          <cell r="AJ420">
            <v>10133</v>
          </cell>
          <cell r="AK420" t="str">
            <v>CDC-2073</v>
          </cell>
          <cell r="AL420" t="str">
            <v>CDC2073</v>
          </cell>
        </row>
        <row r="421">
          <cell r="N421" t="str">
            <v>GOLDEN GATE</v>
          </cell>
          <cell r="O421" t="str">
            <v>1625 NORTH 39TH AVENUE</v>
          </cell>
          <cell r="P421" t="str">
            <v>fnagy@wccphx.net</v>
          </cell>
          <cell r="Q421" t="str">
            <v>CDC-18731</v>
          </cell>
          <cell r="AJ421" t="e">
            <v>#N/A</v>
          </cell>
          <cell r="AK421" t="str">
            <v>CDC-18731</v>
          </cell>
          <cell r="AL421" t="str">
            <v>CDC18731</v>
          </cell>
        </row>
        <row r="422">
          <cell r="N422" t="str">
            <v>GOOD EARTH MONTESSORI</v>
          </cell>
          <cell r="O422" t="str">
            <v>1704 NORTH CENTER STREET</v>
          </cell>
          <cell r="P422" t="str">
            <v>nellekegem@yahoo.com</v>
          </cell>
          <cell r="Q422" t="str">
            <v>CDC-5528</v>
          </cell>
          <cell r="AJ422" t="e">
            <v>#N/A</v>
          </cell>
          <cell r="AK422" t="str">
            <v>CDC-5528</v>
          </cell>
          <cell r="AL422" t="str">
            <v>CDC5528</v>
          </cell>
        </row>
        <row r="423">
          <cell r="N423" t="str">
            <v>GRACE CHRISTIAN ACADEMY</v>
          </cell>
          <cell r="O423" t="str">
            <v>1200 EAST SOUTHERN AVENUE</v>
          </cell>
          <cell r="P423" t="str">
            <v>kgarver@grace-az.org</v>
          </cell>
          <cell r="Q423" t="str">
            <v>CDC-0363</v>
          </cell>
          <cell r="AJ423" t="e">
            <v>#N/A</v>
          </cell>
          <cell r="AK423" t="str">
            <v>CDC-0363</v>
          </cell>
          <cell r="AL423" t="str">
            <v>CDC0363</v>
          </cell>
        </row>
        <row r="424">
          <cell r="N424" t="str">
            <v>GRACE FELLOWSHIP PRESCHOOL &amp; CHILD CARE</v>
          </cell>
          <cell r="O424" t="str">
            <v>1300 NORTH MILLER ROAD</v>
          </cell>
          <cell r="P424" t="str">
            <v>principal@graceinbuckeye.com</v>
          </cell>
          <cell r="Q424" t="str">
            <v>CDC-12373</v>
          </cell>
          <cell r="AJ424" t="e">
            <v>#N/A</v>
          </cell>
          <cell r="AK424" t="str">
            <v>CDC-12373</v>
          </cell>
          <cell r="AL424" t="str">
            <v>CDC12373</v>
          </cell>
        </row>
        <row r="425">
          <cell r="N425" t="str">
            <v>GRACE GARDEN CHRISTIAN PRESCHOOL</v>
          </cell>
          <cell r="O425" t="str">
            <v>10841 SOUTH 48TH STREET</v>
          </cell>
          <cell r="P425" t="str">
            <v>gracegardenaz@aol.com</v>
          </cell>
          <cell r="Q425" t="str">
            <v>CDC-11059</v>
          </cell>
          <cell r="AJ425" t="e">
            <v>#N/A</v>
          </cell>
          <cell r="AK425" t="str">
            <v>CDC-11059</v>
          </cell>
          <cell r="AL425" t="str">
            <v>CDC11059</v>
          </cell>
        </row>
        <row r="426">
          <cell r="N426" t="str">
            <v>GRACE LUTHERAN CHURCH CHILD DEVELOPMENT CENTER</v>
          </cell>
          <cell r="O426" t="str">
            <v>2101 HARRISON STREET</v>
          </cell>
          <cell r="P426" t="str">
            <v>secretary@graceforthejourney.org</v>
          </cell>
          <cell r="Q426" t="str">
            <v>CDC-1668</v>
          </cell>
          <cell r="AJ426" t="e">
            <v>#N/A</v>
          </cell>
          <cell r="AK426" t="str">
            <v>CDC-1668</v>
          </cell>
          <cell r="AL426" t="str">
            <v>CDC1668</v>
          </cell>
        </row>
        <row r="427">
          <cell r="N427" t="str">
            <v>GRACE LUTHERAN PRESCHOOL</v>
          </cell>
          <cell r="O427" t="str">
            <v>5600 WEST PALMAIRE AVENUE</v>
          </cell>
          <cell r="P427" t="str">
            <v>stech@graceglendale.org</v>
          </cell>
          <cell r="Q427" t="str">
            <v>CDC-16217</v>
          </cell>
          <cell r="AJ427" t="e">
            <v>#N/A</v>
          </cell>
          <cell r="AK427" t="str">
            <v>CDC-16217</v>
          </cell>
          <cell r="AL427" t="str">
            <v>CDC16217</v>
          </cell>
        </row>
        <row r="428">
          <cell r="N428" t="str">
            <v>GRACE NEAL PRESCHOOL &amp; LEARNING CENTER</v>
          </cell>
          <cell r="O428" t="str">
            <v>1730 KINO AVENUE</v>
          </cell>
          <cell r="P428" t="str">
            <v>gneal@citlink.net</v>
          </cell>
          <cell r="Q428" t="str">
            <v>CDC-5171</v>
          </cell>
          <cell r="AJ428">
            <v>79396</v>
          </cell>
          <cell r="AK428" t="str">
            <v>CDC-5171</v>
          </cell>
          <cell r="AL428" t="str">
            <v>CDC5171</v>
          </cell>
        </row>
        <row r="429">
          <cell r="N429" t="str">
            <v>GRACEPOINTE CHRISTIAN ACADEMY</v>
          </cell>
          <cell r="O429" t="str">
            <v>5757 WEST AJO HWY</v>
          </cell>
          <cell r="P429" t="str">
            <v>evelia@gracepointetucson.org</v>
          </cell>
          <cell r="Q429" t="str">
            <v>CDC-18367</v>
          </cell>
          <cell r="AJ429" t="e">
            <v>#N/A</v>
          </cell>
          <cell r="AK429" t="str">
            <v>CDC-18367</v>
          </cell>
          <cell r="AL429" t="str">
            <v>CDC18367</v>
          </cell>
        </row>
        <row r="430">
          <cell r="N430" t="str">
            <v>GRANDPA'S FARM CHRISTIAN CHILD CARE</v>
          </cell>
          <cell r="O430" t="str">
            <v>7117 EAST ADDIS AVENUE</v>
          </cell>
          <cell r="P430" t="str">
            <v>grandpas_farm@hotmail.com</v>
          </cell>
          <cell r="Q430" t="str">
            <v>CDC-5856</v>
          </cell>
          <cell r="AJ430" t="e">
            <v>#N/A</v>
          </cell>
          <cell r="AK430" t="str">
            <v>CDC-5856</v>
          </cell>
          <cell r="AL430" t="str">
            <v>CDC5856</v>
          </cell>
        </row>
        <row r="431">
          <cell r="N431" t="str">
            <v>GRANNY'S LITTLE GENIUS PREPARATORY PRESCHOOL</v>
          </cell>
          <cell r="O431" t="str">
            <v>1241 EAST MCKELLIPS ROAD #100</v>
          </cell>
          <cell r="P431" t="str">
            <v>Dmoore@grannyslittlegenius.org</v>
          </cell>
          <cell r="Q431" t="str">
            <v>CDC-17910</v>
          </cell>
          <cell r="AJ431" t="e">
            <v>#N/A</v>
          </cell>
          <cell r="AK431" t="str">
            <v>CDC-17910</v>
          </cell>
          <cell r="AL431" t="str">
            <v>CDC17910</v>
          </cell>
        </row>
        <row r="432">
          <cell r="N432" t="str">
            <v>GREAT BEGINNINGS PRESCHOOL # 7</v>
          </cell>
          <cell r="O432" t="str">
            <v>17230 NORTH 59TH AVENUE</v>
          </cell>
          <cell r="P432" t="str">
            <v>agbschool17@yahoo.com</v>
          </cell>
          <cell r="Q432" t="str">
            <v>CDC-15157</v>
          </cell>
          <cell r="AJ432" t="e">
            <v>#N/A</v>
          </cell>
          <cell r="AK432" t="str">
            <v>CDC-15157</v>
          </cell>
          <cell r="AL432" t="str">
            <v>CDC15157</v>
          </cell>
        </row>
        <row r="433">
          <cell r="N433" t="str">
            <v>GREAT BEGINNINGS PRESCHOOLS INC. #5</v>
          </cell>
          <cell r="O433" t="str">
            <v>7569 WEST GREENWAY ROAD</v>
          </cell>
          <cell r="P433" t="str">
            <v>agbschool5@yahoo.com</v>
          </cell>
          <cell r="Q433" t="str">
            <v>CDC-12243</v>
          </cell>
          <cell r="AJ433" t="e">
            <v>#N/A</v>
          </cell>
          <cell r="AK433" t="str">
            <v>CDC-12243</v>
          </cell>
          <cell r="AL433" t="str">
            <v>CDC12243</v>
          </cell>
        </row>
        <row r="434">
          <cell r="N434" t="str">
            <v>GREAT EXPECTATIONS EARLY LEARNING CENTER</v>
          </cell>
          <cell r="O434" t="str">
            <v>1764 PASEO SAN LUIS</v>
          </cell>
          <cell r="P434" t="str">
            <v>mdailey.greatexpectationssv@cox.net</v>
          </cell>
          <cell r="Q434" t="str">
            <v>CDC-16972</v>
          </cell>
          <cell r="AJ434" t="e">
            <v>#N/A</v>
          </cell>
          <cell r="AK434" t="str">
            <v>CDC-16972</v>
          </cell>
          <cell r="AL434" t="str">
            <v>CDC16972</v>
          </cell>
        </row>
        <row r="435">
          <cell r="N435" t="str">
            <v>GREAT EXPLORERS</v>
          </cell>
          <cell r="O435" t="str">
            <v>15637 NORTH HOLLYHOCK STREET</v>
          </cell>
          <cell r="P435" t="str">
            <v>greatexplorers@live.com</v>
          </cell>
          <cell r="Q435" t="str">
            <v>CDC-8108</v>
          </cell>
          <cell r="AJ435" t="e">
            <v>#N/A</v>
          </cell>
          <cell r="AK435" t="str">
            <v>CDC-8108</v>
          </cell>
          <cell r="AL435" t="str">
            <v>CDC8108</v>
          </cell>
        </row>
        <row r="436">
          <cell r="N436" t="str">
            <v>GREAT HEARTS ACADEMIES - ARETE</v>
          </cell>
          <cell r="O436" t="str">
            <v>4525 EAST BASELINE ROAD</v>
          </cell>
          <cell r="P436" t="str">
            <v>kcampbell@greatheartsaz.org</v>
          </cell>
          <cell r="Q436" t="str">
            <v>CDC-17949</v>
          </cell>
          <cell r="AJ436" t="e">
            <v>#N/A</v>
          </cell>
          <cell r="AK436" t="str">
            <v>CDC-17949</v>
          </cell>
          <cell r="AL436" t="str">
            <v>CDC17949</v>
          </cell>
        </row>
        <row r="437">
          <cell r="N437" t="str">
            <v>GREAT HEARTS ACADEMIES - CHANDLER</v>
          </cell>
          <cell r="O437" t="str">
            <v>1951 NORTH ALMA SCHOOL ROAD</v>
          </cell>
          <cell r="P437" t="str">
            <v>kcampbell@greatheartsaz.org</v>
          </cell>
          <cell r="Q437" t="str">
            <v>CDC-17948</v>
          </cell>
          <cell r="AJ437" t="e">
            <v>#N/A</v>
          </cell>
          <cell r="AK437" t="str">
            <v>CDC-17948</v>
          </cell>
          <cell r="AL437" t="str">
            <v>CDC17948</v>
          </cell>
        </row>
        <row r="438">
          <cell r="N438" t="str">
            <v>GREAT HEARTS ACADEMIES - CICERO</v>
          </cell>
          <cell r="O438" t="str">
            <v>7205 NORTH PIMA ROAD - SUITE C</v>
          </cell>
          <cell r="P438" t="str">
            <v>programs.cicero@greatheartsaz.org</v>
          </cell>
          <cell r="Q438" t="str">
            <v>CDC-17941</v>
          </cell>
          <cell r="AJ438" t="e">
            <v>#N/A</v>
          </cell>
          <cell r="AK438" t="str">
            <v>CDC-17941</v>
          </cell>
          <cell r="AL438" t="str">
            <v>CDC17941</v>
          </cell>
        </row>
        <row r="439">
          <cell r="N439" t="str">
            <v>GREAT HEARTS ACADEMIES - GLENDALE</v>
          </cell>
          <cell r="O439" t="str">
            <v>23276 NORTH 83RD AVENUE - SUITE 2</v>
          </cell>
          <cell r="P439" t="str">
            <v>mrodriguez@greatheartsaz.org</v>
          </cell>
          <cell r="Q439" t="str">
            <v>CDC-17944</v>
          </cell>
          <cell r="AJ439" t="e">
            <v>#N/A</v>
          </cell>
          <cell r="AK439" t="str">
            <v>CDC-17944</v>
          </cell>
          <cell r="AL439" t="str">
            <v>CDC17944</v>
          </cell>
        </row>
        <row r="440">
          <cell r="N440" t="str">
            <v>GREAT HEARTS ACADEMIES - LINCOLN</v>
          </cell>
          <cell r="O440" t="str">
            <v>2250 SOUTH GILBERT ROAD</v>
          </cell>
          <cell r="P440" t="str">
            <v>kcampbell@greatheartsaz.org</v>
          </cell>
          <cell r="Q440" t="str">
            <v>CDC-17947</v>
          </cell>
          <cell r="AJ440" t="e">
            <v>#N/A</v>
          </cell>
          <cell r="AK440" t="str">
            <v>CDC-17947</v>
          </cell>
          <cell r="AL440" t="str">
            <v>CDC17947</v>
          </cell>
        </row>
        <row r="441">
          <cell r="N441" t="str">
            <v>GREAT HEARTS ACADEMIES - MARYVALE</v>
          </cell>
          <cell r="O441" t="str">
            <v>4825 WEST CAMELBACK ROAD</v>
          </cell>
          <cell r="P441" t="str">
            <v>kcampbell@greatheartsaz.org</v>
          </cell>
          <cell r="Q441" t="str">
            <v>CDC-18318</v>
          </cell>
          <cell r="AJ441" t="e">
            <v>#N/A</v>
          </cell>
          <cell r="AK441" t="str">
            <v>CDC-18318</v>
          </cell>
          <cell r="AL441" t="str">
            <v>CDC18318</v>
          </cell>
        </row>
        <row r="442">
          <cell r="N442" t="str">
            <v>GREAT HEARTS ACADEMIES - NORTH PHOENIX</v>
          </cell>
          <cell r="O442" t="str">
            <v>14100 NORTH 32ND STREET</v>
          </cell>
          <cell r="P442" t="str">
            <v>mrodriguez@greatheartsaz.org</v>
          </cell>
          <cell r="Q442" t="str">
            <v>CDC-17946</v>
          </cell>
          <cell r="AJ442" t="e">
            <v>#N/A</v>
          </cell>
          <cell r="AK442" t="str">
            <v>CDC-17946</v>
          </cell>
          <cell r="AL442" t="str">
            <v>CDC17946</v>
          </cell>
        </row>
        <row r="443">
          <cell r="N443" t="str">
            <v>GREAT HEARTS ACADEMIES - SCOTTSDALE</v>
          </cell>
          <cell r="O443" t="str">
            <v>16648 NORTH 94TH STREET</v>
          </cell>
          <cell r="P443" t="str">
            <v>Programs.Scottsdale@greatheartsaz.org</v>
          </cell>
          <cell r="Q443" t="str">
            <v>CDC-18305</v>
          </cell>
          <cell r="AJ443" t="e">
            <v>#N/A</v>
          </cell>
          <cell r="AK443" t="str">
            <v>CDC-18305</v>
          </cell>
          <cell r="AL443" t="str">
            <v>CDC18305</v>
          </cell>
        </row>
        <row r="444">
          <cell r="N444" t="str">
            <v>GREAT HEARTS ACADEMIES - TRIVIUM EAST</v>
          </cell>
          <cell r="O444" t="str">
            <v>14130 WEST MCDOWELL ROAD SUITE 222</v>
          </cell>
          <cell r="P444" t="str">
            <v>programs.triviumeast@greatheartsaz.org</v>
          </cell>
          <cell r="Q444" t="str">
            <v>CDC-17942</v>
          </cell>
          <cell r="AJ444" t="e">
            <v>#N/A</v>
          </cell>
          <cell r="AK444" t="str">
            <v>CDC-17942</v>
          </cell>
          <cell r="AL444" t="str">
            <v>CDC17942</v>
          </cell>
        </row>
        <row r="445">
          <cell r="N445" t="str">
            <v>GREAT HEARTS ACADEMIES - TRIVIUM WEST</v>
          </cell>
          <cell r="O445" t="str">
            <v>2001 NORTH BULLARD AVENUE</v>
          </cell>
          <cell r="P445" t="str">
            <v>mrodriguez@greatheartsaz.org</v>
          </cell>
          <cell r="Q445" t="str">
            <v>CDC-17943</v>
          </cell>
          <cell r="AJ445" t="e">
            <v>#N/A</v>
          </cell>
          <cell r="AK445" t="str">
            <v>CDC-17943</v>
          </cell>
          <cell r="AL445" t="str">
            <v>CDC17943</v>
          </cell>
        </row>
        <row r="446">
          <cell r="N446" t="str">
            <v>GREAT HEARTS ACADEMIES - VERITAS</v>
          </cell>
          <cell r="O446" t="str">
            <v>3102 NORTH 56TH STREET - SUITE 200</v>
          </cell>
          <cell r="P446" t="str">
            <v>mrodriguez@greatheartsaz.org</v>
          </cell>
          <cell r="Q446" t="str">
            <v>CDC-17945</v>
          </cell>
          <cell r="AJ446" t="e">
            <v>#N/A</v>
          </cell>
          <cell r="AK446" t="str">
            <v>CDC-17945</v>
          </cell>
          <cell r="AL446" t="str">
            <v>CDC17945</v>
          </cell>
        </row>
        <row r="447">
          <cell r="N447" t="str">
            <v>GREAT START PRESCHOOL &amp; DAYCARE</v>
          </cell>
          <cell r="O447" t="str">
            <v>13439 SOUTH VAL VISTA DRIVE</v>
          </cell>
          <cell r="P447" t="str">
            <v>greatstartpreschool@gmail.com</v>
          </cell>
          <cell r="Q447" t="str">
            <v>CDC-12381</v>
          </cell>
          <cell r="AJ447" t="e">
            <v>#N/A</v>
          </cell>
          <cell r="AK447" t="str">
            <v>CDC-12381</v>
          </cell>
          <cell r="AL447" t="str">
            <v>CDC12381</v>
          </cell>
        </row>
        <row r="448">
          <cell r="N448" t="str">
            <v>GREATER PHOENIX URBAN LEAGUE - JB SUTTON</v>
          </cell>
          <cell r="O448" t="str">
            <v>1001 NORTH 31ST AVENUE</v>
          </cell>
          <cell r="P448" t="str">
            <v>jsanchez@gphxul.org</v>
          </cell>
          <cell r="Q448" t="str">
            <v>CDC-17067</v>
          </cell>
          <cell r="AJ448" t="e">
            <v>#N/A</v>
          </cell>
          <cell r="AK448" t="str">
            <v>CDC-17067</v>
          </cell>
          <cell r="AL448" t="str">
            <v>CDC17067</v>
          </cell>
        </row>
        <row r="449">
          <cell r="N449" t="str">
            <v>GREATER PHOENIX URBAN LEAGUE - P.T. COE ELEMENTARY</v>
          </cell>
          <cell r="O449" t="str">
            <v>3801 WEST ROANOKE</v>
          </cell>
          <cell r="P449" t="str">
            <v>emendoza@gphxul.org</v>
          </cell>
          <cell r="Q449" t="str">
            <v>CDC-17068</v>
          </cell>
          <cell r="AJ449" t="e">
            <v>#N/A</v>
          </cell>
          <cell r="AK449" t="str">
            <v>CDC-17068</v>
          </cell>
          <cell r="AL449" t="str">
            <v>CDC17068</v>
          </cell>
        </row>
        <row r="450">
          <cell r="N450" t="str">
            <v>GREATER PHOENIX URBAN LEAGUE HEAD START - ALTA E. BUTLER</v>
          </cell>
          <cell r="O450" t="str">
            <v>3843 WEST ROOSEVELT STREET</v>
          </cell>
          <cell r="P450" t="str">
            <v>nalvarez@gphxul.org</v>
          </cell>
          <cell r="Q450" t="str">
            <v>CDC-18320</v>
          </cell>
          <cell r="AJ450" t="e">
            <v>#N/A</v>
          </cell>
          <cell r="AK450" t="str">
            <v>CDC-18320</v>
          </cell>
          <cell r="AL450" t="str">
            <v>CDC18320</v>
          </cell>
        </row>
        <row r="451">
          <cell r="N451" t="str">
            <v>GREATER PHOENIX URBAN LEAGUE HEAD START - BRET TARVER</v>
          </cell>
          <cell r="O451" t="str">
            <v>3101 WEST MCDOWELL ROAD</v>
          </cell>
          <cell r="P451" t="str">
            <v>nalvarez@gphxul.org</v>
          </cell>
          <cell r="Q451" t="str">
            <v>CDC-17681</v>
          </cell>
          <cell r="AJ451" t="e">
            <v>#N/A</v>
          </cell>
          <cell r="AK451" t="str">
            <v>CDC-17681</v>
          </cell>
          <cell r="AL451" t="str">
            <v>CDC17681</v>
          </cell>
        </row>
        <row r="452">
          <cell r="N452" t="str">
            <v>GREATER PHOENIX URBAN LEAGUE HEAD START - BYRON BARRY</v>
          </cell>
          <cell r="O452" t="str">
            <v>2533 NORTH 60TH AVENUE</v>
          </cell>
          <cell r="P452" t="str">
            <v>nalvarez@gphxul.org</v>
          </cell>
          <cell r="Q452" t="str">
            <v>CDC-17680</v>
          </cell>
          <cell r="AJ452" t="e">
            <v>#N/A</v>
          </cell>
          <cell r="AK452" t="str">
            <v>CDC-17680</v>
          </cell>
          <cell r="AL452" t="str">
            <v>CDC17680</v>
          </cell>
        </row>
        <row r="453">
          <cell r="N453" t="str">
            <v>GREATER PHOENIX URBAN LEAGUE HEAD START - CARTWRIGHT</v>
          </cell>
          <cell r="O453" t="str">
            <v>5480 WEST CAMPBELL AVENUE</v>
          </cell>
          <cell r="P453" t="str">
            <v>emendoza@gphxul.org</v>
          </cell>
          <cell r="Q453" t="str">
            <v>CDC-16733</v>
          </cell>
          <cell r="AJ453" t="e">
            <v>#N/A</v>
          </cell>
          <cell r="AK453" t="str">
            <v>CDC-16733</v>
          </cell>
          <cell r="AL453" t="str">
            <v>CDC16733</v>
          </cell>
        </row>
        <row r="454">
          <cell r="N454" t="str">
            <v>GREATER PHOENIX URBAN LEAGUE HEAD START - FLOR DEL SOL</v>
          </cell>
          <cell r="O454" t="str">
            <v>3818 NORTH 67TH AVENUE</v>
          </cell>
          <cell r="P454" t="str">
            <v>nalvarez@gphxul.org</v>
          </cell>
          <cell r="Q454" t="str">
            <v>CDC-18681</v>
          </cell>
          <cell r="AJ454" t="e">
            <v>#N/A</v>
          </cell>
          <cell r="AK454" t="str">
            <v>CDC-18681</v>
          </cell>
          <cell r="AL454" t="str">
            <v>CDC18681</v>
          </cell>
        </row>
        <row r="455">
          <cell r="N455" t="str">
            <v>GREATER PHOENIX URBAN LEAGUE HEAD START - FRANK DAVIDSON</v>
          </cell>
          <cell r="O455" t="str">
            <v>6935 WEST OSBORN ROAD</v>
          </cell>
          <cell r="P455" t="str">
            <v>nalvarez@gphxul.org</v>
          </cell>
          <cell r="Q455" t="str">
            <v>CDC-18683</v>
          </cell>
          <cell r="AJ455" t="e">
            <v>#N/A</v>
          </cell>
          <cell r="AK455" t="str">
            <v>CDC-18683</v>
          </cell>
          <cell r="AL455" t="str">
            <v>CDC18683</v>
          </cell>
        </row>
        <row r="456">
          <cell r="N456" t="str">
            <v>GREATER PHOENIX URBAN LEAGUE HEAD START - M C  CASH</v>
          </cell>
          <cell r="O456" t="str">
            <v>3851 WEST ROESER ROAD</v>
          </cell>
          <cell r="P456" t="str">
            <v>nalvarez@gphxul.org</v>
          </cell>
          <cell r="Q456" t="str">
            <v>CDC-16669</v>
          </cell>
          <cell r="AJ456" t="e">
            <v>#N/A</v>
          </cell>
          <cell r="AK456" t="str">
            <v>CDC-16669</v>
          </cell>
          <cell r="AL456" t="str">
            <v>CDC16669</v>
          </cell>
        </row>
        <row r="457">
          <cell r="N457" t="str">
            <v>GREATER PHOENIX URBAN LEAGUE HEAD START - MARCOS DE NIZA</v>
          </cell>
          <cell r="O457" t="str">
            <v>301 WEST PIMA STREET</v>
          </cell>
          <cell r="P457" t="str">
            <v>emendoza@gphxul.org</v>
          </cell>
          <cell r="Q457" t="str">
            <v>CDC-18142</v>
          </cell>
          <cell r="AJ457" t="e">
            <v>#N/A</v>
          </cell>
          <cell r="AK457" t="str">
            <v>CDC-18142</v>
          </cell>
          <cell r="AL457" t="str">
            <v>CDC18142</v>
          </cell>
        </row>
        <row r="458">
          <cell r="N458" t="str">
            <v>GREATER PHOENIX URBAN LEAGUE HEAD START - MITCHELL</v>
          </cell>
          <cell r="O458" t="str">
            <v>1700 NORTH 41ST AVENUE</v>
          </cell>
          <cell r="P458" t="str">
            <v>nalvarez@gphxul.org</v>
          </cell>
          <cell r="Q458" t="str">
            <v>CDC-16668</v>
          </cell>
          <cell r="AJ458" t="e">
            <v>#N/A</v>
          </cell>
          <cell r="AK458" t="str">
            <v>CDC-16668</v>
          </cell>
          <cell r="AL458" t="str">
            <v>CDC16668</v>
          </cell>
        </row>
        <row r="459">
          <cell r="N459" t="str">
            <v>GREATER PHOENIX URBAN LEAGUE HEAD START - MOYA</v>
          </cell>
          <cell r="O459" t="str">
            <v>406 NORTH 41ST AVENUE</v>
          </cell>
          <cell r="P459" t="str">
            <v>nalvarez@gphxul.org</v>
          </cell>
          <cell r="Q459" t="str">
            <v>CDC-17679</v>
          </cell>
          <cell r="AJ459" t="e">
            <v>#N/A</v>
          </cell>
          <cell r="AK459" t="str">
            <v>CDC-17679</v>
          </cell>
          <cell r="AL459" t="str">
            <v>CDC17679</v>
          </cell>
        </row>
        <row r="460">
          <cell r="N460" t="str">
            <v>GREATER PHOENIX URBAN LEAGUE HEAD START - PENDERGAST EARLY CHILDHOOD CENTER</v>
          </cell>
          <cell r="O460" t="str">
            <v>3802 NORTH 91ST AVENUE</v>
          </cell>
          <cell r="P460" t="str">
            <v>auriarte@gphxul.org</v>
          </cell>
          <cell r="Q460" t="str">
            <v>CDC-15084</v>
          </cell>
          <cell r="AJ460" t="e">
            <v>#N/A</v>
          </cell>
          <cell r="AK460" t="str">
            <v>CDC-15084</v>
          </cell>
          <cell r="AL460" t="str">
            <v>CDC15084</v>
          </cell>
        </row>
        <row r="461">
          <cell r="N461" t="str">
            <v>GREATER PHOENIX URBAN LEAGUE HEAD START - PERALTA</v>
          </cell>
          <cell r="O461" t="str">
            <v>7125 WEST ENCANTO BLVD</v>
          </cell>
          <cell r="P461" t="str">
            <v>nalvarez@gphxul.org</v>
          </cell>
          <cell r="Q461" t="str">
            <v>CDC-17065</v>
          </cell>
          <cell r="AJ461" t="e">
            <v>#N/A</v>
          </cell>
          <cell r="AK461" t="str">
            <v>CDC-17065</v>
          </cell>
          <cell r="AL461" t="str">
            <v>CDC17065</v>
          </cell>
        </row>
        <row r="462">
          <cell r="N462" t="str">
            <v>GREATER PHOENIX URBAN LEAGUE HEAD START - STARLIGHT PARK</v>
          </cell>
          <cell r="O462" t="str">
            <v>7960 WEST OSBORN ROAD</v>
          </cell>
          <cell r="P462" t="str">
            <v>nalvarez@gphxul.org</v>
          </cell>
          <cell r="Q462" t="str">
            <v>CDC-18002</v>
          </cell>
          <cell r="AJ462" t="e">
            <v>#N/A</v>
          </cell>
          <cell r="AK462" t="str">
            <v>CDC-18002</v>
          </cell>
          <cell r="AL462" t="str">
            <v>CDC18002</v>
          </cell>
        </row>
        <row r="463">
          <cell r="N463" t="str">
            <v>GREATER PHOENIX URBAN LEAGUE HEAD START - TRAVIS WILLIAMS</v>
          </cell>
          <cell r="O463" t="str">
            <v>4732 SOUTH CENTRAL AVENUE</v>
          </cell>
          <cell r="P463" t="str">
            <v>nalvarez@gphxul.org</v>
          </cell>
          <cell r="Q463" t="str">
            <v>CDC-15540</v>
          </cell>
          <cell r="AJ463" t="e">
            <v>#N/A</v>
          </cell>
          <cell r="AK463" t="str">
            <v>CDC-15540</v>
          </cell>
          <cell r="AL463" t="str">
            <v>CDC15540</v>
          </cell>
        </row>
        <row r="464">
          <cell r="N464" t="str">
            <v>GREENHOUSE MONTESSORI PRESCHOOL &amp; TODDLER CENTER</v>
          </cell>
          <cell r="O464" t="str">
            <v>505 SOUTH GILBERT ROAD</v>
          </cell>
          <cell r="P464" t="str">
            <v>greenhousemontessorischool@hotmail.com</v>
          </cell>
          <cell r="Q464" t="str">
            <v>CDC-13213</v>
          </cell>
          <cell r="AJ464" t="e">
            <v>#N/A</v>
          </cell>
          <cell r="AK464" t="str">
            <v>CDC-13213</v>
          </cell>
          <cell r="AL464" t="str">
            <v>CDC13213</v>
          </cell>
        </row>
        <row r="465">
          <cell r="N465" t="str">
            <v>GRIFFIN FOUNDATION, INC DBA KIDS WITH A SMILE</v>
          </cell>
          <cell r="O465" t="str">
            <v>1844 SOUTH ALVERNON WAY</v>
          </cell>
          <cell r="P465" t="str">
            <v>griffin28@msn.com</v>
          </cell>
          <cell r="Q465" t="str">
            <v>CDC-9760</v>
          </cell>
          <cell r="AJ465" t="e">
            <v>#N/A</v>
          </cell>
          <cell r="AK465" t="str">
            <v>CDC-9760</v>
          </cell>
          <cell r="AL465" t="str">
            <v>CDC9760</v>
          </cell>
        </row>
        <row r="466">
          <cell r="N466" t="str">
            <v>GROW AND LEARN PRESCHOOL</v>
          </cell>
          <cell r="O466" t="str">
            <v>18914 EAST SAN TAN BOULEVARD #103</v>
          </cell>
          <cell r="P466" t="str">
            <v>growandlearnpreschool@msn.com</v>
          </cell>
          <cell r="Q466" t="str">
            <v>CDC-11958</v>
          </cell>
          <cell r="AJ466" t="e">
            <v>#N/A</v>
          </cell>
          <cell r="AK466" t="str">
            <v>CDC-11958</v>
          </cell>
          <cell r="AL466" t="str">
            <v>CDC11958</v>
          </cell>
        </row>
        <row r="467">
          <cell r="N467" t="str">
            <v>GROW WITH GRACE LEARNING CENTER</v>
          </cell>
          <cell r="O467" t="str">
            <v>1415 NORTH TREKELL ROAD STE 105</v>
          </cell>
          <cell r="P467" t="str">
            <v>info@gwgrace.com</v>
          </cell>
          <cell r="Q467" t="str">
            <v>CDC-16465</v>
          </cell>
          <cell r="AJ467" t="e">
            <v>#N/A</v>
          </cell>
          <cell r="AK467" t="str">
            <v>CDC-16465</v>
          </cell>
          <cell r="AL467" t="str">
            <v>CDC16465</v>
          </cell>
        </row>
        <row r="468">
          <cell r="N468" t="str">
            <v>GROWING KIDS PRESCHOOL AT LIFEPOINTE CHURCH</v>
          </cell>
          <cell r="O468" t="str">
            <v>10100 EAST HIGHWAY 69</v>
          </cell>
          <cell r="P468" t="str">
            <v>mtaharcey@yahoo.com</v>
          </cell>
          <cell r="Q468" t="str">
            <v>CDC-15505</v>
          </cell>
          <cell r="AJ468" t="e">
            <v>#N/A</v>
          </cell>
          <cell r="AK468" t="str">
            <v>CDC-15505</v>
          </cell>
          <cell r="AL468" t="str">
            <v>CDC15505</v>
          </cell>
        </row>
        <row r="469">
          <cell r="N469" t="str">
            <v>GROWING STEPS CHILDCARE &amp; LEARNING CENTER</v>
          </cell>
          <cell r="O469" t="str">
            <v>132 EAST PRINCE ROAD</v>
          </cell>
          <cell r="P469" t="str">
            <v>growingstepskids@gmail.com</v>
          </cell>
          <cell r="Q469" t="str">
            <v>CDC-17223</v>
          </cell>
          <cell r="AJ469">
            <v>486975</v>
          </cell>
          <cell r="AK469" t="str">
            <v>CDC-17223</v>
          </cell>
          <cell r="AL469" t="str">
            <v>CDC17223</v>
          </cell>
        </row>
        <row r="470">
          <cell r="N470" t="str">
            <v>GUARDIAN ANGELS LEARNING CENTER L.L.C.</v>
          </cell>
          <cell r="O470" t="str">
            <v>4105 NORTH 51ST AVENUE</v>
          </cell>
          <cell r="P470" t="str">
            <v>markeshapayne.guardianangels@gmail.com</v>
          </cell>
          <cell r="Q470" t="str">
            <v>CDC-17465</v>
          </cell>
          <cell r="AJ470" t="e">
            <v>#N/A</v>
          </cell>
          <cell r="AK470" t="str">
            <v>CDC-17465</v>
          </cell>
          <cell r="AL470" t="str">
            <v>CDC17465</v>
          </cell>
        </row>
        <row r="471">
          <cell r="N471" t="str">
            <v>GUARDIAN ANGELS PRESCHOOL DAYCARE L L C</v>
          </cell>
          <cell r="O471" t="str">
            <v>10720 WEST INDIAN SCHOOL SUITE 45</v>
          </cell>
          <cell r="P471" t="str">
            <v>kanesha.anderson@yahoo.com</v>
          </cell>
          <cell r="Q471" t="str">
            <v>CDC-14028</v>
          </cell>
          <cell r="AJ471" t="e">
            <v>#N/A</v>
          </cell>
          <cell r="AK471" t="str">
            <v>CDC-14028</v>
          </cell>
          <cell r="AL471" t="str">
            <v>CDC14028</v>
          </cell>
        </row>
        <row r="472">
          <cell r="N472" t="str">
            <v>GUIDEPOST MONTESSORI AT NORTH SCOTTSDALE</v>
          </cell>
          <cell r="O472" t="str">
            <v>20624 NORTH 76TH STREET</v>
          </cell>
          <cell r="P472" t="str">
            <v>compliance@tohigherground.com</v>
          </cell>
          <cell r="Q472" t="str">
            <v>CDC-18856</v>
          </cell>
          <cell r="AJ472" t="e">
            <v>#N/A</v>
          </cell>
          <cell r="AK472" t="str">
            <v>CDC-18856</v>
          </cell>
          <cell r="AL472" t="str">
            <v>CDC18856</v>
          </cell>
        </row>
        <row r="473">
          <cell r="N473" t="str">
            <v>GUIDEPOST MONTESSORI AT PEORIA</v>
          </cell>
          <cell r="O473" t="str">
            <v>20565 FLETCHER WAY</v>
          </cell>
          <cell r="P473" t="str">
            <v>peoria-compliance@guidepostmontessori.org</v>
          </cell>
          <cell r="Q473" t="str">
            <v>CDC-18369</v>
          </cell>
          <cell r="AJ473" t="e">
            <v>#N/A</v>
          </cell>
          <cell r="AK473" t="str">
            <v>CDC-18369</v>
          </cell>
          <cell r="AL473" t="str">
            <v>CDC18369</v>
          </cell>
        </row>
        <row r="474">
          <cell r="N474" t="str">
            <v>HAND IN HAND CHRISTIAN PRESCHOOL</v>
          </cell>
          <cell r="O474" t="str">
            <v>150 WEST 28TH STREET</v>
          </cell>
          <cell r="P474" t="str">
            <v>qrpfan@roadrunner.com</v>
          </cell>
          <cell r="Q474" t="str">
            <v>CDC-5739</v>
          </cell>
          <cell r="AJ474" t="e">
            <v>#N/A</v>
          </cell>
          <cell r="AK474" t="str">
            <v>CDC-5739</v>
          </cell>
          <cell r="AL474" t="str">
            <v>CDC5739</v>
          </cell>
        </row>
        <row r="475">
          <cell r="N475" t="str">
            <v>HAPPY APPLE</v>
          </cell>
          <cell r="O475" t="str">
            <v>21919 NORTH 89TH DRIVE</v>
          </cell>
          <cell r="P475" t="str">
            <v>lshorthappyapple@gmail.com</v>
          </cell>
          <cell r="Q475" t="str">
            <v>CDC-17245</v>
          </cell>
          <cell r="AJ475" t="e">
            <v>#N/A</v>
          </cell>
          <cell r="AK475" t="str">
            <v>CDC-17245</v>
          </cell>
          <cell r="AL475" t="str">
            <v>CDC17245</v>
          </cell>
        </row>
        <row r="476">
          <cell r="N476" t="str">
            <v>HAPPY DAYZ DAYCARE I I I</v>
          </cell>
          <cell r="O476" t="str">
            <v>4477 WEST OLIVE AVENUE</v>
          </cell>
          <cell r="P476" t="str">
            <v>happydayziii4477@yahoo.com</v>
          </cell>
          <cell r="Q476" t="str">
            <v>CDC-16775</v>
          </cell>
          <cell r="AJ476">
            <v>92324</v>
          </cell>
          <cell r="AK476" t="str">
            <v>CDC-16775</v>
          </cell>
          <cell r="AL476" t="str">
            <v>CDC16775</v>
          </cell>
        </row>
        <row r="477">
          <cell r="N477" t="str">
            <v>HAPPY DAYZ LEARNING CENTER</v>
          </cell>
          <cell r="O477" t="str">
            <v>13033 NORTH 35TH AVENUE</v>
          </cell>
          <cell r="P477" t="str">
            <v>dayzhappy13033@yahoo.com</v>
          </cell>
          <cell r="Q477" t="str">
            <v>CDC-13819</v>
          </cell>
          <cell r="AJ477">
            <v>89780</v>
          </cell>
          <cell r="AK477" t="str">
            <v>CDC-13819</v>
          </cell>
          <cell r="AL477" t="str">
            <v>CDC13819</v>
          </cell>
        </row>
        <row r="478">
          <cell r="N478" t="str">
            <v>HAPPY DAYZ LEARNING CENTER I I</v>
          </cell>
          <cell r="O478" t="str">
            <v>9202 NORTH 35TH AVENUE</v>
          </cell>
          <cell r="P478" t="str">
            <v>happydayz9202@yahoo.com</v>
          </cell>
          <cell r="Q478" t="str">
            <v>CDC-15544</v>
          </cell>
          <cell r="AJ478">
            <v>90853</v>
          </cell>
          <cell r="AK478" t="str">
            <v>CDC-15544</v>
          </cell>
          <cell r="AL478" t="str">
            <v>CDC15544</v>
          </cell>
        </row>
        <row r="479">
          <cell r="N479" t="str">
            <v>HAPPY KIDS CHILD CARE CENTER I I</v>
          </cell>
          <cell r="O479" t="str">
            <v>3523 NORTH 43RD AVENUE</v>
          </cell>
          <cell r="P479" t="str">
            <v>vaqueromed@yahoo.com</v>
          </cell>
          <cell r="Q479" t="str">
            <v>CDC-17566</v>
          </cell>
          <cell r="AJ479">
            <v>784213</v>
          </cell>
          <cell r="AK479" t="str">
            <v>CDC-17566</v>
          </cell>
          <cell r="AL479" t="str">
            <v>CDC17566</v>
          </cell>
        </row>
        <row r="480">
          <cell r="N480" t="str">
            <v>HAPPY KIDS CHILD CARE CENTER L.L.C.</v>
          </cell>
          <cell r="O480" t="str">
            <v>6727 WEST BETHANY HOME ROAD</v>
          </cell>
          <cell r="P480" t="str">
            <v>vaqueromed@yahoo.com</v>
          </cell>
          <cell r="Q480" t="str">
            <v>CDC-17004</v>
          </cell>
          <cell r="AJ480">
            <v>92785</v>
          </cell>
          <cell r="AK480" t="str">
            <v>CDC-17004</v>
          </cell>
          <cell r="AL480" t="str">
            <v>CDC17004</v>
          </cell>
        </row>
        <row r="481">
          <cell r="N481" t="str">
            <v>HAPPY TRAILS PRESCHOOL DAYCARE</v>
          </cell>
          <cell r="O481" t="str">
            <v>11607 SOUTH FORTUNA ROAD</v>
          </cell>
          <cell r="P481" t="str">
            <v>happytrailsyuma@happytrailsyuma.com</v>
          </cell>
          <cell r="Q481" t="str">
            <v>CDC-9645</v>
          </cell>
          <cell r="AJ481">
            <v>80531</v>
          </cell>
          <cell r="AK481" t="str">
            <v>CDC-9645</v>
          </cell>
          <cell r="AL481" t="str">
            <v>CDC9645</v>
          </cell>
        </row>
        <row r="482">
          <cell r="N482" t="str">
            <v>HAPPY TRAILS SCHOOL</v>
          </cell>
          <cell r="O482" t="str">
            <v>3255 NORTH CAMPBELL AVE</v>
          </cell>
          <cell r="P482" t="str">
            <v>happytrailsterri@gmail.com</v>
          </cell>
          <cell r="Q482" t="str">
            <v>CDC-0152</v>
          </cell>
          <cell r="AJ482" t="e">
            <v>#N/A</v>
          </cell>
          <cell r="AK482" t="str">
            <v>CDC-0152</v>
          </cell>
          <cell r="AL482" t="str">
            <v>CDC0152</v>
          </cell>
        </row>
        <row r="483">
          <cell r="N483" t="str">
            <v>HAPPY VALLEY SCHOOL</v>
          </cell>
          <cell r="O483" t="str">
            <v>7140 WEST HAPPY VALLEY ROAD</v>
          </cell>
          <cell r="P483" t="str">
            <v>jsmeets@happyvalleyschool.org</v>
          </cell>
          <cell r="Q483" t="str">
            <v>CDC-9059</v>
          </cell>
          <cell r="AJ483" t="e">
            <v>#N/A</v>
          </cell>
          <cell r="AK483" t="str">
            <v>CDC-9059</v>
          </cell>
          <cell r="AL483" t="str">
            <v>CDC9059</v>
          </cell>
        </row>
        <row r="484">
          <cell r="N484" t="str">
            <v>HARVEST PRESCHOOL &amp; CHILD CARE CENTER</v>
          </cell>
          <cell r="O484" t="str">
            <v>1793 SOUTH 1ST AVENUE</v>
          </cell>
          <cell r="P484" t="str">
            <v>agamez@harvestprep.com</v>
          </cell>
          <cell r="Q484" t="str">
            <v>CDC-15891</v>
          </cell>
          <cell r="AJ484" t="e">
            <v>#N/A</v>
          </cell>
          <cell r="AK484" t="str">
            <v>CDC-15891</v>
          </cell>
          <cell r="AL484" t="str">
            <v>CDC15891</v>
          </cell>
        </row>
        <row r="485">
          <cell r="N485" t="str">
            <v>HARVEST PRESCHOOL AND CHILDCARE CENTER-SAN LUIS</v>
          </cell>
          <cell r="O485" t="str">
            <v>1945 JUAN SANCHEZ BLVD SUITE 5B</v>
          </cell>
          <cell r="P485" t="str">
            <v>agamez@harvestprep.com</v>
          </cell>
          <cell r="Q485" t="str">
            <v>CDC-15306</v>
          </cell>
          <cell r="AJ485" t="e">
            <v>#N/A</v>
          </cell>
          <cell r="AK485" t="str">
            <v>CDC-15306</v>
          </cell>
          <cell r="AL485" t="str">
            <v>CDC15306</v>
          </cell>
        </row>
        <row r="486">
          <cell r="N486" t="str">
            <v>HAVASU PREPARATORY ACADEMY</v>
          </cell>
          <cell r="O486" t="str">
            <v>3155 MARICOPA AVENUE</v>
          </cell>
          <cell r="P486" t="str">
            <v>theresa.oldfield@leonagroup.com</v>
          </cell>
          <cell r="Q486" t="str">
            <v>CDC-17118</v>
          </cell>
          <cell r="AJ486" t="e">
            <v>#N/A</v>
          </cell>
          <cell r="AK486" t="str">
            <v>CDC-17118</v>
          </cell>
          <cell r="AL486" t="str">
            <v>CDC17118</v>
          </cell>
        </row>
        <row r="487">
          <cell r="N487" t="str">
            <v>HAVEN MONTESSORI CHILDREN'S HOUSE</v>
          </cell>
          <cell r="O487" t="str">
            <v>621 CLAY AVENUE</v>
          </cell>
          <cell r="P487" t="str">
            <v>info@havenmontessori.org</v>
          </cell>
          <cell r="Q487" t="str">
            <v>CDC-14745</v>
          </cell>
          <cell r="AJ487" t="e">
            <v>#N/A</v>
          </cell>
          <cell r="AK487" t="str">
            <v>CDC-14745</v>
          </cell>
          <cell r="AL487" t="str">
            <v>CDC14745</v>
          </cell>
        </row>
        <row r="488">
          <cell r="N488" t="str">
            <v>HEAD HEART HANDS PRESCHOOL</v>
          </cell>
          <cell r="O488" t="str">
            <v>400 WEST ASPEN AVENUE</v>
          </cell>
          <cell r="P488" t="str">
            <v>admin@headhearthandspreschool.org</v>
          </cell>
          <cell r="Q488" t="str">
            <v>CDC-17821</v>
          </cell>
          <cell r="AJ488" t="e">
            <v>#N/A</v>
          </cell>
          <cell r="AK488" t="str">
            <v>CDC-17821</v>
          </cell>
          <cell r="AL488" t="str">
            <v>CDC17821</v>
          </cell>
        </row>
        <row r="489">
          <cell r="N489" t="str">
            <v>HEARN ACADEMY</v>
          </cell>
          <cell r="O489" t="str">
            <v>17606 NORTH 7TH AVENUE</v>
          </cell>
          <cell r="P489" t="str">
            <v>kgriner@ballcharterschools.org</v>
          </cell>
          <cell r="Q489" t="str">
            <v>CDC-10217</v>
          </cell>
          <cell r="AJ489" t="e">
            <v>#N/A</v>
          </cell>
          <cell r="AK489" t="str">
            <v>CDC-10217</v>
          </cell>
          <cell r="AL489" t="str">
            <v>CDC10217</v>
          </cell>
        </row>
        <row r="490">
          <cell r="N490" t="str">
            <v>HEART CRY CHURCH</v>
          </cell>
          <cell r="O490" t="str">
            <v>9339 WEST HUNT HIGHWAY</v>
          </cell>
          <cell r="P490" t="str">
            <v>lauriev@heartcrychurch.com</v>
          </cell>
          <cell r="Q490" t="str">
            <v>CDC-18384</v>
          </cell>
          <cell r="AJ490" t="e">
            <v>#N/A</v>
          </cell>
          <cell r="AK490" t="str">
            <v>CDC-18384</v>
          </cell>
          <cell r="AL490" t="str">
            <v>CDC18384</v>
          </cell>
        </row>
        <row r="491">
          <cell r="N491" t="str">
            <v>HEARTPRINTS MONTESSORI</v>
          </cell>
          <cell r="O491" t="str">
            <v>1735 SOUTH COLLEGE AVENUE</v>
          </cell>
          <cell r="P491" t="str">
            <v>heartprintsmont@gmail.com</v>
          </cell>
          <cell r="Q491" t="str">
            <v>CDC-16965</v>
          </cell>
          <cell r="AJ491" t="e">
            <v>#N/A</v>
          </cell>
          <cell r="AK491" t="str">
            <v>CDC-16965</v>
          </cell>
          <cell r="AL491" t="str">
            <v>CDC16965</v>
          </cell>
        </row>
        <row r="492">
          <cell r="N492" t="str">
            <v>HEARTWOOD MONTESSORI</v>
          </cell>
          <cell r="O492" t="str">
            <v>207 NORTH MESA DRIVE</v>
          </cell>
          <cell r="P492" t="str">
            <v>sherri@heartwoodaz.org</v>
          </cell>
          <cell r="Q492" t="str">
            <v>CDC-18673</v>
          </cell>
          <cell r="AJ492" t="e">
            <v>#N/A</v>
          </cell>
          <cell r="AK492" t="str">
            <v>CDC-18673</v>
          </cell>
          <cell r="AL492" t="str">
            <v>CDC18673</v>
          </cell>
        </row>
        <row r="493">
          <cell r="N493" t="str">
            <v>HERE WE GROW LEARNING CENTER</v>
          </cell>
          <cell r="O493" t="str">
            <v>16901 EAST PALISADES BOULEVARD</v>
          </cell>
          <cell r="P493" t="str">
            <v>info@herewegrowaz.com</v>
          </cell>
          <cell r="Q493" t="str">
            <v>CDC-9151</v>
          </cell>
          <cell r="AJ493" t="e">
            <v>#N/A</v>
          </cell>
          <cell r="AK493" t="str">
            <v>CDC-9151</v>
          </cell>
          <cell r="AL493" t="str">
            <v>CDC9151</v>
          </cell>
        </row>
        <row r="494">
          <cell r="N494" t="str">
            <v>HERENCIA GUADALUPANA LAB SCHOOLS I I</v>
          </cell>
          <cell r="O494" t="str">
            <v>6740 SOUTH SANTA CLARA AVENUE</v>
          </cell>
          <cell r="P494" t="str">
            <v>ernestina4@yahoo.com</v>
          </cell>
          <cell r="Q494" t="str">
            <v>CDC-18032</v>
          </cell>
          <cell r="AJ494">
            <v>1000085</v>
          </cell>
          <cell r="AK494" t="str">
            <v>CDC-18032</v>
          </cell>
          <cell r="AL494" t="str">
            <v>CDC18032</v>
          </cell>
        </row>
        <row r="495">
          <cell r="N495" t="str">
            <v>HERITAGE ELEMENTARY</v>
          </cell>
          <cell r="O495" t="str">
            <v>6805 NORTH 125TH AVENUE</v>
          </cell>
          <cell r="P495" t="str">
            <v>marybcarter@live.com</v>
          </cell>
          <cell r="Q495" t="str">
            <v>CDC-16609</v>
          </cell>
          <cell r="AJ495" t="e">
            <v>#N/A</v>
          </cell>
          <cell r="AK495" t="str">
            <v>CDC-16609</v>
          </cell>
          <cell r="AL495" t="str">
            <v>CDC16609</v>
          </cell>
        </row>
        <row r="496">
          <cell r="N496" t="str">
            <v>HERITAGE MONTESSORI SCHOOL</v>
          </cell>
          <cell r="O496" t="str">
            <v>3501 WEST WESTCOTT DRIVE</v>
          </cell>
          <cell r="P496" t="str">
            <v>heritagemontessorischool@hotmail.com</v>
          </cell>
          <cell r="Q496" t="str">
            <v>CDC-14278</v>
          </cell>
          <cell r="AJ496" t="e">
            <v>#N/A</v>
          </cell>
          <cell r="AK496" t="str">
            <v>CDC-14278</v>
          </cell>
          <cell r="AL496" t="str">
            <v>CDC14278</v>
          </cell>
        </row>
        <row r="497">
          <cell r="N497" t="str">
            <v>HERMOSA MONTESSORI SCHOOL</v>
          </cell>
          <cell r="O497" t="str">
            <v>12051 EAST FORT LOWELL</v>
          </cell>
          <cell r="P497" t="str">
            <v>sheilas@hermosaschool.org, colleenc@hermosaschool.org</v>
          </cell>
          <cell r="Q497" t="str">
            <v>CDC-3179</v>
          </cell>
          <cell r="AJ497" t="e">
            <v>#N/A</v>
          </cell>
          <cell r="AK497" t="str">
            <v>CDC-3179</v>
          </cell>
          <cell r="AL497" t="str">
            <v>CDC3179</v>
          </cell>
        </row>
        <row r="498">
          <cell r="N498" t="str">
            <v>HIDDEN TREASURES CHRISTIAN PRESCHOOL &amp; CHILD CARE</v>
          </cell>
          <cell r="O498" t="str">
            <v>4426 NORTH 31ST AVENUE</v>
          </cell>
          <cell r="P498" t="str">
            <v>laldama@hiddentreasurespre.com</v>
          </cell>
          <cell r="Q498" t="str">
            <v>CDC-1502</v>
          </cell>
          <cell r="AJ498">
            <v>8711</v>
          </cell>
          <cell r="AK498" t="str">
            <v>CDC-1502</v>
          </cell>
          <cell r="AL498" t="str">
            <v>CDC1502</v>
          </cell>
        </row>
        <row r="499">
          <cell r="N499" t="str">
            <v>HIGHLAND FREE SCHOOL</v>
          </cell>
          <cell r="O499" t="str">
            <v>510 SOUTH HIGHLAND AVE</v>
          </cell>
          <cell r="P499" t="str">
            <v>nsofka@highlandfs.com</v>
          </cell>
          <cell r="Q499" t="str">
            <v>CDC-0582</v>
          </cell>
          <cell r="AJ499" t="e">
            <v>#N/A</v>
          </cell>
          <cell r="AK499" t="str">
            <v>CDC-0582</v>
          </cell>
          <cell r="AL499" t="str">
            <v>CDC0582</v>
          </cell>
        </row>
        <row r="500">
          <cell r="N500" t="str">
            <v>HILLTOP CHRISTIAN PRESCHOOL</v>
          </cell>
          <cell r="O500" t="str">
            <v>2021 EAST FIR STREET</v>
          </cell>
          <cell r="P500" t="str">
            <v>cottonwoodhilltoppreschool@yahoo.com</v>
          </cell>
          <cell r="Q500" t="str">
            <v>CDC-0773</v>
          </cell>
          <cell r="AJ500" t="e">
            <v>#N/A</v>
          </cell>
          <cell r="AK500" t="str">
            <v>CDC-0773</v>
          </cell>
          <cell r="AL500" t="str">
            <v>CDC0773</v>
          </cell>
        </row>
        <row r="501">
          <cell r="N501" t="str">
            <v>HILLTOP LEARNING CENTER</v>
          </cell>
          <cell r="O501" t="str">
            <v>3180 MCCULLOCH BOULEVARD</v>
          </cell>
          <cell r="P501" t="str">
            <v>learningcenter@hilltoplhc.com</v>
          </cell>
          <cell r="Q501" t="str">
            <v>CDC-8407</v>
          </cell>
          <cell r="AJ501" t="e">
            <v>#N/A</v>
          </cell>
          <cell r="AK501" t="str">
            <v>CDC-8407</v>
          </cell>
          <cell r="AL501" t="str">
            <v>CDC8407</v>
          </cell>
        </row>
        <row r="502">
          <cell r="N502" t="str">
            <v>HOLBROOK AZ EDUCATIONAL DAYCARE L.L.C.</v>
          </cell>
          <cell r="O502" t="str">
            <v>115 WEST ERIE STREET</v>
          </cell>
          <cell r="P502" t="str">
            <v>holbrookeducationalchildcare@yahoo.com</v>
          </cell>
          <cell r="Q502" t="str">
            <v>CDC-18176</v>
          </cell>
          <cell r="AJ502" t="e">
            <v>#N/A</v>
          </cell>
          <cell r="AK502" t="str">
            <v>CDC-18176</v>
          </cell>
          <cell r="AL502" t="str">
            <v>CDC18176</v>
          </cell>
        </row>
        <row r="503">
          <cell r="N503" t="str">
            <v>HOLSCLAW FAMILY CHILD CARE CENTER</v>
          </cell>
          <cell r="O503" t="str">
            <v>222 NORTH CHURCH AVENUE</v>
          </cell>
          <cell r="P503" t="str">
            <v>ConnieO@tucsonymca.org</v>
          </cell>
          <cell r="Q503" t="str">
            <v>CDC-3301</v>
          </cell>
          <cell r="AJ503">
            <v>9770</v>
          </cell>
          <cell r="AK503" t="str">
            <v>CDC-3301</v>
          </cell>
          <cell r="AL503" t="str">
            <v>CDC3301</v>
          </cell>
        </row>
        <row r="504">
          <cell r="N504" t="str">
            <v>HOME AWAY FROM HOME</v>
          </cell>
          <cell r="O504" t="str">
            <v>800 WEST VAH KI INN ROAD</v>
          </cell>
          <cell r="P504" t="str">
            <v>sophiaisabellarodriguez.mr@gmail.com</v>
          </cell>
          <cell r="Q504" t="str">
            <v>CDC-16464</v>
          </cell>
          <cell r="AJ504" t="e">
            <v>#N/A</v>
          </cell>
          <cell r="AK504" t="str">
            <v>CDC-16464</v>
          </cell>
          <cell r="AL504" t="str">
            <v>CDC16464</v>
          </cell>
        </row>
        <row r="505">
          <cell r="N505" t="str">
            <v>HOME OF HOPE CHRISTIAN CHILDCARE CENTER</v>
          </cell>
          <cell r="O505" t="str">
            <v>1955 NORTH CASA GRANDE AVENUE</v>
          </cell>
          <cell r="P505" t="str">
            <v>hohccc@tcaz.org</v>
          </cell>
          <cell r="Q505" t="str">
            <v>CDC-12367</v>
          </cell>
          <cell r="AJ505">
            <v>92765</v>
          </cell>
          <cell r="AK505" t="str">
            <v>CDC-12367</v>
          </cell>
          <cell r="AL505" t="str">
            <v>CDC12367</v>
          </cell>
        </row>
        <row r="506">
          <cell r="N506" t="str">
            <v>HOMER DAVIS HEAD START</v>
          </cell>
          <cell r="O506" t="str">
            <v>4258 NORTH ROMERO ROAD</v>
          </cell>
          <cell r="P506" t="str">
            <v>homerdavis@childparentcenters.org</v>
          </cell>
          <cell r="Q506" t="str">
            <v>CDC-5896</v>
          </cell>
          <cell r="AJ506">
            <v>84191</v>
          </cell>
          <cell r="AK506" t="str">
            <v>CDC-5896</v>
          </cell>
          <cell r="AL506" t="str">
            <v>CDC5896</v>
          </cell>
        </row>
        <row r="507">
          <cell r="N507" t="str">
            <v>HONEY BEE ACADEMY PRESCHOOL L.L.C.</v>
          </cell>
          <cell r="O507" t="str">
            <v>7191 EAST ASHLER HILLS DRIVE</v>
          </cell>
          <cell r="P507" t="str">
            <v>jencsikany@hotmail.com</v>
          </cell>
          <cell r="Q507" t="str">
            <v>CDC-18017</v>
          </cell>
          <cell r="AJ507" t="e">
            <v>#N/A</v>
          </cell>
          <cell r="AK507" t="str">
            <v>CDC-18017</v>
          </cell>
          <cell r="AL507" t="str">
            <v>CDC18017</v>
          </cell>
        </row>
        <row r="508">
          <cell r="N508" t="str">
            <v>HORIZON COMMUNITY LEARNING CENTER</v>
          </cell>
          <cell r="O508" t="str">
            <v>16233 SOUTH 48TH STREET</v>
          </cell>
          <cell r="P508" t="str">
            <v>patticia.mclntyre@horizonhonors.org</v>
          </cell>
          <cell r="Q508" t="str">
            <v>CDC-11258</v>
          </cell>
          <cell r="AJ508" t="e">
            <v>#N/A</v>
          </cell>
          <cell r="AK508" t="str">
            <v>CDC-11258</v>
          </cell>
          <cell r="AL508" t="str">
            <v>CDC11258</v>
          </cell>
        </row>
        <row r="509">
          <cell r="N509" t="str">
            <v>IMAGINATION CHILDCARE</v>
          </cell>
          <cell r="O509" t="str">
            <v>5220 NORTH DYSART ROAD SUITE B-112</v>
          </cell>
          <cell r="P509" t="str">
            <v>trishrosenthal@imaginationchildcare.com</v>
          </cell>
          <cell r="Q509" t="str">
            <v>CDC-17154</v>
          </cell>
          <cell r="AJ509" t="e">
            <v>#N/A</v>
          </cell>
          <cell r="AK509" t="str">
            <v>CDC-17154</v>
          </cell>
          <cell r="AL509" t="str">
            <v>CDC17154</v>
          </cell>
        </row>
        <row r="510">
          <cell r="N510" t="str">
            <v>IMAGINATION STATION CHILD CARE</v>
          </cell>
          <cell r="O510" t="str">
            <v>6454 SOUTH MCCLINTOCK DRIVE</v>
          </cell>
          <cell r="P510" t="str">
            <v>khrisbond@yahoo.com</v>
          </cell>
          <cell r="Q510" t="str">
            <v>CDC-9892</v>
          </cell>
          <cell r="AJ510" t="e">
            <v>#N/A</v>
          </cell>
          <cell r="AK510" t="str">
            <v>CDC-9892</v>
          </cell>
          <cell r="AL510" t="str">
            <v>CDC9892</v>
          </cell>
        </row>
        <row r="511">
          <cell r="N511" t="str">
            <v>IMAGINATION STATION WINSLOW</v>
          </cell>
          <cell r="O511" t="str">
            <v>1313 EAST 3RD STREET</v>
          </cell>
          <cell r="P511" t="str">
            <v>melissa@imaginationstationwinslow.com</v>
          </cell>
          <cell r="Q511" t="str">
            <v>CDC-17870</v>
          </cell>
          <cell r="AJ511" t="e">
            <v>#N/A</v>
          </cell>
          <cell r="AK511" t="str">
            <v>CDC-17870</v>
          </cell>
          <cell r="AL511" t="str">
            <v>CDC17870</v>
          </cell>
        </row>
        <row r="512">
          <cell r="N512" t="str">
            <v>IMAGINATION TREE LEARNING CENTER</v>
          </cell>
          <cell r="O512" t="str">
            <v>525 NORTH GRANDE AVENUE</v>
          </cell>
          <cell r="P512" t="str">
            <v>imaginationtree@icloud.com</v>
          </cell>
          <cell r="Q512" t="str">
            <v>CDC-17869</v>
          </cell>
          <cell r="AJ512">
            <v>818718</v>
          </cell>
          <cell r="AK512" t="str">
            <v>CDC-17869</v>
          </cell>
          <cell r="AL512" t="str">
            <v>CDC17869</v>
          </cell>
        </row>
        <row r="513">
          <cell r="N513" t="str">
            <v>IMAGINE AVONDALE ELEMENTARY INC.</v>
          </cell>
          <cell r="O513" t="str">
            <v>950 NORTH ELISEO C FELIX JR WAY</v>
          </cell>
          <cell r="P513" t="str">
            <v>jo.digioia@imagineschools.com</v>
          </cell>
          <cell r="Q513" t="str">
            <v>CDC-16074</v>
          </cell>
          <cell r="AJ513" t="e">
            <v>#N/A</v>
          </cell>
          <cell r="AK513" t="str">
            <v>CDC-16074</v>
          </cell>
          <cell r="AL513" t="str">
            <v>CDC16074</v>
          </cell>
        </row>
        <row r="514">
          <cell r="N514" t="str">
            <v>IMAGINE COOLIDGE PRESCHOOL</v>
          </cell>
          <cell r="O514" t="str">
            <v>1290 WEST VAH KI INN ROAD</v>
          </cell>
          <cell r="P514" t="str">
            <v>clara.thigpen@imagineschools.org</v>
          </cell>
          <cell r="Q514" t="str">
            <v>CDC-18635</v>
          </cell>
          <cell r="AJ514" t="e">
            <v>#N/A</v>
          </cell>
          <cell r="AK514" t="str">
            <v>CDC-18635</v>
          </cell>
          <cell r="AL514" t="str">
            <v>CDC18635</v>
          </cell>
        </row>
        <row r="515">
          <cell r="N515" t="str">
            <v>IMAGINE NATION PRESCHOOL &amp; CHILD CARE</v>
          </cell>
          <cell r="O515" t="str">
            <v>3738 E GRANT RD</v>
          </cell>
          <cell r="P515" t="str">
            <v>imaginenationpreschool@gmail.com</v>
          </cell>
          <cell r="Q515" t="str">
            <v>CDC-15906</v>
          </cell>
          <cell r="AJ515" t="e">
            <v>#N/A</v>
          </cell>
          <cell r="AK515" t="str">
            <v>CDC-15906</v>
          </cell>
          <cell r="AL515" t="str">
            <v>CDC15906</v>
          </cell>
        </row>
        <row r="516">
          <cell r="N516" t="str">
            <v>IMAGINE SCHOOL AT ROSEFIELD</v>
          </cell>
          <cell r="O516" t="str">
            <v>12050 NORTH BULLARD AVENUE</v>
          </cell>
          <cell r="P516" t="str">
            <v>dawn.lagardo@imagineschools.com</v>
          </cell>
          <cell r="Q516" t="str">
            <v>CDC-14156</v>
          </cell>
          <cell r="AJ516" t="e">
            <v>#N/A</v>
          </cell>
          <cell r="AK516" t="str">
            <v>CDC-14156</v>
          </cell>
          <cell r="AL516" t="str">
            <v>CDC14156</v>
          </cell>
        </row>
        <row r="517">
          <cell r="N517" t="str">
            <v>IMMACULATE CONCEPTION CATHOLIC PRESCHOOL</v>
          </cell>
          <cell r="O517" t="str">
            <v>750 NORTH BILL GRAY ROAD</v>
          </cell>
          <cell r="P517" t="str">
            <v>jillbarteau@iccs-k8.org</v>
          </cell>
          <cell r="Q517" t="str">
            <v>CDC-17430</v>
          </cell>
          <cell r="AJ517" t="e">
            <v>#N/A</v>
          </cell>
          <cell r="AK517" t="str">
            <v>CDC-17430</v>
          </cell>
          <cell r="AL517" t="str">
            <v>CDC17430</v>
          </cell>
        </row>
        <row r="518">
          <cell r="N518" t="str">
            <v>IMMACULATE CONCEPTION PRESCHOOL</v>
          </cell>
          <cell r="O518" t="str">
            <v>501 SOUTH AVENUE B</v>
          </cell>
          <cell r="P518" t="str">
            <v>GDIAZ@DIOCESETUCSON.ORG</v>
          </cell>
          <cell r="Q518" t="str">
            <v>CDC-17157</v>
          </cell>
          <cell r="AJ518" t="e">
            <v>#N/A</v>
          </cell>
          <cell r="AK518" t="str">
            <v>CDC-17157</v>
          </cell>
          <cell r="AL518" t="str">
            <v>CDC17157</v>
          </cell>
        </row>
        <row r="519">
          <cell r="N519" t="str">
            <v>IMMACULATE HEART ACADEMY</v>
          </cell>
          <cell r="O519" t="str">
            <v>410 EAST MAGEE ROAD</v>
          </cell>
          <cell r="P519" t="str">
            <v>academyoffice@ihschool.org ,abmartinez@theriver.com</v>
          </cell>
          <cell r="Q519" t="str">
            <v>CDC-3248</v>
          </cell>
          <cell r="AJ519" t="e">
            <v>#N/A</v>
          </cell>
          <cell r="AK519" t="str">
            <v>CDC-3248</v>
          </cell>
          <cell r="AL519" t="str">
            <v>CDC3248</v>
          </cell>
        </row>
        <row r="520">
          <cell r="N520" t="str">
            <v>IMMACULATE HEART PRESCHOOL</v>
          </cell>
          <cell r="O520" t="str">
            <v>455 SOUTH LAKE POWELL BOULEVARD</v>
          </cell>
          <cell r="P520" t="str">
            <v>ihmcatholic@cableone.net</v>
          </cell>
          <cell r="Q520" t="str">
            <v>CDC-16313</v>
          </cell>
          <cell r="AJ520" t="e">
            <v>#N/A</v>
          </cell>
          <cell r="AK520" t="str">
            <v>CDC-16313</v>
          </cell>
          <cell r="AL520" t="str">
            <v>CDC16313</v>
          </cell>
        </row>
        <row r="521">
          <cell r="N521" t="str">
            <v>IMMANUEL CARE FOR CHILDREN</v>
          </cell>
          <cell r="O521" t="str">
            <v>1620 WEST CAMELBACK ROAD</v>
          </cell>
          <cell r="P521" t="str">
            <v>zazawright@gmail.com</v>
          </cell>
          <cell r="Q521" t="str">
            <v>CDC-17644</v>
          </cell>
          <cell r="AJ521">
            <v>92724</v>
          </cell>
          <cell r="AK521" t="str">
            <v>CDC-17644</v>
          </cell>
          <cell r="AL521" t="str">
            <v>CDC17644</v>
          </cell>
        </row>
        <row r="522">
          <cell r="N522" t="str">
            <v>INNOVATION LEARNING - ALA - ANTHEM SOUTH K-6</v>
          </cell>
          <cell r="O522" t="str">
            <v>4380 NORTH HUNT HIGHWAY</v>
          </cell>
          <cell r="P522" t="str">
            <v>alaanthemsouth@innovationlearning.com</v>
          </cell>
          <cell r="Q522" t="str">
            <v>CDC-18334</v>
          </cell>
          <cell r="AJ522" t="e">
            <v>#N/A</v>
          </cell>
          <cell r="AK522" t="str">
            <v>CDC-18334</v>
          </cell>
          <cell r="AL522" t="str">
            <v>CDC18334</v>
          </cell>
        </row>
        <row r="523">
          <cell r="N523" t="str">
            <v>INNOVATION LEARNING - ALA - GILBERT</v>
          </cell>
          <cell r="O523" t="str">
            <v>3155 SOUTH SAN TAN VILLAGE PARKWAY</v>
          </cell>
          <cell r="P523" t="str">
            <v>druffalo@innovationlearning.com</v>
          </cell>
          <cell r="Q523" t="str">
            <v>CDC-18325</v>
          </cell>
          <cell r="AJ523" t="e">
            <v>#N/A</v>
          </cell>
          <cell r="AK523" t="str">
            <v>CDC-18325</v>
          </cell>
          <cell r="AL523" t="str">
            <v>CDC18325</v>
          </cell>
        </row>
        <row r="524">
          <cell r="N524" t="str">
            <v>INNOVATION LEARNING - ALA - GILBERT NORTH K-6</v>
          </cell>
          <cell r="O524" t="str">
            <v>1010 SOUTH HIGLEY ROAD</v>
          </cell>
          <cell r="P524" t="str">
            <v>druffalo@innovationlearning.com</v>
          </cell>
          <cell r="Q524" t="str">
            <v>CDC-18329</v>
          </cell>
          <cell r="AJ524" t="e">
            <v>#N/A</v>
          </cell>
          <cell r="AK524" t="str">
            <v>CDC-18329</v>
          </cell>
          <cell r="AL524" t="str">
            <v>CDC18329</v>
          </cell>
        </row>
        <row r="525">
          <cell r="N525" t="str">
            <v>INNOVATION LEARNING - ALA - GILBERT SOUTH</v>
          </cell>
          <cell r="O525" t="str">
            <v>1750 EAST RIGGS ROAD</v>
          </cell>
          <cell r="P525" t="str">
            <v>druffalo@innovationlearning.com</v>
          </cell>
          <cell r="Q525" t="str">
            <v>CDC-18326</v>
          </cell>
          <cell r="AJ525" t="e">
            <v>#N/A</v>
          </cell>
          <cell r="AK525" t="str">
            <v>CDC-18326</v>
          </cell>
          <cell r="AL525" t="str">
            <v>CDC18326</v>
          </cell>
        </row>
        <row r="526">
          <cell r="N526" t="str">
            <v>INNOVATION LEARNING - ALA - IRONWOOD K-6</v>
          </cell>
          <cell r="O526" t="str">
            <v>650 WEST COMBS</v>
          </cell>
          <cell r="P526" t="str">
            <v>druffalo@innovationlearning.com</v>
          </cell>
          <cell r="Q526" t="str">
            <v>CDC-18328</v>
          </cell>
          <cell r="AJ526" t="e">
            <v>#N/A</v>
          </cell>
          <cell r="AK526" t="str">
            <v>CDC-18328</v>
          </cell>
          <cell r="AL526" t="str">
            <v>CDC18328</v>
          </cell>
        </row>
        <row r="527">
          <cell r="N527" t="str">
            <v>INNOVATION LEARNING - ALA - MESA K-6</v>
          </cell>
          <cell r="O527" t="str">
            <v>4507 SOUTH MOUNTAIN ROAD</v>
          </cell>
          <cell r="P527" t="str">
            <v>druffalo@innovationlearning.com</v>
          </cell>
          <cell r="Q527" t="str">
            <v>CDC-18330</v>
          </cell>
          <cell r="AJ527" t="e">
            <v>#N/A</v>
          </cell>
          <cell r="AK527" t="str">
            <v>CDC-18330</v>
          </cell>
          <cell r="AL527" t="str">
            <v>CDC18330</v>
          </cell>
        </row>
        <row r="528">
          <cell r="N528" t="str">
            <v>INNOVATION LEARNING - ALA - QUEEN CREEK K-6</v>
          </cell>
          <cell r="O528" t="str">
            <v>19843 EAST CHANDLER HEIGHTS ROAD</v>
          </cell>
          <cell r="P528" t="str">
            <v>druffalo@innovationlearning.com</v>
          </cell>
          <cell r="Q528" t="str">
            <v>CDC-18371</v>
          </cell>
          <cell r="AJ528" t="e">
            <v>#N/A</v>
          </cell>
          <cell r="AK528" t="str">
            <v>CDC-18371</v>
          </cell>
          <cell r="AL528" t="str">
            <v>CDC18371</v>
          </cell>
        </row>
        <row r="529">
          <cell r="N529" t="str">
            <v>INNOVATION LEARNING - ALA-SAN TAN VALLEY K-6</v>
          </cell>
          <cell r="O529" t="str">
            <v>34696 NORTH VILLIAGE LANE</v>
          </cell>
          <cell r="P529" t="str">
            <v>druffalo@innovationlearning.com</v>
          </cell>
          <cell r="Q529" t="str">
            <v>CDC-18332</v>
          </cell>
          <cell r="AJ529" t="e">
            <v>#N/A</v>
          </cell>
          <cell r="AK529" t="str">
            <v>CDC-18332</v>
          </cell>
          <cell r="AL529" t="str">
            <v>CDC18332</v>
          </cell>
        </row>
        <row r="530">
          <cell r="N530" t="str">
            <v>INNOVATION LEARNING - ALA-SIGNAL BUTTE K-6</v>
          </cell>
          <cell r="O530" t="str">
            <v>22512 SOUTH SIGNAL BUTTE ROAD</v>
          </cell>
          <cell r="P530" t="str">
            <v>druffalo@innovationlearning.com</v>
          </cell>
          <cell r="Q530" t="str">
            <v>CDC-18331</v>
          </cell>
          <cell r="AJ530" t="e">
            <v>#N/A</v>
          </cell>
          <cell r="AK530" t="str">
            <v>CDC-18331</v>
          </cell>
          <cell r="AL530" t="str">
            <v>CDC18331</v>
          </cell>
        </row>
        <row r="531">
          <cell r="N531" t="str">
            <v>INNOVATION LEARNING - CANDEO SCHOOLS</v>
          </cell>
          <cell r="O531" t="str">
            <v>9965 WEST CALLE LEJOS</v>
          </cell>
          <cell r="P531" t="str">
            <v>druffalo@innovationlearning.com</v>
          </cell>
          <cell r="Q531" t="str">
            <v>CDC-18414</v>
          </cell>
          <cell r="AJ531" t="e">
            <v>#N/A</v>
          </cell>
          <cell r="AK531" t="str">
            <v>CDC-18414</v>
          </cell>
          <cell r="AL531" t="str">
            <v>CDC18414</v>
          </cell>
        </row>
        <row r="532">
          <cell r="N532" t="str">
            <v>INNOVATION LEARNING - RIDGELINE ACADEMY</v>
          </cell>
          <cell r="O532" t="str">
            <v>33625 NORTH VALLEY PARKWAY</v>
          </cell>
          <cell r="P532" t="str">
            <v>druffalo@innovationlearning.com</v>
          </cell>
          <cell r="Q532" t="str">
            <v>CDC-18370</v>
          </cell>
          <cell r="AJ532" t="e">
            <v>#N/A</v>
          </cell>
          <cell r="AK532" t="str">
            <v>CDC-18370</v>
          </cell>
          <cell r="AL532" t="str">
            <v>CDC18370</v>
          </cell>
        </row>
        <row r="533">
          <cell r="N533" t="str">
            <v>INNOVATION LEARNING - ST. GREGORY</v>
          </cell>
          <cell r="O533" t="str">
            <v>3440 NORTH 18TH AVENUE</v>
          </cell>
          <cell r="P533" t="str">
            <v>druffalo@innovationlearning.com</v>
          </cell>
          <cell r="Q533" t="str">
            <v>CDC-18415</v>
          </cell>
          <cell r="AJ533" t="e">
            <v>#N/A</v>
          </cell>
          <cell r="AK533" t="str">
            <v>CDC-18415</v>
          </cell>
          <cell r="AL533" t="str">
            <v>CDC18415</v>
          </cell>
        </row>
        <row r="534">
          <cell r="N534" t="str">
            <v>INNOVATION LEARNING - ST. THERESA</v>
          </cell>
          <cell r="O534" t="str">
            <v>5001 EAST THOMAS ROAD</v>
          </cell>
          <cell r="P534" t="str">
            <v>druffalo@innovationlearning.com</v>
          </cell>
          <cell r="Q534" t="str">
            <v>CDC-18416</v>
          </cell>
          <cell r="AJ534" t="e">
            <v>#N/A</v>
          </cell>
          <cell r="AK534" t="str">
            <v>CDC-18416</v>
          </cell>
          <cell r="AL534" t="str">
            <v>CDC18416</v>
          </cell>
        </row>
        <row r="535">
          <cell r="N535" t="str">
            <v>INSPIRE INTERNATIONAL PRESCHOOL AND LEARNING CENTER</v>
          </cell>
          <cell r="O535" t="str">
            <v>17844  NORTH 7TH AVENUE</v>
          </cell>
          <cell r="P535" t="str">
            <v>vickyoperez@yahoo.com</v>
          </cell>
          <cell r="Q535" t="str">
            <v>CDC-17469</v>
          </cell>
          <cell r="AJ535" t="e">
            <v>#N/A</v>
          </cell>
          <cell r="AK535" t="str">
            <v>CDC-17469</v>
          </cell>
          <cell r="AL535" t="str">
            <v>CDC17469</v>
          </cell>
        </row>
        <row r="536">
          <cell r="N536" t="str">
            <v>INSPIRE KIDS MONTESSORI</v>
          </cell>
          <cell r="O536" t="str">
            <v>4025 EAST CHANDLER BOULEVARD - SUITE 11</v>
          </cell>
          <cell r="P536" t="str">
            <v>info@inspirekidsmontessori.com</v>
          </cell>
          <cell r="Q536" t="str">
            <v>CDC-16635</v>
          </cell>
          <cell r="AJ536" t="e">
            <v>#N/A</v>
          </cell>
          <cell r="AK536" t="str">
            <v>CDC-16635</v>
          </cell>
          <cell r="AL536" t="str">
            <v>CDC16635</v>
          </cell>
        </row>
        <row r="537">
          <cell r="N537" t="str">
            <v>INTERNATIONAL SCHOOL FOR PEACE</v>
          </cell>
          <cell r="O537" t="str">
            <v>4625 EAST RIVER ROAD</v>
          </cell>
          <cell r="P537" t="str">
            <v>cathy@internationalschoolforpeace.com</v>
          </cell>
          <cell r="Q537" t="str">
            <v>CDC-3813</v>
          </cell>
          <cell r="AJ537" t="e">
            <v>#N/A</v>
          </cell>
          <cell r="AK537" t="str">
            <v>CDC-3813</v>
          </cell>
          <cell r="AL537" t="str">
            <v>CDC3813</v>
          </cell>
        </row>
        <row r="538">
          <cell r="N538" t="str">
            <v>INTERNATIONAL SCHOOL OF ARIZONA</v>
          </cell>
          <cell r="O538" t="str">
            <v>9522 EAST SAN SALVADOR</v>
          </cell>
          <cell r="P538" t="str">
            <v>mdutil@isaz.org</v>
          </cell>
          <cell r="Q538" t="str">
            <v>CDC-17519</v>
          </cell>
          <cell r="AJ538" t="e">
            <v>#N/A</v>
          </cell>
          <cell r="AK538" t="str">
            <v>CDC-17519</v>
          </cell>
          <cell r="AL538" t="str">
            <v>CDC17519</v>
          </cell>
        </row>
        <row r="539">
          <cell r="N539" t="str">
            <v>INTERNATIONAL SCHOOL OF TUCSON</v>
          </cell>
          <cell r="O539" t="str">
            <v>1701 EAST SENECA STREET</v>
          </cell>
          <cell r="P539" t="str">
            <v>palma@istucson.org</v>
          </cell>
          <cell r="Q539" t="str">
            <v>CDC-16147</v>
          </cell>
          <cell r="AJ539" t="e">
            <v>#N/A</v>
          </cell>
          <cell r="AK539" t="str">
            <v>CDC-16147</v>
          </cell>
          <cell r="AL539" t="str">
            <v>CDC16147</v>
          </cell>
        </row>
        <row r="540">
          <cell r="N540" t="str">
            <v>J C'S LEARNING CENTER PRESCHOOL &amp; DAYCARE, L.L.C.</v>
          </cell>
          <cell r="O540" t="str">
            <v>9310 WEST TAYLOR STREET</v>
          </cell>
          <cell r="P540" t="str">
            <v>jclearningcenter01@gmail.com</v>
          </cell>
          <cell r="Q540" t="str">
            <v>CDC-16712</v>
          </cell>
          <cell r="AJ540" t="e">
            <v>#N/A</v>
          </cell>
          <cell r="AK540" t="str">
            <v>CDC-16712</v>
          </cell>
          <cell r="AL540" t="str">
            <v>CDC16712</v>
          </cell>
        </row>
        <row r="541">
          <cell r="N541" t="str">
            <v>JACINTO PARK HEAD START</v>
          </cell>
          <cell r="O541" t="str">
            <v>701 WEST TIPTON</v>
          </cell>
          <cell r="P541" t="str">
            <v>jacintopark@childparentcenters.org</v>
          </cell>
          <cell r="Q541" t="str">
            <v>CDC-4222</v>
          </cell>
          <cell r="AJ541">
            <v>7933</v>
          </cell>
          <cell r="AK541" t="str">
            <v>CDC-4222</v>
          </cell>
          <cell r="AL541" t="str">
            <v>CDC4222</v>
          </cell>
        </row>
        <row r="542">
          <cell r="N542" t="str">
            <v>JARDIN ANGELICAL</v>
          </cell>
          <cell r="O542" t="str">
            <v>4240 WEST DAISY ST</v>
          </cell>
          <cell r="P542" t="str">
            <v>jardinangelical@gmail.com</v>
          </cell>
          <cell r="Q542" t="str">
            <v>CDC-14047</v>
          </cell>
          <cell r="AJ542">
            <v>90465</v>
          </cell>
          <cell r="AK542" t="str">
            <v>CDC-14047</v>
          </cell>
          <cell r="AL542" t="str">
            <v>CDC14047</v>
          </cell>
        </row>
        <row r="543">
          <cell r="N543" t="str">
            <v>JARDIN DE NINOS CHILDCARE INC</v>
          </cell>
          <cell r="O543" t="str">
            <v>1001 N WILMOT ROAD</v>
          </cell>
          <cell r="P543" t="str">
            <v>Jardinchildcarecenter@yahoo.com</v>
          </cell>
          <cell r="Q543" t="str">
            <v>CDC-15659</v>
          </cell>
          <cell r="AJ543">
            <v>91121</v>
          </cell>
          <cell r="AK543" t="str">
            <v>CDC-15659</v>
          </cell>
          <cell r="AL543" t="str">
            <v>CDC15659</v>
          </cell>
        </row>
        <row r="544">
          <cell r="N544" t="str">
            <v>JOURNEY SCHOOL OF PEORIA, LLC</v>
          </cell>
          <cell r="O544" t="str">
            <v>13111 NORTH 94TH DRIVE</v>
          </cell>
          <cell r="P544" t="str">
            <v>Bridget@journeyschool.com</v>
          </cell>
          <cell r="Q544" t="str">
            <v>CDC-18757</v>
          </cell>
          <cell r="AJ544" t="e">
            <v>#N/A</v>
          </cell>
          <cell r="AK544" t="str">
            <v>CDC-18757</v>
          </cell>
          <cell r="AL544" t="str">
            <v>CDC18757</v>
          </cell>
        </row>
        <row r="545">
          <cell r="N545" t="str">
            <v>JOYFUL BEGINNINGS ACADEMY</v>
          </cell>
          <cell r="O545" t="str">
            <v>9325 SOUTH RURAL ROAD</v>
          </cell>
          <cell r="P545" t="str">
            <v>mpickering@azcc.org</v>
          </cell>
          <cell r="Q545" t="str">
            <v>CDC-11829</v>
          </cell>
          <cell r="AJ545" t="e">
            <v>#N/A</v>
          </cell>
          <cell r="AK545" t="str">
            <v>CDC-11829</v>
          </cell>
          <cell r="AL545" t="str">
            <v>CDC11829</v>
          </cell>
        </row>
        <row r="546">
          <cell r="N546" t="str">
            <v>JUMPSTART CHILDCARE &amp; LEARNING CENTER</v>
          </cell>
          <cell r="O546" t="str">
            <v>12482 WEST GREENWAY ROAD</v>
          </cell>
          <cell r="P546" t="str">
            <v>info@jumpstartchildcare.com</v>
          </cell>
          <cell r="Q546" t="str">
            <v>CDC-12778</v>
          </cell>
          <cell r="AJ546">
            <v>89388</v>
          </cell>
          <cell r="AK546" t="str">
            <v>CDC-12778</v>
          </cell>
          <cell r="AL546" t="str">
            <v>CDC12778</v>
          </cell>
        </row>
        <row r="547">
          <cell r="N547" t="str">
            <v>JUST 4 US TODDLER CENTER</v>
          </cell>
          <cell r="O547" t="str">
            <v>220 WEST FLORENCE BLVD</v>
          </cell>
          <cell r="P547" t="str">
            <v>pbitty@live.com</v>
          </cell>
          <cell r="Q547" t="str">
            <v>CDC-16561</v>
          </cell>
          <cell r="AJ547" t="e">
            <v>#N/A</v>
          </cell>
          <cell r="AK547" t="str">
            <v>CDC-16561</v>
          </cell>
          <cell r="AL547" t="str">
            <v>CDC16561</v>
          </cell>
        </row>
        <row r="548">
          <cell r="N548" t="str">
            <v>JUST LIKE HOME DAY CARE &amp; PRESCHOOL</v>
          </cell>
          <cell r="O548" t="str">
            <v>4940 EAST MCDOWELL ROAD</v>
          </cell>
          <cell r="P548" t="str">
            <v>jlh4940@gmail.com</v>
          </cell>
          <cell r="Q548" t="str">
            <v>CDC-3054</v>
          </cell>
          <cell r="AJ548" t="e">
            <v>#N/A</v>
          </cell>
          <cell r="AK548" t="str">
            <v>CDC-3054</v>
          </cell>
          <cell r="AL548" t="str">
            <v>CDC3054</v>
          </cell>
        </row>
        <row r="549">
          <cell r="N549" t="str">
            <v>JUST LIKE HOME TOO DAYCARE &amp; PRESCHOOL</v>
          </cell>
          <cell r="O549" t="str">
            <v>1456 EAST BROADWAY ROAD</v>
          </cell>
          <cell r="P549" t="str">
            <v>justlikehometwo@gmail.com</v>
          </cell>
          <cell r="Q549" t="str">
            <v>CDC-4324</v>
          </cell>
          <cell r="AJ549" t="e">
            <v>#N/A</v>
          </cell>
          <cell r="AK549" t="str">
            <v>CDC-4324</v>
          </cell>
          <cell r="AL549" t="str">
            <v>CDC4324</v>
          </cell>
        </row>
        <row r="550">
          <cell r="N550" t="str">
            <v>K.C.E. CHAMPIONS L.L.C. @ CHOLLA ELEMENTARY</v>
          </cell>
          <cell r="O550" t="str">
            <v>1180 EAST KORTSEN ROAD</v>
          </cell>
          <cell r="P550" t="str">
            <v>kemurray@discoverchampions.com</v>
          </cell>
          <cell r="Q550" t="str">
            <v>CDC-18611</v>
          </cell>
          <cell r="AJ550" t="e">
            <v>#N/A</v>
          </cell>
          <cell r="AK550" t="str">
            <v>CDC-18611</v>
          </cell>
          <cell r="AL550" t="str">
            <v>CDC18611</v>
          </cell>
        </row>
        <row r="551">
          <cell r="N551" t="str">
            <v>K.C.E. CHAMPIONS L.L.C. @ COTTONWOOD ELEMENTARY</v>
          </cell>
          <cell r="O551" t="str">
            <v>1667 NORTH KADOTA AVENUE</v>
          </cell>
          <cell r="P551" t="str">
            <v>kemurray@discoverchampions.com</v>
          </cell>
          <cell r="Q551" t="str">
            <v>CDC-18608</v>
          </cell>
          <cell r="AJ551" t="e">
            <v>#N/A</v>
          </cell>
          <cell r="AK551" t="str">
            <v>CDC-18608</v>
          </cell>
          <cell r="AL551" t="str">
            <v>CDC18608</v>
          </cell>
        </row>
        <row r="552">
          <cell r="N552" t="str">
            <v>K.C.E. CHAMPIONS L.L.C. @ DESERT WILLOW ELEMENTARY</v>
          </cell>
          <cell r="O552" t="str">
            <v>2172 NORTH ARIZOLA ROAD</v>
          </cell>
          <cell r="P552" t="str">
            <v>kemurray@discoverchampions.com</v>
          </cell>
          <cell r="Q552" t="str">
            <v>CDC-18609</v>
          </cell>
          <cell r="AJ552" t="e">
            <v>#N/A</v>
          </cell>
          <cell r="AK552" t="str">
            <v>CDC-18609</v>
          </cell>
          <cell r="AL552" t="str">
            <v>CDC18609</v>
          </cell>
        </row>
        <row r="553">
          <cell r="N553" t="str">
            <v>K.C.E. CHAMPIONS L.L.C. @ EVERGREEN ELEMENTARY</v>
          </cell>
          <cell r="O553" t="str">
            <v>1000 NORTH AMARILLO STREET</v>
          </cell>
          <cell r="P553" t="str">
            <v>kemurray@discoverchampions.com</v>
          </cell>
          <cell r="Q553" t="str">
            <v>CDC-18610</v>
          </cell>
          <cell r="AJ553" t="e">
            <v>#N/A</v>
          </cell>
          <cell r="AK553" t="str">
            <v>CDC-18610</v>
          </cell>
          <cell r="AL553" t="str">
            <v>CDC18610</v>
          </cell>
        </row>
        <row r="554">
          <cell r="N554" t="str">
            <v>K.C.E. CHAMPIONS L.L.C. @ MESQUITE ELEMENTARY</v>
          </cell>
          <cell r="O554" t="str">
            <v>129 NORTH ARIZOLA ROAD</v>
          </cell>
          <cell r="P554" t="str">
            <v>kemurray@discoverchampions.com</v>
          </cell>
          <cell r="Q554" t="str">
            <v>CDC-18607</v>
          </cell>
          <cell r="AJ554" t="e">
            <v>#N/A</v>
          </cell>
          <cell r="AK554" t="str">
            <v>CDC-18607</v>
          </cell>
          <cell r="AL554" t="str">
            <v>CDC18607</v>
          </cell>
        </row>
        <row r="555">
          <cell r="N555" t="str">
            <v>K.C.E. CHAMPIONS L.L.C. @ PALO VERDE ELEMENTARY</v>
          </cell>
          <cell r="O555" t="str">
            <v>40 NORTH ROOSEVELT AVENUE</v>
          </cell>
          <cell r="P555" t="str">
            <v>kemurray@discoverchampions.com</v>
          </cell>
          <cell r="Q555" t="str">
            <v>CDC-18612</v>
          </cell>
          <cell r="AJ555" t="e">
            <v>#N/A</v>
          </cell>
          <cell r="AK555" t="str">
            <v>CDC-18612</v>
          </cell>
          <cell r="AL555" t="str">
            <v>CDC18612</v>
          </cell>
        </row>
        <row r="556">
          <cell r="N556" t="str">
            <v>K.C.E. CHAMPIONS L.L.C. @ S.S.A. STELLA RD.</v>
          </cell>
          <cell r="O556" t="str">
            <v>7450 EAST STELLA ROAD</v>
          </cell>
          <cell r="P556" t="str">
            <v>nicjohnson@discoverchampions.com</v>
          </cell>
          <cell r="Q556" t="str">
            <v>CDC-18279</v>
          </cell>
          <cell r="AJ556" t="e">
            <v>#N/A</v>
          </cell>
          <cell r="AK556" t="str">
            <v>CDC-18279</v>
          </cell>
          <cell r="AL556" t="str">
            <v>CDC18279</v>
          </cell>
        </row>
        <row r="557">
          <cell r="N557" t="str">
            <v>K.C.E. CHAMPIONS L.L.C. @ SAGUARO ELEMENTARY</v>
          </cell>
          <cell r="O557" t="str">
            <v>260 WEST MCMURRAY AVENUE</v>
          </cell>
          <cell r="P557" t="str">
            <v>kemurray@discoverchampions.com</v>
          </cell>
          <cell r="Q557" t="str">
            <v>CDC-18550</v>
          </cell>
          <cell r="AJ557" t="e">
            <v>#N/A</v>
          </cell>
          <cell r="AK557" t="str">
            <v>CDC-18550</v>
          </cell>
          <cell r="AL557" t="str">
            <v>CDC18550</v>
          </cell>
        </row>
        <row r="558">
          <cell r="N558" t="str">
            <v>K.C.E. CHAMPIONS L.L.C. @ SIERRA VISTA</v>
          </cell>
          <cell r="O558" t="str">
            <v>1000 EAST WILCOX DRIVE</v>
          </cell>
          <cell r="P558" t="str">
            <v>nicjohnson@discoverchampions.com</v>
          </cell>
          <cell r="Q558" t="str">
            <v>CDC-18293</v>
          </cell>
          <cell r="AJ558" t="e">
            <v>#N/A</v>
          </cell>
          <cell r="AK558" t="str">
            <v>CDC-18293</v>
          </cell>
          <cell r="AL558" t="str">
            <v>CDC18293</v>
          </cell>
        </row>
        <row r="559">
          <cell r="N559" t="str">
            <v>KAIBAB EARLY LEARNING CENTER</v>
          </cell>
          <cell r="O559" t="str">
            <v>2230 NORTH PIPESPRINGS ROAD #122</v>
          </cell>
          <cell r="P559" t="str">
            <v>tjohn333@gmail.com</v>
          </cell>
          <cell r="Q559" t="str">
            <v>CDC-15687</v>
          </cell>
          <cell r="AJ559" t="e">
            <v>#N/A</v>
          </cell>
          <cell r="AK559" t="str">
            <v>CDC-15687</v>
          </cell>
          <cell r="AL559" t="str">
            <v>CDC15687</v>
          </cell>
        </row>
        <row r="560">
          <cell r="N560" t="str">
            <v>KAIBAB LEARNING CENTER, INC.</v>
          </cell>
          <cell r="O560" t="str">
            <v>1 MOHAVE STREET</v>
          </cell>
          <cell r="P560" t="str">
            <v>klccanyonkids@gmail.com</v>
          </cell>
          <cell r="Q560" t="str">
            <v>CDC-9665</v>
          </cell>
          <cell r="AJ560" t="e">
            <v>#N/A</v>
          </cell>
          <cell r="AK560" t="str">
            <v>CDC-9665</v>
          </cell>
          <cell r="AL560" t="str">
            <v>CDC9665</v>
          </cell>
        </row>
        <row r="561">
          <cell r="N561" t="str">
            <v>KALEIDOSCOPE PRESCHOOL</v>
          </cell>
          <cell r="O561" t="str">
            <v>3434 WEST GREENWAY ROAD STE 117</v>
          </cell>
          <cell r="P561" t="str">
            <v>robin@kaleidoscopepreschool.com</v>
          </cell>
          <cell r="Q561" t="str">
            <v>CDC-18448</v>
          </cell>
          <cell r="AJ561" t="e">
            <v>#N/A</v>
          </cell>
          <cell r="AK561" t="str">
            <v>CDC-18448</v>
          </cell>
          <cell r="AL561" t="str">
            <v>CDC18448</v>
          </cell>
        </row>
        <row r="562">
          <cell r="N562" t="str">
            <v>KARE BEAR CHILD CARE CENTER</v>
          </cell>
          <cell r="O562" t="str">
            <v>68 NORTH 12TH STREET</v>
          </cell>
          <cell r="P562" t="str">
            <v>kbell039@yahoo.com</v>
          </cell>
          <cell r="Q562" t="str">
            <v>CDC-13903</v>
          </cell>
          <cell r="AJ562" t="e">
            <v>#N/A</v>
          </cell>
          <cell r="AK562" t="str">
            <v>CDC-13903</v>
          </cell>
          <cell r="AL562" t="str">
            <v>CDC13903</v>
          </cell>
        </row>
        <row r="563">
          <cell r="N563" t="str">
            <v>KAROUSEL KIDS CHILDCARE</v>
          </cell>
          <cell r="O563" t="str">
            <v>7831 NORTH 51ST AVENUE</v>
          </cell>
          <cell r="P563" t="str">
            <v>karouselkids@gmail.com</v>
          </cell>
          <cell r="Q563" t="str">
            <v>CDC-8462</v>
          </cell>
          <cell r="AJ563">
            <v>80724</v>
          </cell>
          <cell r="AK563" t="str">
            <v>CDC-8462</v>
          </cell>
          <cell r="AL563" t="str">
            <v>CDC8462</v>
          </cell>
        </row>
        <row r="564">
          <cell r="N564" t="str">
            <v>KATY'S KIDS AT NEIGHBORHOOD MINISTRIES</v>
          </cell>
          <cell r="O564" t="str">
            <v>1918 WEST VAN BUREN STREET</v>
          </cell>
          <cell r="P564" t="str">
            <v>preschool@nmaz.org</v>
          </cell>
          <cell r="Q564" t="str">
            <v>CDC-17979</v>
          </cell>
          <cell r="AJ564" t="e">
            <v>#N/A</v>
          </cell>
          <cell r="AK564" t="str">
            <v>CDC-17979</v>
          </cell>
          <cell r="AL564" t="str">
            <v>CDC17979</v>
          </cell>
        </row>
        <row r="565">
          <cell r="N565" t="str">
            <v>KATYS KIDS PRESCHOOL AT NEIGHBORHOOD MINISTRIES</v>
          </cell>
          <cell r="O565" t="str">
            <v>1929 WEST FILLMORE STREET</v>
          </cell>
          <cell r="P565" t="str">
            <v>jeremy.wood@nmaz.net</v>
          </cell>
          <cell r="Q565" t="str">
            <v>CDC-15581</v>
          </cell>
          <cell r="AJ565" t="e">
            <v>#N/A</v>
          </cell>
          <cell r="AK565" t="str">
            <v>CDC-15581</v>
          </cell>
          <cell r="AL565" t="str">
            <v>CDC15581</v>
          </cell>
        </row>
        <row r="566">
          <cell r="N566" t="str">
            <v>KCE CHAMPIONS L.L.C. - IMAGINE WEST GILBERT</v>
          </cell>
          <cell r="O566" t="str">
            <v>2061 SOUTH GILBERT ROAD</v>
          </cell>
          <cell r="P566" t="str">
            <v>ch001354@klcorp.com</v>
          </cell>
          <cell r="Q566" t="str">
            <v>CDC-18298</v>
          </cell>
          <cell r="AJ566" t="e">
            <v>#N/A</v>
          </cell>
          <cell r="AK566" t="str">
            <v>CDC-18298</v>
          </cell>
          <cell r="AL566" t="str">
            <v>CDC18298</v>
          </cell>
        </row>
        <row r="567">
          <cell r="N567" t="str">
            <v>KCE CHAMPIONS L.L.C. - LEMAN ACADEMY MESA</v>
          </cell>
          <cell r="O567" t="str">
            <v>3761 SOUTH POWER ROAD</v>
          </cell>
          <cell r="P567" t="str">
            <v>choo1359@discoverchampions.com</v>
          </cell>
          <cell r="Q567" t="str">
            <v>CDC-18303</v>
          </cell>
          <cell r="AJ567" t="e">
            <v>#N/A</v>
          </cell>
          <cell r="AK567" t="str">
            <v>CDC-18303</v>
          </cell>
          <cell r="AL567" t="str">
            <v>CDC18303</v>
          </cell>
        </row>
        <row r="568">
          <cell r="N568" t="str">
            <v>KCE CHAMPIONS LLC AT LEADING EDGE ACADEMY MARICOPA</v>
          </cell>
          <cell r="O568" t="str">
            <v>18700 NORTH PORTER ROAD</v>
          </cell>
          <cell r="P568" t="str">
            <v>ch001644@discoverchampions.com</v>
          </cell>
          <cell r="Q568" t="str">
            <v>CDC-18834</v>
          </cell>
          <cell r="AJ568" t="e">
            <v>#N/A</v>
          </cell>
          <cell r="AK568" t="str">
            <v>CDC-18834</v>
          </cell>
          <cell r="AL568" t="str">
            <v>CDC18834</v>
          </cell>
        </row>
        <row r="569">
          <cell r="N569" t="str">
            <v>KCE CHAMPIONS LLC AT SHEELY FARMS ELEMENTARY</v>
          </cell>
          <cell r="O569" t="str">
            <v>9450 WEST ENCANTO STREET</v>
          </cell>
          <cell r="P569" t="str">
            <v>kceducation@microsoft.com</v>
          </cell>
          <cell r="Q569" t="str">
            <v>CDC-18572</v>
          </cell>
          <cell r="AJ569" t="e">
            <v>#N/A</v>
          </cell>
          <cell r="AK569" t="str">
            <v>CDC-18572</v>
          </cell>
          <cell r="AL569" t="str">
            <v>CDC18572</v>
          </cell>
        </row>
        <row r="570">
          <cell r="N570" t="str">
            <v>KCE CHAMPIONS LLC AT SUN CANYON ELEMENTARY</v>
          </cell>
          <cell r="O570" t="str">
            <v>8150 WEST DURANGO STREET</v>
          </cell>
          <cell r="P570" t="str">
            <v>nicjohnson@discoverchampions.com</v>
          </cell>
          <cell r="Q570" t="str">
            <v>CDC-18703</v>
          </cell>
          <cell r="AJ570" t="e">
            <v>#N/A</v>
          </cell>
          <cell r="AK570" t="str">
            <v>CDC-18703</v>
          </cell>
          <cell r="AL570" t="str">
            <v>CDC18703</v>
          </cell>
        </row>
        <row r="571">
          <cell r="N571" t="str">
            <v>KCE CHAMPIONS, L.L.C.</v>
          </cell>
          <cell r="O571" t="str">
            <v>17667 NORTH 91ST AVENUE</v>
          </cell>
          <cell r="P571" t="str">
            <v>CH001772@klcorp.com</v>
          </cell>
          <cell r="Q571" t="str">
            <v>CDC-17688</v>
          </cell>
          <cell r="AJ571" t="e">
            <v>#N/A</v>
          </cell>
          <cell r="AK571" t="str">
            <v>CDC-17688</v>
          </cell>
          <cell r="AL571" t="str">
            <v>CDC17688</v>
          </cell>
        </row>
        <row r="572">
          <cell r="N572" t="str">
            <v>KCE CHAMPIONS, L.L.C. AT BELL CANYON</v>
          </cell>
          <cell r="O572" t="str">
            <v>18052 NORTH BLACK CANYON HIGHWAY</v>
          </cell>
          <cell r="P572" t="str">
            <v>ncjohnson@klcorp.com</v>
          </cell>
          <cell r="Q572" t="str">
            <v>CDC-17653</v>
          </cell>
          <cell r="AJ572" t="e">
            <v>#N/A</v>
          </cell>
          <cell r="AK572" t="str">
            <v>CDC-17653</v>
          </cell>
          <cell r="AL572" t="str">
            <v>CDC17653</v>
          </cell>
        </row>
        <row r="573">
          <cell r="N573" t="str">
            <v>KEELING HEAD START</v>
          </cell>
          <cell r="O573" t="str">
            <v>435 EAST GLENN STREET</v>
          </cell>
          <cell r="P573" t="str">
            <v>keeling@childparentcenters.org</v>
          </cell>
          <cell r="Q573" t="str">
            <v>CDC-6850</v>
          </cell>
          <cell r="AJ573" t="e">
            <v>#N/A</v>
          </cell>
          <cell r="AK573" t="str">
            <v>CDC-6850</v>
          </cell>
          <cell r="AL573" t="str">
            <v>CDC6850</v>
          </cell>
        </row>
        <row r="574">
          <cell r="N574" t="str">
            <v>KEYSTONE MONTESSORI CHARTER SCHOOL</v>
          </cell>
          <cell r="O574" t="str">
            <v>1025 EAST LIBERTY LANE</v>
          </cell>
          <cell r="P574" t="str">
            <v>stefan@keystonemontessori.com</v>
          </cell>
          <cell r="Q574" t="str">
            <v>CDC-8866</v>
          </cell>
          <cell r="AJ574" t="e">
            <v>#N/A</v>
          </cell>
          <cell r="AK574" t="str">
            <v>CDC-8866</v>
          </cell>
          <cell r="AL574" t="str">
            <v>CDC8866</v>
          </cell>
        </row>
        <row r="575">
          <cell r="N575" t="str">
            <v>KHALSA CAMDEN</v>
          </cell>
          <cell r="O575" t="str">
            <v>3244 EAST CAMDEN STREET</v>
          </cell>
          <cell r="P575" t="str">
            <v>camdenoffice@khalsoschools.org</v>
          </cell>
          <cell r="Q575" t="str">
            <v>CDC-17992</v>
          </cell>
          <cell r="AJ575" t="e">
            <v>#N/A</v>
          </cell>
          <cell r="AK575" t="str">
            <v>CDC-17992</v>
          </cell>
          <cell r="AL575" t="str">
            <v>CDC17992</v>
          </cell>
        </row>
        <row r="576">
          <cell r="N576" t="str">
            <v>KHALSA MONTESSORI</v>
          </cell>
          <cell r="O576" t="str">
            <v>2536 NORTH 3RD STREET</v>
          </cell>
          <cell r="P576" t="str">
            <v>keerat@khalsamontessori.org</v>
          </cell>
          <cell r="Q576" t="str">
            <v>CDC-9157</v>
          </cell>
          <cell r="AJ576" t="e">
            <v>#N/A</v>
          </cell>
          <cell r="AK576" t="str">
            <v>CDC-9157</v>
          </cell>
          <cell r="AL576" t="str">
            <v>CDC9157</v>
          </cell>
        </row>
        <row r="577">
          <cell r="N577" t="str">
            <v>KHALSA MONTESSORI PRIMARY SCHOOL INC.</v>
          </cell>
          <cell r="O577" t="str">
            <v>346 EAST CORONADO ROAD</v>
          </cell>
          <cell r="P577" t="str">
            <v>khalsaprimary@khalsamontessori.org</v>
          </cell>
          <cell r="Q577" t="str">
            <v>CDC-15287</v>
          </cell>
          <cell r="AJ577" t="e">
            <v>#N/A</v>
          </cell>
          <cell r="AK577" t="str">
            <v>CDC-15287</v>
          </cell>
          <cell r="AL577" t="str">
            <v>CDC15287</v>
          </cell>
        </row>
        <row r="578">
          <cell r="N578" t="str">
            <v>KHALSA MONTESSORI SCHOOL</v>
          </cell>
          <cell r="O578" t="str">
            <v>3701 EAST RIVER ROAD</v>
          </cell>
          <cell r="P578" t="str">
            <v>khalsariver@gmail.com</v>
          </cell>
          <cell r="Q578" t="str">
            <v>CDC-9814</v>
          </cell>
          <cell r="AJ578" t="e">
            <v>#N/A</v>
          </cell>
          <cell r="AK578" t="str">
            <v>CDC-9814</v>
          </cell>
          <cell r="AL578" t="str">
            <v>CDC9814</v>
          </cell>
        </row>
        <row r="579">
          <cell r="N579" t="str">
            <v>KHALSA MONTESSORI TODDLER SCHOOL</v>
          </cell>
          <cell r="O579" t="str">
            <v>303 EAST PALM LANE</v>
          </cell>
          <cell r="P579" t="str">
            <v>karenrpax@khalsamontessori.org</v>
          </cell>
          <cell r="Q579" t="str">
            <v>CDC-18693</v>
          </cell>
          <cell r="AJ579" t="e">
            <v>#N/A</v>
          </cell>
          <cell r="AK579" t="str">
            <v>CDC-18693</v>
          </cell>
          <cell r="AL579" t="str">
            <v>CDC18693</v>
          </cell>
        </row>
        <row r="580">
          <cell r="N580" t="str">
            <v>KID ZONE - BROADMOR SCHOOL</v>
          </cell>
          <cell r="O580" t="str">
            <v>311 EAST AEPLI DRIVE</v>
          </cell>
          <cell r="P580" t="str">
            <v>jill_rasmusson@tempe.gov</v>
          </cell>
          <cell r="Q580" t="str">
            <v>CDC-1644</v>
          </cell>
          <cell r="AJ580" t="e">
            <v>#N/A</v>
          </cell>
          <cell r="AK580" t="str">
            <v>CDC-1644</v>
          </cell>
          <cell r="AL580" t="str">
            <v>CDC1644</v>
          </cell>
        </row>
        <row r="581">
          <cell r="N581" t="str">
            <v>KID ZONE - CARMINATI</v>
          </cell>
          <cell r="O581" t="str">
            <v>4001 SOUTH MCALLISTER ROAD</v>
          </cell>
          <cell r="P581" t="str">
            <v>jill_rasmussen@tempe.gov</v>
          </cell>
          <cell r="Q581" t="str">
            <v>CDC-1675</v>
          </cell>
          <cell r="AJ581" t="e">
            <v>#N/A</v>
          </cell>
          <cell r="AK581" t="str">
            <v>CDC-1675</v>
          </cell>
          <cell r="AL581" t="str">
            <v>CDC1675</v>
          </cell>
        </row>
        <row r="582">
          <cell r="N582" t="str">
            <v>KID ZONE - CURRY SCHOOL</v>
          </cell>
          <cell r="O582" t="str">
            <v>1974 EAST MEADOW DRIVE</v>
          </cell>
          <cell r="P582" t="str">
            <v>colleen_hall@tempe.gov</v>
          </cell>
          <cell r="Q582" t="str">
            <v>CDC-1674</v>
          </cell>
          <cell r="AJ582" t="e">
            <v>#N/A</v>
          </cell>
          <cell r="AK582" t="str">
            <v>CDC-1674</v>
          </cell>
          <cell r="AL582" t="str">
            <v>CDC1674</v>
          </cell>
        </row>
        <row r="583">
          <cell r="N583" t="str">
            <v>KID ZONE - FULLER SCHOOL</v>
          </cell>
          <cell r="O583" t="str">
            <v>1975 EAST CORNELL DRIVE</v>
          </cell>
          <cell r="P583" t="str">
            <v>jillrasmussen@tempe.gov</v>
          </cell>
          <cell r="Q583" t="str">
            <v>CDC-1672</v>
          </cell>
          <cell r="AJ583" t="e">
            <v>#N/A</v>
          </cell>
          <cell r="AK583" t="str">
            <v>CDC-1672</v>
          </cell>
          <cell r="AL583" t="str">
            <v>CDC1672</v>
          </cell>
        </row>
        <row r="584">
          <cell r="N584" t="str">
            <v>KID ZONE - GETZ</v>
          </cell>
          <cell r="O584" t="str">
            <v>625 WEST CORNELL DRIVE</v>
          </cell>
          <cell r="P584" t="str">
            <v>Christina_Rozner@tempe.gov</v>
          </cell>
          <cell r="Q584" t="str">
            <v>CDC-14987</v>
          </cell>
          <cell r="AJ584" t="e">
            <v>#N/A</v>
          </cell>
          <cell r="AK584" t="str">
            <v>CDC-14987</v>
          </cell>
          <cell r="AL584" t="str">
            <v>CDC14987</v>
          </cell>
        </row>
        <row r="585">
          <cell r="N585" t="str">
            <v>KID ZONE - HOLDEMAN SCHOOL</v>
          </cell>
          <cell r="O585" t="str">
            <v>1326 WEST 18TH STREET</v>
          </cell>
          <cell r="P585" t="str">
            <v>Christina_Rozner@tempe.gov</v>
          </cell>
          <cell r="Q585" t="str">
            <v>CDC-1744</v>
          </cell>
          <cell r="AJ585" t="e">
            <v>#N/A</v>
          </cell>
          <cell r="AK585" t="str">
            <v>CDC-1744</v>
          </cell>
          <cell r="AL585" t="str">
            <v>CDC1744</v>
          </cell>
        </row>
        <row r="586">
          <cell r="N586" t="str">
            <v>KID ZONE - HUDSON SCHOOL</v>
          </cell>
          <cell r="O586" t="str">
            <v>1325 EAST MALIBU DRIVE</v>
          </cell>
          <cell r="P586" t="str">
            <v>jill_rasmussen@tempe.org</v>
          </cell>
          <cell r="Q586" t="str">
            <v>CDC-1661</v>
          </cell>
          <cell r="AJ586" t="e">
            <v>#N/A</v>
          </cell>
          <cell r="AK586" t="str">
            <v>CDC-1661</v>
          </cell>
          <cell r="AL586" t="str">
            <v>CDC1661</v>
          </cell>
        </row>
        <row r="587">
          <cell r="N587" t="str">
            <v>KID ZONE - MEYER SCHOOL</v>
          </cell>
          <cell r="O587" t="str">
            <v>2615 SOUTH DORSEY LANE</v>
          </cell>
          <cell r="P587" t="str">
            <v>jill_rasmussen@tempe.gov</v>
          </cell>
          <cell r="Q587" t="str">
            <v>CDC-18005</v>
          </cell>
          <cell r="AJ587" t="e">
            <v>#N/A</v>
          </cell>
          <cell r="AK587" t="str">
            <v>CDC-18005</v>
          </cell>
          <cell r="AL587" t="str">
            <v>CDC18005</v>
          </cell>
        </row>
        <row r="588">
          <cell r="N588" t="str">
            <v>KID ZONE - SCALES TECHNOLOGY ACADEMY</v>
          </cell>
          <cell r="O588" t="str">
            <v>1115 WEST 5TH STREET</v>
          </cell>
          <cell r="P588" t="str">
            <v>jill_rasmussen@tempe.gov</v>
          </cell>
          <cell r="Q588" t="str">
            <v>CDC-14585</v>
          </cell>
          <cell r="AJ588" t="e">
            <v>#N/A</v>
          </cell>
          <cell r="AK588" t="str">
            <v>CDC-14585</v>
          </cell>
          <cell r="AL588" t="str">
            <v>CDC14585</v>
          </cell>
        </row>
        <row r="589">
          <cell r="N589" t="str">
            <v>KID ZONE - WARD SCHOOL</v>
          </cell>
          <cell r="O589" t="str">
            <v>1965 EAST HERMOSA DRIVE</v>
          </cell>
          <cell r="P589" t="str">
            <v>jill.rasmussen@tempe.gov</v>
          </cell>
          <cell r="Q589" t="str">
            <v>CDC-12246</v>
          </cell>
          <cell r="AJ589" t="e">
            <v>#N/A</v>
          </cell>
          <cell r="AK589" t="str">
            <v>CDC-12246</v>
          </cell>
          <cell r="AL589" t="str">
            <v>CDC12246</v>
          </cell>
        </row>
        <row r="590">
          <cell r="N590" t="str">
            <v>KID ZONE - WOOD SCHOOL</v>
          </cell>
          <cell r="O590" t="str">
            <v>727 WEST CORNELL DRIVE</v>
          </cell>
          <cell r="P590" t="str">
            <v>jill_rasmussen@tempe.gov</v>
          </cell>
          <cell r="Q590" t="str">
            <v>CDC-1659</v>
          </cell>
          <cell r="AJ590" t="e">
            <v>#N/A</v>
          </cell>
          <cell r="AK590" t="str">
            <v>CDC-1659</v>
          </cell>
          <cell r="AL590" t="str">
            <v>CDC1659</v>
          </cell>
        </row>
        <row r="591">
          <cell r="N591" t="str">
            <v>KID' S COUNTRY CLUB</v>
          </cell>
          <cell r="O591" t="str">
            <v>2637 WEST ORANGEWOOD AVENUE</v>
          </cell>
          <cell r="P591" t="str">
            <v>kidscountryclubphoenix@gmail.com</v>
          </cell>
          <cell r="Q591" t="str">
            <v>CDC-9818</v>
          </cell>
          <cell r="AJ591">
            <v>80628</v>
          </cell>
          <cell r="AK591" t="str">
            <v>CDC-9818</v>
          </cell>
          <cell r="AL591" t="str">
            <v>CDC9818</v>
          </cell>
        </row>
        <row r="592">
          <cell r="N592" t="str">
            <v>KID'S CORNER PRESCHOOL</v>
          </cell>
          <cell r="O592" t="str">
            <v>1450 NORTH GILBERT ROAD</v>
          </cell>
          <cell r="P592" t="str">
            <v>suntykesaz@hotmail.com</v>
          </cell>
          <cell r="Q592" t="str">
            <v>CDC-11825</v>
          </cell>
          <cell r="AJ592" t="e">
            <v>#N/A</v>
          </cell>
          <cell r="AK592" t="str">
            <v>CDC-11825</v>
          </cell>
          <cell r="AL592" t="str">
            <v>CDC11825</v>
          </cell>
        </row>
        <row r="593">
          <cell r="N593" t="str">
            <v>KID'S CORNER PRESCHOOL &amp; CHILDCARE</v>
          </cell>
          <cell r="O593" t="str">
            <v>2051 WEST GUADALUPE ROAD #15</v>
          </cell>
          <cell r="P593" t="str">
            <v>kidscorneraz@hotmail.com</v>
          </cell>
          <cell r="Q593" t="str">
            <v>CDC-12800</v>
          </cell>
          <cell r="AJ593" t="e">
            <v>#N/A</v>
          </cell>
          <cell r="AK593" t="str">
            <v>CDC-12800</v>
          </cell>
          <cell r="AL593" t="str">
            <v>CDC12800</v>
          </cell>
        </row>
        <row r="594">
          <cell r="N594" t="str">
            <v>KIDDIE COUNTRY CLUB</v>
          </cell>
          <cell r="O594" t="str">
            <v>3645 WEST BETHANY HOME ROAD</v>
          </cell>
          <cell r="P594" t="str">
            <v>rlopez3337@hotmail.com</v>
          </cell>
          <cell r="Q594" t="str">
            <v>CDC-9817</v>
          </cell>
          <cell r="AJ594" t="e">
            <v>#N/A</v>
          </cell>
          <cell r="AK594" t="str">
            <v>CDC-9817</v>
          </cell>
          <cell r="AL594" t="str">
            <v>CDC9817</v>
          </cell>
        </row>
        <row r="595">
          <cell r="N595" t="str">
            <v>KIDDIE KAMPUS</v>
          </cell>
          <cell r="O595" t="str">
            <v>3201 NORTH HAYDEN ROAD</v>
          </cell>
          <cell r="P595" t="str">
            <v>parkside2000@aol.com</v>
          </cell>
          <cell r="Q595" t="str">
            <v>CDC-6027</v>
          </cell>
          <cell r="AJ595" t="e">
            <v>#N/A</v>
          </cell>
          <cell r="AK595" t="str">
            <v>CDC-6027</v>
          </cell>
          <cell r="AL595" t="str">
            <v>CDC6027</v>
          </cell>
        </row>
        <row r="596">
          <cell r="N596" t="str">
            <v>KIDDIE KARE #1</v>
          </cell>
          <cell r="O596" t="str">
            <v>4411 NORTH 7TH STREET</v>
          </cell>
          <cell r="P596" t="str">
            <v>kristinab0703@icloud.com</v>
          </cell>
          <cell r="Q596" t="str">
            <v>CDC-8135</v>
          </cell>
          <cell r="AJ596" t="e">
            <v>#N/A</v>
          </cell>
          <cell r="AK596" t="str">
            <v>CDC-8135</v>
          </cell>
          <cell r="AL596" t="str">
            <v>CDC8135</v>
          </cell>
        </row>
        <row r="597">
          <cell r="N597" t="str">
            <v>KIDDIE KARE #2</v>
          </cell>
          <cell r="O597" t="str">
            <v>5140 WEST CAMELBACK ROAD</v>
          </cell>
          <cell r="P597" t="str">
            <v>kiddiekareaz@cox.net</v>
          </cell>
          <cell r="Q597" t="str">
            <v>CDC-0786</v>
          </cell>
          <cell r="AJ597" t="e">
            <v>#N/A</v>
          </cell>
          <cell r="AK597" t="str">
            <v>CDC-0786</v>
          </cell>
          <cell r="AL597" t="str">
            <v>CDC0786</v>
          </cell>
        </row>
        <row r="598">
          <cell r="N598" t="str">
            <v>KIDDIE KARE #3</v>
          </cell>
          <cell r="O598" t="str">
            <v>6019 NORTH 23RD AVENUE</v>
          </cell>
          <cell r="P598" t="str">
            <v>kiddiekareaz@cox.net</v>
          </cell>
          <cell r="Q598" t="str">
            <v>CDC-0438</v>
          </cell>
          <cell r="AJ598" t="e">
            <v>#N/A</v>
          </cell>
          <cell r="AK598" t="str">
            <v>CDC-0438</v>
          </cell>
          <cell r="AL598" t="str">
            <v>CDC0438</v>
          </cell>
        </row>
        <row r="599">
          <cell r="N599" t="str">
            <v>KIDDIE KORNER PRESCHOOL</v>
          </cell>
          <cell r="O599" t="str">
            <v>242 WEST LESTER</v>
          </cell>
          <cell r="P599" t="str">
            <v>kiddiekornerpreskool@yahoo.com</v>
          </cell>
          <cell r="Q599" t="str">
            <v>CDC-9323</v>
          </cell>
          <cell r="AJ599">
            <v>9905</v>
          </cell>
          <cell r="AK599" t="str">
            <v>CDC-9323</v>
          </cell>
          <cell r="AL599" t="str">
            <v>CDC9323</v>
          </cell>
        </row>
        <row r="600">
          <cell r="N600" t="str">
            <v>KIDS ARIZONA</v>
          </cell>
          <cell r="O600" t="str">
            <v>2129 WEST INDIAN SCHOOL ROAD</v>
          </cell>
          <cell r="P600" t="str">
            <v>contact@kidzarizona.com</v>
          </cell>
          <cell r="Q600" t="str">
            <v>CDC-17899</v>
          </cell>
          <cell r="AJ600">
            <v>327735</v>
          </cell>
          <cell r="AK600" t="str">
            <v>CDC-17899</v>
          </cell>
          <cell r="AL600" t="str">
            <v>CDC17899</v>
          </cell>
        </row>
        <row r="601">
          <cell r="N601" t="str">
            <v>KIDS CAN DOODLE</v>
          </cell>
          <cell r="O601" t="str">
            <v>3552 WEST GLENDALE AVE.- #A</v>
          </cell>
          <cell r="P601" t="str">
            <v>kcd1glendale@gmail.com</v>
          </cell>
          <cell r="Q601" t="str">
            <v>CDC-7779</v>
          </cell>
          <cell r="AJ601">
            <v>80529</v>
          </cell>
          <cell r="AK601" t="str">
            <v>CDC-7779</v>
          </cell>
          <cell r="AL601" t="str">
            <v>CDC7779</v>
          </cell>
        </row>
        <row r="602">
          <cell r="N602" t="str">
            <v>KIDS CITY CHRISTIAN PRESCHOOL</v>
          </cell>
          <cell r="O602" t="str">
            <v>10801 NORTH LA CHOLLA BLVD</v>
          </cell>
          <cell r="P602" t="str">
            <v>cindyr@casaschurch.org</v>
          </cell>
          <cell r="Q602" t="str">
            <v>CDC-7236</v>
          </cell>
          <cell r="AJ602" t="e">
            <v>#N/A</v>
          </cell>
          <cell r="AK602" t="str">
            <v>CDC-7236</v>
          </cell>
          <cell r="AL602" t="str">
            <v>CDC7236</v>
          </cell>
        </row>
        <row r="603">
          <cell r="N603" t="str">
            <v>KIDS DAY CARE</v>
          </cell>
          <cell r="O603" t="str">
            <v>12450 NORTH 35TH AVENUE</v>
          </cell>
          <cell r="P603" t="str">
            <v>kids.daycare101@gmail.com</v>
          </cell>
          <cell r="Q603" t="str">
            <v>CDC-18323</v>
          </cell>
          <cell r="AJ603" t="e">
            <v>#N/A</v>
          </cell>
          <cell r="AK603" t="str">
            <v>CDC-18323</v>
          </cell>
          <cell r="AL603" t="str">
            <v>CDC18323</v>
          </cell>
        </row>
        <row r="604">
          <cell r="N604" t="str">
            <v>KIDS FIRST PRESCHOOL &amp; CHILDCARE</v>
          </cell>
          <cell r="O604" t="str">
            <v>5316 EAST PIMA STREET</v>
          </cell>
          <cell r="P604" t="str">
            <v>jjpaye@aol.com</v>
          </cell>
          <cell r="Q604" t="str">
            <v>CDC-10285</v>
          </cell>
          <cell r="AJ604">
            <v>80859</v>
          </cell>
          <cell r="AK604" t="str">
            <v>CDC-10285</v>
          </cell>
          <cell r="AL604" t="str">
            <v>CDC10285</v>
          </cell>
        </row>
        <row r="605">
          <cell r="N605" t="str">
            <v>KIDS FIRST PRESCHOOL &amp; CHILDCARE CENTER</v>
          </cell>
          <cell r="O605" t="str">
            <v>8185 EAST 22ND ST</v>
          </cell>
          <cell r="P605" t="str">
            <v>angietyford@yahoo.com</v>
          </cell>
          <cell r="Q605" t="str">
            <v>CDC-16750</v>
          </cell>
          <cell r="AJ605" t="e">
            <v>#N/A</v>
          </cell>
          <cell r="AK605" t="str">
            <v>CDC-16750</v>
          </cell>
          <cell r="AL605" t="str">
            <v>CDC16750</v>
          </cell>
        </row>
        <row r="606">
          <cell r="N606" t="str">
            <v>KIDS FOREVER PRINCE CENTER</v>
          </cell>
          <cell r="O606" t="str">
            <v>216 EAST PRINCE ROAD</v>
          </cell>
          <cell r="P606" t="str">
            <v>gymang24@hotmail.com</v>
          </cell>
          <cell r="Q606" t="str">
            <v>CDC-17758</v>
          </cell>
          <cell r="AJ606" t="e">
            <v>#N/A</v>
          </cell>
          <cell r="AK606" t="str">
            <v>CDC-17758</v>
          </cell>
          <cell r="AL606" t="str">
            <v>CDC17758</v>
          </cell>
        </row>
        <row r="607">
          <cell r="N607" t="str">
            <v>KIDS HAVEN CHILD CARE / PRESCHOOL</v>
          </cell>
          <cell r="O607" t="str">
            <v>848 SOUTH ALMA SCHOOL ROAD SUITE 1-3</v>
          </cell>
          <cell r="P607" t="str">
            <v>kids.haven848@gmail.com</v>
          </cell>
          <cell r="Q607" t="str">
            <v>CDC-17957</v>
          </cell>
          <cell r="AJ607" t="e">
            <v>#N/A</v>
          </cell>
          <cell r="AK607" t="str">
            <v>CDC-17957</v>
          </cell>
          <cell r="AL607" t="str">
            <v>CDC17957</v>
          </cell>
        </row>
        <row r="608">
          <cell r="N608" t="str">
            <v>KIDS INCORPORATED LEARNING CENTER</v>
          </cell>
          <cell r="O608" t="str">
            <v>2350 SOUTH GILBERT ROAD</v>
          </cell>
          <cell r="P608" t="str">
            <v>jessica@kidsincchildcare.com</v>
          </cell>
          <cell r="Q608" t="str">
            <v>CDC-15135</v>
          </cell>
          <cell r="AJ608" t="e">
            <v>#N/A</v>
          </cell>
          <cell r="AK608" t="str">
            <v>CDC-15135</v>
          </cell>
          <cell r="AL608" t="str">
            <v>CDC15135</v>
          </cell>
        </row>
        <row r="609">
          <cell r="N609" t="str">
            <v>KIDS INCORPORATED LEARNING CENTER PARADISE VILLAGE INC.</v>
          </cell>
          <cell r="O609" t="str">
            <v>4848 EAST CACTUS - SUITE 600</v>
          </cell>
          <cell r="P609" t="str">
            <v>courtney@kidsincchildcare.com</v>
          </cell>
          <cell r="Q609" t="str">
            <v>CDC-16218</v>
          </cell>
          <cell r="AJ609">
            <v>1001162</v>
          </cell>
          <cell r="AK609" t="str">
            <v>CDC-16218</v>
          </cell>
          <cell r="AL609" t="str">
            <v>CDC16218</v>
          </cell>
        </row>
        <row r="610">
          <cell r="N610" t="str">
            <v>KIDS KLUB INC</v>
          </cell>
          <cell r="O610" t="str">
            <v>1840 SOUTH ARIZONA BOULEVARD</v>
          </cell>
          <cell r="P610" t="str">
            <v>dculverphd@gmail.com</v>
          </cell>
          <cell r="Q610" t="str">
            <v>CDC-7017</v>
          </cell>
          <cell r="AJ610" t="e">
            <v>#N/A</v>
          </cell>
          <cell r="AK610" t="str">
            <v>CDC-7017</v>
          </cell>
          <cell r="AL610" t="str">
            <v>CDC7017</v>
          </cell>
        </row>
        <row r="611">
          <cell r="N611" t="str">
            <v>KIDS KOALA-T KAMPUS I I</v>
          </cell>
          <cell r="O611" t="str">
            <v>6025 NORTH 67TH AVENUE</v>
          </cell>
          <cell r="P611" t="str">
            <v>burnsk86@gmail.com</v>
          </cell>
          <cell r="Q611" t="str">
            <v>CDC-12197</v>
          </cell>
          <cell r="AJ611">
            <v>87901</v>
          </cell>
          <cell r="AK611" t="str">
            <v>CDC-12197</v>
          </cell>
          <cell r="AL611" t="str">
            <v>CDC12197</v>
          </cell>
        </row>
        <row r="612">
          <cell r="N612" t="str">
            <v>KIDS LEARNING CENTER OCOTILLO L.L.C.</v>
          </cell>
          <cell r="O612" t="str">
            <v>41060 NORTH IRONWOOD DRIVE</v>
          </cell>
          <cell r="P612" t="str">
            <v>trisha@kidsincchildcare.com</v>
          </cell>
          <cell r="Q612" t="str">
            <v>CDC-18401</v>
          </cell>
          <cell r="AJ612">
            <v>1000212</v>
          </cell>
          <cell r="AK612" t="str">
            <v>CDC-18401</v>
          </cell>
          <cell r="AL612" t="str">
            <v>CDC18401</v>
          </cell>
        </row>
        <row r="613">
          <cell r="N613" t="str">
            <v>KIDS LEARNING CENTERS ALGODON, L.L.C.</v>
          </cell>
          <cell r="O613" t="str">
            <v>9150 WEST THOMAS ROAD</v>
          </cell>
          <cell r="P613" t="str">
            <v>suzette@kidsincchildcare.com</v>
          </cell>
          <cell r="Q613" t="str">
            <v>CDC-17594</v>
          </cell>
          <cell r="AJ613">
            <v>761607</v>
          </cell>
          <cell r="AK613" t="str">
            <v>CDC-17594</v>
          </cell>
          <cell r="AL613" t="str">
            <v>CDC17594</v>
          </cell>
        </row>
        <row r="614">
          <cell r="N614" t="str">
            <v>KIDS PALACE PRESCHOOL/ DAYCARE</v>
          </cell>
          <cell r="O614" t="str">
            <v>5522 EAST GRANT ROAD</v>
          </cell>
          <cell r="P614" t="str">
            <v>kidspalacepreschool@yahoo.com</v>
          </cell>
          <cell r="Q614" t="str">
            <v>CDC-18054</v>
          </cell>
          <cell r="AJ614">
            <v>90497</v>
          </cell>
          <cell r="AK614" t="str">
            <v>CDC-18054</v>
          </cell>
          <cell r="AL614" t="str">
            <v>CDC18054</v>
          </cell>
        </row>
        <row r="615">
          <cell r="N615" t="str">
            <v>KIDS PLAY LEARNING CENTER #4</v>
          </cell>
          <cell r="O615" t="str">
            <v>460 EAST UNIVERSITY DRIVE</v>
          </cell>
          <cell r="P615" t="str">
            <v>kidsplayinc@msn.com</v>
          </cell>
          <cell r="Q615" t="str">
            <v>CDC-14239</v>
          </cell>
          <cell r="AJ615">
            <v>80518</v>
          </cell>
          <cell r="AK615" t="str">
            <v>CDC-14239</v>
          </cell>
          <cell r="AL615" t="str">
            <v>CDC14239</v>
          </cell>
        </row>
        <row r="616">
          <cell r="N616" t="str">
            <v>KIDS PLAY LEARNING CENTER #5</v>
          </cell>
          <cell r="O616" t="str">
            <v>1207 NORTH COUNTRY CLUB DRIVE</v>
          </cell>
          <cell r="P616" t="str">
            <v>kidsplayinc@msn.com</v>
          </cell>
          <cell r="Q616" t="str">
            <v>CDC-7774</v>
          </cell>
          <cell r="AJ616">
            <v>80519</v>
          </cell>
          <cell r="AK616" t="str">
            <v>CDC-7774</v>
          </cell>
          <cell r="AL616" t="str">
            <v>CDC7774</v>
          </cell>
        </row>
        <row r="617">
          <cell r="N617" t="str">
            <v>KIDS PLAY LEARNING CENTER INC</v>
          </cell>
          <cell r="O617" t="str">
            <v>1430 WEST SOUTHERN #3</v>
          </cell>
          <cell r="P617" t="str">
            <v>kidsplayinc@msn.com</v>
          </cell>
          <cell r="Q617" t="str">
            <v>CDC-10874</v>
          </cell>
          <cell r="AJ617">
            <v>84664</v>
          </cell>
          <cell r="AK617" t="str">
            <v>CDC-10874</v>
          </cell>
          <cell r="AL617" t="str">
            <v>CDC10874</v>
          </cell>
        </row>
        <row r="618">
          <cell r="N618" t="str">
            <v>KIDS PREP ACADEMY, LLC</v>
          </cell>
          <cell r="O618" t="str">
            <v>1930 WEST PINNACLE PEAK ROAD, SUITE 113 &amp; 115</v>
          </cell>
          <cell r="P618" t="str">
            <v>Bmcgregor@kpaaz.com</v>
          </cell>
          <cell r="Q618" t="str">
            <v>CDC-18797</v>
          </cell>
          <cell r="AJ618" t="e">
            <v>#N/A</v>
          </cell>
          <cell r="AK618" t="str">
            <v>CDC-18797</v>
          </cell>
          <cell r="AL618" t="str">
            <v>CDC18797</v>
          </cell>
        </row>
        <row r="619">
          <cell r="N619" t="str">
            <v>KIDS R' OUR FUTURE PRESCHOOL / CHILDCARE</v>
          </cell>
          <cell r="O619" t="str">
            <v>3002 NORTH ARIZONA AVENUE STE 20</v>
          </cell>
          <cell r="P619" t="str">
            <v>k@kidsrourfuture.net</v>
          </cell>
          <cell r="Q619" t="str">
            <v>CDC-16783</v>
          </cell>
          <cell r="AJ619">
            <v>89935</v>
          </cell>
          <cell r="AK619" t="str">
            <v>CDC-16783</v>
          </cell>
          <cell r="AL619" t="str">
            <v>CDC16783</v>
          </cell>
        </row>
        <row r="620">
          <cell r="N620" t="str">
            <v>KIDS R' OUR FUTURE PRESCHOOL/ CHILDCARE CENTER</v>
          </cell>
          <cell r="O620" t="str">
            <v>3002 NORTH ARIZONA AVENUE</v>
          </cell>
          <cell r="P620" t="str">
            <v>sharon@kidsrourfuture.com</v>
          </cell>
          <cell r="Q620" t="str">
            <v>CDC-12912</v>
          </cell>
          <cell r="AJ620" t="e">
            <v>#N/A</v>
          </cell>
          <cell r="AK620" t="str">
            <v>CDC-12912</v>
          </cell>
          <cell r="AL620" t="str">
            <v>CDC12912</v>
          </cell>
        </row>
        <row r="621">
          <cell r="N621" t="str">
            <v>KIDS START PRESCHOOL LLC</v>
          </cell>
          <cell r="O621" t="str">
            <v>832 WEST BASELINE ROAD STE 21-23</v>
          </cell>
          <cell r="P621" t="str">
            <v>KidsstartPreschool@outlook.com</v>
          </cell>
          <cell r="Q621" t="str">
            <v>CDC-17181</v>
          </cell>
          <cell r="AJ621" t="e">
            <v>#N/A</v>
          </cell>
          <cell r="AK621" t="str">
            <v>CDC-17181</v>
          </cell>
          <cell r="AL621" t="str">
            <v>CDC17181</v>
          </cell>
        </row>
        <row r="622">
          <cell r="N622" t="str">
            <v>KIDS VILLAGE PRE-SCHOOL AND CHILD CARE</v>
          </cell>
          <cell r="O622" t="str">
            <v>1321 NORTH 6TH AVENUE</v>
          </cell>
          <cell r="P622" t="str">
            <v>tammyb.kidsvillage@gmail.com</v>
          </cell>
          <cell r="Q622" t="str">
            <v>CDC-1928</v>
          </cell>
          <cell r="AJ622">
            <v>10029</v>
          </cell>
          <cell r="AK622" t="str">
            <v>CDC-1928</v>
          </cell>
          <cell r="AL622" t="str">
            <v>CDC1928</v>
          </cell>
        </row>
        <row r="623">
          <cell r="N623" t="str">
            <v>KIDS VILLE</v>
          </cell>
          <cell r="O623" t="str">
            <v>4055 NORTH 1ST AVENUE</v>
          </cell>
          <cell r="P623" t="str">
            <v>kidsville89@gmail.com</v>
          </cell>
          <cell r="Q623" t="str">
            <v>CDC-3828</v>
          </cell>
          <cell r="AJ623">
            <v>9941</v>
          </cell>
          <cell r="AK623" t="str">
            <v>CDC-3828</v>
          </cell>
          <cell r="AL623" t="str">
            <v>CDC3828</v>
          </cell>
        </row>
        <row r="624">
          <cell r="N624" t="str">
            <v>KIDS WORLD LEARNING CENTER, L.L.C.</v>
          </cell>
          <cell r="O624" t="str">
            <v>2051 NORTH ARIZONA AVENUE # 101</v>
          </cell>
          <cell r="P624" t="str">
            <v>vraz2019@gmail.com</v>
          </cell>
          <cell r="Q624" t="str">
            <v>CDC-10826</v>
          </cell>
          <cell r="AJ624" t="e">
            <v>#N/A</v>
          </cell>
          <cell r="AK624" t="str">
            <v>CDC-10826</v>
          </cell>
          <cell r="AL624" t="str">
            <v>CDC10826</v>
          </cell>
        </row>
        <row r="625">
          <cell r="N625" t="str">
            <v>KIDS WORLD PRESCHOOL</v>
          </cell>
          <cell r="O625" t="str">
            <v>321 EAST YAVAPAI</v>
          </cell>
          <cell r="P625" t="str">
            <v>mpurplekw@gmail.com</v>
          </cell>
          <cell r="Q625" t="str">
            <v>CDC-0213</v>
          </cell>
          <cell r="AJ625">
            <v>9877</v>
          </cell>
          <cell r="AK625" t="str">
            <v>CDC-0213</v>
          </cell>
          <cell r="AL625" t="str">
            <v>CDC0213</v>
          </cell>
        </row>
        <row r="626">
          <cell r="N626" t="str">
            <v>KIDS WORLD PRESCHOOL EAST</v>
          </cell>
          <cell r="O626" t="str">
            <v>4761 EAST 5TH STREET</v>
          </cell>
          <cell r="P626" t="str">
            <v>kidsworld.preschool@yahoo.com</v>
          </cell>
          <cell r="Q626" t="str">
            <v>CDC-12970</v>
          </cell>
          <cell r="AJ626">
            <v>89254</v>
          </cell>
          <cell r="AK626" t="str">
            <v>CDC-12970</v>
          </cell>
          <cell r="AL626" t="str">
            <v>CDC12970</v>
          </cell>
        </row>
        <row r="627">
          <cell r="N627" t="str">
            <v>KIDSPARK</v>
          </cell>
          <cell r="O627" t="str">
            <v>7337 WEST BELL ROAD</v>
          </cell>
          <cell r="P627" t="str">
            <v>arrowheadaz@kidspark.com</v>
          </cell>
          <cell r="Q627" t="str">
            <v>CDC-17691</v>
          </cell>
          <cell r="AJ627" t="e">
            <v>#N/A</v>
          </cell>
          <cell r="AK627" t="str">
            <v>CDC-17691</v>
          </cell>
          <cell r="AL627" t="str">
            <v>CDC17691</v>
          </cell>
        </row>
        <row r="628">
          <cell r="N628" t="str">
            <v>KIDSPARK</v>
          </cell>
          <cell r="O628" t="str">
            <v>12635 NORTH 48TH STREET</v>
          </cell>
          <cell r="P628" t="str">
            <v>Scottsdaleaz@kidspark.com</v>
          </cell>
          <cell r="Q628" t="str">
            <v>CDC-18202</v>
          </cell>
          <cell r="AJ628" t="e">
            <v>#N/A</v>
          </cell>
          <cell r="AK628" t="str">
            <v>CDC-18202</v>
          </cell>
          <cell r="AL628" t="str">
            <v>CDC18202</v>
          </cell>
        </row>
        <row r="629">
          <cell r="N629" t="str">
            <v>KIDWORKS ACADEMY</v>
          </cell>
          <cell r="O629" t="str">
            <v>3539 WEST BELL ROAD - SUITE 11</v>
          </cell>
          <cell r="P629" t="str">
            <v>kidworksdaycare@gmail.com</v>
          </cell>
          <cell r="Q629" t="str">
            <v>CDC-18167</v>
          </cell>
          <cell r="AJ629" t="e">
            <v>#N/A</v>
          </cell>
          <cell r="AK629" t="str">
            <v>CDC-18167</v>
          </cell>
          <cell r="AL629" t="str">
            <v>CDC18167</v>
          </cell>
        </row>
        <row r="630">
          <cell r="N630" t="str">
            <v>KIDZ TOWN PRESCHOOL AND DAYCARE</v>
          </cell>
          <cell r="O630" t="str">
            <v>1233 FAWN BROOK DRIVE</v>
          </cell>
          <cell r="P630" t="str">
            <v>kidztown03@hotmail.com</v>
          </cell>
          <cell r="Q630" t="str">
            <v>CDC-15025</v>
          </cell>
          <cell r="AJ630">
            <v>84679</v>
          </cell>
          <cell r="AK630" t="str">
            <v>CDC-15025</v>
          </cell>
          <cell r="AL630" t="str">
            <v>CDC15025</v>
          </cell>
        </row>
        <row r="631">
          <cell r="N631" t="str">
            <v>KIDZ WORLD CHILDCARE &amp; LEARNING CENTER</v>
          </cell>
          <cell r="O631" t="str">
            <v>1010 SOUTH ELLSWORTH ROAD</v>
          </cell>
          <cell r="P631" t="str">
            <v>Bonnie@generation.church</v>
          </cell>
          <cell r="Q631" t="str">
            <v>CDC-13624</v>
          </cell>
          <cell r="AJ631" t="e">
            <v>#N/A</v>
          </cell>
          <cell r="AK631" t="str">
            <v>CDC-13624</v>
          </cell>
          <cell r="AL631" t="str">
            <v>CDC13624</v>
          </cell>
        </row>
        <row r="632">
          <cell r="N632" t="str">
            <v>KIDZ-ZONA LEARNING CENTER</v>
          </cell>
          <cell r="O632" t="str">
            <v>4826 EAST PIMA STREET</v>
          </cell>
          <cell r="P632" t="str">
            <v>KIDZ.ZONA.LC@GMAIL.COM</v>
          </cell>
          <cell r="Q632" t="str">
            <v>CDC-18910</v>
          </cell>
          <cell r="AJ632" t="e">
            <v>#N/A</v>
          </cell>
          <cell r="AK632" t="str">
            <v>CDC-18910</v>
          </cell>
          <cell r="AL632" t="str">
            <v>CDC18910</v>
          </cell>
        </row>
        <row r="633">
          <cell r="N633" t="str">
            <v>KIDZCO EARLY LEARNING CENTER/ GOLF LINKS</v>
          </cell>
          <cell r="O633" t="str">
            <v>7845 EAST GOLFLINKS RD</v>
          </cell>
          <cell r="P633" t="str">
            <v>Jfloriant@me.com</v>
          </cell>
          <cell r="Q633" t="str">
            <v>CDC-15217</v>
          </cell>
          <cell r="AJ633">
            <v>90789</v>
          </cell>
          <cell r="AK633" t="str">
            <v>CDC-15217</v>
          </cell>
          <cell r="AL633" t="str">
            <v>CDC15217</v>
          </cell>
        </row>
        <row r="634">
          <cell r="N634" t="str">
            <v>KIDZCO EARLY LEARNING CENTER/ STONE</v>
          </cell>
          <cell r="O634" t="str">
            <v>1609 NORTH STONE AVE</v>
          </cell>
          <cell r="P634" t="str">
            <v>jfloriant@me.com</v>
          </cell>
          <cell r="Q634" t="str">
            <v>CDC-13405</v>
          </cell>
          <cell r="AJ634" t="e">
            <v>#N/A</v>
          </cell>
          <cell r="AK634" t="str">
            <v>CDC-13405</v>
          </cell>
          <cell r="AL634" t="str">
            <v>CDC13405</v>
          </cell>
        </row>
        <row r="635">
          <cell r="N635" t="str">
            <v>KINDER ACADEMY</v>
          </cell>
          <cell r="O635" t="str">
            <v>3259 WEST BASELINE ROAD</v>
          </cell>
          <cell r="P635" t="str">
            <v>sandra@kinderlandaz.com</v>
          </cell>
          <cell r="Q635" t="str">
            <v>CDC-18432</v>
          </cell>
          <cell r="AJ635" t="e">
            <v>#N/A</v>
          </cell>
          <cell r="AK635" t="str">
            <v>CDC-18432</v>
          </cell>
          <cell r="AL635" t="str">
            <v>CDC18432</v>
          </cell>
        </row>
        <row r="636">
          <cell r="N636" t="str">
            <v>KINDER PREP ACADEMY</v>
          </cell>
          <cell r="O636" t="str">
            <v>628 WEST 5TH STREET</v>
          </cell>
          <cell r="P636" t="str">
            <v>iteachprek2015@gmail.com</v>
          </cell>
          <cell r="Q636" t="str">
            <v>CDC-18421</v>
          </cell>
          <cell r="AJ636" t="e">
            <v>#N/A</v>
          </cell>
          <cell r="AK636" t="str">
            <v>CDC-18421</v>
          </cell>
          <cell r="AL636" t="str">
            <v>CDC18421</v>
          </cell>
        </row>
        <row r="637">
          <cell r="N637" t="str">
            <v>KINDERACADEMY</v>
          </cell>
          <cell r="O637" t="str">
            <v>3249 SOUTH LINDSAY ROAD</v>
          </cell>
          <cell r="P637" t="str">
            <v>cassie@kinderacademypreschool.com</v>
          </cell>
          <cell r="Q637" t="str">
            <v>CDC-18302</v>
          </cell>
          <cell r="AJ637" t="e">
            <v>#N/A</v>
          </cell>
          <cell r="AK637" t="str">
            <v>CDC-18302</v>
          </cell>
          <cell r="AL637" t="str">
            <v>CDC18302</v>
          </cell>
        </row>
        <row r="638">
          <cell r="N638" t="str">
            <v>KINDERBUGS PREPARATORY SCHOOL L.L.C.</v>
          </cell>
          <cell r="O638" t="str">
            <v>4365 EAST PECOS #143</v>
          </cell>
          <cell r="P638" t="str">
            <v>info@kinderbugs.com</v>
          </cell>
          <cell r="Q638" t="str">
            <v>CDC-18466</v>
          </cell>
          <cell r="AJ638" t="e">
            <v>#N/A</v>
          </cell>
          <cell r="AK638" t="str">
            <v>CDC-18466</v>
          </cell>
          <cell r="AL638" t="str">
            <v>CDC18466</v>
          </cell>
        </row>
        <row r="639">
          <cell r="N639" t="str">
            <v>KINDERBUGS PREPARATORY SCHOOL L.L.C.</v>
          </cell>
          <cell r="O639" t="str">
            <v>1095 WEST QUEEN CREEK #6</v>
          </cell>
          <cell r="P639" t="str">
            <v>spepka@kinderbugs.com</v>
          </cell>
          <cell r="Q639" t="str">
            <v>CDC-18467</v>
          </cell>
          <cell r="AJ639" t="e">
            <v>#N/A</v>
          </cell>
          <cell r="AK639" t="str">
            <v>CDC-18467</v>
          </cell>
          <cell r="AL639" t="str">
            <v>CDC18467</v>
          </cell>
        </row>
        <row r="640">
          <cell r="N640" t="str">
            <v>KINDERCARE LEARNING CENTER</v>
          </cell>
          <cell r="O640" t="str">
            <v>7019 EAST BASELINE ROAD</v>
          </cell>
          <cell r="P640" t="str">
            <v>301761@kindercare.com</v>
          </cell>
          <cell r="Q640" t="str">
            <v>CDC-10287</v>
          </cell>
          <cell r="AJ640">
            <v>89745</v>
          </cell>
          <cell r="AK640" t="str">
            <v>CDC-10287</v>
          </cell>
          <cell r="AL640" t="str">
            <v>CDC10287</v>
          </cell>
        </row>
        <row r="641">
          <cell r="N641" t="str">
            <v>KINDERCARE LEARNING CENTER</v>
          </cell>
          <cell r="O641" t="str">
            <v>15415 WEST BELL ROAD</v>
          </cell>
          <cell r="P641" t="str">
            <v>301795@klcorp.com</v>
          </cell>
          <cell r="Q641" t="str">
            <v>CDC-11248</v>
          </cell>
          <cell r="AJ641">
            <v>92363</v>
          </cell>
          <cell r="AK641" t="str">
            <v>CDC-11248</v>
          </cell>
          <cell r="AL641" t="str">
            <v>CDC11248</v>
          </cell>
        </row>
        <row r="642">
          <cell r="N642" t="str">
            <v>KINDERCARE LEARNING CENTER</v>
          </cell>
          <cell r="O642" t="str">
            <v>9310 EAST GUADALUPE ROAD</v>
          </cell>
          <cell r="P642" t="str">
            <v>yberkhoff@kindercare.com</v>
          </cell>
          <cell r="Q642" t="str">
            <v>CDC-12399</v>
          </cell>
          <cell r="AJ642">
            <v>91333</v>
          </cell>
          <cell r="AK642" t="str">
            <v>CDC-12399</v>
          </cell>
          <cell r="AL642" t="str">
            <v>CDC12399</v>
          </cell>
        </row>
        <row r="643">
          <cell r="N643" t="str">
            <v>KINDERCARE LEARNING CENTER</v>
          </cell>
          <cell r="O643" t="str">
            <v>10406 NORTH 51ST AVENUE</v>
          </cell>
          <cell r="P643" t="str">
            <v>tbowen@klcorp.com</v>
          </cell>
          <cell r="Q643" t="str">
            <v>CDC-12402</v>
          </cell>
          <cell r="AJ643">
            <v>80611</v>
          </cell>
          <cell r="AK643" t="str">
            <v>CDC-12402</v>
          </cell>
          <cell r="AL643" t="str">
            <v>CDC12402</v>
          </cell>
        </row>
        <row r="644">
          <cell r="N644" t="str">
            <v>KINDERCARE LEARNING CENTER</v>
          </cell>
          <cell r="O644" t="str">
            <v>1919 WEST QUEEN CREEK ROAD</v>
          </cell>
          <cell r="P644" t="str">
            <v>000564@klcorp.com</v>
          </cell>
          <cell r="Q644" t="str">
            <v>CDC-12422</v>
          </cell>
          <cell r="AJ644" t="e">
            <v>#N/A</v>
          </cell>
          <cell r="AK644" t="str">
            <v>CDC-12422</v>
          </cell>
          <cell r="AL644" t="str">
            <v>CDC12422</v>
          </cell>
        </row>
        <row r="645">
          <cell r="N645" t="str">
            <v>KINDERCARE LEARNING CENTER</v>
          </cell>
          <cell r="O645" t="str">
            <v>10455 NORTH LA CANADA DRIVE</v>
          </cell>
          <cell r="P645" t="str">
            <v>000413@klcorp.com</v>
          </cell>
          <cell r="Q645" t="str">
            <v>CDC-12424</v>
          </cell>
          <cell r="AJ645">
            <v>84190</v>
          </cell>
          <cell r="AK645" t="str">
            <v>CDC-12424</v>
          </cell>
          <cell r="AL645" t="str">
            <v>CDC12424</v>
          </cell>
        </row>
        <row r="646">
          <cell r="N646" t="str">
            <v>KINDERCARE LEARNING CENTER</v>
          </cell>
          <cell r="O646" t="str">
            <v>22050 NORTH 44TH STREET</v>
          </cell>
          <cell r="P646" t="str">
            <v>000224@klcorp.com</v>
          </cell>
          <cell r="Q646" t="str">
            <v>CDC-12474</v>
          </cell>
          <cell r="AJ646" t="e">
            <v>#N/A</v>
          </cell>
          <cell r="AK646" t="str">
            <v>CDC-12474</v>
          </cell>
          <cell r="AL646" t="str">
            <v>CDC12474</v>
          </cell>
        </row>
        <row r="647">
          <cell r="N647" t="str">
            <v>KINDERCARE LEARNING CENTER</v>
          </cell>
          <cell r="O647" t="str">
            <v>16605 NORTH 56TH STREET</v>
          </cell>
          <cell r="P647" t="str">
            <v>mgorman@klcorp.com</v>
          </cell>
          <cell r="Q647" t="str">
            <v>CDC-12569</v>
          </cell>
          <cell r="AJ647" t="e">
            <v>#N/A</v>
          </cell>
          <cell r="AK647" t="str">
            <v>CDC-12569</v>
          </cell>
          <cell r="AL647" t="str">
            <v>CDC12569</v>
          </cell>
        </row>
        <row r="648">
          <cell r="N648" t="str">
            <v>KINDERCARE LEARNING CENTER</v>
          </cell>
          <cell r="O648" t="str">
            <v>6037 EAST MCDOWELL ROAD</v>
          </cell>
          <cell r="P648" t="str">
            <v>000632@klcorp.com</v>
          </cell>
          <cell r="Q648" t="str">
            <v>CDC-12998</v>
          </cell>
          <cell r="AJ648">
            <v>92680</v>
          </cell>
          <cell r="AK648" t="str">
            <v>CDC-12998</v>
          </cell>
          <cell r="AL648" t="str">
            <v>CDC12998</v>
          </cell>
        </row>
        <row r="649">
          <cell r="N649" t="str">
            <v>KINDERCARE LEARNING CENTER</v>
          </cell>
          <cell r="O649" t="str">
            <v>7277 NORTH OLD FATHER</v>
          </cell>
          <cell r="P649" t="str">
            <v>000385@klcorp.com</v>
          </cell>
          <cell r="Q649" t="str">
            <v>CDC-13015</v>
          </cell>
          <cell r="AJ649">
            <v>84189</v>
          </cell>
          <cell r="AK649" t="str">
            <v>CDC-13015</v>
          </cell>
          <cell r="AL649" t="str">
            <v>CDC13015</v>
          </cell>
        </row>
        <row r="650">
          <cell r="N650" t="str">
            <v>KINDERCARE LEARNING CENTER</v>
          </cell>
          <cell r="O650" t="str">
            <v>4120 EAST RANCH CIRCLE NORTH</v>
          </cell>
          <cell r="P650" t="str">
            <v>skingsley@kindercare.com</v>
          </cell>
          <cell r="Q650" t="str">
            <v>CDC-13068</v>
          </cell>
          <cell r="AJ650">
            <v>1000403</v>
          </cell>
          <cell r="AK650" t="str">
            <v>CDC-13068</v>
          </cell>
          <cell r="AL650" t="str">
            <v>CDC13068</v>
          </cell>
        </row>
        <row r="651">
          <cell r="N651" t="str">
            <v>KINDERCARE LEARNING CENTER</v>
          </cell>
          <cell r="O651" t="str">
            <v>15630 WEST VAN BUREN STREET</v>
          </cell>
          <cell r="P651" t="str">
            <v>301822@klcorp.com</v>
          </cell>
          <cell r="Q651" t="str">
            <v>CDC-13164</v>
          </cell>
          <cell r="AJ651">
            <v>90939</v>
          </cell>
          <cell r="AK651" t="str">
            <v>CDC-13164</v>
          </cell>
          <cell r="AL651" t="str">
            <v>CDC13164</v>
          </cell>
        </row>
        <row r="652">
          <cell r="N652" t="str">
            <v>KINDERCARE LEARNING CENTER</v>
          </cell>
          <cell r="O652" t="str">
            <v>7755 SOUTH 51ST AVENUE</v>
          </cell>
          <cell r="P652" t="str">
            <v>301840@klcorp.com</v>
          </cell>
          <cell r="Q652" t="str">
            <v>CDC-13789</v>
          </cell>
          <cell r="AJ652">
            <v>90935</v>
          </cell>
          <cell r="AK652" t="str">
            <v>CDC-13789</v>
          </cell>
          <cell r="AL652" t="str">
            <v>CDC13789</v>
          </cell>
        </row>
        <row r="653">
          <cell r="N653" t="str">
            <v>KINDERCARE LEARNING CENTER</v>
          </cell>
          <cell r="O653" t="str">
            <v>150 NORTH ELM STREET</v>
          </cell>
          <cell r="P653" t="str">
            <v>000156@klcorp.com</v>
          </cell>
          <cell r="Q653" t="str">
            <v>CDC-14233</v>
          </cell>
          <cell r="AJ653" t="e">
            <v>#N/A</v>
          </cell>
          <cell r="AK653" t="str">
            <v>CDC-14233</v>
          </cell>
          <cell r="AL653" t="str">
            <v>CDC14233</v>
          </cell>
        </row>
        <row r="654">
          <cell r="N654" t="str">
            <v>KINDERCARE LEARNING CENTER</v>
          </cell>
          <cell r="O654" t="str">
            <v>1810 EAST SOUTHERN AVENUE</v>
          </cell>
          <cell r="P654" t="str">
            <v>300900@klcorp.com</v>
          </cell>
          <cell r="Q654" t="str">
            <v>CDC-1466</v>
          </cell>
          <cell r="AJ654">
            <v>78764</v>
          </cell>
          <cell r="AK654" t="str">
            <v>CDC-1466</v>
          </cell>
          <cell r="AL654" t="str">
            <v>CDC1466</v>
          </cell>
        </row>
        <row r="655">
          <cell r="N655" t="str">
            <v>KINDERCARE LEARNING CENTER</v>
          </cell>
          <cell r="O655" t="str">
            <v>2862 SOUTH ALMA SCHOOL ROAD</v>
          </cell>
          <cell r="P655" t="str">
            <v>300953@klcorp.com</v>
          </cell>
          <cell r="Q655" t="str">
            <v>CDC-1539</v>
          </cell>
          <cell r="AJ655">
            <v>80824</v>
          </cell>
          <cell r="AK655" t="str">
            <v>CDC-1539</v>
          </cell>
          <cell r="AL655" t="str">
            <v>CDC1539</v>
          </cell>
        </row>
        <row r="656">
          <cell r="N656" t="str">
            <v>KINDERCARE LEARNING CENTER</v>
          </cell>
          <cell r="O656" t="str">
            <v>3269 EAST GERMANN ROAD</v>
          </cell>
          <cell r="P656" t="str">
            <v>301818@klrcorp.com</v>
          </cell>
          <cell r="Q656" t="str">
            <v>CDC-17323</v>
          </cell>
          <cell r="AJ656">
            <v>92666</v>
          </cell>
          <cell r="AK656" t="str">
            <v>CDC-17323</v>
          </cell>
          <cell r="AL656" t="str">
            <v>CDC17323</v>
          </cell>
        </row>
        <row r="657">
          <cell r="N657" t="str">
            <v>KINDERCARE LEARNING CENTER</v>
          </cell>
          <cell r="O657" t="str">
            <v>3524 WEST UNION HILLS</v>
          </cell>
          <cell r="P657" t="str">
            <v>KKraemer@kindercare.com</v>
          </cell>
          <cell r="Q657" t="str">
            <v>CDC-1949</v>
          </cell>
          <cell r="AJ657">
            <v>90058</v>
          </cell>
          <cell r="AK657" t="str">
            <v>CDC-1949</v>
          </cell>
          <cell r="AL657" t="str">
            <v>CDC1949</v>
          </cell>
        </row>
        <row r="658">
          <cell r="N658" t="str">
            <v>KINDERCARE LEARNING CENTER</v>
          </cell>
          <cell r="O658" t="str">
            <v>3800 NORTH CENTRAL AVENUE, STE #1-A</v>
          </cell>
          <cell r="P658" t="str">
            <v>shfranklin@kindercare.com</v>
          </cell>
          <cell r="Q658" t="str">
            <v>CDC-1984</v>
          </cell>
          <cell r="AJ658" t="e">
            <v>#N/A</v>
          </cell>
          <cell r="AK658" t="str">
            <v>CDC-1984</v>
          </cell>
          <cell r="AL658" t="str">
            <v>CDC1984</v>
          </cell>
        </row>
        <row r="659">
          <cell r="N659" t="str">
            <v>KINDERCARE LEARNING CENTER</v>
          </cell>
          <cell r="O659" t="str">
            <v>1063 EAST MCKELLIPS ROAD</v>
          </cell>
          <cell r="P659" t="str">
            <v>301365@klcorp.com</v>
          </cell>
          <cell r="Q659" t="str">
            <v>CDC-2098</v>
          </cell>
          <cell r="AJ659">
            <v>80823</v>
          </cell>
          <cell r="AK659" t="str">
            <v>CDC-2098</v>
          </cell>
          <cell r="AL659" t="str">
            <v>CDC2098</v>
          </cell>
        </row>
        <row r="660">
          <cell r="N660" t="str">
            <v>KINDERCARE LEARNING CENTER</v>
          </cell>
          <cell r="O660" t="str">
            <v>1545 NORTH PARKWAY DRIVE</v>
          </cell>
          <cell r="P660" t="str">
            <v>301597@klcorp.com</v>
          </cell>
          <cell r="Q660" t="str">
            <v>CDC-8398</v>
          </cell>
          <cell r="AJ660">
            <v>91931</v>
          </cell>
          <cell r="AK660" t="str">
            <v>CDC-8398</v>
          </cell>
          <cell r="AL660" t="str">
            <v>CDC8398</v>
          </cell>
        </row>
        <row r="661">
          <cell r="N661" t="str">
            <v>KINDERCARE LEARNING CENTER</v>
          </cell>
          <cell r="O661" t="str">
            <v>8425 EAST OLD SPANISH TR.</v>
          </cell>
          <cell r="P661" t="str">
            <v>ahaning@klcorp.com</v>
          </cell>
          <cell r="Q661" t="str">
            <v>CDC-8575</v>
          </cell>
          <cell r="AJ661">
            <v>89724</v>
          </cell>
          <cell r="AK661" t="str">
            <v>CDC-8575</v>
          </cell>
          <cell r="AL661" t="str">
            <v>CDC8575</v>
          </cell>
        </row>
        <row r="662">
          <cell r="N662" t="str">
            <v>KINDERCARE LEARNING CENTER</v>
          </cell>
          <cell r="O662" t="str">
            <v>13746 WEST MCDOWELL ROAD</v>
          </cell>
          <cell r="P662" t="str">
            <v>palmvalley@kindercare.com</v>
          </cell>
          <cell r="Q662" t="str">
            <v>CDC-9332</v>
          </cell>
          <cell r="AJ662">
            <v>90804</v>
          </cell>
          <cell r="AK662" t="str">
            <v>CDC-9332</v>
          </cell>
          <cell r="AL662" t="str">
            <v>CDC9332</v>
          </cell>
        </row>
        <row r="663">
          <cell r="N663" t="str">
            <v>KINDERCARE LEARNING CENTER</v>
          </cell>
          <cell r="O663" t="str">
            <v>1955 SOUTH ALMA SCHOOL ROAD</v>
          </cell>
          <cell r="P663" t="str">
            <v>kearl@klcorp.com</v>
          </cell>
          <cell r="Q663" t="str">
            <v>CDC-9656</v>
          </cell>
          <cell r="AJ663" t="e">
            <v>#N/A</v>
          </cell>
          <cell r="AK663" t="str">
            <v>CDC-9656</v>
          </cell>
          <cell r="AL663" t="str">
            <v>CDC9656</v>
          </cell>
        </row>
        <row r="664">
          <cell r="N664" t="str">
            <v>KINDERCARE LEARNING CENTER #14</v>
          </cell>
          <cell r="O664" t="str">
            <v>20245 NORTH 67TH AVENUE</v>
          </cell>
          <cell r="P664" t="str">
            <v>jdickenson@kindercare.com</v>
          </cell>
          <cell r="Q664" t="str">
            <v>CDC-9686</v>
          </cell>
          <cell r="AJ664" t="e">
            <v>#N/A</v>
          </cell>
          <cell r="AK664" t="str">
            <v>CDC-9686</v>
          </cell>
          <cell r="AL664" t="str">
            <v>CDC9686</v>
          </cell>
        </row>
        <row r="665">
          <cell r="N665" t="str">
            <v>KINDERCARE LEARNING CENTER #1465</v>
          </cell>
          <cell r="O665" t="str">
            <v>10653 NORTH 25TH AVENUE</v>
          </cell>
          <cell r="P665" t="str">
            <v>cmartz@klcorp.com</v>
          </cell>
          <cell r="Q665" t="str">
            <v>CDC-5858</v>
          </cell>
          <cell r="AJ665">
            <v>80578</v>
          </cell>
          <cell r="AK665" t="str">
            <v>CDC-5858</v>
          </cell>
          <cell r="AL665" t="str">
            <v>CDC5858</v>
          </cell>
        </row>
        <row r="666">
          <cell r="N666" t="str">
            <v>KINDERCARE LEARNING CENTER #491</v>
          </cell>
          <cell r="O666" t="str">
            <v>8277 EAST GOLFLINKS ROAD</v>
          </cell>
          <cell r="P666" t="str">
            <v>300491@klcorp.com</v>
          </cell>
          <cell r="Q666" t="str">
            <v>CDC-1093</v>
          </cell>
          <cell r="AJ666">
            <v>10041</v>
          </cell>
          <cell r="AK666" t="str">
            <v>CDC-1093</v>
          </cell>
          <cell r="AL666" t="str">
            <v>CDC1093</v>
          </cell>
        </row>
        <row r="667">
          <cell r="N667" t="str">
            <v>KINDERLAND DAYCARE, L L C</v>
          </cell>
          <cell r="O667" t="str">
            <v>1000 NORTH COUNTRY CLUB DRIVE</v>
          </cell>
          <cell r="P667" t="str">
            <v>sonia@kinderlandaz.com</v>
          </cell>
          <cell r="Q667" t="str">
            <v>CDC-11932</v>
          </cell>
          <cell r="AJ667" t="e">
            <v>#N/A</v>
          </cell>
          <cell r="AK667" t="str">
            <v>CDC-11932</v>
          </cell>
          <cell r="AL667" t="str">
            <v>CDC11932</v>
          </cell>
        </row>
        <row r="668">
          <cell r="N668" t="str">
            <v>KINDERTOTS</v>
          </cell>
          <cell r="O668" t="str">
            <v>1118 WEST GLENDALE AVENUE</v>
          </cell>
          <cell r="P668" t="str">
            <v>gmfriedman@gmail.com</v>
          </cell>
          <cell r="Q668" t="str">
            <v>CDC-15883</v>
          </cell>
          <cell r="AJ668" t="e">
            <v>#N/A</v>
          </cell>
          <cell r="AK668" t="str">
            <v>CDC-15883</v>
          </cell>
          <cell r="AL668" t="str">
            <v>CDC15883</v>
          </cell>
        </row>
        <row r="669">
          <cell r="N669" t="str">
            <v>KING OF GLORY PRESCHOOL</v>
          </cell>
          <cell r="O669" t="str">
            <v>2085 EAST SOUTHERN AVENUE</v>
          </cell>
          <cell r="P669" t="str">
            <v>preschool@kogaz.org</v>
          </cell>
          <cell r="Q669" t="str">
            <v>CDC-3048</v>
          </cell>
          <cell r="AJ669" t="e">
            <v>#N/A</v>
          </cell>
          <cell r="AK669" t="str">
            <v>CDC-3048</v>
          </cell>
          <cell r="AL669" t="str">
            <v>CDC3048</v>
          </cell>
        </row>
        <row r="670">
          <cell r="N670" t="str">
            <v>KINGDOM KIDS PRESCHOOL</v>
          </cell>
          <cell r="O670" t="str">
            <v>8838 SOUTH 2ND AVENUE</v>
          </cell>
          <cell r="P670" t="str">
            <v>Jrussell@kpa88.com</v>
          </cell>
          <cell r="Q670" t="str">
            <v>CDC-15938</v>
          </cell>
          <cell r="AJ670" t="e">
            <v>#N/A</v>
          </cell>
          <cell r="AK670" t="str">
            <v>CDC-15938</v>
          </cell>
          <cell r="AL670" t="str">
            <v>CDC15938</v>
          </cell>
        </row>
        <row r="671">
          <cell r="N671" t="str">
            <v>KINGDOM KIDS PRESCHOOL AND PLAYCENTER</v>
          </cell>
          <cell r="O671" t="str">
            <v>1806 EAST RT 66</v>
          </cell>
          <cell r="P671" t="str">
            <v>jannette.kingdomkids@yahoo.com</v>
          </cell>
          <cell r="Q671" t="str">
            <v>CDC-17002</v>
          </cell>
          <cell r="AJ671" t="e">
            <v>#N/A</v>
          </cell>
          <cell r="AK671" t="str">
            <v>CDC-17002</v>
          </cell>
          <cell r="AL671" t="str">
            <v>CDC17002</v>
          </cell>
        </row>
        <row r="672">
          <cell r="N672" t="str">
            <v>KINGMAN ACADEMY OF LEARNING PRIMARY SCHOOL</v>
          </cell>
          <cell r="O672" t="str">
            <v>3400 NORTH BURBANK STREET</v>
          </cell>
          <cell r="P672" t="str">
            <v>mlane@kaolaz.org</v>
          </cell>
          <cell r="Q672" t="str">
            <v>CDC-13300</v>
          </cell>
          <cell r="AJ672" t="e">
            <v>#N/A</v>
          </cell>
          <cell r="AK672" t="str">
            <v>CDC-13300</v>
          </cell>
          <cell r="AL672" t="str">
            <v>CDC13300</v>
          </cell>
        </row>
        <row r="673">
          <cell r="N673" t="str">
            <v>KNIGHT ACADEMY</v>
          </cell>
          <cell r="O673" t="str">
            <v>560 NORTH ESTRELLA PARKWAY SUITE B15</v>
          </cell>
          <cell r="P673" t="str">
            <v>sknight@knight.academy</v>
          </cell>
          <cell r="Q673" t="str">
            <v>CDC-17379</v>
          </cell>
          <cell r="AJ673" t="e">
            <v>#N/A</v>
          </cell>
          <cell r="AK673" t="str">
            <v>CDC-17379</v>
          </cell>
          <cell r="AL673" t="str">
            <v>CDC17379</v>
          </cell>
        </row>
        <row r="674">
          <cell r="N674" t="str">
            <v>KREATIVE KAMPUS</v>
          </cell>
          <cell r="O674" t="str">
            <v>1729 EAST THOMAS ROAD</v>
          </cell>
          <cell r="P674" t="str">
            <v>vlckklc@aol.com</v>
          </cell>
          <cell r="Q674" t="str">
            <v>CDC-2100</v>
          </cell>
          <cell r="AJ674">
            <v>9172</v>
          </cell>
          <cell r="AK674" t="str">
            <v>CDC-2100</v>
          </cell>
          <cell r="AL674" t="str">
            <v>CDC2100</v>
          </cell>
        </row>
        <row r="675">
          <cell r="N675" t="str">
            <v>KRYSTAL CLEAR DAYCARE</v>
          </cell>
          <cell r="O675" t="str">
            <v>108 WEST 27TH STREET</v>
          </cell>
          <cell r="P675" t="str">
            <v>krystalclr5@aol.com</v>
          </cell>
          <cell r="Q675" t="str">
            <v>CDC-14035</v>
          </cell>
          <cell r="AJ675" t="e">
            <v>#N/A</v>
          </cell>
          <cell r="AK675" t="str">
            <v>CDC-14035</v>
          </cell>
          <cell r="AL675" t="str">
            <v>CDC14035</v>
          </cell>
        </row>
        <row r="676">
          <cell r="N676" t="str">
            <v>LA CASA DE CRISTO CHRISTIAN PRESCHOOL</v>
          </cell>
          <cell r="O676" t="str">
            <v>6300 EAST BELL ROAD</v>
          </cell>
          <cell r="P676" t="str">
            <v>mrsl@lacasadecristo.com</v>
          </cell>
          <cell r="Q676" t="str">
            <v>CDC-7209</v>
          </cell>
          <cell r="AJ676" t="e">
            <v>#N/A</v>
          </cell>
          <cell r="AK676" t="str">
            <v>CDC-7209</v>
          </cell>
          <cell r="AL676" t="str">
            <v>CDC7209</v>
          </cell>
        </row>
        <row r="677">
          <cell r="N677" t="str">
            <v>LA CASITA COMMUNITY CENTER</v>
          </cell>
          <cell r="O677" t="str">
            <v>2719 SOUTH REYES ROAD</v>
          </cell>
          <cell r="P677" t="str">
            <v>jfeltmann@dobsonranchhoa.com</v>
          </cell>
          <cell r="Q677" t="str">
            <v>CDC-4015</v>
          </cell>
          <cell r="AJ677" t="e">
            <v>#N/A</v>
          </cell>
          <cell r="AK677" t="str">
            <v>CDC-4015</v>
          </cell>
          <cell r="AL677" t="str">
            <v>CDC4015</v>
          </cell>
        </row>
        <row r="678">
          <cell r="N678" t="str">
            <v>LA CASITA DAY CARE EAST</v>
          </cell>
          <cell r="O678" t="str">
            <v>1902 S JEFFERSON AVE</v>
          </cell>
          <cell r="P678" t="str">
            <v>andax73@aol.com, ldacorp@aol.com</v>
          </cell>
          <cell r="Q678" t="str">
            <v>CDC-8884</v>
          </cell>
          <cell r="AJ678">
            <v>80837</v>
          </cell>
          <cell r="AK678" t="str">
            <v>CDC-8884</v>
          </cell>
          <cell r="AL678" t="str">
            <v>CDC8884</v>
          </cell>
        </row>
        <row r="679">
          <cell r="N679" t="str">
            <v>LA ESCUELITA HEAD START</v>
          </cell>
          <cell r="O679" t="str">
            <v>460 1/2 F AVENUE</v>
          </cell>
          <cell r="P679" t="str">
            <v>laescuelita@childparentcenters.org</v>
          </cell>
          <cell r="Q679" t="str">
            <v>CDC-0424</v>
          </cell>
          <cell r="AJ679">
            <v>7935</v>
          </cell>
          <cell r="AK679" t="str">
            <v>CDC-0424</v>
          </cell>
          <cell r="AL679" t="str">
            <v>CDC0424</v>
          </cell>
        </row>
        <row r="680">
          <cell r="N680" t="str">
            <v>LA HACIENDA CHILD CARE CENTER</v>
          </cell>
          <cell r="O680" t="str">
            <v>14506 ALTO STREET</v>
          </cell>
          <cell r="P680" t="str">
            <v>Saenzsurprise33@yahoo.com</v>
          </cell>
          <cell r="Q680" t="str">
            <v>CDC-11335</v>
          </cell>
          <cell r="AJ680" t="e">
            <v>#N/A</v>
          </cell>
          <cell r="AK680" t="str">
            <v>CDC-11335</v>
          </cell>
          <cell r="AL680" t="str">
            <v>CDC11335</v>
          </cell>
        </row>
        <row r="681">
          <cell r="N681" t="str">
            <v>LA MESITA HEAD START</v>
          </cell>
          <cell r="O681" t="str">
            <v>2254 WEST MAIN STREET</v>
          </cell>
          <cell r="P681" t="str">
            <v>chrisanda.debois@maricopa.gov</v>
          </cell>
          <cell r="Q681" t="str">
            <v>CDC-16402</v>
          </cell>
          <cell r="AJ681" t="e">
            <v>#N/A</v>
          </cell>
          <cell r="AK681" t="str">
            <v>CDC-16402</v>
          </cell>
          <cell r="AL681" t="str">
            <v>CDC16402</v>
          </cell>
        </row>
        <row r="682">
          <cell r="N682" t="str">
            <v>LA PALOMA ACADEMY - LAKESIDE</v>
          </cell>
          <cell r="O682" t="str">
            <v>8140 E GOLF LINKS ROAD</v>
          </cell>
          <cell r="P682" t="str">
            <v>cgarcia@lpatucson.org</v>
          </cell>
          <cell r="Q682" t="str">
            <v>CDC-16558</v>
          </cell>
          <cell r="AJ682" t="e">
            <v>#N/A</v>
          </cell>
          <cell r="AK682" t="str">
            <v>CDC-16558</v>
          </cell>
          <cell r="AL682" t="str">
            <v>CDC16558</v>
          </cell>
        </row>
        <row r="683">
          <cell r="N683" t="str">
            <v>LA PALOMA ACADEMY- CENTRAL</v>
          </cell>
          <cell r="O683" t="str">
            <v>2050 N WILMOT ROAD</v>
          </cell>
          <cell r="P683" t="str">
            <v>cgarcia@lpatucson.org</v>
          </cell>
          <cell r="Q683" t="str">
            <v>CDC-16557</v>
          </cell>
          <cell r="AJ683" t="e">
            <v>#N/A</v>
          </cell>
          <cell r="AK683" t="str">
            <v>CDC-16557</v>
          </cell>
          <cell r="AL683" t="str">
            <v>CDC16557</v>
          </cell>
        </row>
        <row r="684">
          <cell r="N684" t="str">
            <v>LA PALOMA ACADEMY-SOUTH</v>
          </cell>
          <cell r="O684" t="str">
            <v>5660 SOUTH 12TH STREET</v>
          </cell>
          <cell r="P684" t="str">
            <v>cgarcia@lpatucson.org</v>
          </cell>
          <cell r="Q684" t="str">
            <v>CDC-16936</v>
          </cell>
          <cell r="AJ684" t="e">
            <v>#N/A</v>
          </cell>
          <cell r="AK684" t="str">
            <v>CDC-16936</v>
          </cell>
          <cell r="AL684" t="str">
            <v>CDC16936</v>
          </cell>
        </row>
        <row r="685">
          <cell r="N685" t="str">
            <v>LA PETITE ACADEMY</v>
          </cell>
          <cell r="O685" t="str">
            <v>3100 SOUTH GILBERT ROAD</v>
          </cell>
          <cell r="P685" t="str">
            <v>kriggs@lapetite.com</v>
          </cell>
          <cell r="Q685" t="str">
            <v>CDC-13817</v>
          </cell>
          <cell r="AJ685" t="e">
            <v>#N/A</v>
          </cell>
          <cell r="AK685" t="str">
            <v>CDC-13817</v>
          </cell>
          <cell r="AL685" t="str">
            <v>CDC13817</v>
          </cell>
        </row>
        <row r="686">
          <cell r="N686" t="str">
            <v>LA PETITE ACADEMY</v>
          </cell>
          <cell r="O686" t="str">
            <v>8433 EAST RAINTREE DRIVE</v>
          </cell>
          <cell r="P686" t="str">
            <v>7177@lapetite.com</v>
          </cell>
          <cell r="Q686" t="str">
            <v>CDC-13873</v>
          </cell>
          <cell r="AJ686" t="e">
            <v>#N/A</v>
          </cell>
          <cell r="AK686" t="str">
            <v>CDC-13873</v>
          </cell>
          <cell r="AL686" t="str">
            <v>CDC13873</v>
          </cell>
        </row>
        <row r="687">
          <cell r="N687" t="str">
            <v>LA PETITE ACADEMY</v>
          </cell>
          <cell r="O687" t="str">
            <v>8885 EAST GOLF LINKS</v>
          </cell>
          <cell r="Q687" t="str">
            <v>CDC-1781</v>
          </cell>
          <cell r="AJ687">
            <v>80497</v>
          </cell>
          <cell r="AK687" t="str">
            <v>CDC-1781</v>
          </cell>
          <cell r="AL687" t="str">
            <v>CDC1781</v>
          </cell>
        </row>
        <row r="688">
          <cell r="N688" t="str">
            <v>LA PETITE ACADEMY</v>
          </cell>
          <cell r="O688" t="str">
            <v>7930 NORTH THORNYDALE RD</v>
          </cell>
          <cell r="P688" t="str">
            <v>tfay@lapetite.com</v>
          </cell>
          <cell r="Q688" t="str">
            <v>CDC-1870</v>
          </cell>
          <cell r="AJ688">
            <v>80696</v>
          </cell>
          <cell r="AK688" t="str">
            <v>CDC-1870</v>
          </cell>
          <cell r="AL688" t="str">
            <v>CDC1870</v>
          </cell>
        </row>
        <row r="689">
          <cell r="N689" t="str">
            <v>LA PETITE ACADEMY</v>
          </cell>
          <cell r="O689" t="str">
            <v>8940 EAST TANQUE VERDE RD</v>
          </cell>
          <cell r="P689" t="str">
            <v>7188@lapetite.com</v>
          </cell>
          <cell r="Q689" t="str">
            <v>CDC-1929</v>
          </cell>
          <cell r="AJ689">
            <v>80695</v>
          </cell>
          <cell r="AK689" t="str">
            <v>CDC-1929</v>
          </cell>
          <cell r="AL689" t="str">
            <v>CDC1929</v>
          </cell>
        </row>
        <row r="690">
          <cell r="N690" t="str">
            <v>LA PETITE ACADEMY</v>
          </cell>
          <cell r="O690" t="str">
            <v>1935 EAST FORT LOWELL</v>
          </cell>
          <cell r="P690" t="str">
            <v>7183@lpacorp.com</v>
          </cell>
          <cell r="Q690" t="str">
            <v>CDC-1956</v>
          </cell>
          <cell r="AJ690">
            <v>80498</v>
          </cell>
          <cell r="AK690" t="str">
            <v>CDC-1956</v>
          </cell>
          <cell r="AL690" t="str">
            <v>CDC1956</v>
          </cell>
        </row>
        <row r="691">
          <cell r="N691" t="str">
            <v>LA PETITE ACADEMY</v>
          </cell>
          <cell r="O691" t="str">
            <v>6570 SOUTH MIDVALE PARK</v>
          </cell>
          <cell r="P691" t="str">
            <v>7185@lapetite.com</v>
          </cell>
          <cell r="Q691" t="str">
            <v>CDC-1988</v>
          </cell>
          <cell r="AJ691">
            <v>80499</v>
          </cell>
          <cell r="AK691" t="str">
            <v>CDC-1988</v>
          </cell>
          <cell r="AL691" t="str">
            <v>CDC1988</v>
          </cell>
        </row>
        <row r="692">
          <cell r="N692" t="str">
            <v>LA PETITE ACADEMY</v>
          </cell>
          <cell r="O692" t="str">
            <v>1155 NORTH SARNOFF DRIVE</v>
          </cell>
          <cell r="P692" t="str">
            <v>7186@lapetite.com</v>
          </cell>
          <cell r="Q692" t="str">
            <v>CDC-1997</v>
          </cell>
          <cell r="AJ692">
            <v>80500</v>
          </cell>
          <cell r="AK692" t="str">
            <v>CDC-1997</v>
          </cell>
          <cell r="AL692" t="str">
            <v>CDC1997</v>
          </cell>
        </row>
        <row r="693">
          <cell r="N693" t="str">
            <v>LA PETITE ACADEMY</v>
          </cell>
          <cell r="O693" t="str">
            <v>20195 NORTH 67TH AVENUE</v>
          </cell>
          <cell r="P693" t="str">
            <v>sboursaw@lapetite.com</v>
          </cell>
          <cell r="Q693" t="str">
            <v>CDC-5020</v>
          </cell>
          <cell r="AJ693" t="e">
            <v>#N/A</v>
          </cell>
          <cell r="AK693" t="str">
            <v>CDC-5020</v>
          </cell>
          <cell r="AL693" t="str">
            <v>CDC5020</v>
          </cell>
        </row>
        <row r="694">
          <cell r="N694" t="str">
            <v>LA PETITE ACADEMY</v>
          </cell>
          <cell r="O694" t="str">
            <v>13003 WEST MCDOWELL ROAD</v>
          </cell>
          <cell r="P694" t="str">
            <v>7165@lapetite.com</v>
          </cell>
          <cell r="Q694" t="str">
            <v>CDC-7971</v>
          </cell>
          <cell r="AJ694">
            <v>90082</v>
          </cell>
          <cell r="AK694" t="str">
            <v>CDC-7971</v>
          </cell>
          <cell r="AL694" t="str">
            <v>CDC7971</v>
          </cell>
        </row>
        <row r="695">
          <cell r="N695" t="str">
            <v>LA PETITE ACADEMY PRESCHOOL</v>
          </cell>
          <cell r="O695" t="str">
            <v>2343 SOUTH POWER ROAD</v>
          </cell>
          <cell r="P695" t="str">
            <v>7172@lapetite.com</v>
          </cell>
          <cell r="Q695" t="str">
            <v>CDC-8277</v>
          </cell>
          <cell r="AJ695">
            <v>92653</v>
          </cell>
          <cell r="AK695" t="str">
            <v>CDC-8277</v>
          </cell>
          <cell r="AL695" t="str">
            <v>CDC8277</v>
          </cell>
        </row>
        <row r="696">
          <cell r="N696" t="str">
            <v>LA PETITE ACADEMY, INC.</v>
          </cell>
          <cell r="O696" t="str">
            <v>1645 EAST GUADALUPE ROAD</v>
          </cell>
          <cell r="P696" t="str">
            <v>lpaazt@lpacorp.com</v>
          </cell>
          <cell r="Q696" t="str">
            <v>CDC-12769</v>
          </cell>
          <cell r="AJ696" t="e">
            <v>#N/A</v>
          </cell>
          <cell r="AK696" t="str">
            <v>CDC-12769</v>
          </cell>
          <cell r="AL696" t="str">
            <v>CDC12769</v>
          </cell>
        </row>
        <row r="697">
          <cell r="N697" t="str">
            <v>LADY BUG CHILD CARE L L C</v>
          </cell>
          <cell r="O697" t="str">
            <v>5814 WEST CAMELBACK</v>
          </cell>
          <cell r="P697" t="str">
            <v>ladybugchildcare@cox.net</v>
          </cell>
          <cell r="Q697" t="str">
            <v>CDC-16851</v>
          </cell>
          <cell r="AJ697">
            <v>92701</v>
          </cell>
          <cell r="AK697" t="str">
            <v>CDC-16851</v>
          </cell>
          <cell r="AL697" t="str">
            <v>CDC16851</v>
          </cell>
        </row>
        <row r="698">
          <cell r="N698" t="str">
            <v>LAGUNA HEAD START</v>
          </cell>
          <cell r="O698" t="str">
            <v>5001 NORTH SHANNON ROAD</v>
          </cell>
          <cell r="P698" t="str">
            <v>laguna@childparentcenters.org</v>
          </cell>
          <cell r="Q698" t="str">
            <v>CDC-4757</v>
          </cell>
          <cell r="AJ698">
            <v>85921</v>
          </cell>
          <cell r="AK698" t="str">
            <v>CDC-4757</v>
          </cell>
          <cell r="AL698" t="str">
            <v>CDC4757</v>
          </cell>
        </row>
        <row r="699">
          <cell r="N699" t="str">
            <v>LALA'S LAND OF LEARNING LLC</v>
          </cell>
          <cell r="O699" t="str">
            <v>8416 EAST SPOUSE DRIVE</v>
          </cell>
          <cell r="P699" t="str">
            <v>angel88ean@msn.com</v>
          </cell>
          <cell r="Q699" t="str">
            <v>CDC-18721</v>
          </cell>
          <cell r="AJ699" t="e">
            <v>#N/A</v>
          </cell>
          <cell r="AK699" t="str">
            <v>CDC-18721</v>
          </cell>
          <cell r="AL699" t="str">
            <v>CDC18721</v>
          </cell>
        </row>
        <row r="700">
          <cell r="N700" t="str">
            <v>LALLIPOP DAYCARE</v>
          </cell>
          <cell r="O700" t="str">
            <v>1451 EAST WILLIAMS FIELD ROAD</v>
          </cell>
          <cell r="P700" t="str">
            <v>info@lallipopdaycare.com</v>
          </cell>
          <cell r="Q700" t="str">
            <v>CDC-18399</v>
          </cell>
          <cell r="AJ700" t="e">
            <v>#N/A</v>
          </cell>
          <cell r="AK700" t="str">
            <v>CDC-18399</v>
          </cell>
          <cell r="AL700" t="str">
            <v>CDC18399</v>
          </cell>
        </row>
        <row r="701">
          <cell r="N701" t="str">
            <v>LAMAR HEAD START</v>
          </cell>
          <cell r="O701" t="str">
            <v>6331 WEST LAMAR ROAD</v>
          </cell>
          <cell r="P701" t="str">
            <v>LZelaya@cc-az.org</v>
          </cell>
          <cell r="Q701" t="str">
            <v>CDC-3159</v>
          </cell>
          <cell r="AJ701" t="e">
            <v>#N/A</v>
          </cell>
          <cell r="AK701" t="str">
            <v>CDC-3159</v>
          </cell>
          <cell r="AL701" t="str">
            <v>CDC3159</v>
          </cell>
        </row>
        <row r="702">
          <cell r="N702" t="str">
            <v>LAMB'S GATE PRESCHOOL &amp; KINDERGARTEN</v>
          </cell>
          <cell r="O702" t="str">
            <v>4700 NORTH SWAN ROAD</v>
          </cell>
          <cell r="P702" t="str">
            <v>KelleyC@lambsgate.org</v>
          </cell>
          <cell r="Q702" t="str">
            <v>CDC-0875</v>
          </cell>
          <cell r="AJ702" t="e">
            <v>#N/A</v>
          </cell>
          <cell r="AK702" t="str">
            <v>CDC-0875</v>
          </cell>
          <cell r="AL702" t="str">
            <v>CDC0875</v>
          </cell>
        </row>
        <row r="703">
          <cell r="N703" t="str">
            <v>LATTIE COOR HEAD START</v>
          </cell>
          <cell r="O703" t="str">
            <v>220 WEST LA CANADA BOULEVARD</v>
          </cell>
          <cell r="P703" t="str">
            <v>rsandoval@cc-az.org</v>
          </cell>
          <cell r="Q703" t="str">
            <v>CDC-12996</v>
          </cell>
          <cell r="AJ703" t="e">
            <v>#N/A</v>
          </cell>
          <cell r="AK703" t="str">
            <v>CDC-12996</v>
          </cell>
          <cell r="AL703" t="str">
            <v>CDC12996</v>
          </cell>
        </row>
        <row r="704">
          <cell r="N704" t="str">
            <v>LEA'S CAROUSEL LEARNING CENTER #2</v>
          </cell>
          <cell r="O704" t="str">
            <v>14011 NORTH 51ST AVENUE</v>
          </cell>
          <cell r="P704" t="str">
            <v>jmchouchane.carousel@yahoo.com</v>
          </cell>
          <cell r="Q704" t="str">
            <v>CDC-5214</v>
          </cell>
          <cell r="AJ704" t="e">
            <v>#N/A</v>
          </cell>
          <cell r="AK704" t="str">
            <v>CDC-5214</v>
          </cell>
          <cell r="AL704" t="str">
            <v>CDC5214</v>
          </cell>
        </row>
        <row r="705">
          <cell r="N705" t="str">
            <v>LEARN -N- GROW CHILD CARE CENTER</v>
          </cell>
          <cell r="O705" t="str">
            <v>5235 EAST PIMA ST</v>
          </cell>
          <cell r="P705" t="str">
            <v>learnngrow@yahoo.com</v>
          </cell>
          <cell r="Q705" t="str">
            <v>CDC-13511</v>
          </cell>
          <cell r="AJ705">
            <v>89876</v>
          </cell>
          <cell r="AK705" t="str">
            <v>CDC-13511</v>
          </cell>
          <cell r="AL705" t="str">
            <v>CDC13511</v>
          </cell>
        </row>
        <row r="706">
          <cell r="N706" t="str">
            <v>LEARN N' PLAY, INC.</v>
          </cell>
          <cell r="O706" t="str">
            <v>15626 SOUTH 42ND STREET</v>
          </cell>
          <cell r="P706" t="str">
            <v>jenny@teachnfun.com</v>
          </cell>
          <cell r="Q706" t="str">
            <v>CDC-18079</v>
          </cell>
          <cell r="AJ706">
            <v>90113</v>
          </cell>
          <cell r="AK706" t="str">
            <v>CDC-18079</v>
          </cell>
          <cell r="AL706" t="str">
            <v>CDC18079</v>
          </cell>
        </row>
        <row r="707">
          <cell r="N707" t="str">
            <v>LEARNING BEE PRESCHOOL &amp; DAY CARE CENTER</v>
          </cell>
          <cell r="O707" t="str">
            <v>3975 E 22ND</v>
          </cell>
          <cell r="P707" t="str">
            <v>evelynfelix1981@yahoo.com</v>
          </cell>
          <cell r="Q707" t="str">
            <v>CDC-9675</v>
          </cell>
          <cell r="AJ707">
            <v>79917</v>
          </cell>
          <cell r="AK707" t="str">
            <v>CDC-9675</v>
          </cell>
          <cell r="AL707" t="str">
            <v>CDC9675</v>
          </cell>
        </row>
        <row r="708">
          <cell r="N708" t="str">
            <v>LEARNING CASTLE CHILDRENS CENTER L.L.C.</v>
          </cell>
          <cell r="O708" t="str">
            <v>4701 NORTH ROBERT ROAD</v>
          </cell>
          <cell r="P708" t="str">
            <v>info@learningcastlechildrenscenter.com</v>
          </cell>
          <cell r="Q708" t="str">
            <v>CDC-15199</v>
          </cell>
          <cell r="AJ708" t="e">
            <v>#N/A</v>
          </cell>
          <cell r="AK708" t="str">
            <v>CDC-15199</v>
          </cell>
          <cell r="AL708" t="str">
            <v>CDC15199</v>
          </cell>
        </row>
        <row r="709">
          <cell r="N709" t="str">
            <v>LEARNING FOUNDATION PRESCHOOL</v>
          </cell>
          <cell r="O709" t="str">
            <v>851 NORTH STAPLEY DRIVE #6</v>
          </cell>
          <cell r="P709" t="str">
            <v>maitken@lfapa.org</v>
          </cell>
          <cell r="Q709" t="str">
            <v>CDC-11664</v>
          </cell>
          <cell r="AJ709" t="e">
            <v>#N/A</v>
          </cell>
          <cell r="AK709" t="str">
            <v>CDC-11664</v>
          </cell>
          <cell r="AL709" t="str">
            <v>CDC11664</v>
          </cell>
        </row>
        <row r="710">
          <cell r="N710" t="str">
            <v>LEARNING FOUNDATION PRESCHOOL</v>
          </cell>
          <cell r="O710" t="str">
            <v>807 NORTH STAPLEY DRIVE</v>
          </cell>
          <cell r="P710" t="str">
            <v>maitken@lfapa.org</v>
          </cell>
          <cell r="Q710" t="str">
            <v>CDC-17779</v>
          </cell>
          <cell r="AJ710" t="e">
            <v>#N/A</v>
          </cell>
          <cell r="AK710" t="str">
            <v>CDC-17779</v>
          </cell>
          <cell r="AL710" t="str">
            <v>CDC17779</v>
          </cell>
        </row>
        <row r="711">
          <cell r="N711" t="str">
            <v>LEARNING FOUNDATION PRESCHOOL</v>
          </cell>
          <cell r="O711" t="str">
            <v>3939 EAST WARNER ROAD</v>
          </cell>
          <cell r="P711" t="str">
            <v>learningfoundation@msn.com</v>
          </cell>
          <cell r="Q711" t="str">
            <v>CDC-18010</v>
          </cell>
          <cell r="AJ711" t="e">
            <v>#N/A</v>
          </cell>
          <cell r="AK711" t="str">
            <v>CDC-18010</v>
          </cell>
          <cell r="AL711" t="str">
            <v>CDC18010</v>
          </cell>
        </row>
        <row r="712">
          <cell r="N712" t="str">
            <v>LEARNING GARDEN PRESCHOOL &amp; DAYCARE</v>
          </cell>
          <cell r="O712" t="str">
            <v>888 SOUTH GREENFIELD ROAD #108</v>
          </cell>
          <cell r="P712" t="str">
            <v>lgpreschools@yahoo.com</v>
          </cell>
          <cell r="Q712" t="str">
            <v>CDC-17152</v>
          </cell>
          <cell r="AJ712" t="e">
            <v>#N/A</v>
          </cell>
          <cell r="AK712" t="str">
            <v>CDC-17152</v>
          </cell>
          <cell r="AL712" t="str">
            <v>CDC17152</v>
          </cell>
        </row>
        <row r="713">
          <cell r="N713" t="str">
            <v>LEARNING TO GROW CHILDCARE, L.L.C.</v>
          </cell>
          <cell r="O713" t="str">
            <v>655 NORTH CRAYCROFT ROAD</v>
          </cell>
          <cell r="P713" t="str">
            <v>learningtogrow@outlook.com</v>
          </cell>
          <cell r="Q713" t="str">
            <v>CDC-18523</v>
          </cell>
          <cell r="AJ713" t="e">
            <v>#N/A</v>
          </cell>
          <cell r="AK713" t="str">
            <v>CDC-18523</v>
          </cell>
          <cell r="AL713" t="str">
            <v>CDC18523</v>
          </cell>
        </row>
        <row r="714">
          <cell r="N714" t="str">
            <v>LEARNING WORKS PRESCHOOL</v>
          </cell>
          <cell r="O714" t="str">
            <v>10726 NORTH 96TH AVENUE</v>
          </cell>
          <cell r="P714" t="str">
            <v>learningworkspreschool@gmail.com</v>
          </cell>
          <cell r="Q714" t="str">
            <v>CDC-1025</v>
          </cell>
          <cell r="AJ714">
            <v>9194</v>
          </cell>
          <cell r="AK714" t="str">
            <v>CDC-1025</v>
          </cell>
          <cell r="AL714" t="str">
            <v>CDC1025</v>
          </cell>
        </row>
        <row r="715">
          <cell r="N715" t="str">
            <v>LEGACY TRADITIONAL  PRESCHOOL - NORTH CHANDLER</v>
          </cell>
          <cell r="O715" t="str">
            <v>1900 NORTH MCQUEEN ROAD</v>
          </cell>
          <cell r="P715" t="str">
            <v>nch-preschool@legacytraditional.org</v>
          </cell>
          <cell r="Q715" t="str">
            <v>CDC-18181</v>
          </cell>
          <cell r="AJ715" t="e">
            <v>#N/A</v>
          </cell>
          <cell r="AK715" t="str">
            <v>CDC-18181</v>
          </cell>
          <cell r="AL715" t="str">
            <v>CDC18181</v>
          </cell>
        </row>
        <row r="716">
          <cell r="N716" t="str">
            <v>LEGACY TRADITIONAL PRESCHOOL - CHANDLER</v>
          </cell>
          <cell r="O716" t="str">
            <v>3201 SOUTH GILBERT ROAD</v>
          </cell>
          <cell r="P716" t="str">
            <v>ch-preschool@legacytraditional.org</v>
          </cell>
          <cell r="Q716" t="str">
            <v>CDC-18180</v>
          </cell>
          <cell r="AJ716" t="e">
            <v>#N/A</v>
          </cell>
          <cell r="AK716" t="str">
            <v>CDC-18180</v>
          </cell>
          <cell r="AL716" t="str">
            <v>CDC18180</v>
          </cell>
        </row>
        <row r="717">
          <cell r="N717" t="str">
            <v>LEGACY TRADITIONAL PRESCHOOL - EAST MESA</v>
          </cell>
          <cell r="O717" t="str">
            <v>10707 EAST GUADALUPE ROAD</v>
          </cell>
          <cell r="P717" t="str">
            <v>em-preschool@legacytraditional.org</v>
          </cell>
          <cell r="Q717" t="str">
            <v>CDC-18267</v>
          </cell>
          <cell r="AJ717" t="e">
            <v>#N/A</v>
          </cell>
          <cell r="AK717" t="str">
            <v>CDC-18267</v>
          </cell>
          <cell r="AL717" t="str">
            <v>CDC18267</v>
          </cell>
        </row>
        <row r="718">
          <cell r="N718" t="str">
            <v>LEHI MONTESSORI SCHOOL</v>
          </cell>
          <cell r="O718" t="str">
            <v>2415 NORTH TERRACE CIRCLE</v>
          </cell>
          <cell r="P718" t="str">
            <v>help@montessori-house.com</v>
          </cell>
          <cell r="Q718" t="str">
            <v>CDC-9075</v>
          </cell>
          <cell r="AJ718" t="e">
            <v>#N/A</v>
          </cell>
          <cell r="AK718" t="str">
            <v>CDC-9075</v>
          </cell>
          <cell r="AL718" t="str">
            <v>CDC9075</v>
          </cell>
        </row>
        <row r="719">
          <cell r="N719" t="str">
            <v>LEMAN ACADEMY OF EXCELLENCE</v>
          </cell>
          <cell r="O719" t="str">
            <v>7720 N. SILVERBELL RD.</v>
          </cell>
          <cell r="P719" t="str">
            <v>nnugent@lemanacademy.org</v>
          </cell>
          <cell r="Q719" t="str">
            <v>CDC-17321</v>
          </cell>
          <cell r="AJ719" t="e">
            <v>#N/A</v>
          </cell>
          <cell r="AK719" t="str">
            <v>CDC-17321</v>
          </cell>
          <cell r="AL719" t="str">
            <v>CDC17321</v>
          </cell>
        </row>
        <row r="720">
          <cell r="N720" t="str">
            <v>LEMAN ACADEMY OF EXCELLENCE</v>
          </cell>
          <cell r="O720" t="str">
            <v>12255 NORTH LA CANADA DRIVE</v>
          </cell>
          <cell r="P720" t="str">
            <v>shelby.romero@lemanacademy.org</v>
          </cell>
          <cell r="Q720" t="str">
            <v>CDC-17937</v>
          </cell>
          <cell r="AJ720" t="e">
            <v>#N/A</v>
          </cell>
          <cell r="AK720" t="str">
            <v>CDC-17937</v>
          </cell>
          <cell r="AL720" t="str">
            <v>CDC17937</v>
          </cell>
        </row>
        <row r="721">
          <cell r="N721" t="str">
            <v>LEMAN ACADEMY OF EXCELLENCE CENTRAL</v>
          </cell>
          <cell r="O721" t="str">
            <v>6188 EAST PIMA STREET</v>
          </cell>
          <cell r="P721" t="str">
            <v>npennington@lemanacademy.org</v>
          </cell>
          <cell r="Q721" t="str">
            <v>CDC-18931</v>
          </cell>
          <cell r="AJ721" t="e">
            <v>#N/A</v>
          </cell>
          <cell r="AK721" t="str">
            <v>CDC-18931</v>
          </cell>
          <cell r="AL721" t="str">
            <v>CDC18931</v>
          </cell>
        </row>
        <row r="722">
          <cell r="N722" t="str">
            <v>LEMAN ACADEMY OF EXCELLENCE EAST TUCSON</v>
          </cell>
          <cell r="O722" t="str">
            <v>10100 EAST GOLF LINKS ROAD</v>
          </cell>
          <cell r="P722" t="str">
            <v>nathan.edwards@lemanacademy.org</v>
          </cell>
          <cell r="Q722" t="str">
            <v>CDC-18281</v>
          </cell>
          <cell r="AJ722" t="e">
            <v>#N/A</v>
          </cell>
          <cell r="AK722" t="str">
            <v>CDC-18281</v>
          </cell>
          <cell r="AL722" t="str">
            <v>CDC18281</v>
          </cell>
        </row>
        <row r="723">
          <cell r="N723" t="str">
            <v>LIBERTY ARTS ACADEMY</v>
          </cell>
          <cell r="O723" t="str">
            <v>3015 SOUTH POWER ROAD</v>
          </cell>
          <cell r="P723" t="str">
            <v>brady.wald@leonagroup.com</v>
          </cell>
          <cell r="Q723" t="str">
            <v>CDC-14364</v>
          </cell>
          <cell r="AJ723" t="e">
            <v>#N/A</v>
          </cell>
          <cell r="AK723" t="str">
            <v>CDC-14364</v>
          </cell>
          <cell r="AL723" t="str">
            <v>CDC14364</v>
          </cell>
        </row>
        <row r="724">
          <cell r="N724" t="str">
            <v>LIBERTY HEAD START</v>
          </cell>
          <cell r="O724" t="str">
            <v>5495 SOUTH LIBERTY</v>
          </cell>
          <cell r="P724" t="str">
            <v>liberty@childparentcenters.org</v>
          </cell>
          <cell r="Q724" t="str">
            <v>CDC-4755</v>
          </cell>
          <cell r="AJ724">
            <v>7936</v>
          </cell>
          <cell r="AK724" t="str">
            <v>CDC-4755</v>
          </cell>
          <cell r="AL724" t="str">
            <v>CDC4755</v>
          </cell>
        </row>
        <row r="725">
          <cell r="N725" t="str">
            <v>LIFE CHRISTIAN PRESCHOOL AND CHILDCARE</v>
          </cell>
          <cell r="O725" t="str">
            <v>11530 EAST QUEEN CREEK ROAD</v>
          </cell>
          <cell r="P725" t="str">
            <v>lccdirector@faithfc.org</v>
          </cell>
          <cell r="Q725" t="str">
            <v>CDC-14909</v>
          </cell>
          <cell r="AJ725">
            <v>91236</v>
          </cell>
          <cell r="AK725" t="str">
            <v>CDC-14909</v>
          </cell>
          <cell r="AL725" t="str">
            <v>CDC14909</v>
          </cell>
        </row>
        <row r="726">
          <cell r="N726" t="str">
            <v>LIFE TIME -  GOODYEAR</v>
          </cell>
          <cell r="O726" t="str">
            <v>14540 WEST MCDOWELL ROAD</v>
          </cell>
          <cell r="P726" t="str">
            <v>fhernandez@lt.life</v>
          </cell>
          <cell r="Q726" t="str">
            <v>CDC-16186</v>
          </cell>
          <cell r="AJ726" t="e">
            <v>#N/A</v>
          </cell>
          <cell r="AK726" t="str">
            <v>CDC-16186</v>
          </cell>
          <cell r="AL726" t="str">
            <v>CDC16186</v>
          </cell>
        </row>
        <row r="727">
          <cell r="N727" t="str">
            <v>LIFE TIME - GILBERT</v>
          </cell>
          <cell r="O727" t="str">
            <v>381 EAST WARNER ROAD</v>
          </cell>
          <cell r="P727" t="str">
            <v>sshultz@lt.life</v>
          </cell>
          <cell r="Q727" t="str">
            <v>CDC-16185</v>
          </cell>
          <cell r="AJ727" t="e">
            <v>#N/A</v>
          </cell>
          <cell r="AK727" t="str">
            <v>CDC-16185</v>
          </cell>
          <cell r="AL727" t="str">
            <v>CDC16185</v>
          </cell>
        </row>
        <row r="728">
          <cell r="N728" t="str">
            <v>LIFE TIME - SCOTTSDALE</v>
          </cell>
          <cell r="O728" t="str">
            <v>6850 EAST CHAUNCEY LANE</v>
          </cell>
          <cell r="P728" t="str">
            <v>fhernandez@lt.life</v>
          </cell>
          <cell r="Q728" t="str">
            <v>CDC-16184</v>
          </cell>
          <cell r="AJ728" t="e">
            <v>#N/A</v>
          </cell>
          <cell r="AK728" t="str">
            <v>CDC-16184</v>
          </cell>
          <cell r="AL728" t="str">
            <v>CDC16184</v>
          </cell>
        </row>
        <row r="729">
          <cell r="N729" t="str">
            <v>LIFE TIME - TEMPE</v>
          </cell>
          <cell r="O729" t="str">
            <v>1616 WEST RUBY DRIVE</v>
          </cell>
          <cell r="P729" t="str">
            <v>sbodnar@lt.life</v>
          </cell>
          <cell r="Q729" t="str">
            <v>CDC-16183</v>
          </cell>
          <cell r="AJ729" t="e">
            <v>#N/A</v>
          </cell>
          <cell r="AK729" t="str">
            <v>CDC-16183</v>
          </cell>
          <cell r="AL729" t="str">
            <v>CDC16183</v>
          </cell>
        </row>
        <row r="730">
          <cell r="N730" t="str">
            <v>LIFEPRINTS CHILDCARE</v>
          </cell>
          <cell r="O730" t="str">
            <v>5680 WEST PEORIA AVENUE</v>
          </cell>
          <cell r="P730" t="str">
            <v>werner327@live.com</v>
          </cell>
          <cell r="Q730" t="str">
            <v>CDC-17692</v>
          </cell>
          <cell r="AJ730" t="e">
            <v>#N/A</v>
          </cell>
          <cell r="AK730" t="str">
            <v>CDC-17692</v>
          </cell>
          <cell r="AL730" t="str">
            <v>CDC17692</v>
          </cell>
        </row>
        <row r="731">
          <cell r="N731" t="str">
            <v>LIFEPRINTS CHILDCARE &amp; LEARNING CENTER</v>
          </cell>
          <cell r="O731" t="str">
            <v>15630 NORTH 7TH STREET</v>
          </cell>
          <cell r="P731" t="str">
            <v>werner327@live.com</v>
          </cell>
          <cell r="Q731" t="str">
            <v>CDC-17281</v>
          </cell>
          <cell r="AJ731" t="e">
            <v>#N/A</v>
          </cell>
          <cell r="AK731" t="str">
            <v>CDC-17281</v>
          </cell>
          <cell r="AL731" t="str">
            <v>CDC17281</v>
          </cell>
        </row>
        <row r="732">
          <cell r="N732" t="str">
            <v>LIGHT OF CHRIST CHRISTIAN PRESCHOOL</v>
          </cell>
          <cell r="O732" t="str">
            <v>6289 SOUTH GREENFIELD ROAD</v>
          </cell>
          <cell r="P732" t="str">
            <v>lightofchristpreschool@gmail.com</v>
          </cell>
          <cell r="Q732" t="str">
            <v>CDC-17526</v>
          </cell>
          <cell r="AJ732" t="e">
            <v>#N/A</v>
          </cell>
          <cell r="AK732" t="str">
            <v>CDC-17526</v>
          </cell>
          <cell r="AL732" t="str">
            <v>CDC17526</v>
          </cell>
        </row>
        <row r="733">
          <cell r="N733" t="str">
            <v>LIGHT THE WAY PRESCHOOL</v>
          </cell>
          <cell r="O733" t="str">
            <v>8611 NORTH SILVERBELL RD</v>
          </cell>
          <cell r="P733" t="str">
            <v>preschoolltw@gmail.com</v>
          </cell>
          <cell r="Q733" t="str">
            <v>CDC-16003</v>
          </cell>
          <cell r="AJ733" t="e">
            <v>#N/A</v>
          </cell>
          <cell r="AK733" t="str">
            <v>CDC-16003</v>
          </cell>
          <cell r="AL733" t="str">
            <v>CDC16003</v>
          </cell>
        </row>
        <row r="734">
          <cell r="N734" t="str">
            <v>LIL' EINSTEINS ACADEMY</v>
          </cell>
          <cell r="O734" t="str">
            <v>3071 WEST HUNT HIGHWAY SUITE 104</v>
          </cell>
          <cell r="P734" t="str">
            <v>thelileinsteinsacademy@gmail.com</v>
          </cell>
          <cell r="Q734" t="str">
            <v>CDC-17520</v>
          </cell>
          <cell r="AJ734">
            <v>460999</v>
          </cell>
          <cell r="AK734" t="str">
            <v>CDC-17520</v>
          </cell>
          <cell r="AL734" t="str">
            <v>CDC17520</v>
          </cell>
        </row>
        <row r="735">
          <cell r="N735" t="str">
            <v>LIL' EINSTEINS PRESCHOOL</v>
          </cell>
          <cell r="O735" t="str">
            <v>3369 EAST QUEEN CREEK ROAD STE 104</v>
          </cell>
          <cell r="P735" t="str">
            <v>kendrahall@cox.net</v>
          </cell>
          <cell r="Q735" t="str">
            <v>CDC-13494</v>
          </cell>
          <cell r="AJ735" t="e">
            <v>#N/A</v>
          </cell>
          <cell r="AK735" t="str">
            <v>CDC-13494</v>
          </cell>
          <cell r="AL735" t="str">
            <v>CDC13494</v>
          </cell>
        </row>
        <row r="736">
          <cell r="N736" t="str">
            <v>LIL' KIDDIELAND CHILDCARE</v>
          </cell>
          <cell r="O736" t="str">
            <v>460 SOUTH 7TH STREET</v>
          </cell>
          <cell r="P736" t="str">
            <v>dcsample@msn.com</v>
          </cell>
          <cell r="Q736" t="str">
            <v>CDC-17834</v>
          </cell>
          <cell r="AJ736">
            <v>934629</v>
          </cell>
          <cell r="AK736" t="str">
            <v>CDC-17834</v>
          </cell>
          <cell r="AL736" t="str">
            <v>CDC17834</v>
          </cell>
        </row>
        <row r="737">
          <cell r="N737" t="str">
            <v>LIL' PAWS LEARNING CENTER</v>
          </cell>
          <cell r="O737" t="str">
            <v>19601 NORTH 27TH AVENUE BLDG 2</v>
          </cell>
          <cell r="P737" t="str">
            <v>heather.adkins@brighthorizons.com</v>
          </cell>
          <cell r="Q737" t="str">
            <v>CDC-14420</v>
          </cell>
          <cell r="AJ737" t="e">
            <v>#N/A</v>
          </cell>
          <cell r="AK737" t="str">
            <v>CDC-14420</v>
          </cell>
          <cell r="AL737" t="str">
            <v>CDC14420</v>
          </cell>
        </row>
        <row r="738">
          <cell r="N738" t="str">
            <v>LINCOLN FAMILY Y.M.C.A.</v>
          </cell>
          <cell r="O738" t="str">
            <v>350 NORTH 1ST AVENUE</v>
          </cell>
          <cell r="P738" t="str">
            <v>lncorral@vosymca.org</v>
          </cell>
          <cell r="Q738" t="str">
            <v>CDC-18662</v>
          </cell>
          <cell r="AJ738" t="e">
            <v>#N/A</v>
          </cell>
          <cell r="AK738" t="str">
            <v>CDC-18662</v>
          </cell>
          <cell r="AL738" t="str">
            <v>CDC18662</v>
          </cell>
        </row>
        <row r="739">
          <cell r="N739" t="str">
            <v>LINCOLN LEARNING CENTER</v>
          </cell>
          <cell r="O739" t="str">
            <v>303 EAST EVA STREET</v>
          </cell>
          <cell r="P739" t="str">
            <v>Speder1chonorhealth.com</v>
          </cell>
          <cell r="Q739" t="str">
            <v>CDC-1869</v>
          </cell>
          <cell r="AJ739">
            <v>8665</v>
          </cell>
          <cell r="AK739" t="str">
            <v>CDC-1869</v>
          </cell>
          <cell r="AL739" t="str">
            <v>CDC1869</v>
          </cell>
        </row>
        <row r="740">
          <cell r="N740" t="str">
            <v>LINE UPON LINE MONTESSORI INC.</v>
          </cell>
          <cell r="O740" t="str">
            <v>690 EAST WARNER ROAD #130</v>
          </cell>
          <cell r="P740" t="str">
            <v>lineuponlinemontessori@gmail.com</v>
          </cell>
          <cell r="Q740" t="str">
            <v>CDC-17283</v>
          </cell>
          <cell r="AJ740" t="e">
            <v>#N/A</v>
          </cell>
          <cell r="AK740" t="str">
            <v>CDC-17283</v>
          </cell>
          <cell r="AL740" t="str">
            <v>CDC17283</v>
          </cell>
        </row>
        <row r="741">
          <cell r="N741" t="str">
            <v>LITCHFIELD PARK RECREATION CENTER</v>
          </cell>
          <cell r="O741" t="str">
            <v>100 SOUTH OLD LITCHFIELD  ROAD</v>
          </cell>
          <cell r="P741" t="str">
            <v>cweaver@litchfieldpark.org</v>
          </cell>
          <cell r="Q741" t="str">
            <v>CDC-9021</v>
          </cell>
          <cell r="AJ741" t="e">
            <v>#N/A</v>
          </cell>
          <cell r="AK741" t="str">
            <v>CDC-9021</v>
          </cell>
          <cell r="AL741" t="str">
            <v>CDC9021</v>
          </cell>
        </row>
        <row r="742">
          <cell r="N742" t="str">
            <v>LITTLE ANGELS</v>
          </cell>
          <cell r="O742" t="str">
            <v>1544 EAST MITCHELL DRIVE</v>
          </cell>
          <cell r="P742" t="str">
            <v>8littleangels@gmail.com</v>
          </cell>
          <cell r="Q742" t="str">
            <v>CDC-9322</v>
          </cell>
          <cell r="AJ742">
            <v>79868</v>
          </cell>
          <cell r="AK742" t="str">
            <v>CDC-9322</v>
          </cell>
          <cell r="AL742" t="str">
            <v>CDC9322</v>
          </cell>
        </row>
        <row r="743">
          <cell r="N743" t="str">
            <v>LITTLE ANGELS MONTESSORI SCHOOL</v>
          </cell>
          <cell r="O743" t="str">
            <v>1908 WEST PARKSIDE LANE</v>
          </cell>
          <cell r="P743" t="str">
            <v>director@lamsaz.com</v>
          </cell>
          <cell r="Q743" t="str">
            <v>CDC-18592</v>
          </cell>
          <cell r="AJ743" t="e">
            <v>#N/A</v>
          </cell>
          <cell r="AK743" t="str">
            <v>CDC-18592</v>
          </cell>
          <cell r="AL743" t="str">
            <v>CDC18592</v>
          </cell>
        </row>
        <row r="744">
          <cell r="N744" t="str">
            <v>LITTLE BIG MINDS</v>
          </cell>
          <cell r="O744" t="str">
            <v>1420 WEST OSBORN ROAD</v>
          </cell>
          <cell r="P744" t="str">
            <v>ejennings@lbmpreschool.com</v>
          </cell>
          <cell r="Q744" t="str">
            <v>CDC-17133</v>
          </cell>
          <cell r="AJ744" t="e">
            <v>#N/A</v>
          </cell>
          <cell r="AK744" t="str">
            <v>CDC-17133</v>
          </cell>
          <cell r="AL744" t="str">
            <v>CDC17133</v>
          </cell>
        </row>
        <row r="745">
          <cell r="N745" t="str">
            <v>LITTLE BIG MINDS CENTER FOR EARLY CHILDHOOD BILINGUALISM</v>
          </cell>
          <cell r="O745" t="str">
            <v>4601 NORTH 34TH STREET</v>
          </cell>
          <cell r="P745" t="str">
            <v>pkelley@lbmpreschool.com</v>
          </cell>
          <cell r="Q745" t="str">
            <v>CDC-15377</v>
          </cell>
          <cell r="AJ745" t="e">
            <v>#N/A</v>
          </cell>
          <cell r="AK745" t="str">
            <v>CDC-15377</v>
          </cell>
          <cell r="AL745" t="str">
            <v>CDC15377</v>
          </cell>
        </row>
        <row r="746">
          <cell r="N746" t="str">
            <v>LITTLE BIG MINDS PRESCHOOL - UPTOWN</v>
          </cell>
          <cell r="O746" t="str">
            <v>1973 EAST MARYLAND AVENUE</v>
          </cell>
          <cell r="P746" t="str">
            <v>phunkins@lbmpreschool.com</v>
          </cell>
          <cell r="Q746" t="str">
            <v>CDC-18093</v>
          </cell>
          <cell r="AJ746" t="e">
            <v>#N/A</v>
          </cell>
          <cell r="AK746" t="str">
            <v>CDC-18093</v>
          </cell>
          <cell r="AL746" t="str">
            <v>CDC18093</v>
          </cell>
        </row>
        <row r="747">
          <cell r="N747" t="str">
            <v>LITTLE BIG MINDS PRESCHOOL-SCOTTSDALE</v>
          </cell>
          <cell r="O747" t="str">
            <v>6315 EAST THUNDERBIRD ROAD</v>
          </cell>
          <cell r="P747" t="str">
            <v>Info@lbmpreschool.com</v>
          </cell>
          <cell r="Q747" t="str">
            <v>CDC-17318</v>
          </cell>
          <cell r="AJ747" t="e">
            <v>#N/A</v>
          </cell>
          <cell r="AK747" t="str">
            <v>CDC-17318</v>
          </cell>
          <cell r="AL747" t="str">
            <v>CDC17318</v>
          </cell>
        </row>
        <row r="748">
          <cell r="N748" t="str">
            <v>LITTLE BRICK SCHOOL HOUSE</v>
          </cell>
          <cell r="O748" t="str">
            <v>2302 LILLIE AVENUE</v>
          </cell>
          <cell r="P748" t="str">
            <v>joy@littlebrickschoolhouse.org</v>
          </cell>
          <cell r="Q748" t="str">
            <v>CDC-16897</v>
          </cell>
          <cell r="AJ748" t="e">
            <v>#N/A</v>
          </cell>
          <cell r="AK748" t="str">
            <v>CDC-16897</v>
          </cell>
          <cell r="AL748" t="str">
            <v>CDC16897</v>
          </cell>
        </row>
        <row r="749">
          <cell r="N749" t="str">
            <v>LITTLE CASTLE CHILDCARE &amp; PRESCHOOL</v>
          </cell>
          <cell r="O749" t="str">
            <v>6042 SOUTH EUCLID AVE</v>
          </cell>
          <cell r="P749" t="str">
            <v>littlecastle@live.com</v>
          </cell>
          <cell r="Q749" t="str">
            <v>CDC-14072</v>
          </cell>
          <cell r="AJ749">
            <v>92710</v>
          </cell>
          <cell r="AK749" t="str">
            <v>CDC-14072</v>
          </cell>
          <cell r="AL749" t="str">
            <v>CDC14072</v>
          </cell>
        </row>
        <row r="750">
          <cell r="N750" t="str">
            <v>LITTLE CASTLE CHILDCARE &amp; PRESCHOOL</v>
          </cell>
          <cell r="O750" t="str">
            <v>6425 S PACHECO AVE</v>
          </cell>
          <cell r="P750" t="str">
            <v>angelapico85@gmail.com</v>
          </cell>
          <cell r="Q750" t="str">
            <v>CDC-16859</v>
          </cell>
          <cell r="AJ750" t="e">
            <v>#N/A</v>
          </cell>
          <cell r="AK750" t="str">
            <v>CDC-16859</v>
          </cell>
          <cell r="AL750" t="str">
            <v>CDC16859</v>
          </cell>
        </row>
        <row r="751">
          <cell r="N751" t="str">
            <v>LITTLE CASTLE CHILDCARE &amp; PRESCHOOL</v>
          </cell>
          <cell r="O751" t="str">
            <v>1802 EAST IRVINGTON ROAD</v>
          </cell>
          <cell r="P751" t="str">
            <v>vivispico@gmail.com</v>
          </cell>
          <cell r="Q751" t="str">
            <v>CDC-17836</v>
          </cell>
          <cell r="AJ751" t="e">
            <v>#N/A</v>
          </cell>
          <cell r="AK751" t="str">
            <v>CDC-17836</v>
          </cell>
          <cell r="AL751" t="str">
            <v>CDC17836</v>
          </cell>
        </row>
        <row r="752">
          <cell r="N752" t="str">
            <v>LITTLE DREAMERS PRESCHOOL ACADEMY</v>
          </cell>
          <cell r="O752" t="str">
            <v>7175 EAST 2ND STREET</v>
          </cell>
          <cell r="P752" t="str">
            <v>CRAIG@AZLITTLEDREAMERS.COM</v>
          </cell>
          <cell r="Q752" t="str">
            <v>CDC-18621</v>
          </cell>
          <cell r="AJ752" t="e">
            <v>#N/A</v>
          </cell>
          <cell r="AK752" t="str">
            <v>CDC-18621</v>
          </cell>
          <cell r="AL752" t="str">
            <v>CDC18621</v>
          </cell>
        </row>
        <row r="753">
          <cell r="N753" t="str">
            <v>LITTLE EAGLE PRESCHOOL &amp; CHLDCARE</v>
          </cell>
          <cell r="O753" t="str">
            <v>1475 GORDON DRIVE</v>
          </cell>
          <cell r="P753" t="str">
            <v>littleeaglepreschool@gmail.com</v>
          </cell>
          <cell r="Q753" t="str">
            <v>CDC-14021</v>
          </cell>
          <cell r="AJ753">
            <v>89841</v>
          </cell>
          <cell r="AK753" t="str">
            <v>CDC-14021</v>
          </cell>
          <cell r="AL753" t="str">
            <v>CDC14021</v>
          </cell>
        </row>
        <row r="754">
          <cell r="N754" t="str">
            <v>LITTLE EINSTEIN PRESCHOOL</v>
          </cell>
          <cell r="O754" t="str">
            <v>2105 EAST SOUTHERN AVENUE</v>
          </cell>
          <cell r="P754" t="str">
            <v>msawyer@littleeinsteinpreschool.com</v>
          </cell>
          <cell r="Q754" t="str">
            <v>CDC-16839</v>
          </cell>
          <cell r="AJ754">
            <v>92406</v>
          </cell>
          <cell r="AK754" t="str">
            <v>CDC-16839</v>
          </cell>
          <cell r="AL754" t="str">
            <v>CDC16839</v>
          </cell>
        </row>
        <row r="755">
          <cell r="N755" t="str">
            <v>LITTLE EINSTEIN PRESCHOOL LLC</v>
          </cell>
          <cell r="O755" t="str">
            <v>185 WEST APACHE TRAIL, SUITE 110</v>
          </cell>
          <cell r="P755" t="str">
            <v>msawyer@littleeinsteinpreschool.com</v>
          </cell>
          <cell r="Q755" t="str">
            <v>CDC-17427</v>
          </cell>
          <cell r="AJ755" t="e">
            <v>#N/A</v>
          </cell>
          <cell r="AK755" t="str">
            <v>CDC-17427</v>
          </cell>
          <cell r="AL755" t="str">
            <v>CDC17427</v>
          </cell>
        </row>
        <row r="756">
          <cell r="N756" t="str">
            <v>LITTLE EXPLORERS LEARNING ACADEMY</v>
          </cell>
          <cell r="O756" t="str">
            <v>3128 NORTH TANI ROAD</v>
          </cell>
          <cell r="P756" t="str">
            <v>Lelapv@cableone.net</v>
          </cell>
          <cell r="Q756" t="str">
            <v>CDC-17987</v>
          </cell>
          <cell r="AJ756" t="e">
            <v>#N/A</v>
          </cell>
          <cell r="AK756" t="str">
            <v>CDC-17987</v>
          </cell>
          <cell r="AL756" t="str">
            <v>CDC17987</v>
          </cell>
        </row>
        <row r="757">
          <cell r="N757" t="str">
            <v>LITTLE EXPLORERS LEARNING CENTER 2 L.L.C.</v>
          </cell>
          <cell r="O757" t="str">
            <v>2946 EAST CHEERY LYNN ROAD</v>
          </cell>
          <cell r="P757" t="str">
            <v>little_explorers@icloud.com</v>
          </cell>
          <cell r="Q757" t="str">
            <v>CDC-17893</v>
          </cell>
          <cell r="AJ757" t="e">
            <v>#N/A</v>
          </cell>
          <cell r="AK757" t="str">
            <v>CDC-17893</v>
          </cell>
          <cell r="AL757" t="str">
            <v>CDC17893</v>
          </cell>
        </row>
        <row r="758">
          <cell r="N758" t="str">
            <v>LITTLE EXPLORERS PRESCHOOL &amp; CHILD CARE</v>
          </cell>
          <cell r="O758" t="str">
            <v>7116 EAST OAK STREET</v>
          </cell>
          <cell r="P758" t="str">
            <v>chitamedina@icloud.com</v>
          </cell>
          <cell r="Q758" t="str">
            <v>CDC-8985</v>
          </cell>
          <cell r="AJ758" t="e">
            <v>#N/A</v>
          </cell>
          <cell r="AK758" t="str">
            <v>CDC-8985</v>
          </cell>
          <cell r="AL758" t="str">
            <v>CDC8985</v>
          </cell>
        </row>
        <row r="759">
          <cell r="N759" t="str">
            <v>LITTLE FOOT LEARNING CENTER</v>
          </cell>
          <cell r="O759" t="str">
            <v>820 WEST BROADWAY ROAD</v>
          </cell>
          <cell r="P759" t="str">
            <v>cadame70@yahoo.com</v>
          </cell>
          <cell r="Q759" t="str">
            <v>CDC-17538</v>
          </cell>
          <cell r="AJ759" t="e">
            <v>#N/A</v>
          </cell>
          <cell r="AK759" t="str">
            <v>CDC-17538</v>
          </cell>
          <cell r="AL759" t="str">
            <v>CDC17538</v>
          </cell>
        </row>
        <row r="760">
          <cell r="N760" t="str">
            <v>LITTLE FRIENDS LEARNING CENTER</v>
          </cell>
          <cell r="O760" t="str">
            <v>2846 WEST DREXEL ROAD, SUITE 100</v>
          </cell>
          <cell r="P760" t="str">
            <v>littlefriendslearningcenter15@gmail.com</v>
          </cell>
          <cell r="Q760" t="str">
            <v>CDC-17216</v>
          </cell>
          <cell r="AJ760">
            <v>1000125</v>
          </cell>
          <cell r="AK760" t="str">
            <v>CDC-17216</v>
          </cell>
          <cell r="AL760" t="str">
            <v>CDC17216</v>
          </cell>
        </row>
        <row r="761">
          <cell r="N761" t="str">
            <v>LITTLE GENIUSES CHILDCARE CENTER</v>
          </cell>
          <cell r="O761" t="str">
            <v>6515 EAST MAIN STREET - SUITE 101</v>
          </cell>
          <cell r="P761" t="str">
            <v>director.littlegeniusescc@gmail.com</v>
          </cell>
          <cell r="Q761" t="str">
            <v>CDC-17750</v>
          </cell>
          <cell r="AJ761" t="e">
            <v>#N/A</v>
          </cell>
          <cell r="AK761" t="str">
            <v>CDC-17750</v>
          </cell>
          <cell r="AL761" t="str">
            <v>CDC17750</v>
          </cell>
        </row>
        <row r="762">
          <cell r="N762" t="str">
            <v>LITTLE GIANTS DAYCARE &amp; PRESCHOOL, L L C</v>
          </cell>
          <cell r="O762" t="str">
            <v>1818 SOUTH COUNTRY CLUB ROAD</v>
          </cell>
          <cell r="P762" t="str">
            <v>littlegiantsdcp@gmail.com</v>
          </cell>
          <cell r="Q762" t="str">
            <v>CDC-18272</v>
          </cell>
          <cell r="AJ762">
            <v>91924</v>
          </cell>
          <cell r="AK762" t="str">
            <v>CDC-18272</v>
          </cell>
          <cell r="AL762" t="str">
            <v>CDC18272</v>
          </cell>
        </row>
        <row r="763">
          <cell r="N763" t="str">
            <v>LITTLE INNOVATORS PRESCHOOL</v>
          </cell>
          <cell r="O763" t="str">
            <v>950 NORTH PEART ROAD</v>
          </cell>
          <cell r="P763" t="str">
            <v>pmesser@giaowlsmail.com</v>
          </cell>
          <cell r="Q763" t="str">
            <v>CDC-17832</v>
          </cell>
          <cell r="AJ763" t="e">
            <v>#N/A</v>
          </cell>
          <cell r="AK763" t="str">
            <v>CDC-17832</v>
          </cell>
          <cell r="AL763" t="str">
            <v>CDC17832</v>
          </cell>
        </row>
        <row r="764">
          <cell r="N764" t="str">
            <v>LITTLE KIDS N COMPANY</v>
          </cell>
          <cell r="O764" t="str">
            <v>626 WEST CAMPBELL AVENUE</v>
          </cell>
          <cell r="P764" t="str">
            <v>azearlyeducation@gmail.com</v>
          </cell>
          <cell r="Q764" t="str">
            <v>CDC-6101</v>
          </cell>
          <cell r="AJ764" t="e">
            <v>#N/A</v>
          </cell>
          <cell r="AK764" t="str">
            <v>CDC-6101</v>
          </cell>
          <cell r="AL764" t="str">
            <v>CDC6101</v>
          </cell>
        </row>
        <row r="765">
          <cell r="N765" t="str">
            <v>LITTLE KINGS AND QUEENS</v>
          </cell>
          <cell r="O765" t="str">
            <v>4136 NORTH 82ND STREET</v>
          </cell>
          <cell r="P765" t="str">
            <v>leilataheri@gmail.com</v>
          </cell>
          <cell r="Q765" t="str">
            <v>CDC-11288</v>
          </cell>
          <cell r="AJ765" t="e">
            <v>#N/A</v>
          </cell>
          <cell r="AK765" t="str">
            <v>CDC-11288</v>
          </cell>
          <cell r="AL765" t="str">
            <v>CDC11288</v>
          </cell>
        </row>
        <row r="766">
          <cell r="N766" t="str">
            <v>LITTLE KNIGHTS AND LADIES C.D.C.</v>
          </cell>
          <cell r="O766" t="str">
            <v>1911 KINO AVENUE</v>
          </cell>
          <cell r="P766" t="str">
            <v>littleknightsandladies@suddenlink.net</v>
          </cell>
          <cell r="Q766" t="str">
            <v>CDC-18301</v>
          </cell>
          <cell r="AJ766" t="e">
            <v>#N/A</v>
          </cell>
          <cell r="AK766" t="str">
            <v>CDC-18301</v>
          </cell>
          <cell r="AL766" t="str">
            <v>CDC18301</v>
          </cell>
        </row>
        <row r="767">
          <cell r="N767" t="str">
            <v>LITTLE LIFE LEARNING CENTER</v>
          </cell>
          <cell r="O767" t="str">
            <v>2200 NORTH HWY 89</v>
          </cell>
          <cell r="P767" t="str">
            <v>littlelifeprescott@gmail.com</v>
          </cell>
          <cell r="Q767" t="str">
            <v>CDC-17768</v>
          </cell>
          <cell r="AJ767" t="e">
            <v>#N/A</v>
          </cell>
          <cell r="AK767" t="str">
            <v>CDC-17768</v>
          </cell>
          <cell r="AL767" t="str">
            <v>CDC17768</v>
          </cell>
        </row>
        <row r="768">
          <cell r="N768" t="str">
            <v>LITTLE LIONS PRESCHOOL</v>
          </cell>
          <cell r="O768" t="str">
            <v>3901 WEST LINDA VISTA</v>
          </cell>
          <cell r="P768" t="str">
            <v>lmoraga@pimajted.org</v>
          </cell>
          <cell r="Q768" t="str">
            <v>CDC-15277</v>
          </cell>
          <cell r="AJ768" t="e">
            <v>#N/A</v>
          </cell>
          <cell r="AK768" t="str">
            <v>CDC-15277</v>
          </cell>
          <cell r="AL768" t="str">
            <v>CDC15277</v>
          </cell>
        </row>
        <row r="769">
          <cell r="N769" t="str">
            <v>LITTLE MINNOWS LEARNING CENTER</v>
          </cell>
          <cell r="O769" t="str">
            <v>3348 WESTERN AVENUE</v>
          </cell>
          <cell r="P769" t="str">
            <v>cgoulart@azkrmc.com</v>
          </cell>
          <cell r="Q769" t="str">
            <v>CDC-12847</v>
          </cell>
          <cell r="AJ769" t="e">
            <v>#N/A</v>
          </cell>
          <cell r="AK769" t="str">
            <v>CDC-12847</v>
          </cell>
          <cell r="AL769" t="str">
            <v>CDC12847</v>
          </cell>
        </row>
        <row r="770">
          <cell r="N770" t="str">
            <v>LITTLE ONE'S MONTESSORI</v>
          </cell>
          <cell r="O770" t="str">
            <v>702 EAST COTTONWOOD LANE</v>
          </cell>
          <cell r="P770" t="str">
            <v>susan.young@littleonesmontessori.org</v>
          </cell>
          <cell r="Q770" t="str">
            <v>CDC-18790</v>
          </cell>
          <cell r="AJ770" t="e">
            <v>#N/A</v>
          </cell>
          <cell r="AK770" t="str">
            <v>CDC-18790</v>
          </cell>
          <cell r="AL770" t="str">
            <v>CDC18790</v>
          </cell>
        </row>
        <row r="771">
          <cell r="N771" t="str">
            <v>LITTLE ONES LEARNING CENTER</v>
          </cell>
          <cell r="O771" t="str">
            <v>11905 WEST THUNDERBIRD ROAD</v>
          </cell>
          <cell r="P771" t="str">
            <v>luvelylittleone70@gmail.com</v>
          </cell>
          <cell r="Q771" t="str">
            <v>CDC-11337</v>
          </cell>
          <cell r="AJ771" t="e">
            <v>#N/A</v>
          </cell>
          <cell r="AK771" t="str">
            <v>CDC-11337</v>
          </cell>
          <cell r="AL771" t="str">
            <v>CDC11337</v>
          </cell>
        </row>
        <row r="772">
          <cell r="N772" t="str">
            <v>LITTLE PALMS PRESCHOOL</v>
          </cell>
          <cell r="O772" t="str">
            <v>9601 EAST BROWN ROAD</v>
          </cell>
          <cell r="P772" t="str">
            <v>Admin@littlepalmsschool.com</v>
          </cell>
          <cell r="Q772" t="str">
            <v>CDC-10000</v>
          </cell>
          <cell r="AJ772" t="e">
            <v>#N/A</v>
          </cell>
          <cell r="AK772" t="str">
            <v>CDC-10000</v>
          </cell>
          <cell r="AL772" t="str">
            <v>CDC10000</v>
          </cell>
        </row>
        <row r="773">
          <cell r="N773" t="str">
            <v>LITTLE PATRIOTS LEARNING CENTER L.L.C.</v>
          </cell>
          <cell r="O773" t="str">
            <v>266 EAST WESTBROOKE ROAD</v>
          </cell>
          <cell r="P773" t="str">
            <v>jmercado@hveast.com</v>
          </cell>
          <cell r="Q773" t="str">
            <v>CDC-17461</v>
          </cell>
          <cell r="AJ773" t="e">
            <v>#N/A</v>
          </cell>
          <cell r="AK773" t="str">
            <v>CDC-17461</v>
          </cell>
          <cell r="AL773" t="str">
            <v>CDC17461</v>
          </cell>
        </row>
        <row r="774">
          <cell r="N774" t="str">
            <v>LITTLE PEOPLE MONTESSORI L.L.C.</v>
          </cell>
          <cell r="O774" t="str">
            <v>1900 SOUTH ARROWHEAD DRIVE</v>
          </cell>
          <cell r="P774" t="str">
            <v>info@lpmarizona.com</v>
          </cell>
          <cell r="Q774" t="str">
            <v>CDC-18444</v>
          </cell>
          <cell r="AJ774" t="e">
            <v>#N/A</v>
          </cell>
          <cell r="AK774" t="str">
            <v>CDC-18444</v>
          </cell>
          <cell r="AL774" t="str">
            <v>CDC18444</v>
          </cell>
        </row>
        <row r="775">
          <cell r="N775" t="str">
            <v>LITTLE PEOPLES DAY CARE</v>
          </cell>
          <cell r="O775" t="str">
            <v>2419 NORTH SMOKETREE</v>
          </cell>
          <cell r="P775" t="str">
            <v>little_peoples_day_care@yahoo.com</v>
          </cell>
          <cell r="Q775" t="str">
            <v>CDC-7861</v>
          </cell>
          <cell r="AJ775" t="e">
            <v>#N/A</v>
          </cell>
          <cell r="AK775" t="str">
            <v>CDC-7861</v>
          </cell>
          <cell r="AL775" t="str">
            <v>CDC7861</v>
          </cell>
        </row>
        <row r="776">
          <cell r="N776" t="str">
            <v>LITTLE RANCH SCHOOL</v>
          </cell>
          <cell r="O776" t="str">
            <v>1125 EAST GLENN STREET</v>
          </cell>
          <cell r="P776" t="str">
            <v>kelli.m@smallmiraclesedu.com</v>
          </cell>
          <cell r="Q776" t="str">
            <v>CDC-14984</v>
          </cell>
          <cell r="AJ776">
            <v>90513</v>
          </cell>
          <cell r="AK776" t="str">
            <v>CDC-14984</v>
          </cell>
          <cell r="AL776" t="str">
            <v>CDC14984</v>
          </cell>
        </row>
        <row r="777">
          <cell r="N777" t="str">
            <v>LITTLE RASCALS LEARNING CENTER  L.L.C</v>
          </cell>
          <cell r="O777" t="str">
            <v>1116 SOUTH MCCLINTOCK DR</v>
          </cell>
          <cell r="P777" t="str">
            <v>littlerascals77@yahoo.com</v>
          </cell>
          <cell r="Q777" t="str">
            <v>CDC-17228</v>
          </cell>
          <cell r="AJ777">
            <v>92960</v>
          </cell>
          <cell r="AK777" t="str">
            <v>CDC-17228</v>
          </cell>
          <cell r="AL777" t="str">
            <v>CDC17228</v>
          </cell>
        </row>
        <row r="778">
          <cell r="N778" t="str">
            <v>LITTLE RASCALS LEARNING CENTER #3</v>
          </cell>
          <cell r="O778" t="str">
            <v>139 EAST SOUTHERN AVENUE</v>
          </cell>
          <cell r="P778" t="str">
            <v>tiffanylane77@hotmail.com</v>
          </cell>
          <cell r="Q778" t="str">
            <v>CDC-18011</v>
          </cell>
          <cell r="AJ778">
            <v>649082</v>
          </cell>
          <cell r="AK778" t="str">
            <v>CDC-18011</v>
          </cell>
          <cell r="AL778" t="str">
            <v>CDC18011</v>
          </cell>
        </row>
        <row r="779">
          <cell r="N779" t="str">
            <v>LITTLE RASCALS LEARNING CENTER LLC</v>
          </cell>
          <cell r="O779" t="str">
            <v>3400 SOUTH MILL AVENUE #334</v>
          </cell>
          <cell r="P779" t="str">
            <v>tiffanylane77@hotmail.com</v>
          </cell>
          <cell r="Q779" t="str">
            <v>CDC-16478</v>
          </cell>
          <cell r="AJ779">
            <v>92712</v>
          </cell>
          <cell r="AK779" t="str">
            <v>CDC-16478</v>
          </cell>
          <cell r="AL779" t="str">
            <v>CDC16478</v>
          </cell>
        </row>
        <row r="780">
          <cell r="N780" t="str">
            <v>LITTLE RED BARN</v>
          </cell>
          <cell r="O780" t="str">
            <v>1881 SOUTH 4TH AVENUE, SUITE A</v>
          </cell>
          <cell r="P780" t="str">
            <v>lrbpreschoolyuma@gmail.com</v>
          </cell>
          <cell r="Q780" t="str">
            <v>CDC-18364</v>
          </cell>
          <cell r="AJ780" t="e">
            <v>#N/A</v>
          </cell>
          <cell r="AK780" t="str">
            <v>CDC-18364</v>
          </cell>
          <cell r="AL780" t="str">
            <v>CDC18364</v>
          </cell>
        </row>
        <row r="781">
          <cell r="N781" t="str">
            <v>LITTLE SCHOLARS ACADEMY</v>
          </cell>
          <cell r="O781" t="str">
            <v>17220 NORTH 43RD AVENUE</v>
          </cell>
          <cell r="P781" t="str">
            <v>schooldirector43rd@yahoo.com</v>
          </cell>
          <cell r="Q781" t="str">
            <v>CDC-13870</v>
          </cell>
          <cell r="AJ781">
            <v>90703</v>
          </cell>
          <cell r="AK781" t="str">
            <v>CDC-13870</v>
          </cell>
          <cell r="AL781" t="str">
            <v>CDC13870</v>
          </cell>
        </row>
        <row r="782">
          <cell r="N782" t="str">
            <v>LITTLE SCHOLARS ACADEMY</v>
          </cell>
          <cell r="O782" t="str">
            <v>6702 WEST CHOLLA STREET</v>
          </cell>
          <cell r="P782" t="str">
            <v>schooldirector67th@yahoo.com</v>
          </cell>
          <cell r="Q782" t="str">
            <v>CDC-15172</v>
          </cell>
          <cell r="AJ782">
            <v>90702</v>
          </cell>
          <cell r="AK782" t="str">
            <v>CDC-15172</v>
          </cell>
          <cell r="AL782" t="str">
            <v>CDC15172</v>
          </cell>
        </row>
        <row r="783">
          <cell r="N783" t="str">
            <v>LITTLE SCOOTERS PRESCHOOL LLC</v>
          </cell>
          <cell r="O783" t="str">
            <v>2750 MIRACLE MILE</v>
          </cell>
          <cell r="P783" t="str">
            <v>littlescooters@yahoo.com</v>
          </cell>
          <cell r="Q783" t="str">
            <v>CDC-15776</v>
          </cell>
          <cell r="AJ783">
            <v>89933</v>
          </cell>
          <cell r="AK783" t="str">
            <v>CDC-15776</v>
          </cell>
          <cell r="AL783" t="str">
            <v>CDC15776</v>
          </cell>
        </row>
        <row r="784">
          <cell r="N784" t="str">
            <v>LITTLE SPROUT PRESCHOOL</v>
          </cell>
          <cell r="O784" t="str">
            <v>21031 NORTH CAVE CREEK ROAD, F1</v>
          </cell>
          <cell r="P784" t="str">
            <v>Sdymond@littlesproutpreschool.com</v>
          </cell>
          <cell r="Q784" t="str">
            <v>CDC-18627</v>
          </cell>
          <cell r="AJ784" t="e">
            <v>#N/A</v>
          </cell>
          <cell r="AK784" t="str">
            <v>CDC-18627</v>
          </cell>
          <cell r="AL784" t="str">
            <v>CDC18627</v>
          </cell>
        </row>
        <row r="785">
          <cell r="N785" t="str">
            <v>LITTLE SUNBEAMS PRESCHOOL</v>
          </cell>
          <cell r="O785" t="str">
            <v>4850 NORTH LITCHFIELD ROAD STE 105</v>
          </cell>
          <cell r="P785" t="str">
            <v>mylittlesunbeams2014@gmail.com</v>
          </cell>
          <cell r="Q785" t="str">
            <v>CDC-17040</v>
          </cell>
          <cell r="AJ785" t="e">
            <v>#N/A</v>
          </cell>
          <cell r="AK785" t="str">
            <v>CDC-17040</v>
          </cell>
          <cell r="AL785" t="str">
            <v>CDC17040</v>
          </cell>
        </row>
        <row r="786">
          <cell r="N786" t="str">
            <v>LITTLE SUNSHINE'S PLAYHOUSE AND PRESCHOOL</v>
          </cell>
          <cell r="O786" t="str">
            <v>1059 NORTH VAL VISTA DRIVE</v>
          </cell>
          <cell r="P786" t="str">
            <v>janae.fasnacht@littlesunshine.com</v>
          </cell>
          <cell r="Q786" t="str">
            <v>CDC-18268</v>
          </cell>
          <cell r="AJ786" t="e">
            <v>#N/A</v>
          </cell>
          <cell r="AK786" t="str">
            <v>CDC-18268</v>
          </cell>
          <cell r="AL786" t="str">
            <v>CDC18268</v>
          </cell>
        </row>
        <row r="787">
          <cell r="N787" t="str">
            <v>LITTLE SUNSHINE'S PLAYHOUSE AND PRESCHOOL</v>
          </cell>
          <cell r="O787" t="str">
            <v>3840 SOUTH HIGLEY ROAD</v>
          </cell>
          <cell r="P787" t="str">
            <v>ashleyl@littlesunshine.com</v>
          </cell>
          <cell r="Q787" t="str">
            <v>CDC-18707</v>
          </cell>
          <cell r="AJ787" t="e">
            <v>#N/A</v>
          </cell>
          <cell r="AK787" t="str">
            <v>CDC-18707</v>
          </cell>
          <cell r="AL787" t="str">
            <v>CDC18707</v>
          </cell>
        </row>
        <row r="788">
          <cell r="N788" t="str">
            <v>LITTLE SUNSHINES PLAYHOUSE AND PRESCHOOL</v>
          </cell>
          <cell r="O788" t="str">
            <v>20977 NORTH PIMA ROAD - SUITE  B140</v>
          </cell>
          <cell r="P788" t="str">
            <v>jennd@littlesunshine.com</v>
          </cell>
          <cell r="Q788" t="str">
            <v>CDC-15331</v>
          </cell>
          <cell r="AJ788" t="e">
            <v>#N/A</v>
          </cell>
          <cell r="AK788" t="str">
            <v>CDC-15331</v>
          </cell>
          <cell r="AL788" t="str">
            <v>CDC15331</v>
          </cell>
        </row>
        <row r="789">
          <cell r="N789" t="str">
            <v>LITTLE SWANS PRESCHOOL INC</v>
          </cell>
          <cell r="O789" t="str">
            <v>10889 NORTH 19TH AVENUE</v>
          </cell>
          <cell r="P789" t="str">
            <v>Rbohstedt@aol.com</v>
          </cell>
          <cell r="Q789" t="str">
            <v>CDC-18546</v>
          </cell>
          <cell r="AJ789">
            <v>9200</v>
          </cell>
          <cell r="AK789" t="str">
            <v>CDC-18546</v>
          </cell>
          <cell r="AL789" t="str">
            <v>CDC18546</v>
          </cell>
        </row>
        <row r="790">
          <cell r="N790" t="str">
            <v>LITTLE TOWN CHILD CARE</v>
          </cell>
          <cell r="O790" t="str">
            <v>4521 EAST BENSON HIGHWAY</v>
          </cell>
          <cell r="P790" t="str">
            <v>littletownccc@cox.net</v>
          </cell>
          <cell r="Q790" t="str">
            <v>CDC-5341</v>
          </cell>
          <cell r="AJ790" t="e">
            <v>#N/A</v>
          </cell>
          <cell r="AK790" t="str">
            <v>CDC-5341</v>
          </cell>
          <cell r="AL790" t="str">
            <v>CDC5341</v>
          </cell>
        </row>
        <row r="791">
          <cell r="N791" t="str">
            <v>LITTLE TREASURES CHILD CARE</v>
          </cell>
          <cell r="O791" t="str">
            <v>1373 BASELINE ROAD</v>
          </cell>
          <cell r="P791" t="str">
            <v>sanepe@hotmail.com</v>
          </cell>
          <cell r="Q791" t="str">
            <v>CDC-17632</v>
          </cell>
          <cell r="AJ791" t="e">
            <v>#N/A</v>
          </cell>
          <cell r="AK791" t="str">
            <v>CDC-17632</v>
          </cell>
          <cell r="AL791" t="str">
            <v>CDC17632</v>
          </cell>
        </row>
        <row r="792">
          <cell r="N792" t="str">
            <v>LITTLE WONDERS LEARNING</v>
          </cell>
          <cell r="O792" t="str">
            <v>655 WEST WARNER ROAD #101</v>
          </cell>
          <cell r="P792" t="str">
            <v>littlewonderslearningaz@gmail.com</v>
          </cell>
          <cell r="Q792" t="str">
            <v>CDC-17647</v>
          </cell>
          <cell r="AJ792" t="e">
            <v>#N/A</v>
          </cell>
          <cell r="AK792" t="str">
            <v>CDC-17647</v>
          </cell>
          <cell r="AL792" t="str">
            <v>CDC17647</v>
          </cell>
        </row>
        <row r="793">
          <cell r="N793" t="str">
            <v>LIVING STREAMS CHILDREN'S CENTER</v>
          </cell>
          <cell r="O793" t="str">
            <v>7000 NORTH CENTRAL AVENUE</v>
          </cell>
          <cell r="P793" t="str">
            <v>Danielle.B@livingstreams.org</v>
          </cell>
          <cell r="Q793" t="str">
            <v>CDC-13373</v>
          </cell>
          <cell r="AJ793" t="e">
            <v>#N/A</v>
          </cell>
          <cell r="AK793" t="str">
            <v>CDC-13373</v>
          </cell>
          <cell r="AL793" t="str">
            <v>CDC13373</v>
          </cell>
        </row>
        <row r="794">
          <cell r="N794" t="str">
            <v>LOMELI'S CHILDCARE CENTER</v>
          </cell>
          <cell r="O794" t="str">
            <v>1240 EAST 23RD STREET</v>
          </cell>
          <cell r="P794" t="str">
            <v>lomelisdc@hotmail.com</v>
          </cell>
          <cell r="Q794" t="str">
            <v>CDC-13286</v>
          </cell>
          <cell r="AJ794" t="e">
            <v>#N/A</v>
          </cell>
          <cell r="AK794" t="str">
            <v>CDC-13286</v>
          </cell>
          <cell r="AL794" t="str">
            <v>CDC13286</v>
          </cell>
        </row>
        <row r="795">
          <cell r="N795" t="str">
            <v>LOMELIS TOO</v>
          </cell>
          <cell r="O795" t="str">
            <v>1860 8TH STREET</v>
          </cell>
          <cell r="P795" t="str">
            <v>lomelisdc@hotmail.com</v>
          </cell>
          <cell r="Q795" t="str">
            <v>CDC-18709</v>
          </cell>
          <cell r="AJ795" t="e">
            <v>#N/A</v>
          </cell>
          <cell r="AK795" t="str">
            <v>CDC-18709</v>
          </cell>
          <cell r="AL795" t="str">
            <v>CDC18709</v>
          </cell>
        </row>
        <row r="796">
          <cell r="N796" t="str">
            <v>LORD OF GRACE LUTHERAN CHURCH</v>
          </cell>
          <cell r="O796" t="str">
            <v>7250 NORTH CORTARO ROAD</v>
          </cell>
          <cell r="P796" t="str">
            <v>preschool@lordofgrace.org</v>
          </cell>
          <cell r="Q796" t="str">
            <v>CDC-12116</v>
          </cell>
          <cell r="AJ796" t="e">
            <v>#N/A</v>
          </cell>
          <cell r="AK796" t="str">
            <v>CDC-12116</v>
          </cell>
          <cell r="AL796" t="str">
            <v>CDC12116</v>
          </cell>
        </row>
        <row r="797">
          <cell r="N797" t="str">
            <v>LOS AMIGOS CHILD CARE AND ACTIVITY CENTER</v>
          </cell>
          <cell r="O797" t="str">
            <v>1300 WEST ST MARYS RD</v>
          </cell>
          <cell r="P797" t="str">
            <v>villa_s@msn.com</v>
          </cell>
          <cell r="Q797" t="str">
            <v>CDC-15412</v>
          </cell>
          <cell r="AJ797" t="e">
            <v>#N/A</v>
          </cell>
          <cell r="AK797" t="str">
            <v>CDC-15412</v>
          </cell>
          <cell r="AL797" t="str">
            <v>CDC15412</v>
          </cell>
        </row>
        <row r="798">
          <cell r="N798" t="str">
            <v>LOS NINOS DAYCARE</v>
          </cell>
          <cell r="O798" t="str">
            <v>327 S ALTA VISTA</v>
          </cell>
          <cell r="P798" t="str">
            <v>patgonzales3@yahoo.com</v>
          </cell>
          <cell r="Q798" t="str">
            <v>CDC-15936</v>
          </cell>
          <cell r="AJ798" t="e">
            <v>#N/A</v>
          </cell>
          <cell r="AK798" t="str">
            <v>CDC-15936</v>
          </cell>
          <cell r="AL798" t="str">
            <v>CDC15936</v>
          </cell>
        </row>
        <row r="799">
          <cell r="N799" t="str">
            <v>LOS NINOS DEL VALLE PRESCHOOL &amp; CHILD CARE CENTER</v>
          </cell>
          <cell r="O799" t="str">
            <v>780 S PARK CENTRE AVE</v>
          </cell>
          <cell r="P799" t="str">
            <v>ssimmons@casagv.org</v>
          </cell>
          <cell r="Q799" t="str">
            <v>CDC-16022</v>
          </cell>
          <cell r="AJ799" t="e">
            <v>#N/A</v>
          </cell>
          <cell r="AK799" t="str">
            <v>CDC-16022</v>
          </cell>
          <cell r="AL799" t="str">
            <v>CDC16022</v>
          </cell>
        </row>
        <row r="800">
          <cell r="N800" t="str">
            <v>LOS NINOS SUNNYSIDE HEAD START</v>
          </cell>
          <cell r="O800" t="str">
            <v>5445 SOUTH ALVERNON WAY</v>
          </cell>
          <cell r="P800" t="str">
            <v>lns@childparentcenters.org</v>
          </cell>
          <cell r="Q800" t="str">
            <v>CDC-3655</v>
          </cell>
          <cell r="AJ800">
            <v>7938</v>
          </cell>
          <cell r="AK800" t="str">
            <v>CDC-3655</v>
          </cell>
          <cell r="AL800" t="str">
            <v>CDC3655</v>
          </cell>
        </row>
        <row r="801">
          <cell r="N801" t="str">
            <v>LOURDES CATHOLIC SCHOOL</v>
          </cell>
          <cell r="O801" t="str">
            <v>555 PATAGONIA HIGHWAY</v>
          </cell>
          <cell r="P801" t="str">
            <v>pkinder@lcsnogales.org</v>
          </cell>
          <cell r="Q801" t="str">
            <v>CDC-15090</v>
          </cell>
          <cell r="AJ801" t="e">
            <v>#N/A</v>
          </cell>
          <cell r="AK801" t="str">
            <v>CDC-15090</v>
          </cell>
          <cell r="AL801" t="str">
            <v>CDC15090</v>
          </cell>
        </row>
        <row r="802">
          <cell r="N802" t="str">
            <v>LOVABLE KIDS KARE MESA</v>
          </cell>
          <cell r="O802" t="str">
            <v>925 NORTH ORANGE</v>
          </cell>
          <cell r="P802" t="str">
            <v>lovablekidskare@gmail.com</v>
          </cell>
          <cell r="Q802" t="str">
            <v>CDC-18204</v>
          </cell>
          <cell r="AJ802" t="e">
            <v>#N/A</v>
          </cell>
          <cell r="AK802" t="str">
            <v>CDC-18204</v>
          </cell>
          <cell r="AL802" t="str">
            <v>CDC18204</v>
          </cell>
        </row>
        <row r="803">
          <cell r="N803" t="str">
            <v>LOVE &amp; LAUGH LEARNING CENTER</v>
          </cell>
          <cell r="O803" t="str">
            <v>21805 SOUTH ELLSWORTH ROAD</v>
          </cell>
          <cell r="P803" t="str">
            <v>tchaas1@gmail.com</v>
          </cell>
          <cell r="Q803" t="str">
            <v>CDC-13335</v>
          </cell>
          <cell r="AJ803" t="e">
            <v>#N/A</v>
          </cell>
          <cell r="AK803" t="str">
            <v>CDC-13335</v>
          </cell>
          <cell r="AL803" t="str">
            <v>CDC13335</v>
          </cell>
        </row>
        <row r="804">
          <cell r="N804" t="str">
            <v>LOVE &amp; LEARN PRESCHOOL</v>
          </cell>
          <cell r="O804" t="str">
            <v>2717 SOUTH ALMA SCHOOL ROAD</v>
          </cell>
          <cell r="P804" t="str">
            <v>ninah@love2learnpreschoolmesa.com</v>
          </cell>
          <cell r="Q804" t="str">
            <v>CDC-13041</v>
          </cell>
          <cell r="AJ804">
            <v>89671</v>
          </cell>
          <cell r="AK804" t="str">
            <v>CDC-13041</v>
          </cell>
          <cell r="AL804" t="str">
            <v>CDC13041</v>
          </cell>
        </row>
        <row r="805">
          <cell r="N805" t="str">
            <v>LOVE OF CHRIST PRESCHOOL</v>
          </cell>
          <cell r="O805" t="str">
            <v>1525 NORTH POWER ROAD</v>
          </cell>
          <cell r="P805" t="str">
            <v>janiceherronelock.org</v>
          </cell>
          <cell r="Q805" t="str">
            <v>CDC-2034</v>
          </cell>
          <cell r="AJ805" t="e">
            <v>#N/A</v>
          </cell>
          <cell r="AK805" t="str">
            <v>CDC-2034</v>
          </cell>
          <cell r="AL805" t="str">
            <v>CDC2034</v>
          </cell>
        </row>
        <row r="806">
          <cell r="N806" t="str">
            <v>LOVE THIS DAY SCHOOL</v>
          </cell>
          <cell r="O806" t="str">
            <v>4517 EAST 29TH STREET</v>
          </cell>
          <cell r="P806" t="str">
            <v>kelli@smallmiraclesedu.com</v>
          </cell>
          <cell r="Q806" t="str">
            <v>CDC-17635</v>
          </cell>
          <cell r="AJ806">
            <v>142280</v>
          </cell>
          <cell r="AK806" t="str">
            <v>CDC-17635</v>
          </cell>
          <cell r="AL806" t="str">
            <v>CDC17635</v>
          </cell>
        </row>
        <row r="807">
          <cell r="N807" t="str">
            <v>LOVING CARE DAY CARE CENTER</v>
          </cell>
          <cell r="O807" t="str">
            <v>150 NORTH CENTRAL AVENUE</v>
          </cell>
          <cell r="P807" t="str">
            <v>eepavoggi@hotmail.com</v>
          </cell>
          <cell r="Q807" t="str">
            <v>CDC-10913</v>
          </cell>
          <cell r="AJ807">
            <v>9417</v>
          </cell>
          <cell r="AK807" t="str">
            <v>CDC-10913</v>
          </cell>
          <cell r="AL807" t="str">
            <v>CDC10913</v>
          </cell>
        </row>
        <row r="808">
          <cell r="N808" t="str">
            <v>LOVING CARE DAY CARE I I</v>
          </cell>
          <cell r="O808" t="str">
            <v>300 NORTH CENTRAL AVENUE</v>
          </cell>
          <cell r="P808" t="str">
            <v>EE.Pavoggi@hotmail.com</v>
          </cell>
          <cell r="Q808" t="str">
            <v>CDC-9141</v>
          </cell>
          <cell r="AJ808">
            <v>80657</v>
          </cell>
          <cell r="AK808" t="str">
            <v>CDC-9141</v>
          </cell>
          <cell r="AL808" t="str">
            <v>CDC9141</v>
          </cell>
        </row>
        <row r="809">
          <cell r="N809" t="str">
            <v>M C C EVELYN H. WARREN CHILD DEVELOPMENT LAB</v>
          </cell>
          <cell r="O809" t="str">
            <v>1833 WEST SOUTHERN AVENUE</v>
          </cell>
          <cell r="P809" t="str">
            <v>rochelle.ramirez-clark@mesacc.edu</v>
          </cell>
          <cell r="Q809" t="str">
            <v>CDC-1562</v>
          </cell>
          <cell r="AJ809" t="e">
            <v>#N/A</v>
          </cell>
          <cell r="AK809" t="str">
            <v>CDC-1562</v>
          </cell>
          <cell r="AL809" t="str">
            <v>CDC1562</v>
          </cell>
        </row>
        <row r="810">
          <cell r="N810" t="str">
            <v>M.P.A. -  DOBSON L.L.C.</v>
          </cell>
          <cell r="O810" t="str">
            <v>2750 SOUTH DOBSON ROAD</v>
          </cell>
          <cell r="P810" t="str">
            <v>mpamesa@hotmail.com</v>
          </cell>
          <cell r="Q810" t="str">
            <v>CDC-17687</v>
          </cell>
          <cell r="AJ810">
            <v>176634</v>
          </cell>
          <cell r="AK810" t="str">
            <v>CDC-17687</v>
          </cell>
          <cell r="AL810" t="str">
            <v>CDC17687</v>
          </cell>
        </row>
        <row r="811">
          <cell r="N811" t="str">
            <v>M.P.A. - CHANDLER</v>
          </cell>
          <cell r="O811" t="str">
            <v>4970 WEST RAY ROAD</v>
          </cell>
          <cell r="P811" t="str">
            <v>MPAChandler@hotmail.com</v>
          </cell>
          <cell r="Q811" t="str">
            <v>CDC-18668</v>
          </cell>
          <cell r="AJ811">
            <v>921113</v>
          </cell>
          <cell r="AK811" t="str">
            <v>CDC-18668</v>
          </cell>
          <cell r="AL811" t="str">
            <v>CDC18668</v>
          </cell>
        </row>
        <row r="812">
          <cell r="N812" t="str">
            <v>MADISON CHRISTIAN CHILDREN'S CENTER</v>
          </cell>
          <cell r="O812" t="str">
            <v>6202 NORTH 12TH STREET</v>
          </cell>
          <cell r="P812" t="str">
            <v>mccc6202@gmail.com</v>
          </cell>
          <cell r="Q812" t="str">
            <v>CDC-0739</v>
          </cell>
          <cell r="AJ812">
            <v>1000073</v>
          </cell>
          <cell r="AK812" t="str">
            <v>CDC-0739</v>
          </cell>
          <cell r="AL812" t="str">
            <v>CDC0739</v>
          </cell>
        </row>
        <row r="813">
          <cell r="N813" t="str">
            <v>MAGELLAN CHRISTIAN ACADEMY OF MESA</v>
          </cell>
          <cell r="O813" t="str">
            <v>1847 SOUTH GREENFIELD ROAD STE 104</v>
          </cell>
          <cell r="P813" t="str">
            <v>customer.service.az@magellanacademies.com</v>
          </cell>
          <cell r="Q813" t="str">
            <v>CDC-17356</v>
          </cell>
          <cell r="AJ813" t="e">
            <v>#N/A</v>
          </cell>
          <cell r="AK813" t="str">
            <v>CDC-17356</v>
          </cell>
          <cell r="AL813" t="str">
            <v>CDC17356</v>
          </cell>
        </row>
        <row r="814">
          <cell r="N814" t="str">
            <v>MAGIC KEYS TO LEARNING CHILDREN'S DEVELOPMENT CENTER</v>
          </cell>
          <cell r="O814" t="str">
            <v>3450 EAST VAN BUREN STREET</v>
          </cell>
          <cell r="P814" t="str">
            <v>gkkco@yahoo.com</v>
          </cell>
          <cell r="Q814" t="str">
            <v>CDC-16348</v>
          </cell>
          <cell r="AJ814" t="e">
            <v>#N/A</v>
          </cell>
          <cell r="AK814" t="str">
            <v>CDC-16348</v>
          </cell>
          <cell r="AL814" t="str">
            <v>CDC16348</v>
          </cell>
        </row>
        <row r="815">
          <cell r="N815" t="str">
            <v>MAGICAL JOURNEY LEARNING CENTER</v>
          </cell>
          <cell r="O815" t="str">
            <v>1241 EAST CHANDLER BLVD #115</v>
          </cell>
          <cell r="P815" t="str">
            <v>Jessica@magicaljourneylc.org</v>
          </cell>
          <cell r="Q815" t="str">
            <v>CDC-17259</v>
          </cell>
          <cell r="AJ815" t="e">
            <v>#N/A</v>
          </cell>
          <cell r="AK815" t="str">
            <v>CDC-17259</v>
          </cell>
          <cell r="AL815" t="str">
            <v>CDC17259</v>
          </cell>
        </row>
        <row r="816">
          <cell r="N816" t="str">
            <v>MAGICAL STAR PRESCHOOL INC.</v>
          </cell>
          <cell r="O816" t="str">
            <v>2232 NORTH 36TH STREET</v>
          </cell>
          <cell r="P816" t="str">
            <v>1dragonflybuckley4@gmail.com</v>
          </cell>
          <cell r="Q816" t="str">
            <v>CDC-13919</v>
          </cell>
          <cell r="AJ816">
            <v>89874</v>
          </cell>
          <cell r="AK816" t="str">
            <v>CDC-13919</v>
          </cell>
          <cell r="AL816" t="str">
            <v>CDC13919</v>
          </cell>
        </row>
        <row r="817">
          <cell r="N817" t="str">
            <v>MAKING MILESTONES CHILDHOOD DEVELOPMENT CENTER</v>
          </cell>
          <cell r="O817" t="str">
            <v>1550 NORTH STONEHENGE #104</v>
          </cell>
          <cell r="P817" t="str">
            <v>kmdpt@yahoo.com</v>
          </cell>
          <cell r="Q817" t="str">
            <v>CDC-17406</v>
          </cell>
          <cell r="AJ817" t="e">
            <v>#N/A</v>
          </cell>
          <cell r="AK817" t="str">
            <v>CDC-17406</v>
          </cell>
          <cell r="AL817" t="str">
            <v>CDC17406</v>
          </cell>
        </row>
        <row r="818">
          <cell r="N818" t="str">
            <v>MANDARIN MONTESSORI ACADEMY</v>
          </cell>
          <cell r="O818" t="str">
            <v>1230 EAST GUADALUPE ROAD</v>
          </cell>
          <cell r="P818" t="str">
            <v>info@mandarinmontessori.com</v>
          </cell>
          <cell r="Q818" t="str">
            <v>CDC-17814</v>
          </cell>
          <cell r="AJ818" t="e">
            <v>#N/A</v>
          </cell>
          <cell r="AK818" t="str">
            <v>CDC-17814</v>
          </cell>
          <cell r="AL818" t="str">
            <v>CDC17814</v>
          </cell>
        </row>
        <row r="819">
          <cell r="N819" t="str">
            <v>MANDELA CHILD LEARNING CENTER</v>
          </cell>
          <cell r="O819" t="str">
            <v>131 EAST MOHAVE ROAD</v>
          </cell>
          <cell r="P819" t="str">
            <v>abditucson@gmail.com</v>
          </cell>
          <cell r="Q819" t="str">
            <v>CDC-18552</v>
          </cell>
          <cell r="AJ819" t="e">
            <v>#N/A</v>
          </cell>
          <cell r="AK819" t="str">
            <v>CDC-18552</v>
          </cell>
          <cell r="AL819" t="str">
            <v>CDC18552</v>
          </cell>
        </row>
        <row r="820">
          <cell r="N820" t="str">
            <v>MAPLE BEAR TEMPE EARLY LEARNING CENTER</v>
          </cell>
          <cell r="O820" t="str">
            <v>1255 WEST ELLIOT ROAD</v>
          </cell>
          <cell r="P820" t="str">
            <v>maureen.gills@maplebeartempe.com</v>
          </cell>
          <cell r="Q820" t="str">
            <v>CDC-17047</v>
          </cell>
          <cell r="AJ820" t="e">
            <v>#N/A</v>
          </cell>
          <cell r="AK820" t="str">
            <v>CDC-17047</v>
          </cell>
          <cell r="AL820" t="str">
            <v>CDC17047</v>
          </cell>
        </row>
        <row r="821">
          <cell r="N821" t="str">
            <v>MARANA HEAD START</v>
          </cell>
          <cell r="O821" t="str">
            <v>13660 NORTH MCDUFF ROAD</v>
          </cell>
          <cell r="P821" t="str">
            <v>marana@childparentcenters.org</v>
          </cell>
          <cell r="Q821" t="str">
            <v>CDC-5547</v>
          </cell>
          <cell r="AJ821">
            <v>7939</v>
          </cell>
          <cell r="AK821" t="str">
            <v>CDC-5547</v>
          </cell>
          <cell r="AL821" t="str">
            <v>CDC5547</v>
          </cell>
        </row>
        <row r="822">
          <cell r="N822" t="str">
            <v>MARANATHA CHILD CARE CENTER</v>
          </cell>
          <cell r="O822" t="str">
            <v>3002 NORTH 27TH AVENUE</v>
          </cell>
          <cell r="P822" t="str">
            <v>fernando3002@live.com</v>
          </cell>
          <cell r="Q822" t="str">
            <v>CDC-14048</v>
          </cell>
          <cell r="AJ822">
            <v>90463</v>
          </cell>
          <cell r="AK822" t="str">
            <v>CDC-14048</v>
          </cell>
          <cell r="AL822" t="str">
            <v>CDC14048</v>
          </cell>
        </row>
        <row r="823">
          <cell r="N823" t="str">
            <v>MARANATHA DAY CARE CENTER</v>
          </cell>
          <cell r="O823" t="str">
            <v>3526 WEST POLK STREET</v>
          </cell>
          <cell r="P823" t="str">
            <v>angelicafdz@msn.com</v>
          </cell>
          <cell r="Q823" t="str">
            <v>CDC-9349</v>
          </cell>
          <cell r="AJ823">
            <v>79828</v>
          </cell>
          <cell r="AK823" t="str">
            <v>CDC-9349</v>
          </cell>
          <cell r="AL823" t="str">
            <v>CDC9349</v>
          </cell>
        </row>
        <row r="824">
          <cell r="N824" t="str">
            <v>MARICOPA COUNTY CCA</v>
          </cell>
          <cell r="O824" t="str">
            <v>817 NORTH COUNTRY CLUB DRIVE</v>
          </cell>
          <cell r="P824" t="str">
            <v>chrisanda.debois@maricopa.gov</v>
          </cell>
          <cell r="Q824" t="str">
            <v>CDC-18431</v>
          </cell>
          <cell r="AJ824" t="e">
            <v>#N/A</v>
          </cell>
          <cell r="AK824" t="str">
            <v>CDC-18431</v>
          </cell>
          <cell r="AL824" t="str">
            <v>CDC18431</v>
          </cell>
        </row>
        <row r="825">
          <cell r="N825" t="str">
            <v>MARICOPA COUNTY HUMAN SERV HEAD START ZERO - FIVE PROGRAM CARE PARTNERSHIP (EHS)</v>
          </cell>
          <cell r="O825" t="str">
            <v>466 SOUTH BELLVIEW STREET</v>
          </cell>
          <cell r="P825" t="str">
            <v>tina.pekovitch@maricopa.gov</v>
          </cell>
          <cell r="Q825" t="str">
            <v>CDC-15485</v>
          </cell>
          <cell r="AJ825" t="e">
            <v>#N/A</v>
          </cell>
          <cell r="AK825" t="str">
            <v>CDC-15485</v>
          </cell>
          <cell r="AL825" t="str">
            <v>CDC15485</v>
          </cell>
        </row>
        <row r="826">
          <cell r="N826" t="str">
            <v>MARICOPA COUNTY HUMAN SERVICES -  LINDBERGH 1 &amp; 2 HEAD START</v>
          </cell>
          <cell r="O826" t="str">
            <v>930 SOUTH LAZONA</v>
          </cell>
          <cell r="P826" t="str">
            <v>Chrisanda.DeBois@Maricopa.gov</v>
          </cell>
          <cell r="Q826" t="str">
            <v>CDC-4791</v>
          </cell>
          <cell r="AJ826" t="e">
            <v>#N/A</v>
          </cell>
          <cell r="AK826" t="str">
            <v>CDC-4791</v>
          </cell>
          <cell r="AL826" t="str">
            <v>CDC4791</v>
          </cell>
        </row>
        <row r="827">
          <cell r="N827" t="str">
            <v>MARICOPA COUNTY HUMAN SERVICES - ADAMS HEAD START</v>
          </cell>
          <cell r="O827" t="str">
            <v>738 SOUTH LONGMORE</v>
          </cell>
          <cell r="P827" t="str">
            <v>chrisanda.debois@Maricopa.gov</v>
          </cell>
          <cell r="Q827" t="str">
            <v>CDC-17983</v>
          </cell>
          <cell r="AJ827" t="e">
            <v>#N/A</v>
          </cell>
          <cell r="AK827" t="str">
            <v>CDC-17983</v>
          </cell>
          <cell r="AL827" t="str">
            <v>CDC17983</v>
          </cell>
        </row>
        <row r="828">
          <cell r="N828" t="str">
            <v>MARICOPA COUNTY HUMAN SERVICES - COMPADRE HIGH SCHOOL EARLY HEAD START</v>
          </cell>
          <cell r="O828" t="str">
            <v>500 WEST GUADALUPE ROAD</v>
          </cell>
          <cell r="P828" t="str">
            <v>stephanie.pindra@maricopa.gov</v>
          </cell>
          <cell r="Q828" t="str">
            <v>CDC-9830</v>
          </cell>
          <cell r="AJ828" t="e">
            <v>#N/A</v>
          </cell>
          <cell r="AK828" t="str">
            <v>CDC-9830</v>
          </cell>
          <cell r="AL828" t="str">
            <v>CDC9830</v>
          </cell>
        </row>
        <row r="829">
          <cell r="N829" t="str">
            <v>MARICOPA COUNTY HUMAN SERVICES - EDISON - ZERO  FIVE PROGRAM</v>
          </cell>
          <cell r="O829" t="str">
            <v>545 SOUTH HORNE</v>
          </cell>
          <cell r="P829" t="str">
            <v>McClintockM@mail.maricopa.gov</v>
          </cell>
          <cell r="Q829" t="str">
            <v>CDC-16364</v>
          </cell>
          <cell r="AJ829" t="e">
            <v>#N/A</v>
          </cell>
          <cell r="AK829" t="str">
            <v>CDC-16364</v>
          </cell>
          <cell r="AL829" t="str">
            <v>CDC16364</v>
          </cell>
        </row>
        <row r="830">
          <cell r="N830" t="str">
            <v>MARICOPA COUNTY HUMAN SERVICES - FIRST PRESBYTERIAN CHURCH HEAD START</v>
          </cell>
          <cell r="O830" t="str">
            <v>161 NORTH MESA DRIVE</v>
          </cell>
          <cell r="P830" t="str">
            <v>deboise@mail.maricopa.gov</v>
          </cell>
          <cell r="Q830" t="str">
            <v>CDC-7866</v>
          </cell>
          <cell r="AJ830" t="e">
            <v>#N/A</v>
          </cell>
          <cell r="AK830" t="str">
            <v>CDC-7866</v>
          </cell>
          <cell r="AL830" t="str">
            <v>CDC7866</v>
          </cell>
        </row>
        <row r="831">
          <cell r="N831" t="str">
            <v>MARICOPA COUNTY HUMAN SERVICES - FRANK HEAD START</v>
          </cell>
          <cell r="O831" t="str">
            <v>8409 SOUTH AVENIDA DEL YAQUI</v>
          </cell>
          <cell r="P831" t="str">
            <v>Chrisanda.DeBois@Maricopa.gov</v>
          </cell>
          <cell r="Q831" t="str">
            <v>CDC-17066</v>
          </cell>
          <cell r="AJ831" t="e">
            <v>#N/A</v>
          </cell>
          <cell r="AK831" t="str">
            <v>CDC-17066</v>
          </cell>
          <cell r="AL831" t="str">
            <v>CDC17066</v>
          </cell>
        </row>
        <row r="832">
          <cell r="N832" t="str">
            <v>MARICOPA COUNTY HUMAN SERVICES - GALVESTON HEAD START</v>
          </cell>
          <cell r="O832" t="str">
            <v>661 EAST GALVESTON  STREET ROOM C-5</v>
          </cell>
          <cell r="P832" t="str">
            <v>Chrisanda.DeBois@Maricopa.gov</v>
          </cell>
          <cell r="Q832" t="str">
            <v>CDC-16690</v>
          </cell>
          <cell r="AJ832" t="e">
            <v>#N/A</v>
          </cell>
          <cell r="AK832" t="str">
            <v>CDC-16690</v>
          </cell>
          <cell r="AL832" t="str">
            <v>CDC16690</v>
          </cell>
        </row>
        <row r="833">
          <cell r="N833" t="str">
            <v>MARICOPA COUNTY HUMAN SERVICES - GILBERT HEAD START</v>
          </cell>
          <cell r="O833" t="str">
            <v>44 NORTH OAK STREET</v>
          </cell>
          <cell r="P833" t="str">
            <v>vegag@mail.maricopa.gov</v>
          </cell>
          <cell r="Q833" t="str">
            <v>CDC-10936</v>
          </cell>
          <cell r="AJ833" t="e">
            <v>#N/A</v>
          </cell>
          <cell r="AK833" t="str">
            <v>CDC-10936</v>
          </cell>
          <cell r="AL833" t="str">
            <v>CDC10936</v>
          </cell>
        </row>
        <row r="834">
          <cell r="N834" t="str">
            <v>MARICOPA COUNTY HUMAN SERVICES - GUADALUPE HEAD START</v>
          </cell>
          <cell r="O834" t="str">
            <v>9401 SOUTH AVENIDA DEL YAQUI</v>
          </cell>
          <cell r="P834" t="str">
            <v>Chrisanda.DeBois@Maricopa.gov</v>
          </cell>
          <cell r="Q834" t="str">
            <v>CDC-10137</v>
          </cell>
          <cell r="AJ834" t="e">
            <v>#N/A</v>
          </cell>
          <cell r="AK834" t="str">
            <v>CDC-10137</v>
          </cell>
          <cell r="AL834" t="str">
            <v>CDC10137</v>
          </cell>
        </row>
        <row r="835">
          <cell r="N835" t="str">
            <v>MARICOPA COUNTY HUMAN SERVICES - HAMILTON HEAD START</v>
          </cell>
          <cell r="O835" t="str">
            <v>130 NORTH HAMILTON STREET #26</v>
          </cell>
          <cell r="P835" t="str">
            <v>Chrisanda.DeBois@Maricopa.gov</v>
          </cell>
          <cell r="Q835" t="str">
            <v>CDC-3295</v>
          </cell>
          <cell r="AJ835" t="e">
            <v>#N/A</v>
          </cell>
          <cell r="AK835" t="str">
            <v>CDC-3295</v>
          </cell>
          <cell r="AL835" t="str">
            <v>CDC3295</v>
          </cell>
        </row>
        <row r="836">
          <cell r="N836" t="str">
            <v>MARICOPA COUNTY HUMAN SERVICES - HUGHES HEAD START</v>
          </cell>
          <cell r="O836" t="str">
            <v>630 NORTH HUNT DRIVE</v>
          </cell>
          <cell r="P836" t="str">
            <v>bebosic@mail.maricopa.gov</v>
          </cell>
          <cell r="Q836" t="str">
            <v>CDC-11765</v>
          </cell>
          <cell r="AJ836" t="e">
            <v>#N/A</v>
          </cell>
          <cell r="AK836" t="str">
            <v>CDC-11765</v>
          </cell>
          <cell r="AL836" t="str">
            <v>CDC11765</v>
          </cell>
        </row>
        <row r="837">
          <cell r="N837" t="str">
            <v>MARICOPA COUNTY HUMAN SERVICES - LINCOLN HEAD START</v>
          </cell>
          <cell r="O837" t="str">
            <v>930 SOUTH SIRRINE - ROOM 50</v>
          </cell>
          <cell r="P837" t="str">
            <v>Tina.pekovitch@maricopa.gov</v>
          </cell>
          <cell r="Q837" t="str">
            <v>CDC-4720</v>
          </cell>
          <cell r="AJ837" t="e">
            <v>#N/A</v>
          </cell>
          <cell r="AK837" t="str">
            <v>CDC-4720</v>
          </cell>
          <cell r="AL837" t="str">
            <v>CDC4720</v>
          </cell>
        </row>
        <row r="838">
          <cell r="N838" t="str">
            <v>MARICOPA COUNTY HUMAN SERVICES - LONGFELLOW HEAD START</v>
          </cell>
          <cell r="O838" t="str">
            <v>345 SOUTH HALL</v>
          </cell>
          <cell r="P838" t="str">
            <v>Chrisanda.DeBois@Maricopa.gov</v>
          </cell>
          <cell r="Q838" t="str">
            <v>CDC-4721</v>
          </cell>
          <cell r="AJ838" t="e">
            <v>#N/A</v>
          </cell>
          <cell r="AK838" t="str">
            <v>CDC-4721</v>
          </cell>
          <cell r="AL838" t="str">
            <v>CDC4721</v>
          </cell>
        </row>
        <row r="839">
          <cell r="N839" t="str">
            <v>MARICOPA COUNTY HUMAN SERVICES - LOWELL HEAD START</v>
          </cell>
          <cell r="O839" t="str">
            <v>920 EAST BROADWAY ROAD</v>
          </cell>
          <cell r="P839" t="str">
            <v>maria.mariscales@maricopa.gov</v>
          </cell>
          <cell r="Q839" t="str">
            <v>CDC-17463</v>
          </cell>
          <cell r="AJ839" t="e">
            <v>#N/A</v>
          </cell>
          <cell r="AK839" t="str">
            <v>CDC-17463</v>
          </cell>
          <cell r="AL839" t="str">
            <v>CDC17463</v>
          </cell>
        </row>
        <row r="840">
          <cell r="N840" t="str">
            <v>MARICOPA COUNTY HUMAN SERVICES - NORTH TEMPE HEAD START I &amp; II</v>
          </cell>
          <cell r="O840" t="str">
            <v>1555 NORTH BRIDALWREATH STREET</v>
          </cell>
          <cell r="P840" t="str">
            <v>Chrisanda.DeBois@Maricopa.gov</v>
          </cell>
          <cell r="Q840" t="str">
            <v>CDC-12803</v>
          </cell>
          <cell r="AJ840" t="e">
            <v>#N/A</v>
          </cell>
          <cell r="AK840" t="str">
            <v>CDC-12803</v>
          </cell>
          <cell r="AL840" t="str">
            <v>CDC12803</v>
          </cell>
        </row>
        <row r="841">
          <cell r="N841" t="str">
            <v>MARICOPA COUNTY HUMAN SERVICES - PAIUTE HEAD START</v>
          </cell>
          <cell r="O841" t="str">
            <v>6535 EAST OSBORN ROAD</v>
          </cell>
          <cell r="P841" t="str">
            <v>Chrisanda.DeBois@Maricopa.gov</v>
          </cell>
          <cell r="Q841" t="str">
            <v>CDC-5314</v>
          </cell>
          <cell r="AJ841" t="e">
            <v>#N/A</v>
          </cell>
          <cell r="AK841" t="str">
            <v>CDC-5314</v>
          </cell>
          <cell r="AL841" t="str">
            <v>CDC5314</v>
          </cell>
        </row>
        <row r="842">
          <cell r="N842" t="str">
            <v>MARICOPA COUNTY HUMAN SERVICES - PALM LANE HEAD START</v>
          </cell>
          <cell r="O842" t="str">
            <v>660 SOUTH PALM LANE</v>
          </cell>
          <cell r="P842" t="str">
            <v>desaraeperez@Maricopa.gov</v>
          </cell>
          <cell r="Q842" t="str">
            <v>CDC-4904</v>
          </cell>
          <cell r="AJ842" t="e">
            <v>#N/A</v>
          </cell>
          <cell r="AK842" t="str">
            <v>CDC-4904</v>
          </cell>
          <cell r="AL842" t="str">
            <v>CDC4904</v>
          </cell>
        </row>
        <row r="843">
          <cell r="N843" t="str">
            <v>MARICOPA COUNTY HUMAN SERVICES - SON RISE COMMUNITY CHURCH HEAD START</v>
          </cell>
          <cell r="O843" t="str">
            <v>800 WEST GALVESTON STREET</v>
          </cell>
          <cell r="P843" t="str">
            <v>Chrisanda.DeBois@Maricopa.gov</v>
          </cell>
          <cell r="Q843" t="str">
            <v>CDC-16440</v>
          </cell>
          <cell r="AJ843" t="e">
            <v>#N/A</v>
          </cell>
          <cell r="AK843" t="str">
            <v>CDC-16440</v>
          </cell>
          <cell r="AL843" t="str">
            <v>CDC16440</v>
          </cell>
        </row>
        <row r="844">
          <cell r="N844" t="str">
            <v>MARICOPA COUNTY HUMAN SERVICES - STEVENSON HEAD START</v>
          </cell>
          <cell r="O844" t="str">
            <v>638 SOUTH 96TH STREET RM H-6</v>
          </cell>
          <cell r="P844" t="str">
            <v>Quennie.lucas@maricopa.gov</v>
          </cell>
          <cell r="Q844" t="str">
            <v>CDC-1637</v>
          </cell>
          <cell r="AJ844" t="e">
            <v>#N/A</v>
          </cell>
          <cell r="AK844" t="str">
            <v>CDC-1637</v>
          </cell>
          <cell r="AL844" t="str">
            <v>CDC1637</v>
          </cell>
        </row>
        <row r="845">
          <cell r="N845" t="str">
            <v>MARICOPA COUNTY HUMAN SERVICES - TAFT ELEMENTARY S</v>
          </cell>
          <cell r="O845" t="str">
            <v>9800 EAST QUARTERLINE ROAD</v>
          </cell>
          <cell r="P845" t="str">
            <v>benham@mailmaricopa.gov</v>
          </cell>
          <cell r="Q845" t="str">
            <v>CDC-4719</v>
          </cell>
          <cell r="AJ845" t="e">
            <v>#N/A</v>
          </cell>
          <cell r="AK845" t="str">
            <v>CDC-4719</v>
          </cell>
          <cell r="AL845" t="str">
            <v>CDC4719</v>
          </cell>
        </row>
        <row r="846">
          <cell r="N846" t="str">
            <v>MARICOPA COUNTY HUMAN SERVICES - VALOR ON 8TH</v>
          </cell>
          <cell r="O846" t="str">
            <v>1001 EAST 8TH STREET</v>
          </cell>
          <cell r="P846" t="str">
            <v>Chrisanda.debois@maricopa.gov</v>
          </cell>
          <cell r="Q846" t="str">
            <v>CDC-18742</v>
          </cell>
          <cell r="AJ846" t="e">
            <v>#N/A</v>
          </cell>
          <cell r="AK846" t="str">
            <v>CDC-18742</v>
          </cell>
          <cell r="AL846" t="str">
            <v>CDC18742</v>
          </cell>
        </row>
        <row r="847">
          <cell r="N847" t="str">
            <v>MARICOPA COUNTY HUMAN SERVICES - WEBSTER HEAD START</v>
          </cell>
          <cell r="O847" t="str">
            <v>202 NORTH SYCAMORE</v>
          </cell>
          <cell r="P847" t="str">
            <v>McClintockM@mail.maricopa.gov</v>
          </cell>
          <cell r="Q847" t="str">
            <v>CDC-15929</v>
          </cell>
          <cell r="AJ847" t="e">
            <v>#N/A</v>
          </cell>
          <cell r="AK847" t="str">
            <v>CDC-15929</v>
          </cell>
          <cell r="AL847" t="str">
            <v>CDC15929</v>
          </cell>
        </row>
        <row r="848">
          <cell r="N848" t="str">
            <v>MARICOPA COUNTY HUMAN SERVICES - WESTSIDE MULTI GENERATIONAL HEAD START</v>
          </cell>
          <cell r="O848" t="str">
            <v>715 WEST 5TH STREET ROOM 137</v>
          </cell>
          <cell r="P848" t="str">
            <v>Yadira.madrid@Maricopa.gov</v>
          </cell>
          <cell r="Q848" t="str">
            <v>CDC-9571</v>
          </cell>
          <cell r="AJ848" t="e">
            <v>#N/A</v>
          </cell>
          <cell r="AK848" t="str">
            <v>CDC-9571</v>
          </cell>
          <cell r="AL848" t="str">
            <v>CDC9571</v>
          </cell>
        </row>
        <row r="849">
          <cell r="N849" t="str">
            <v>MARICOPA COUNTY HUMAN SERVICES - WHITMAN -  ZERO FIVE PROGRAM</v>
          </cell>
          <cell r="O849" t="str">
            <v>1829 NORTH GRAND</v>
          </cell>
          <cell r="P849" t="str">
            <v>charlotte.camacho@Maricopa.gov</v>
          </cell>
          <cell r="Q849" t="str">
            <v>CDC-16362</v>
          </cell>
          <cell r="AJ849" t="e">
            <v>#N/A</v>
          </cell>
          <cell r="AK849" t="str">
            <v>CDC-16362</v>
          </cell>
          <cell r="AL849" t="str">
            <v>CDC16362</v>
          </cell>
        </row>
        <row r="850">
          <cell r="N850" t="str">
            <v>MARICOPA HEAD START</v>
          </cell>
          <cell r="O850" t="str">
            <v>44931 WEST EDWARDS DRIVE</v>
          </cell>
          <cell r="P850" t="str">
            <v>barbie.moreno@pgccs.org</v>
          </cell>
          <cell r="Q850" t="str">
            <v>CDC-15552</v>
          </cell>
          <cell r="AJ850">
            <v>8074</v>
          </cell>
          <cell r="AK850" t="str">
            <v>CDC-15552</v>
          </cell>
          <cell r="AL850" t="str">
            <v>CDC15552</v>
          </cell>
        </row>
        <row r="851">
          <cell r="N851" t="str">
            <v>MARTIN PEAR JCC IN THE VALLEY OF THE SUN</v>
          </cell>
          <cell r="O851" t="str">
            <v>12701 NORTH SCOTTSDALE ROAD</v>
          </cell>
          <cell r="P851" t="str">
            <v>kims@vosjcc.org</v>
          </cell>
          <cell r="Q851" t="str">
            <v>CDC-9975</v>
          </cell>
          <cell r="AJ851" t="e">
            <v>#N/A</v>
          </cell>
          <cell r="AK851" t="str">
            <v>CDC-9975</v>
          </cell>
          <cell r="AL851" t="str">
            <v>CDC9975</v>
          </cell>
        </row>
        <row r="852">
          <cell r="N852" t="str">
            <v>MARY'S LITTLE LAMBS</v>
          </cell>
          <cell r="O852" t="str">
            <v>100 NORTH WARREN AVENUE</v>
          </cell>
          <cell r="P852" t="str">
            <v>maryslittlelambs1@yahoo.com</v>
          </cell>
          <cell r="Q852" t="str">
            <v>CDC-10968</v>
          </cell>
          <cell r="AJ852">
            <v>84272</v>
          </cell>
          <cell r="AK852" t="str">
            <v>CDC-10968</v>
          </cell>
          <cell r="AL852" t="str">
            <v>CDC10968</v>
          </cell>
        </row>
        <row r="853">
          <cell r="N853" t="str">
            <v>MAXWELL PRESCHOOL ACADEMY</v>
          </cell>
          <cell r="O853" t="str">
            <v>1455 SOUTH STAPLEY DRIVE # 10</v>
          </cell>
          <cell r="P853" t="str">
            <v>mpastapley@gmail.com</v>
          </cell>
          <cell r="Q853" t="str">
            <v>CDC-14615</v>
          </cell>
          <cell r="AJ853">
            <v>90665</v>
          </cell>
          <cell r="AK853" t="str">
            <v>CDC-14615</v>
          </cell>
          <cell r="AL853" t="str">
            <v>CDC14615</v>
          </cell>
        </row>
        <row r="854">
          <cell r="N854" t="str">
            <v>MAXWELL PRESCHOOL ACADEMY 5 L.L.C.</v>
          </cell>
          <cell r="O854" t="str">
            <v>1949 EAST BROWN ROAD</v>
          </cell>
          <cell r="P854" t="str">
            <v>tanyasevilla@hotmail.com</v>
          </cell>
          <cell r="Q854" t="str">
            <v>CDC-17862</v>
          </cell>
          <cell r="AJ854" t="e">
            <v>#N/A</v>
          </cell>
          <cell r="AK854" t="str">
            <v>CDC-17862</v>
          </cell>
          <cell r="AL854" t="str">
            <v>CDC17862</v>
          </cell>
        </row>
        <row r="855">
          <cell r="N855" t="str">
            <v>MAXWELL PRESCHOOL ACADEMY FOUNTAIN HILLS L L C</v>
          </cell>
          <cell r="O855" t="str">
            <v>15249 NORTH FOUNTAIN HILLS BOULEVARD</v>
          </cell>
          <cell r="P855" t="str">
            <v>maxwellpreschoolacademy@gmail.com</v>
          </cell>
          <cell r="Q855" t="str">
            <v>CDC-12379</v>
          </cell>
          <cell r="AJ855" t="e">
            <v>#N/A</v>
          </cell>
          <cell r="AK855" t="str">
            <v>CDC-12379</v>
          </cell>
          <cell r="AL855" t="str">
            <v>CDC12379</v>
          </cell>
        </row>
        <row r="856">
          <cell r="N856" t="str">
            <v>MCCORMICK PRESCHOOL</v>
          </cell>
          <cell r="O856" t="str">
            <v>6018 NORTH GRANITE REEF ROAD</v>
          </cell>
          <cell r="P856" t="str">
            <v>mccormickpreschool@gmail.com</v>
          </cell>
          <cell r="Q856" t="str">
            <v>CDC-3824</v>
          </cell>
          <cell r="AJ856">
            <v>9192</v>
          </cell>
          <cell r="AK856" t="str">
            <v>CDC-3824</v>
          </cell>
          <cell r="AL856" t="str">
            <v>CDC3824</v>
          </cell>
        </row>
        <row r="857">
          <cell r="N857" t="str">
            <v>MENSENDICK HEAD START</v>
          </cell>
          <cell r="O857" t="str">
            <v>5535 NORTH 67TH AVENUE</v>
          </cell>
          <cell r="P857" t="str">
            <v>Rsandoval@cc-az.org</v>
          </cell>
          <cell r="Q857" t="str">
            <v>CDC-9745</v>
          </cell>
          <cell r="AJ857" t="e">
            <v>#N/A</v>
          </cell>
          <cell r="AK857" t="str">
            <v>CDC-9745</v>
          </cell>
          <cell r="AL857" t="str">
            <v>CDC9745</v>
          </cell>
        </row>
        <row r="858">
          <cell r="N858" t="str">
            <v>MESA COMMUNITY COLLEGE CHILDREN'S CENTER</v>
          </cell>
          <cell r="O858" t="str">
            <v>1833 WEST SOUTHERN AVENUE</v>
          </cell>
          <cell r="P858" t="str">
            <v>kristina.bliss@mesacc.edu</v>
          </cell>
          <cell r="Q858" t="str">
            <v>CDC-1643</v>
          </cell>
          <cell r="AJ858" t="e">
            <v>#N/A</v>
          </cell>
          <cell r="AK858" t="str">
            <v>CDC-1643</v>
          </cell>
          <cell r="AL858" t="str">
            <v>CDC1643</v>
          </cell>
        </row>
        <row r="859">
          <cell r="N859" t="str">
            <v>MESA MONTESSORI</v>
          </cell>
          <cell r="O859" t="str">
            <v>2830 SOUTH CARRIAGE LANE</v>
          </cell>
          <cell r="P859" t="str">
            <v>mesamontessori@gmail.com</v>
          </cell>
          <cell r="Q859" t="str">
            <v>CDC-1282</v>
          </cell>
          <cell r="AJ859" t="e">
            <v>#N/A</v>
          </cell>
          <cell r="AK859" t="str">
            <v>CDC-1282</v>
          </cell>
          <cell r="AL859" t="str">
            <v>CDC1282</v>
          </cell>
        </row>
        <row r="860">
          <cell r="N860" t="str">
            <v>MI ESCUELITA CHILD CARE</v>
          </cell>
          <cell r="O860" t="str">
            <v>2747 WEST SOUTHERN AVENUE STE 4</v>
          </cell>
          <cell r="P860" t="str">
            <v>miescuelitachildcare@yahoo.com</v>
          </cell>
          <cell r="Q860" t="str">
            <v>CDC-17298</v>
          </cell>
          <cell r="AJ860" t="e">
            <v>#N/A</v>
          </cell>
          <cell r="AK860" t="str">
            <v>CDC-17298</v>
          </cell>
          <cell r="AL860" t="str">
            <v>CDC17298</v>
          </cell>
        </row>
        <row r="861">
          <cell r="N861" t="str">
            <v>MIA PRESCHOOL &amp; CHILDCARE, L.L.C.</v>
          </cell>
          <cell r="O861" t="str">
            <v>2132 WEST GLENDALE AVENUE</v>
          </cell>
          <cell r="P861" t="str">
            <v>launchpad2132@gmail.com</v>
          </cell>
          <cell r="Q861" t="str">
            <v>CDC-17762</v>
          </cell>
          <cell r="AJ861" t="e">
            <v>#N/A</v>
          </cell>
          <cell r="AK861" t="str">
            <v>CDC-17762</v>
          </cell>
          <cell r="AL861" t="str">
            <v>CDC17762</v>
          </cell>
        </row>
        <row r="862">
          <cell r="N862" t="str">
            <v>MIAMI HEAD START</v>
          </cell>
          <cell r="O862" t="str">
            <v>131 NORTH PLAZA CIRCLE</v>
          </cell>
          <cell r="P862" t="str">
            <v>amy.hust@pgccs.org</v>
          </cell>
          <cell r="Q862" t="str">
            <v>CDC-8844</v>
          </cell>
          <cell r="AJ862">
            <v>8075</v>
          </cell>
          <cell r="AK862" t="str">
            <v>CDC-8844</v>
          </cell>
          <cell r="AL862" t="str">
            <v>CDC8844</v>
          </cell>
        </row>
        <row r="863">
          <cell r="N863" t="str">
            <v>MICHAEL ANDERSON HEAD START</v>
          </cell>
          <cell r="O863" t="str">
            <v>45 SOUTH 3RD AVENUE</v>
          </cell>
          <cell r="P863" t="str">
            <v>rsandoval@cc-az.org</v>
          </cell>
          <cell r="Q863" t="str">
            <v>CDC-15117</v>
          </cell>
          <cell r="AJ863" t="e">
            <v>#N/A</v>
          </cell>
          <cell r="AK863" t="str">
            <v>CDC-15117</v>
          </cell>
          <cell r="AL863" t="str">
            <v>CDC15117</v>
          </cell>
        </row>
        <row r="864">
          <cell r="N864" t="str">
            <v>MILESTONE LEARNING CENTER</v>
          </cell>
          <cell r="O864" t="str">
            <v>1604 EAST UNIVERSITY</v>
          </cell>
          <cell r="P864" t="str">
            <v>milestonelearning.c@gmail.com</v>
          </cell>
          <cell r="Q864" t="str">
            <v>CDC-17284</v>
          </cell>
          <cell r="AJ864">
            <v>93025</v>
          </cell>
          <cell r="AK864" t="str">
            <v>CDC-17284</v>
          </cell>
          <cell r="AL864" t="str">
            <v>CDC17284</v>
          </cell>
        </row>
        <row r="865">
          <cell r="N865" t="str">
            <v>MILESTONES PRESCHOOL</v>
          </cell>
          <cell r="O865" t="str">
            <v>2600 WEST 24TH STREET</v>
          </cell>
          <cell r="P865" t="str">
            <v>josie.garcia1994@gmail.com</v>
          </cell>
          <cell r="Q865" t="str">
            <v>CDC-18199</v>
          </cell>
          <cell r="AJ865" t="e">
            <v>#N/A</v>
          </cell>
          <cell r="AK865" t="str">
            <v>CDC-18199</v>
          </cell>
          <cell r="AL865" t="str">
            <v>CDC18199</v>
          </cell>
        </row>
        <row r="866">
          <cell r="N866" t="str">
            <v>MILESTONES PRESCHOOL &amp; CHARTER SCHOOL</v>
          </cell>
          <cell r="O866" t="str">
            <v>4707 EAST ROBERT E LEE STREET</v>
          </cell>
          <cell r="P866" t="str">
            <v>taracab@yahoo.com</v>
          </cell>
          <cell r="Q866" t="str">
            <v>CDC-10886</v>
          </cell>
          <cell r="AJ866" t="e">
            <v>#N/A</v>
          </cell>
          <cell r="AK866" t="str">
            <v>CDC-10886</v>
          </cell>
          <cell r="AL866" t="str">
            <v>CDC10886</v>
          </cell>
        </row>
        <row r="867">
          <cell r="N867" t="str">
            <v>MILL AVENUE PRESCHOOL</v>
          </cell>
          <cell r="O867" t="str">
            <v>4431 SOUTH MILL AVENUE</v>
          </cell>
          <cell r="P867" t="str">
            <v>sarah.r@elcjbinc.com</v>
          </cell>
          <cell r="Q867" t="str">
            <v>CDC-15000</v>
          </cell>
          <cell r="AJ867">
            <v>90517</v>
          </cell>
          <cell r="AK867" t="str">
            <v>CDC-15000</v>
          </cell>
          <cell r="AL867" t="str">
            <v>CDC15000</v>
          </cell>
        </row>
        <row r="868">
          <cell r="N868" t="str">
            <v>MIND AND BODY KIDS</v>
          </cell>
          <cell r="O868" t="str">
            <v>9510 NORTH 75TH AVENUE</v>
          </cell>
          <cell r="P868" t="str">
            <v>andrea@mindandbodykids.com</v>
          </cell>
          <cell r="Q868" t="str">
            <v>CDC-17793</v>
          </cell>
          <cell r="AJ868" t="e">
            <v>#N/A</v>
          </cell>
          <cell r="AK868" t="str">
            <v>CDC-17793</v>
          </cell>
          <cell r="AL868" t="str">
            <v>CDC17793</v>
          </cell>
        </row>
        <row r="869">
          <cell r="N869" t="str">
            <v>MINI LEADERS L.L.C</v>
          </cell>
          <cell r="O869" t="str">
            <v>13354 SOUTH SUNLAND GIN ROAD</v>
          </cell>
          <cell r="P869" t="str">
            <v>alvina_preschool@yahoo.com</v>
          </cell>
          <cell r="Q869" t="str">
            <v>CDC-13478</v>
          </cell>
          <cell r="AJ869" t="e">
            <v>#N/A</v>
          </cell>
          <cell r="AK869" t="str">
            <v>CDC-13478</v>
          </cell>
          <cell r="AL869" t="str">
            <v>CDC13478</v>
          </cell>
        </row>
        <row r="870">
          <cell r="N870" t="str">
            <v>MINI-SKOOL EARLY LEARNING CENTERS #201</v>
          </cell>
          <cell r="O870" t="str">
            <v>1702 SOUTH CRAYCROFT</v>
          </cell>
          <cell r="P870" t="str">
            <v>Angel.Hesseltine@phoenixchildrensacademy.com</v>
          </cell>
          <cell r="Q870" t="str">
            <v>CDC-5679</v>
          </cell>
          <cell r="AJ870">
            <v>9989</v>
          </cell>
          <cell r="AK870" t="str">
            <v>CDC-5679</v>
          </cell>
          <cell r="AL870" t="str">
            <v>CDC5679</v>
          </cell>
        </row>
        <row r="871">
          <cell r="N871" t="str">
            <v>MIRAMONTE DAY SCHOOL</v>
          </cell>
          <cell r="O871" t="str">
            <v>2837 EAST 22ND STREET</v>
          </cell>
          <cell r="P871" t="str">
            <v>kelli@smallmiraclesedu.com</v>
          </cell>
          <cell r="Q871" t="str">
            <v>CDC-17636</v>
          </cell>
          <cell r="AJ871">
            <v>273404</v>
          </cell>
          <cell r="AK871" t="str">
            <v>CDC-17636</v>
          </cell>
          <cell r="AL871" t="str">
            <v>CDC17636</v>
          </cell>
        </row>
        <row r="872">
          <cell r="N872" t="str">
            <v>MIRO INTERNATIONAL PRESCHOOL</v>
          </cell>
          <cell r="O872" t="str">
            <v>11211 EAST VIA LINDA</v>
          </cell>
          <cell r="P872" t="str">
            <v>farce@miropreschool.com</v>
          </cell>
          <cell r="Q872" t="str">
            <v>CDC-17664</v>
          </cell>
          <cell r="AJ872" t="e">
            <v>#N/A</v>
          </cell>
          <cell r="AK872" t="str">
            <v>CDC-17664</v>
          </cell>
          <cell r="AL872" t="str">
            <v>CDC17664</v>
          </cell>
        </row>
        <row r="873">
          <cell r="N873" t="str">
            <v>MIS MANOS MONTESSORI  SCHOOL</v>
          </cell>
          <cell r="O873" t="str">
            <v>100 WEST MAGEE ROAD</v>
          </cell>
          <cell r="P873" t="str">
            <v>mara@mismanosmontessori.com</v>
          </cell>
          <cell r="Q873" t="str">
            <v>CDC-16675</v>
          </cell>
          <cell r="AJ873" t="e">
            <v>#N/A</v>
          </cell>
          <cell r="AK873" t="str">
            <v>CDC-16675</v>
          </cell>
          <cell r="AL873" t="str">
            <v>CDC16675</v>
          </cell>
        </row>
        <row r="874">
          <cell r="N874" t="str">
            <v>MISS DINAH'S PLACE</v>
          </cell>
          <cell r="O874" t="str">
            <v>561 NORTH 18TH PLACE</v>
          </cell>
          <cell r="P874" t="str">
            <v>dmilam@cableone.net</v>
          </cell>
          <cell r="Q874" t="str">
            <v>CDC-6923</v>
          </cell>
          <cell r="AJ874">
            <v>9685</v>
          </cell>
          <cell r="AK874" t="str">
            <v>CDC-6923</v>
          </cell>
          <cell r="AL874" t="str">
            <v>CDC6923</v>
          </cell>
        </row>
        <row r="875">
          <cell r="N875" t="str">
            <v>MISSION MANOR HEAD START</v>
          </cell>
          <cell r="O875" t="str">
            <v>6009 SOUTH SANTA CLARA</v>
          </cell>
          <cell r="P875" t="str">
            <v>missionmanor@childparentcenters.org</v>
          </cell>
          <cell r="Q875" t="str">
            <v>CDC-3639</v>
          </cell>
          <cell r="AJ875">
            <v>9845</v>
          </cell>
          <cell r="AK875" t="str">
            <v>CDC-3639</v>
          </cell>
          <cell r="AL875" t="str">
            <v>CDC3639</v>
          </cell>
        </row>
        <row r="876">
          <cell r="N876" t="str">
            <v>MISSION MONTESSORI NORTH</v>
          </cell>
          <cell r="O876" t="str">
            <v>9575 EAST LARKSPUR DRIVE</v>
          </cell>
          <cell r="P876" t="str">
            <v>rgagliano@missionmontessori.com</v>
          </cell>
          <cell r="Q876" t="str">
            <v>CDC-15081</v>
          </cell>
          <cell r="AJ876" t="e">
            <v>#N/A</v>
          </cell>
          <cell r="AK876" t="str">
            <v>CDC-15081</v>
          </cell>
          <cell r="AL876" t="str">
            <v>CDC15081</v>
          </cell>
        </row>
        <row r="877">
          <cell r="N877" t="str">
            <v>MISSION MONTESSORI ON THE DESERT</v>
          </cell>
          <cell r="O877" t="str">
            <v>11050 NORTH 96TH STREET</v>
          </cell>
          <cell r="P877" t="str">
            <v>rgagliano@missionmontessori.com</v>
          </cell>
          <cell r="Q877" t="str">
            <v>CDC-10713</v>
          </cell>
          <cell r="AJ877" t="e">
            <v>#N/A</v>
          </cell>
          <cell r="AK877" t="str">
            <v>CDC-10713</v>
          </cell>
          <cell r="AL877" t="str">
            <v>CDC10713</v>
          </cell>
        </row>
        <row r="878">
          <cell r="N878" t="str">
            <v>MISSION MONTESSORI ON THE DESERT</v>
          </cell>
          <cell r="O878" t="str">
            <v>12990 EAST SHEA BOULEVARD</v>
          </cell>
          <cell r="P878" t="str">
            <v>rgagliano@missionmontessori.com</v>
          </cell>
          <cell r="Q878" t="str">
            <v>CDC-11833</v>
          </cell>
          <cell r="AJ878" t="e">
            <v>#N/A</v>
          </cell>
          <cell r="AK878" t="str">
            <v>CDC-11833</v>
          </cell>
          <cell r="AL878" t="str">
            <v>CDC11833</v>
          </cell>
        </row>
        <row r="879">
          <cell r="N879" t="str">
            <v>MOHAVE ACCELERATED LEARNING CENTER</v>
          </cell>
          <cell r="O879" t="str">
            <v>635 MARINA BLVD</v>
          </cell>
          <cell r="P879" t="str">
            <v>vchristensen@mohavelearning.org</v>
          </cell>
          <cell r="Q879" t="str">
            <v>CDC-18289</v>
          </cell>
          <cell r="AJ879" t="e">
            <v>#N/A</v>
          </cell>
          <cell r="AK879" t="str">
            <v>CDC-18289</v>
          </cell>
          <cell r="AL879" t="str">
            <v>CDC18289</v>
          </cell>
        </row>
        <row r="880">
          <cell r="N880" t="str">
            <v>MONA'S COUNTRY DAY SCHOOL &amp; CHILDCARE</v>
          </cell>
          <cell r="O880" t="str">
            <v>4421 SOUTH BASHA ROAD</v>
          </cell>
          <cell r="P880" t="str">
            <v>cmzamboni1@msn.com</v>
          </cell>
          <cell r="Q880" t="str">
            <v>CDC-12762</v>
          </cell>
          <cell r="AJ880" t="e">
            <v>#N/A</v>
          </cell>
          <cell r="AK880" t="str">
            <v>CDC-12762</v>
          </cell>
          <cell r="AL880" t="str">
            <v>CDC12762</v>
          </cell>
        </row>
        <row r="881">
          <cell r="N881" t="str">
            <v>MONKEY BUSINESS PRESCHOOL</v>
          </cell>
          <cell r="O881" t="str">
            <v>27035 NORTH BLACK ROCK ROAD</v>
          </cell>
          <cell r="P881" t="str">
            <v>fourgreens@cox.net</v>
          </cell>
          <cell r="Q881" t="str">
            <v>CDC-18018</v>
          </cell>
          <cell r="AJ881" t="e">
            <v>#N/A</v>
          </cell>
          <cell r="AK881" t="str">
            <v>CDC-18018</v>
          </cell>
          <cell r="AL881" t="str">
            <v>CDC18018</v>
          </cell>
        </row>
        <row r="882">
          <cell r="N882" t="str">
            <v>MONTESSORI ACADEMY</v>
          </cell>
          <cell r="O882" t="str">
            <v>6050 NORTH INVERGORDON ROAD</v>
          </cell>
          <cell r="P882" t="str">
            <v>juli.newman@montessoriacademyaz.org</v>
          </cell>
          <cell r="Q882" t="str">
            <v>CDC-15421</v>
          </cell>
          <cell r="AJ882" t="e">
            <v>#N/A</v>
          </cell>
          <cell r="AK882" t="str">
            <v>CDC-15421</v>
          </cell>
          <cell r="AL882" t="str">
            <v>CDC15421</v>
          </cell>
        </row>
        <row r="883">
          <cell r="N883" t="str">
            <v>MONTESSORI CENTER SCHOOL</v>
          </cell>
          <cell r="O883" t="str">
            <v>8625 NORTH 19TH AVENUE</v>
          </cell>
          <cell r="P883" t="str">
            <v>montamiaz@aol.com</v>
          </cell>
          <cell r="Q883" t="str">
            <v>CDC-2086</v>
          </cell>
          <cell r="AJ883" t="e">
            <v>#N/A</v>
          </cell>
          <cell r="AK883" t="str">
            <v>CDC-2086</v>
          </cell>
          <cell r="AL883" t="str">
            <v>CDC2086</v>
          </cell>
        </row>
        <row r="884">
          <cell r="N884" t="str">
            <v>MONTESSORI CHILDREN'S CENTRE</v>
          </cell>
          <cell r="O884" t="str">
            <v>2834 EAST SOUTHERN AVENUE</v>
          </cell>
          <cell r="P884" t="str">
            <v>twhiting@montessorictr.org</v>
          </cell>
          <cell r="Q884" t="str">
            <v>CDC-16462</v>
          </cell>
          <cell r="AJ884" t="e">
            <v>#N/A</v>
          </cell>
          <cell r="AK884" t="str">
            <v>CDC-16462</v>
          </cell>
          <cell r="AL884" t="str">
            <v>CDC16462</v>
          </cell>
        </row>
        <row r="885">
          <cell r="N885" t="str">
            <v>MONTESSORI CHILDREN'S CENTRE - NORTH</v>
          </cell>
          <cell r="O885" t="str">
            <v>815 NORTH GILBERT ROAD</v>
          </cell>
          <cell r="P885" t="str">
            <v>rlichtenberger@montessorictr.org</v>
          </cell>
          <cell r="Q885" t="str">
            <v>CDC-9668</v>
          </cell>
          <cell r="AJ885" t="e">
            <v>#N/A</v>
          </cell>
          <cell r="AK885" t="str">
            <v>CDC-9668</v>
          </cell>
          <cell r="AL885" t="str">
            <v>CDC9668</v>
          </cell>
        </row>
        <row r="886">
          <cell r="N886" t="str">
            <v>MONTESSORI CHILDREN'S HOUSE</v>
          </cell>
          <cell r="O886" t="str">
            <v>516 WEST BETHANY HOME ROAD</v>
          </cell>
          <cell r="P886" t="str">
            <v>scaparros@cox.net</v>
          </cell>
          <cell r="Q886" t="str">
            <v>CDC-0565</v>
          </cell>
          <cell r="AJ886" t="e">
            <v>#N/A</v>
          </cell>
          <cell r="AK886" t="str">
            <v>CDC-0565</v>
          </cell>
          <cell r="AL886" t="str">
            <v>CDC0565</v>
          </cell>
        </row>
        <row r="887">
          <cell r="N887" t="str">
            <v>MONTESSORI DAY SCHOOLS - LAKESHORE</v>
          </cell>
          <cell r="O887" t="str">
            <v>1700 WEST WARNER ROAD</v>
          </cell>
          <cell r="P887" t="str">
            <v>taverill@mdpsc.org</v>
          </cell>
          <cell r="Q887" t="str">
            <v>CDC-10879</v>
          </cell>
          <cell r="AJ887" t="e">
            <v>#N/A</v>
          </cell>
          <cell r="AK887" t="str">
            <v>CDC-10879</v>
          </cell>
          <cell r="AL887" t="str">
            <v>CDC10879</v>
          </cell>
        </row>
        <row r="888">
          <cell r="N888" t="str">
            <v>MONTESSORI DAY SCHOOLS - MOUNTAINSIDE</v>
          </cell>
          <cell r="O888" t="str">
            <v>9215 NORTH 14TH STREET</v>
          </cell>
          <cell r="P888" t="str">
            <v>rmontes@mdpsc.org</v>
          </cell>
          <cell r="Q888" t="str">
            <v>CDC-11797</v>
          </cell>
          <cell r="AJ888" t="e">
            <v>#N/A</v>
          </cell>
          <cell r="AK888" t="str">
            <v>CDC-11797</v>
          </cell>
          <cell r="AL888" t="str">
            <v>CDC11797</v>
          </cell>
        </row>
        <row r="889">
          <cell r="N889" t="str">
            <v>MONTESSORI DE SANTA CRUZ</v>
          </cell>
          <cell r="O889" t="str">
            <v>18 CALLE BACA</v>
          </cell>
          <cell r="P889" t="str">
            <v>mdsc1@montessoridesantacruz.org</v>
          </cell>
          <cell r="Q889" t="str">
            <v>CDC-9016</v>
          </cell>
          <cell r="AJ889" t="e">
            <v>#N/A</v>
          </cell>
          <cell r="AK889" t="str">
            <v>CDC-9016</v>
          </cell>
          <cell r="AL889" t="str">
            <v>CDC9016</v>
          </cell>
        </row>
        <row r="890">
          <cell r="N890" t="str">
            <v>MONTESSORI IN THE PARK</v>
          </cell>
          <cell r="O890" t="str">
            <v>1832 NORTH LITCHFIELD ROAD</v>
          </cell>
          <cell r="P890" t="str">
            <v>info@mipschool.org</v>
          </cell>
          <cell r="Q890" t="str">
            <v>CDC-15393</v>
          </cell>
          <cell r="AJ890" t="e">
            <v>#N/A</v>
          </cell>
          <cell r="AK890" t="str">
            <v>CDC-15393</v>
          </cell>
          <cell r="AL890" t="str">
            <v>CDC15393</v>
          </cell>
        </row>
        <row r="891">
          <cell r="N891" t="str">
            <v>MONTESSORI INTERNATIONAL SCHOOL</v>
          </cell>
          <cell r="O891" t="str">
            <v>1230 NORTH GILBERT ROAD</v>
          </cell>
          <cell r="P891" t="str">
            <v>office@montessori-intl.org</v>
          </cell>
          <cell r="Q891" t="str">
            <v>CDC-1379</v>
          </cell>
          <cell r="AJ891" t="e">
            <v>#N/A</v>
          </cell>
          <cell r="AK891" t="str">
            <v>CDC-1379</v>
          </cell>
          <cell r="AL891" t="str">
            <v>CDC1379</v>
          </cell>
        </row>
        <row r="892">
          <cell r="N892" t="str">
            <v>MONTESSORI INTERNATIONAL SCHOOL - BROWN ROAD CAMPUS</v>
          </cell>
          <cell r="O892" t="str">
            <v>2401 EAST BROWN ROAD</v>
          </cell>
          <cell r="P892" t="str">
            <v>therese@montessori-intl.org</v>
          </cell>
          <cell r="Q892" t="str">
            <v>CDC-14281</v>
          </cell>
          <cell r="AJ892" t="e">
            <v>#N/A</v>
          </cell>
          <cell r="AK892" t="str">
            <v>CDC-14281</v>
          </cell>
          <cell r="AL892" t="str">
            <v>CDC14281</v>
          </cell>
        </row>
        <row r="893">
          <cell r="N893" t="str">
            <v>MONTESSORI LEARNING CENTER</v>
          </cell>
          <cell r="O893" t="str">
            <v>626 NORTH NEVADA WAY</v>
          </cell>
          <cell r="P893" t="str">
            <v>chrissy_mom_18@yahoo.com</v>
          </cell>
          <cell r="Q893" t="str">
            <v>CDC-0868</v>
          </cell>
          <cell r="AJ893" t="e">
            <v>#N/A</v>
          </cell>
          <cell r="AK893" t="str">
            <v>CDC-0868</v>
          </cell>
          <cell r="AL893" t="str">
            <v>CDC0868</v>
          </cell>
        </row>
        <row r="894">
          <cell r="N894" t="str">
            <v>MONTESSORI LEARNING SCHOOL</v>
          </cell>
          <cell r="O894" t="str">
            <v>7251 N MEREDITH BOULEVARD</v>
          </cell>
          <cell r="P894" t="str">
            <v>montessorilst@gmail.com</v>
          </cell>
          <cell r="Q894" t="str">
            <v>CDC-16815</v>
          </cell>
          <cell r="AJ894" t="e">
            <v>#N/A</v>
          </cell>
          <cell r="AK894" t="str">
            <v>CDC-16815</v>
          </cell>
          <cell r="AL894" t="str">
            <v>CDC16815</v>
          </cell>
        </row>
        <row r="895">
          <cell r="N895" t="str">
            <v>MONTESSORI PEACE ACADEMY LLC</v>
          </cell>
          <cell r="O895" t="str">
            <v>1331 EAST CHANDLER BOULEVARD - SUITE 101</v>
          </cell>
          <cell r="P895" t="str">
            <v>MsLauren@MontessoriPeaceAcademy.com</v>
          </cell>
          <cell r="Q895" t="str">
            <v>CDC-18820</v>
          </cell>
          <cell r="AJ895" t="e">
            <v>#N/A</v>
          </cell>
          <cell r="AK895" t="str">
            <v>CDC-18820</v>
          </cell>
          <cell r="AL895" t="str">
            <v>CDC18820</v>
          </cell>
        </row>
        <row r="896">
          <cell r="N896" t="str">
            <v>MONTESSORI PREPARATORY ACADEMY</v>
          </cell>
          <cell r="O896" t="str">
            <v>1863 PANADERO ROAD</v>
          </cell>
          <cell r="P896" t="str">
            <v>montessoriprepacademy@yahoo.com</v>
          </cell>
          <cell r="Q896" t="str">
            <v>CDC-18640</v>
          </cell>
          <cell r="AJ896" t="e">
            <v>#N/A</v>
          </cell>
          <cell r="AK896" t="str">
            <v>CDC-18640</v>
          </cell>
          <cell r="AL896" t="str">
            <v>CDC18640</v>
          </cell>
        </row>
        <row r="897">
          <cell r="N897" t="str">
            <v>MONTESSORI ROOM</v>
          </cell>
          <cell r="O897" t="str">
            <v>7202 EAST CAREFREE DRIVE - BUILDING 2</v>
          </cell>
          <cell r="P897" t="str">
            <v>info@montessoriroom.com</v>
          </cell>
          <cell r="Q897" t="str">
            <v>CDC-18837</v>
          </cell>
          <cell r="AJ897" t="e">
            <v>#N/A</v>
          </cell>
          <cell r="AK897" t="str">
            <v>CDC-18837</v>
          </cell>
          <cell r="AL897" t="str">
            <v>CDC18837</v>
          </cell>
        </row>
        <row r="898">
          <cell r="N898" t="str">
            <v>MONTESSORI SCHOOLS OF FLAGSTAFF - SUNNYSIDE</v>
          </cell>
          <cell r="O898" t="str">
            <v>2025 NORTH EAST STREET</v>
          </cell>
          <cell r="P898" t="str">
            <v>pattig@flagmontessori.com</v>
          </cell>
          <cell r="Q898" t="str">
            <v>CDC-16888</v>
          </cell>
          <cell r="AJ898" t="e">
            <v>#N/A</v>
          </cell>
          <cell r="AK898" t="str">
            <v>CDC-16888</v>
          </cell>
          <cell r="AL898" t="str">
            <v>CDC16888</v>
          </cell>
        </row>
        <row r="899">
          <cell r="N899" t="str">
            <v>MONTESSORI SCHOOLS OF FLAGSTAFF - WESTSIDE</v>
          </cell>
          <cell r="O899" t="str">
            <v>575 WEST UNIVERSITY AVENUE</v>
          </cell>
          <cell r="P899" t="str">
            <v>caroline@flagmontessori.com</v>
          </cell>
          <cell r="Q899" t="str">
            <v>CDC-16889</v>
          </cell>
          <cell r="AJ899" t="e">
            <v>#N/A</v>
          </cell>
          <cell r="AK899" t="str">
            <v>CDC-16889</v>
          </cell>
          <cell r="AL899" t="str">
            <v>CDC16889</v>
          </cell>
        </row>
        <row r="900">
          <cell r="N900" t="str">
            <v>MONTESSORI SCHOOLS OF FLAGSTAFF-SWITZER ESA</v>
          </cell>
          <cell r="O900" t="str">
            <v>850 NORTH LOCUST STREET</v>
          </cell>
          <cell r="P900" t="str">
            <v>kim@flagmontessori.com</v>
          </cell>
          <cell r="Q900" t="str">
            <v>CDC-16891</v>
          </cell>
          <cell r="AJ900" t="e">
            <v>#N/A</v>
          </cell>
          <cell r="AK900" t="str">
            <v>CDC-16891</v>
          </cell>
          <cell r="AL900" t="str">
            <v>CDC16891</v>
          </cell>
        </row>
        <row r="901">
          <cell r="N901" t="str">
            <v>MOORE CREATIVE LEARNING CENTER</v>
          </cell>
          <cell r="O901" t="str">
            <v>5412 WEST GLENDALE AVENUE</v>
          </cell>
          <cell r="P901" t="str">
            <v>underwoodma@hotmail.com</v>
          </cell>
          <cell r="Q901" t="str">
            <v>CDC-13461</v>
          </cell>
          <cell r="AJ901" t="e">
            <v>#N/A</v>
          </cell>
          <cell r="AK901" t="str">
            <v>CDC-13461</v>
          </cell>
          <cell r="AL901" t="str">
            <v>CDC13461</v>
          </cell>
        </row>
        <row r="902">
          <cell r="N902" t="str">
            <v>MORNING STAR HEAD START</v>
          </cell>
          <cell r="O902" t="str">
            <v>1201 EAST 25TH STREET</v>
          </cell>
          <cell r="P902" t="str">
            <v>morningstar@childparentcenters.org</v>
          </cell>
          <cell r="Q902" t="str">
            <v>CDC-5902</v>
          </cell>
          <cell r="AJ902">
            <v>9840</v>
          </cell>
          <cell r="AK902" t="str">
            <v>CDC-5902</v>
          </cell>
          <cell r="AL902" t="str">
            <v>CDC5902</v>
          </cell>
        </row>
        <row r="903">
          <cell r="N903" t="str">
            <v>MOST HOLY TRINITY ROMAN CATHOLIC PARISH PHOENIX CHILD CARE CENTER</v>
          </cell>
          <cell r="O903" t="str">
            <v>535 EAST ALICE AVENUE</v>
          </cell>
          <cell r="P903" t="str">
            <v>mmaccleary@mht.org</v>
          </cell>
          <cell r="Q903" t="str">
            <v>CDC-14345</v>
          </cell>
          <cell r="AJ903" t="e">
            <v>#N/A</v>
          </cell>
          <cell r="AK903" t="str">
            <v>CDC-14345</v>
          </cell>
          <cell r="AL903" t="str">
            <v>CDC14345</v>
          </cell>
        </row>
        <row r="904">
          <cell r="N904" t="str">
            <v>MOUNTAIN OAK CHARTER SCHOOL</v>
          </cell>
          <cell r="O904" t="str">
            <v>1455 WILLOW CREEK ROAD</v>
          </cell>
          <cell r="P904" t="str">
            <v>mgilson@mountainoakschool.org</v>
          </cell>
          <cell r="Q904" t="str">
            <v>CDC-16071</v>
          </cell>
          <cell r="AJ904" t="e">
            <v>#N/A</v>
          </cell>
          <cell r="AK904" t="str">
            <v>CDC-16071</v>
          </cell>
          <cell r="AL904" t="str">
            <v>CDC16071</v>
          </cell>
        </row>
        <row r="905">
          <cell r="N905" t="str">
            <v>MOUNTAIN SCHOOL ELEMENTARY</v>
          </cell>
          <cell r="O905" t="str">
            <v>311 WEST CATTLE DRIVE</v>
          </cell>
          <cell r="P905" t="str">
            <v>vanessaf@mountaincharterschool.com</v>
          </cell>
          <cell r="Q905" t="str">
            <v>CDC-9806</v>
          </cell>
          <cell r="AJ905" t="e">
            <v>#N/A</v>
          </cell>
          <cell r="AK905" t="str">
            <v>CDC-9806</v>
          </cell>
          <cell r="AL905" t="str">
            <v>CDC9806</v>
          </cell>
        </row>
        <row r="906">
          <cell r="N906" t="str">
            <v>MOUNTAIN VIEW CHRISTIAN CHURCH OF PHOENIX ARIZONA</v>
          </cell>
          <cell r="O906" t="str">
            <v>2927 EAST CAMPBELL AVENUE</v>
          </cell>
          <cell r="P906" t="str">
            <v>afewell@mvccaz.com</v>
          </cell>
          <cell r="Q906" t="str">
            <v>CDC-11383</v>
          </cell>
          <cell r="AJ906" t="e">
            <v>#N/A</v>
          </cell>
          <cell r="AK906" t="str">
            <v>CDC-11383</v>
          </cell>
          <cell r="AL906" t="str">
            <v>CDC11383</v>
          </cell>
        </row>
        <row r="907">
          <cell r="N907" t="str">
            <v>MS. BUNI'S GINGERBREAD HOUSE PLLC</v>
          </cell>
          <cell r="O907" t="str">
            <v>1005 MOHAVE AVENUE</v>
          </cell>
          <cell r="P907" t="str">
            <v>bunihop@npgcable.com</v>
          </cell>
          <cell r="Q907" t="str">
            <v>CDC-15214</v>
          </cell>
          <cell r="AJ907" t="e">
            <v>#N/A</v>
          </cell>
          <cell r="AK907" t="str">
            <v>CDC-15214</v>
          </cell>
          <cell r="AL907" t="str">
            <v>CDC15214</v>
          </cell>
        </row>
        <row r="908">
          <cell r="N908" t="str">
            <v>MS. TINA'S INDEPENDENCE PRESCHOOL</v>
          </cell>
          <cell r="O908" t="str">
            <v>18840 EAST SAN TAN BLVD</v>
          </cell>
          <cell r="P908" t="str">
            <v>mstina@independencepreschool.com</v>
          </cell>
          <cell r="Q908" t="str">
            <v>CDC-18382</v>
          </cell>
          <cell r="AJ908" t="e">
            <v>#N/A</v>
          </cell>
          <cell r="AK908" t="str">
            <v>CDC-18382</v>
          </cell>
          <cell r="AL908" t="str">
            <v>CDC18382</v>
          </cell>
        </row>
        <row r="909">
          <cell r="N909" t="str">
            <v>MT. CALVARY LUTHERAN PRESCHOOL</v>
          </cell>
          <cell r="O909" t="str">
            <v>2605 NORTH FORT VALLEY RD</v>
          </cell>
          <cell r="P909" t="str">
            <v>hmueller@mtcalvaryflagstaff.org</v>
          </cell>
          <cell r="Q909" t="str">
            <v>CDC-5175</v>
          </cell>
          <cell r="AJ909" t="e">
            <v>#N/A</v>
          </cell>
          <cell r="AK909" t="str">
            <v>CDC-5175</v>
          </cell>
          <cell r="AL909" t="str">
            <v>CDC5175</v>
          </cell>
        </row>
        <row r="910">
          <cell r="N910" t="str">
            <v>MT. CARMEL'S LITTLE LAMBS PRESCHOOL</v>
          </cell>
          <cell r="O910" t="str">
            <v>2115 SOUTH RURAL ROAD</v>
          </cell>
          <cell r="P910" t="str">
            <v>monica@olmctempe.com</v>
          </cell>
          <cell r="Q910" t="str">
            <v>CDC-14380</v>
          </cell>
          <cell r="AJ910" t="e">
            <v>#N/A</v>
          </cell>
          <cell r="AK910" t="str">
            <v>CDC-14380</v>
          </cell>
          <cell r="AL910" t="str">
            <v>CDC14380</v>
          </cell>
        </row>
        <row r="911">
          <cell r="N911" t="str">
            <v>MUNCHKINS' PLACE LEARNING CENTER</v>
          </cell>
          <cell r="O911" t="str">
            <v>2111 SOUTH ALMA SCHOOL ROAD #15</v>
          </cell>
          <cell r="P911" t="str">
            <v>navathurai15@yahoo.com</v>
          </cell>
          <cell r="Q911" t="str">
            <v>CDC-16861</v>
          </cell>
          <cell r="AJ911">
            <v>92625</v>
          </cell>
          <cell r="AK911" t="str">
            <v>CDC-16861</v>
          </cell>
          <cell r="AL911" t="str">
            <v>CDC16861</v>
          </cell>
        </row>
        <row r="912">
          <cell r="N912" t="str">
            <v>MUSLIM COMMUNITY CENTER OF TUCSON/ AL - RAHMAH ACADEMY</v>
          </cell>
          <cell r="O912" t="str">
            <v>5100 NORTH KEVY PLACE</v>
          </cell>
          <cell r="P912" t="str">
            <v>ahmed@compusmartus.com</v>
          </cell>
          <cell r="Q912" t="str">
            <v>CDC-17508</v>
          </cell>
          <cell r="AJ912" t="e">
            <v>#N/A</v>
          </cell>
          <cell r="AK912" t="str">
            <v>CDC-17508</v>
          </cell>
          <cell r="AL912" t="str">
            <v>CDC17508</v>
          </cell>
        </row>
        <row r="913">
          <cell r="N913" t="str">
            <v>MY LITTLE ANGELS DAYCARE</v>
          </cell>
          <cell r="O913" t="str">
            <v>1960 SOUTH PARK AVE</v>
          </cell>
          <cell r="P913" t="str">
            <v>littleangelsdaycarecenter@yahoo.com</v>
          </cell>
          <cell r="Q913" t="str">
            <v>CDC-14108</v>
          </cell>
          <cell r="AJ913" t="e">
            <v>#N/A</v>
          </cell>
          <cell r="AK913" t="str">
            <v>CDC-14108</v>
          </cell>
          <cell r="AL913" t="str">
            <v>CDC14108</v>
          </cell>
        </row>
        <row r="914">
          <cell r="N914" t="str">
            <v>MY LITTLE ANGELS DAYCARE CENTER INC</v>
          </cell>
          <cell r="O914" t="str">
            <v>1415 W ST MARY'S RD</v>
          </cell>
          <cell r="P914" t="str">
            <v>littleangelsdaycarecenter@yahoo.com</v>
          </cell>
          <cell r="Q914" t="str">
            <v>CDC-15752</v>
          </cell>
          <cell r="AJ914" t="e">
            <v>#N/A</v>
          </cell>
          <cell r="AK914" t="str">
            <v>CDC-15752</v>
          </cell>
          <cell r="AL914" t="str">
            <v>CDC15752</v>
          </cell>
        </row>
        <row r="915">
          <cell r="N915" t="str">
            <v>MY LITTLE ANGELS DAYCARE CENTERS INC</v>
          </cell>
          <cell r="O915" t="str">
            <v>2385 SOUTH PLUMER AVENUE</v>
          </cell>
          <cell r="P915" t="str">
            <v>littleangelsdaycarecenter@yahoo.com</v>
          </cell>
          <cell r="Q915" t="str">
            <v>CDC-18314</v>
          </cell>
          <cell r="AJ915" t="e">
            <v>#N/A</v>
          </cell>
          <cell r="AK915" t="str">
            <v>CDC-18314</v>
          </cell>
          <cell r="AL915" t="str">
            <v>CDC18314</v>
          </cell>
        </row>
        <row r="916">
          <cell r="N916" t="str">
            <v>N.A.C.O.G. -  NYE CHILD AND FAMILY DEVELOPMENT CENTER</v>
          </cell>
          <cell r="O916" t="str">
            <v>8623 EAST SPOUSE DRIVE</v>
          </cell>
          <cell r="P916" t="str">
            <v>pswenson@nacog.org</v>
          </cell>
          <cell r="Q916" t="str">
            <v>CDC-17977</v>
          </cell>
          <cell r="AJ916" t="e">
            <v>#N/A</v>
          </cell>
          <cell r="AK916" t="str">
            <v>CDC-17977</v>
          </cell>
          <cell r="AL916" t="str">
            <v>CDC17977</v>
          </cell>
        </row>
        <row r="917">
          <cell r="N917" t="str">
            <v>N.A.C.O.G. - BEAVER CREEK HEAD START</v>
          </cell>
          <cell r="O917" t="str">
            <v>4810 EAST BEAVER CREEK ROAD</v>
          </cell>
          <cell r="P917" t="str">
            <v>beavercreek@nacog.org</v>
          </cell>
          <cell r="Q917" t="str">
            <v>CDC-17587</v>
          </cell>
          <cell r="AJ917" t="e">
            <v>#N/A</v>
          </cell>
          <cell r="AK917" t="str">
            <v>CDC-17587</v>
          </cell>
          <cell r="AL917" t="str">
            <v>CDC17587</v>
          </cell>
        </row>
        <row r="918">
          <cell r="N918" t="str">
            <v>N.A.C.O.G. - BLUE RIDGE HEAD START</v>
          </cell>
          <cell r="O918" t="str">
            <v>1200 WEST WHITE MOUNTAIN BOULEVARD</v>
          </cell>
          <cell r="P918" t="str">
            <v>pswenson@nacog.org</v>
          </cell>
          <cell r="Q918" t="str">
            <v>CDC-18766</v>
          </cell>
          <cell r="AJ918" t="e">
            <v>#N/A</v>
          </cell>
          <cell r="AK918" t="str">
            <v>CDC-18766</v>
          </cell>
          <cell r="AL918" t="str">
            <v>CDC18766</v>
          </cell>
        </row>
        <row r="919">
          <cell r="N919" t="str">
            <v>N.A.C.O.G. - CAMP VERDE HEAD START</v>
          </cell>
          <cell r="O919" t="str">
            <v>353 APACHE TRAIL</v>
          </cell>
          <cell r="P919" t="str">
            <v>campverde@nacog.org</v>
          </cell>
          <cell r="Q919" t="str">
            <v>CDC-3696</v>
          </cell>
          <cell r="AJ919" t="e">
            <v>#N/A</v>
          </cell>
          <cell r="AK919" t="str">
            <v>CDC-3696</v>
          </cell>
          <cell r="AL919" t="str">
            <v>CDC3696</v>
          </cell>
        </row>
        <row r="920">
          <cell r="N920" t="str">
            <v>N.A.C.O.G. - CHINO VALLEY HEAD START</v>
          </cell>
          <cell r="O920" t="str">
            <v>1985 NORTH ROAD 1 WEST</v>
          </cell>
          <cell r="P920" t="str">
            <v>chinovalley@nacog.org</v>
          </cell>
          <cell r="Q920" t="str">
            <v>CDC-15094</v>
          </cell>
          <cell r="AJ920" t="e">
            <v>#N/A</v>
          </cell>
          <cell r="AK920" t="str">
            <v>CDC-15094</v>
          </cell>
          <cell r="AL920" t="str">
            <v>CDC15094</v>
          </cell>
        </row>
        <row r="921">
          <cell r="N921" t="str">
            <v>N.A.C.O.G. - CLARK HOMES HEAD START</v>
          </cell>
          <cell r="O921" t="str">
            <v>1000 NORTH CLARK CIRCLE</v>
          </cell>
          <cell r="P921" t="str">
            <v>clarkhomes@nacog.org</v>
          </cell>
          <cell r="Q921" t="str">
            <v>CDC-5388</v>
          </cell>
          <cell r="AJ921" t="e">
            <v>#N/A</v>
          </cell>
          <cell r="AK921" t="str">
            <v>CDC-5388</v>
          </cell>
          <cell r="AL921" t="str">
            <v>CDC5388</v>
          </cell>
        </row>
        <row r="922">
          <cell r="N922" t="str">
            <v>N.A.C.O.G. - COTTONWOOD HEAD START</v>
          </cell>
          <cell r="O922" t="str">
            <v>270 EAST MINGUS</v>
          </cell>
          <cell r="P922" t="str">
            <v>cottonwood@nacog.org</v>
          </cell>
          <cell r="Q922" t="str">
            <v>CDC-4460</v>
          </cell>
          <cell r="AJ922" t="e">
            <v>#N/A</v>
          </cell>
          <cell r="AK922" t="str">
            <v>CDC-4460</v>
          </cell>
          <cell r="AL922" t="str">
            <v>CDC4460</v>
          </cell>
        </row>
        <row r="923">
          <cell r="N923" t="str">
            <v>N.A.C.O.G. - CROMER HEAD START</v>
          </cell>
          <cell r="O923" t="str">
            <v>7150 SILVER SADDLE ROAD</v>
          </cell>
          <cell r="P923" t="str">
            <v>pswenson@nacog.org</v>
          </cell>
          <cell r="Q923" t="str">
            <v>CDC-18723</v>
          </cell>
          <cell r="AJ923" t="e">
            <v>#N/A</v>
          </cell>
          <cell r="AK923" t="str">
            <v>CDC-18723</v>
          </cell>
          <cell r="AL923" t="str">
            <v>CDC18723</v>
          </cell>
        </row>
        <row r="924">
          <cell r="N924" t="str">
            <v>N.A.C.O.G. - FLAGSTAFF EARLY HEAD START</v>
          </cell>
          <cell r="O924" t="str">
            <v>4000 NORTH CUMMINGS STREET</v>
          </cell>
          <cell r="P924" t="str">
            <v>flagehs@nacog.org</v>
          </cell>
          <cell r="Q924" t="str">
            <v>CDC-16394</v>
          </cell>
          <cell r="AJ924" t="e">
            <v>#N/A</v>
          </cell>
          <cell r="AK924" t="str">
            <v>CDC-16394</v>
          </cell>
          <cell r="AL924" t="str">
            <v>CDC16394</v>
          </cell>
        </row>
        <row r="925">
          <cell r="N925" t="str">
            <v>N.A.C.O.G. - HOLBROOK HEAD START</v>
          </cell>
          <cell r="O925" t="str">
            <v>165 WEST ARIZONA</v>
          </cell>
          <cell r="P925" t="str">
            <v>pswenson@nacog.org</v>
          </cell>
          <cell r="Q925" t="str">
            <v>CDC-1360</v>
          </cell>
          <cell r="AJ925" t="e">
            <v>#N/A</v>
          </cell>
          <cell r="AK925" t="str">
            <v>CDC-1360</v>
          </cell>
          <cell r="AL925" t="str">
            <v>CDC1360</v>
          </cell>
        </row>
        <row r="926">
          <cell r="N926" t="str">
            <v>N.A.C.O.G. - HUMBOLDT HEAD START</v>
          </cell>
          <cell r="O926" t="str">
            <v>6411 NORTH ROBERT ROAD</v>
          </cell>
          <cell r="P926" t="str">
            <v>humboldt@nacog.org</v>
          </cell>
          <cell r="Q926" t="str">
            <v>CDC-17843</v>
          </cell>
          <cell r="AJ926" t="e">
            <v>#N/A</v>
          </cell>
          <cell r="AK926" t="str">
            <v>CDC-17843</v>
          </cell>
          <cell r="AL926" t="str">
            <v>CDC17843</v>
          </cell>
        </row>
        <row r="927">
          <cell r="N927" t="str">
            <v>N.A.C.O.G. - LIBERTY TRADITIONAL SCHOOL HEAD START</v>
          </cell>
          <cell r="O927" t="str">
            <v>3300 NORTH LAKE VALLEY ROAD</v>
          </cell>
          <cell r="P927" t="str">
            <v>pswenson@nacog.org</v>
          </cell>
          <cell r="Q927" t="str">
            <v>CDC-18746</v>
          </cell>
          <cell r="AJ927" t="e">
            <v>#N/A</v>
          </cell>
          <cell r="AK927" t="str">
            <v>CDC-18746</v>
          </cell>
          <cell r="AL927" t="str">
            <v>CDC18746</v>
          </cell>
        </row>
        <row r="928">
          <cell r="N928" t="str">
            <v>N.A.C.O.G. - PAGE HEAD START</v>
          </cell>
          <cell r="O928" t="str">
            <v>11 CAMERON ROAD</v>
          </cell>
          <cell r="P928" t="str">
            <v>page@nacog.org</v>
          </cell>
          <cell r="Q928" t="str">
            <v>CDC-5222</v>
          </cell>
          <cell r="AJ928" t="e">
            <v>#N/A</v>
          </cell>
          <cell r="AK928" t="str">
            <v>CDC-5222</v>
          </cell>
          <cell r="AL928" t="str">
            <v>CDC5222</v>
          </cell>
        </row>
        <row r="929">
          <cell r="N929" t="str">
            <v>N.A.C.O.G. - PINETOP HEAD START</v>
          </cell>
          <cell r="O929" t="str">
            <v>1721 SOUTH PENROD AVENUE</v>
          </cell>
          <cell r="P929" t="str">
            <v>pinetop@nacog.org</v>
          </cell>
          <cell r="Q929" t="str">
            <v>CDC-4859</v>
          </cell>
          <cell r="AJ929" t="e">
            <v>#N/A</v>
          </cell>
          <cell r="AK929" t="str">
            <v>CDC-4859</v>
          </cell>
          <cell r="AL929" t="str">
            <v>CDC4859</v>
          </cell>
        </row>
        <row r="930">
          <cell r="N930" t="str">
            <v>N.A.C.O.G. - PONDEROSA HEAD START</v>
          </cell>
          <cell r="O930" t="str">
            <v>2500 NORTH 1ST STREET</v>
          </cell>
          <cell r="P930" t="str">
            <v>ponderosa@nacog.org</v>
          </cell>
          <cell r="Q930" t="str">
            <v>CDC-0986</v>
          </cell>
          <cell r="AJ930" t="e">
            <v>#N/A</v>
          </cell>
          <cell r="AK930" t="str">
            <v>CDC-0986</v>
          </cell>
          <cell r="AL930" t="str">
            <v>CDC0986</v>
          </cell>
        </row>
        <row r="931">
          <cell r="N931" t="str">
            <v>N.A.C.O.G. - PRESCOTT VALLEY EARLY HEAD START</v>
          </cell>
          <cell r="O931" t="str">
            <v>3045 NORTH TANI ROAD</v>
          </cell>
          <cell r="P931" t="str">
            <v>pcvalleyehs@nacog.org</v>
          </cell>
          <cell r="Q931" t="str">
            <v>CDC-15419</v>
          </cell>
          <cell r="AJ931" t="e">
            <v>#N/A</v>
          </cell>
          <cell r="AK931" t="str">
            <v>CDC-15419</v>
          </cell>
          <cell r="AL931" t="str">
            <v>CDC15419</v>
          </cell>
        </row>
        <row r="932">
          <cell r="N932" t="str">
            <v>N.A.C.O.G. - PRESCOTT VALLEY HEAD START</v>
          </cell>
          <cell r="O932" t="str">
            <v>6955 PANTHER PATH DRIVE</v>
          </cell>
          <cell r="P932" t="str">
            <v>prescottvalley@nacog.org</v>
          </cell>
          <cell r="Q932" t="str">
            <v>CDC-7013</v>
          </cell>
          <cell r="AJ932" t="e">
            <v>#N/A</v>
          </cell>
          <cell r="AK932" t="str">
            <v>CDC-7013</v>
          </cell>
          <cell r="AL932" t="str">
            <v>CDC7013</v>
          </cell>
        </row>
        <row r="933">
          <cell r="N933" t="str">
            <v>N.A.C.O.G. - ROUND VALLEY HEAD START</v>
          </cell>
          <cell r="O933" t="str">
            <v>940 EAST MARICOPA DRIVE UNIT B</v>
          </cell>
          <cell r="P933" t="str">
            <v>pswenson@nacog.org</v>
          </cell>
          <cell r="Q933" t="str">
            <v>CDC-18031</v>
          </cell>
          <cell r="AJ933" t="e">
            <v>#N/A</v>
          </cell>
          <cell r="AK933" t="str">
            <v>CDC-18031</v>
          </cell>
          <cell r="AL933" t="str">
            <v>CDC18031</v>
          </cell>
        </row>
        <row r="934">
          <cell r="N934" t="str">
            <v>N.A.C.O.G. - SILER HEAD START</v>
          </cell>
          <cell r="O934" t="str">
            <v>3581 NORTH FANNING DRIVE</v>
          </cell>
          <cell r="P934" t="str">
            <v>siler@nacog.org</v>
          </cell>
          <cell r="Q934" t="str">
            <v>CDC-0886</v>
          </cell>
          <cell r="AJ934" t="e">
            <v>#N/A</v>
          </cell>
          <cell r="AK934" t="str">
            <v>CDC-0886</v>
          </cell>
          <cell r="AL934" t="str">
            <v>CDC0886</v>
          </cell>
        </row>
        <row r="935">
          <cell r="N935" t="str">
            <v>N.A.C.O.G. - SNOWFLAKE HEAD START</v>
          </cell>
          <cell r="O935" t="str">
            <v>680 WEST 4TH SOUTH</v>
          </cell>
          <cell r="P935" t="str">
            <v>pswenson@nacog.org</v>
          </cell>
          <cell r="Q935" t="str">
            <v>CDC-1629</v>
          </cell>
          <cell r="AJ935" t="e">
            <v>#N/A</v>
          </cell>
          <cell r="AK935" t="str">
            <v>CDC-1629</v>
          </cell>
          <cell r="AL935" t="str">
            <v>CDC1629</v>
          </cell>
        </row>
        <row r="936">
          <cell r="N936" t="str">
            <v>N.A.C.O.G. - ST. JOHNS HEAD START</v>
          </cell>
          <cell r="O936" t="str">
            <v>601 WEST CLEVELAND STREET</v>
          </cell>
          <cell r="P936" t="str">
            <v>stjohns@macog.org</v>
          </cell>
          <cell r="Q936" t="str">
            <v>CDC-14567</v>
          </cell>
          <cell r="AJ936" t="e">
            <v>#N/A</v>
          </cell>
          <cell r="AK936" t="str">
            <v>CDC-14567</v>
          </cell>
          <cell r="AL936" t="str">
            <v>CDC14567</v>
          </cell>
        </row>
        <row r="937">
          <cell r="N937" t="str">
            <v>N.A.C.O.G. - SUNNYSIDE HEAD START</v>
          </cell>
          <cell r="O937" t="str">
            <v>1825 NORTH MAIN</v>
          </cell>
          <cell r="P937" t="str">
            <v>flagehs@nacog.org</v>
          </cell>
          <cell r="Q937" t="str">
            <v>CDC-10457</v>
          </cell>
          <cell r="AJ937" t="e">
            <v>#N/A</v>
          </cell>
          <cell r="AK937" t="str">
            <v>CDC-10457</v>
          </cell>
          <cell r="AL937" t="str">
            <v>CDC10457</v>
          </cell>
        </row>
        <row r="938">
          <cell r="N938" t="str">
            <v>N.A.C.O.G. - WILLIAMS HEAD START</v>
          </cell>
          <cell r="O938" t="str">
            <v>310 WEST SHERMAN</v>
          </cell>
          <cell r="P938" t="str">
            <v>pswenson@nacog.org</v>
          </cell>
          <cell r="Q938" t="str">
            <v>CDC-2056</v>
          </cell>
          <cell r="AJ938" t="e">
            <v>#N/A</v>
          </cell>
          <cell r="AK938" t="str">
            <v>CDC-2056</v>
          </cell>
          <cell r="AL938" t="str">
            <v>CDC2056</v>
          </cell>
        </row>
        <row r="939">
          <cell r="N939" t="str">
            <v>N.A.C.O.G. - WINSLOW EARLY HEAD START</v>
          </cell>
          <cell r="O939" t="str">
            <v>800 NORTH APACHE AVENUE</v>
          </cell>
          <cell r="P939" t="str">
            <v>pswenson@nacog.org</v>
          </cell>
          <cell r="Q939" t="str">
            <v>CDC-15449</v>
          </cell>
          <cell r="AJ939" t="e">
            <v>#N/A</v>
          </cell>
          <cell r="AK939" t="str">
            <v>CDC-15449</v>
          </cell>
          <cell r="AL939" t="str">
            <v>CDC15449</v>
          </cell>
        </row>
        <row r="940">
          <cell r="N940" t="str">
            <v>N.A.C.O.G. - WINSLOW HEAD START</v>
          </cell>
          <cell r="O940" t="str">
            <v>AIRPORT RD/OLD COUNTRY CL</v>
          </cell>
          <cell r="Q940" t="str">
            <v>CDC-0125</v>
          </cell>
          <cell r="AJ940" t="e">
            <v>#N/A</v>
          </cell>
          <cell r="AK940" t="str">
            <v>CDC-0125</v>
          </cell>
          <cell r="AL940" t="str">
            <v>CDC0125</v>
          </cell>
        </row>
        <row r="941">
          <cell r="N941" t="str">
            <v>N.A.C.O.G. - YAVAPAI HEAD START</v>
          </cell>
          <cell r="O941" t="str">
            <v>601 BLACK HILLS DRIVE</v>
          </cell>
          <cell r="P941" t="str">
            <v>yavapai@nacog.org</v>
          </cell>
          <cell r="Q941" t="str">
            <v>CDC-6622</v>
          </cell>
          <cell r="AJ941" t="e">
            <v>#N/A</v>
          </cell>
          <cell r="AK941" t="str">
            <v>CDC-6622</v>
          </cell>
          <cell r="AL941" t="str">
            <v>CDC6622</v>
          </cell>
        </row>
        <row r="942">
          <cell r="N942" t="str">
            <v>N.A.C.O.G. -ASH FORK HEAD START</v>
          </cell>
          <cell r="O942" t="str">
            <v>450 LEWIS AVENUE</v>
          </cell>
          <cell r="P942" t="str">
            <v>ash@nacog.org</v>
          </cell>
          <cell r="Q942" t="str">
            <v>CDC-12163</v>
          </cell>
          <cell r="AJ942" t="e">
            <v>#N/A</v>
          </cell>
          <cell r="AK942" t="str">
            <v>CDC-12163</v>
          </cell>
          <cell r="AL942" t="str">
            <v>CDC12163</v>
          </cell>
        </row>
        <row r="943">
          <cell r="N943" t="str">
            <v>N.A.C.O.G.- SHOW LOW HEAD START</v>
          </cell>
          <cell r="O943" t="str">
            <v>20 NORTH 6TH STREET</v>
          </cell>
          <cell r="P943" t="str">
            <v>pswenson@nacog.org</v>
          </cell>
          <cell r="Q943" t="str">
            <v>CDC-17805</v>
          </cell>
          <cell r="AJ943" t="e">
            <v>#N/A</v>
          </cell>
          <cell r="AK943" t="str">
            <v>CDC-17805</v>
          </cell>
          <cell r="AL943" t="str">
            <v>CDC17805</v>
          </cell>
        </row>
        <row r="944">
          <cell r="N944" t="str">
            <v>NANA LUPE'S DAY CARE</v>
          </cell>
          <cell r="O944" t="str">
            <v>4480 NORTH BLACK CANYON HWY</v>
          </cell>
          <cell r="P944" t="str">
            <v>lupe.fong2019@gmail.com</v>
          </cell>
          <cell r="Q944" t="str">
            <v>CDC-10026</v>
          </cell>
          <cell r="AJ944" t="e">
            <v>#N/A</v>
          </cell>
          <cell r="AK944" t="str">
            <v>CDC-10026</v>
          </cell>
          <cell r="AL944" t="str">
            <v>CDC10026</v>
          </cell>
        </row>
        <row r="945">
          <cell r="N945" t="str">
            <v>NANA'S ANGELS</v>
          </cell>
          <cell r="O945" t="str">
            <v>5031 EAST POWELL LAKE</v>
          </cell>
          <cell r="P945" t="str">
            <v>musgrove_barb@yahoo.com</v>
          </cell>
          <cell r="Q945" t="str">
            <v>CDC-18378</v>
          </cell>
          <cell r="AJ945" t="e">
            <v>#N/A</v>
          </cell>
          <cell r="AK945" t="str">
            <v>CDC-18378</v>
          </cell>
          <cell r="AL945" t="str">
            <v>CDC18378</v>
          </cell>
        </row>
        <row r="946">
          <cell r="N946" t="str">
            <v>NANA'S PLACE</v>
          </cell>
          <cell r="O946" t="str">
            <v>4910 WEST NORTHERN AVENUE</v>
          </cell>
          <cell r="P946" t="str">
            <v>tanyshatice@aol.com</v>
          </cell>
          <cell r="Q946" t="str">
            <v>CDC-12417</v>
          </cell>
          <cell r="AJ946">
            <v>89448</v>
          </cell>
          <cell r="AK946" t="str">
            <v>CDC-12417</v>
          </cell>
          <cell r="AL946" t="str">
            <v>CDC12417</v>
          </cell>
        </row>
        <row r="947">
          <cell r="N947" t="str">
            <v>NANA'S PLACE ACADEMY</v>
          </cell>
          <cell r="O947" t="str">
            <v>10046 NORTH 43RD AVENUE</v>
          </cell>
          <cell r="P947" t="str">
            <v>nanasfax@gmail.com</v>
          </cell>
          <cell r="Q947" t="str">
            <v>CDC-14018</v>
          </cell>
          <cell r="AJ947">
            <v>89815</v>
          </cell>
          <cell r="AK947" t="str">
            <v>CDC-14018</v>
          </cell>
          <cell r="AL947" t="str">
            <v>CDC14018</v>
          </cell>
        </row>
        <row r="948">
          <cell r="N948" t="str">
            <v>NANA'S PLACE CHILDCARE &amp; PRESCHOOL</v>
          </cell>
          <cell r="O948" t="str">
            <v>1044 EAST BROADWAY ROAD</v>
          </cell>
          <cell r="P948" t="str">
            <v>kids@creativechildcare.net</v>
          </cell>
          <cell r="Q948" t="str">
            <v>CDC-17978</v>
          </cell>
          <cell r="AJ948" t="e">
            <v>#N/A</v>
          </cell>
          <cell r="AK948" t="str">
            <v>CDC-17978</v>
          </cell>
          <cell r="AL948" t="str">
            <v>CDC17978</v>
          </cell>
        </row>
        <row r="949">
          <cell r="N949" t="str">
            <v>NANNY'S DAYCARE / PRESCHOOL</v>
          </cell>
          <cell r="O949" t="str">
            <v>306 EAST COTTONWOOD LANE</v>
          </cell>
          <cell r="P949" t="str">
            <v>texasmildred@yahoo.com</v>
          </cell>
          <cell r="Q949" t="str">
            <v>CDC-15619</v>
          </cell>
          <cell r="AJ949">
            <v>91186</v>
          </cell>
          <cell r="AK949" t="str">
            <v>CDC-15619</v>
          </cell>
          <cell r="AL949" t="str">
            <v>CDC15619</v>
          </cell>
        </row>
        <row r="950">
          <cell r="N950" t="str">
            <v>NAOS DBA HEART KIDS ACADEMY</v>
          </cell>
          <cell r="O950" t="str">
            <v>14240 NORTH 43RD AVENUE</v>
          </cell>
          <cell r="P950" t="str">
            <v>rschutz@pureheart.org</v>
          </cell>
          <cell r="Q950" t="str">
            <v>CDC-18780</v>
          </cell>
          <cell r="AJ950" t="e">
            <v>#N/A</v>
          </cell>
          <cell r="AK950" t="str">
            <v>CDC-18780</v>
          </cell>
          <cell r="AL950" t="str">
            <v>CDC18780</v>
          </cell>
        </row>
        <row r="951">
          <cell r="N951" t="str">
            <v>NATURAL CHOICE ACADEMY</v>
          </cell>
          <cell r="O951" t="str">
            <v>13840 NORTH TATUM BOULEVARD</v>
          </cell>
          <cell r="P951" t="str">
            <v>info@ncakids.com</v>
          </cell>
          <cell r="Q951" t="str">
            <v>CDC-15914</v>
          </cell>
          <cell r="AJ951" t="e">
            <v>#N/A</v>
          </cell>
          <cell r="AK951" t="str">
            <v>CDC-15914</v>
          </cell>
          <cell r="AL951" t="str">
            <v>CDC15914</v>
          </cell>
        </row>
        <row r="952">
          <cell r="N952" t="str">
            <v>NEW BEGINNINGS PRESCHOOL</v>
          </cell>
          <cell r="O952" t="str">
            <v>1902 EAST HAMPTON AVENUE</v>
          </cell>
          <cell r="P952" t="str">
            <v>nbpreschool@hotmail.com</v>
          </cell>
          <cell r="Q952" t="str">
            <v>CDC-17806</v>
          </cell>
          <cell r="AJ952">
            <v>662985</v>
          </cell>
          <cell r="AK952" t="str">
            <v>CDC-17806</v>
          </cell>
          <cell r="AL952" t="str">
            <v>CDC17806</v>
          </cell>
        </row>
        <row r="953">
          <cell r="N953" t="str">
            <v>NEW COVENANT LUTHERAN CHURCH CHILDREN'S MINISTRY CENTER</v>
          </cell>
          <cell r="O953" t="str">
            <v>15152 NORTH FRANK LLOYD WRIGHT BOULEVARD</v>
          </cell>
          <cell r="P953" t="str">
            <v>Dana.engstrom@newcoventaz.org</v>
          </cell>
          <cell r="Q953" t="str">
            <v>CDC-11980</v>
          </cell>
          <cell r="AJ953" t="e">
            <v>#N/A</v>
          </cell>
          <cell r="AK953" t="str">
            <v>CDC-11980</v>
          </cell>
          <cell r="AL953" t="str">
            <v>CDC11980</v>
          </cell>
        </row>
        <row r="954">
          <cell r="N954" t="str">
            <v>NEW CREATIONS DAY CARE &amp; LEARNING CENTER</v>
          </cell>
          <cell r="O954" t="str">
            <v>2904 EAST ROOSEVELT STREET</v>
          </cell>
          <cell r="P954" t="str">
            <v>ncdaycare@aol.com</v>
          </cell>
          <cell r="Q954" t="str">
            <v>CDC-1532</v>
          </cell>
          <cell r="AJ954" t="e">
            <v>#N/A</v>
          </cell>
          <cell r="AK954" t="str">
            <v>CDC-1532</v>
          </cell>
          <cell r="AL954" t="str">
            <v>CDC1532</v>
          </cell>
        </row>
        <row r="955">
          <cell r="N955" t="str">
            <v>NEW DAY SCHOOL</v>
          </cell>
          <cell r="O955" t="str">
            <v>2200 SOTOL LANE</v>
          </cell>
          <cell r="P955" t="str">
            <v>jvbiehn@uneedspeed.net</v>
          </cell>
          <cell r="Q955" t="str">
            <v>CDC-0495</v>
          </cell>
          <cell r="AJ955" t="e">
            <v>#N/A</v>
          </cell>
          <cell r="AK955" t="str">
            <v>CDC-0495</v>
          </cell>
          <cell r="AL955" t="str">
            <v>CDC0495</v>
          </cell>
        </row>
        <row r="956">
          <cell r="N956" t="str">
            <v>NEW DAY SCHOOL</v>
          </cell>
          <cell r="O956" t="str">
            <v>3438 ORO GRANDE BOULEVARD</v>
          </cell>
          <cell r="P956" t="str">
            <v>lasko@ctaz.com</v>
          </cell>
          <cell r="Q956" t="str">
            <v>CDC-3267</v>
          </cell>
          <cell r="AJ956" t="e">
            <v>#N/A</v>
          </cell>
          <cell r="AK956" t="str">
            <v>CDC-3267</v>
          </cell>
          <cell r="AL956" t="str">
            <v>CDC3267</v>
          </cell>
        </row>
        <row r="957">
          <cell r="N957" t="str">
            <v>NEW DAY SCHOOL</v>
          </cell>
          <cell r="O957" t="str">
            <v>1380 RIVERVIEW DRIVE</v>
          </cell>
          <cell r="P957" t="str">
            <v>newdayschool@frontiernet.net</v>
          </cell>
          <cell r="Q957" t="str">
            <v>CDC-3441</v>
          </cell>
          <cell r="AJ957" t="e">
            <v>#N/A</v>
          </cell>
          <cell r="AK957" t="str">
            <v>CDC-3441</v>
          </cell>
          <cell r="AL957" t="str">
            <v>CDC3441</v>
          </cell>
        </row>
        <row r="958">
          <cell r="N958" t="str">
            <v>NEW DAY SCHOOL</v>
          </cell>
          <cell r="O958" t="str">
            <v>1837 EAST JOY LANE</v>
          </cell>
          <cell r="P958" t="str">
            <v>lasko@ctaz.com</v>
          </cell>
          <cell r="Q958" t="str">
            <v>CDC-4808</v>
          </cell>
          <cell r="AJ958" t="e">
            <v>#N/A</v>
          </cell>
          <cell r="AK958" t="str">
            <v>CDC-4808</v>
          </cell>
          <cell r="AL958" t="str">
            <v>CDC4808</v>
          </cell>
        </row>
        <row r="959">
          <cell r="N959" t="str">
            <v>NEW DAY SCHOOL (NORTH)</v>
          </cell>
          <cell r="O959" t="str">
            <v>2915 HAVASUPAI BOULEVARD</v>
          </cell>
          <cell r="P959" t="str">
            <v>jvbiehn@uneedspeed.net</v>
          </cell>
          <cell r="Q959" t="str">
            <v>CDC-7612</v>
          </cell>
          <cell r="AJ959" t="e">
            <v>#N/A</v>
          </cell>
          <cell r="AK959" t="str">
            <v>CDC-7612</v>
          </cell>
          <cell r="AL959" t="str">
            <v>CDC7612</v>
          </cell>
        </row>
        <row r="960">
          <cell r="N960" t="str">
            <v>NEW DISCOVERIES PRESCHOOL</v>
          </cell>
          <cell r="O960" t="str">
            <v>1109 WEST PRINCE ROAD</v>
          </cell>
          <cell r="P960" t="str">
            <v>lindak617@yahoo.com</v>
          </cell>
          <cell r="Q960" t="str">
            <v>CDC-11816</v>
          </cell>
          <cell r="AJ960">
            <v>87074</v>
          </cell>
          <cell r="AK960" t="str">
            <v>CDC-11816</v>
          </cell>
          <cell r="AL960" t="str">
            <v>CDC11816</v>
          </cell>
        </row>
        <row r="961">
          <cell r="N961" t="str">
            <v>NEW HORIZON LITTLE LEARNERS</v>
          </cell>
          <cell r="O961" t="str">
            <v>2506 NORTH DOBSON ROAD</v>
          </cell>
          <cell r="P961" t="str">
            <v>Carissasmith@nhccservices.org</v>
          </cell>
          <cell r="Q961" t="str">
            <v>CDC-17717</v>
          </cell>
          <cell r="AJ961" t="e">
            <v>#N/A</v>
          </cell>
          <cell r="AK961" t="str">
            <v>CDC-17717</v>
          </cell>
          <cell r="AL961" t="str">
            <v>CDC17717</v>
          </cell>
        </row>
        <row r="962">
          <cell r="N962" t="str">
            <v>NEW LIFE DAY CARE</v>
          </cell>
          <cell r="O962" t="str">
            <v>330 WEST NEBRASKA STREET</v>
          </cell>
          <cell r="P962" t="str">
            <v>bertha@vidanueva.cc</v>
          </cell>
          <cell r="Q962" t="str">
            <v>CDC-11603</v>
          </cell>
          <cell r="AJ962">
            <v>87297</v>
          </cell>
          <cell r="AK962" t="str">
            <v>CDC-11603</v>
          </cell>
          <cell r="AL962" t="str">
            <v>CDC11603</v>
          </cell>
        </row>
        <row r="963">
          <cell r="N963" t="str">
            <v>NEW VISTAS CENTER FOR EDUCATION</v>
          </cell>
          <cell r="O963" t="str">
            <v>670 NORTH ARIZONA AVENUE #25</v>
          </cell>
          <cell r="P963" t="str">
            <v>newvistasaz@aol.com</v>
          </cell>
          <cell r="Q963" t="str">
            <v>CDC-3172</v>
          </cell>
          <cell r="AJ963" t="e">
            <v>#N/A</v>
          </cell>
          <cell r="AK963" t="str">
            <v>CDC-3172</v>
          </cell>
          <cell r="AL963" t="str">
            <v>CDC3172</v>
          </cell>
        </row>
        <row r="964">
          <cell r="N964" t="str">
            <v>NEXT HORIZONS</v>
          </cell>
          <cell r="O964" t="str">
            <v>4525 SOUTH COLLEGE AVENUE</v>
          </cell>
          <cell r="P964" t="str">
            <v>nexthorizonschildcare@gmail.com</v>
          </cell>
          <cell r="Q964" t="str">
            <v>CDC-14951</v>
          </cell>
          <cell r="AJ964" t="e">
            <v>#N/A</v>
          </cell>
          <cell r="AK964" t="str">
            <v>CDC-14951</v>
          </cell>
          <cell r="AL964" t="str">
            <v>CDC14951</v>
          </cell>
        </row>
        <row r="965">
          <cell r="N965" t="str">
            <v>NI HAO AMIGOS LANGUAGE PRESCHOOL</v>
          </cell>
          <cell r="O965" t="str">
            <v>19 NORTH CENTRAL</v>
          </cell>
          <cell r="P965" t="str">
            <v>nihaoamigos19@gmail.com</v>
          </cell>
          <cell r="Q965" t="str">
            <v>CDC-17134</v>
          </cell>
          <cell r="AJ965" t="e">
            <v>#N/A</v>
          </cell>
          <cell r="AK965" t="str">
            <v>CDC-17134</v>
          </cell>
          <cell r="AL965" t="str">
            <v>CDC17134</v>
          </cell>
        </row>
        <row r="966">
          <cell r="N966" t="str">
            <v>NIMBLE NOGGINS / SUMMIT GYMNASTICS ACADEMY</v>
          </cell>
          <cell r="O966" t="str">
            <v>1926 NORTH 4TH STREET, SUITE 7</v>
          </cell>
          <cell r="P966" t="str">
            <v>sganicole@hotmail.com</v>
          </cell>
          <cell r="Q966" t="str">
            <v>CDC-17032</v>
          </cell>
          <cell r="AJ966" t="e">
            <v>#N/A</v>
          </cell>
          <cell r="AK966" t="str">
            <v>CDC-17032</v>
          </cell>
          <cell r="AL966" t="str">
            <v>CDC17032</v>
          </cell>
        </row>
        <row r="967">
          <cell r="N967" t="str">
            <v>NINA'S FAMILY CHILD CARE CENTER</v>
          </cell>
          <cell r="O967" t="str">
            <v>3502 EAST INDIAN SCHOOL ROAD</v>
          </cell>
          <cell r="P967" t="str">
            <v>arlet@ninasfamily.phxcoxmail.com</v>
          </cell>
          <cell r="Q967" t="str">
            <v>CDC-16068</v>
          </cell>
          <cell r="AJ967">
            <v>191371</v>
          </cell>
          <cell r="AK967" t="str">
            <v>CDC-16068</v>
          </cell>
          <cell r="AL967" t="str">
            <v>CDC16068</v>
          </cell>
        </row>
        <row r="968">
          <cell r="N968" t="str">
            <v>NINA'S FAMILY CHILD CARE CENTER</v>
          </cell>
          <cell r="O968" t="str">
            <v>4710 NORTH 15TH DRIVE</v>
          </cell>
          <cell r="P968" t="str">
            <v>arguerra@ninasfamilycare.com</v>
          </cell>
          <cell r="Q968" t="str">
            <v>CDC-18516</v>
          </cell>
          <cell r="AJ968" t="e">
            <v>#N/A</v>
          </cell>
          <cell r="AK968" t="str">
            <v>CDC-18516</v>
          </cell>
          <cell r="AL968" t="str">
            <v>CDC18516</v>
          </cell>
        </row>
        <row r="969">
          <cell r="N969" t="str">
            <v>NOAH WEBSTER SCHOOLS - PIMA</v>
          </cell>
          <cell r="O969" t="str">
            <v>5399 NORTH PIMA ROAD</v>
          </cell>
          <cell r="P969" t="str">
            <v>tnorton@noahwebster.org</v>
          </cell>
          <cell r="Q969" t="str">
            <v>CDC-16959</v>
          </cell>
          <cell r="AJ969" t="e">
            <v>#N/A</v>
          </cell>
          <cell r="AK969" t="str">
            <v>CDC-16959</v>
          </cell>
          <cell r="AL969" t="str">
            <v>CDC16959</v>
          </cell>
        </row>
        <row r="970">
          <cell r="N970" t="str">
            <v>NOAH WEBSTER SCHOOLS-- MESA</v>
          </cell>
          <cell r="O970" t="str">
            <v>7301 EAST BASELINE ROAD</v>
          </cell>
          <cell r="P970" t="str">
            <v>jfriedemann@noahwebster.org</v>
          </cell>
          <cell r="Q970" t="str">
            <v>CDC-13017</v>
          </cell>
          <cell r="AJ970" t="e">
            <v>#N/A</v>
          </cell>
          <cell r="AK970" t="str">
            <v>CDC-13017</v>
          </cell>
          <cell r="AL970" t="str">
            <v>CDC13017</v>
          </cell>
        </row>
        <row r="971">
          <cell r="N971" t="str">
            <v>NOAH'S ARK PRESCHOOL</v>
          </cell>
          <cell r="O971" t="str">
            <v>2745 NORTH 32ND STREET</v>
          </cell>
          <cell r="P971" t="str">
            <v>noahsark@blc.phxcoxmail.com</v>
          </cell>
          <cell r="Q971" t="str">
            <v>CDC-8883</v>
          </cell>
          <cell r="AJ971" t="e">
            <v>#N/A</v>
          </cell>
          <cell r="AK971" t="str">
            <v>CDC-8883</v>
          </cell>
          <cell r="AL971" t="str">
            <v>CDC8883</v>
          </cell>
        </row>
        <row r="972">
          <cell r="N972" t="str">
            <v>NOGALES HEAD START</v>
          </cell>
          <cell r="O972" t="str">
            <v>125 EAST MADISON</v>
          </cell>
          <cell r="P972" t="str">
            <v>nogales@childparentcenters.org</v>
          </cell>
          <cell r="Q972" t="str">
            <v>CDC-0598</v>
          </cell>
          <cell r="AJ972">
            <v>9824</v>
          </cell>
          <cell r="AK972" t="str">
            <v>CDC-0598</v>
          </cell>
          <cell r="AL972" t="str">
            <v>CDC0598</v>
          </cell>
        </row>
        <row r="973">
          <cell r="N973" t="str">
            <v>NOOR ACADEMY OF ARIZONA</v>
          </cell>
          <cell r="O973" t="str">
            <v>1130 WEST 23RD STREET</v>
          </cell>
          <cell r="P973" t="str">
            <v>principal@nooracademyaz.com</v>
          </cell>
          <cell r="Q973" t="str">
            <v>CDC-17155</v>
          </cell>
          <cell r="AJ973" t="e">
            <v>#N/A</v>
          </cell>
          <cell r="AK973" t="str">
            <v>CDC-17155</v>
          </cell>
          <cell r="AL973" t="str">
            <v>CDC17155</v>
          </cell>
        </row>
        <row r="974">
          <cell r="N974" t="str">
            <v>NORTH VALLEY CHRISTIAN ACADEMY</v>
          </cell>
          <cell r="O974" t="str">
            <v>33655 NORTH 27TH DRIVE</v>
          </cell>
          <cell r="P974" t="str">
            <v>mandyf@northvalleyca.org</v>
          </cell>
          <cell r="Q974" t="str">
            <v>CDC-17849</v>
          </cell>
          <cell r="AJ974" t="e">
            <v>#N/A</v>
          </cell>
          <cell r="AK974" t="str">
            <v>CDC-17849</v>
          </cell>
          <cell r="AL974" t="str">
            <v>CDC17849</v>
          </cell>
        </row>
        <row r="975">
          <cell r="N975" t="str">
            <v>NORTHMINSTER CHRISTIAN SCHOOL</v>
          </cell>
          <cell r="O975" t="str">
            <v>2450 EAST FORT LOWELL RD</v>
          </cell>
          <cell r="P975" t="str">
            <v>abaum@npctucson.org</v>
          </cell>
          <cell r="Q975" t="str">
            <v>CDC-7510</v>
          </cell>
          <cell r="AJ975" t="e">
            <v>#N/A</v>
          </cell>
          <cell r="AK975" t="str">
            <v>CDC-7510</v>
          </cell>
          <cell r="AL975" t="str">
            <v>CDC7510</v>
          </cell>
        </row>
        <row r="976">
          <cell r="N976" t="str">
            <v>NORTHSTAR PREK - TUCSON</v>
          </cell>
          <cell r="O976" t="str">
            <v>732 WEST ROGER ROAD</v>
          </cell>
          <cell r="P976" t="str">
            <v>preschool@northstarprek.org</v>
          </cell>
          <cell r="Q976" t="str">
            <v>CDC-18438</v>
          </cell>
          <cell r="AJ976" t="e">
            <v>#N/A</v>
          </cell>
          <cell r="AK976" t="str">
            <v>CDC-18438</v>
          </cell>
          <cell r="AL976" t="str">
            <v>CDC18438</v>
          </cell>
        </row>
        <row r="977">
          <cell r="N977" t="str">
            <v>NORTHWEST CHRISTIAN PRESCHOOL</v>
          </cell>
          <cell r="O977" t="str">
            <v>16401 NORTH 43RD AVENUE</v>
          </cell>
          <cell r="P977" t="str">
            <v>dunderwood@ncsaz.org</v>
          </cell>
          <cell r="Q977" t="str">
            <v>CDC-3259</v>
          </cell>
          <cell r="AJ977" t="e">
            <v>#N/A</v>
          </cell>
          <cell r="AK977" t="str">
            <v>CDC-3259</v>
          </cell>
          <cell r="AL977" t="str">
            <v>CDC3259</v>
          </cell>
        </row>
        <row r="978">
          <cell r="N978" t="str">
            <v>NORTHWEST HEAD START CENTER</v>
          </cell>
          <cell r="O978" t="str">
            <v>2160 NORTH 6TH AVENUE</v>
          </cell>
          <cell r="P978" t="str">
            <v>northwest@childparentcenters.org</v>
          </cell>
          <cell r="Q978" t="str">
            <v>CDC-1080</v>
          </cell>
          <cell r="AJ978">
            <v>9825</v>
          </cell>
          <cell r="AK978" t="str">
            <v>CDC-1080</v>
          </cell>
          <cell r="AL978" t="str">
            <v>CDC1080</v>
          </cell>
        </row>
        <row r="979">
          <cell r="N979" t="str">
            <v>NOSOTROS - EL RIO DAY CARE CENTER</v>
          </cell>
          <cell r="O979" t="str">
            <v>1390 WEST SPEEDWAY</v>
          </cell>
          <cell r="P979" t="str">
            <v>nosotros4kids@yahoo.com</v>
          </cell>
          <cell r="Q979" t="str">
            <v>CDC-0636</v>
          </cell>
          <cell r="AJ979">
            <v>9757</v>
          </cell>
          <cell r="AK979" t="str">
            <v>CDC-0636</v>
          </cell>
          <cell r="AL979" t="str">
            <v>CDC0636</v>
          </cell>
        </row>
        <row r="980">
          <cell r="N980" t="str">
            <v>OLD SPANISH TRAIL SCHOOL #71401</v>
          </cell>
          <cell r="O980" t="str">
            <v>9395 EAST OLD SPANISH TRAIL</v>
          </cell>
          <cell r="P980" t="str">
            <v>kelli.m@smallmiraclesedu.com</v>
          </cell>
          <cell r="Q980" t="str">
            <v>CDC-14985</v>
          </cell>
          <cell r="AJ980">
            <v>90515</v>
          </cell>
          <cell r="AK980" t="str">
            <v>CDC-14985</v>
          </cell>
          <cell r="AL980" t="str">
            <v>CDC14985</v>
          </cell>
        </row>
        <row r="981">
          <cell r="N981" t="str">
            <v>OLGA &amp; BOB STRAUSS CENTER FOR EARLY CHILDHOOD EDUCATION</v>
          </cell>
          <cell r="O981" t="str">
            <v>225 NORTH COUNTRY CLUB RD</v>
          </cell>
          <cell r="P981" t="str">
            <v>lhenry@templeemanueltucson.org</v>
          </cell>
          <cell r="Q981" t="str">
            <v>CDC-8388</v>
          </cell>
          <cell r="AJ981" t="e">
            <v>#N/A</v>
          </cell>
          <cell r="AK981" t="str">
            <v>CDC-8388</v>
          </cell>
          <cell r="AL981" t="str">
            <v>CDC8388</v>
          </cell>
        </row>
        <row r="982">
          <cell r="N982" t="str">
            <v>OLIVE TREE PRESCHOOL L.L.C.</v>
          </cell>
          <cell r="O982" t="str">
            <v>319 NORTH 64TH STREET</v>
          </cell>
          <cell r="P982" t="str">
            <v>olivetreepreschooloffinearts@gmail.com</v>
          </cell>
          <cell r="Q982" t="str">
            <v>CDC-18214</v>
          </cell>
          <cell r="AJ982" t="e">
            <v>#N/A</v>
          </cell>
          <cell r="AK982" t="str">
            <v>CDC-18214</v>
          </cell>
          <cell r="AL982" t="str">
            <v>CDC18214</v>
          </cell>
        </row>
        <row r="983">
          <cell r="N983" t="str">
            <v>OLIVE TREE PRESCHOOL OF FINE ARTS</v>
          </cell>
          <cell r="O983" t="str">
            <v>1150 WEST SUPERSTITION BOULEVARD</v>
          </cell>
          <cell r="P983" t="str">
            <v>OlivetreePreschooloffinearts@gmail.com</v>
          </cell>
          <cell r="Q983" t="str">
            <v>CDC-18853</v>
          </cell>
          <cell r="AJ983" t="e">
            <v>#N/A</v>
          </cell>
          <cell r="AK983" t="str">
            <v>CDC-18853</v>
          </cell>
          <cell r="AL983" t="str">
            <v>CDC18853</v>
          </cell>
        </row>
        <row r="984">
          <cell r="N984" t="str">
            <v>OLLIE ACADEMY LLC</v>
          </cell>
          <cell r="O984" t="str">
            <v>4856 EAST GREENWAY ROAD</v>
          </cell>
          <cell r="P984" t="str">
            <v>md.sandoval@brighterangels.com</v>
          </cell>
          <cell r="Q984" t="str">
            <v>CDC-15715</v>
          </cell>
          <cell r="AJ984" t="e">
            <v>#N/A</v>
          </cell>
          <cell r="AK984" t="str">
            <v>CDC-15715</v>
          </cell>
          <cell r="AL984" t="str">
            <v>CDC15715</v>
          </cell>
        </row>
        <row r="985">
          <cell r="N985" t="str">
            <v>OPEN ARMS PRESCHOOL &amp; KINDERGARTEN DBA POET'S SQUARE DAY SCHOOL</v>
          </cell>
          <cell r="O985" t="str">
            <v>31 EAST LIMBERLOST</v>
          </cell>
          <cell r="P985" t="str">
            <v>kelli@smallmiraclesedu.com</v>
          </cell>
          <cell r="Q985" t="str">
            <v>CDC-17633</v>
          </cell>
          <cell r="AJ985">
            <v>454207</v>
          </cell>
          <cell r="AK985" t="str">
            <v>CDC-17633</v>
          </cell>
          <cell r="AL985" t="str">
            <v>CDC17633</v>
          </cell>
        </row>
        <row r="986">
          <cell r="N986" t="str">
            <v>OPEN ARMS PRESCHOOL &amp; KINDERGARTEN L L C</v>
          </cell>
          <cell r="O986" t="str">
            <v>9095 NORTH BALD EAGLE AVE</v>
          </cell>
          <cell r="P986" t="str">
            <v>kelli@smallmiraclesedu.com</v>
          </cell>
          <cell r="Q986" t="str">
            <v>CDC-13283</v>
          </cell>
          <cell r="AJ986">
            <v>90096</v>
          </cell>
          <cell r="AK986" t="str">
            <v>CDC-13283</v>
          </cell>
          <cell r="AL986" t="str">
            <v>CDC13283</v>
          </cell>
        </row>
        <row r="987">
          <cell r="N987" t="str">
            <v>OPEN DOORS PRESCHOOL</v>
          </cell>
          <cell r="O987" t="str">
            <v>13644 NORTH SANDARIO ROAD</v>
          </cell>
          <cell r="P987" t="str">
            <v>maryanne@azyp.org</v>
          </cell>
          <cell r="Q987" t="str">
            <v>CDC-17205</v>
          </cell>
          <cell r="AJ987" t="e">
            <v>#N/A</v>
          </cell>
          <cell r="AK987" t="str">
            <v>CDC-17205</v>
          </cell>
          <cell r="AL987" t="str">
            <v>CDC17205</v>
          </cell>
        </row>
        <row r="988">
          <cell r="N988" t="str">
            <v>ORGANIC GARDEN PRESCHOOL</v>
          </cell>
          <cell r="O988" t="str">
            <v>521 NORTH ALMA SCHOOL ROAD</v>
          </cell>
          <cell r="P988" t="str">
            <v>office@organicgardenpreschool.com</v>
          </cell>
          <cell r="Q988" t="str">
            <v>CDC-18795</v>
          </cell>
          <cell r="AJ988" t="e">
            <v>#N/A</v>
          </cell>
          <cell r="AK988" t="str">
            <v>CDC-18795</v>
          </cell>
          <cell r="AL988" t="str">
            <v>CDC18795</v>
          </cell>
        </row>
        <row r="989">
          <cell r="N989" t="str">
            <v>OUR LADY OF JOY ROMAN CATHOLIC PRESCHOOL</v>
          </cell>
          <cell r="O989" t="str">
            <v>36811 NORTH PIMA ROAD</v>
          </cell>
          <cell r="P989" t="str">
            <v>jsnook@oloj.org</v>
          </cell>
          <cell r="Q989" t="str">
            <v>CDC-14410</v>
          </cell>
          <cell r="AJ989" t="e">
            <v>#N/A</v>
          </cell>
          <cell r="AK989" t="str">
            <v>CDC-14410</v>
          </cell>
          <cell r="AL989" t="str">
            <v>CDC14410</v>
          </cell>
        </row>
        <row r="990">
          <cell r="N990" t="str">
            <v>OUR LADY OF PERPETUAL HELP CATHOLIC PRESCHOOL</v>
          </cell>
          <cell r="O990" t="str">
            <v>3801 NORTH MILLER ROAD</v>
          </cell>
          <cell r="P990" t="str">
            <v>school@OLPHAZ.org</v>
          </cell>
          <cell r="Q990" t="str">
            <v>CDC-17659</v>
          </cell>
          <cell r="AJ990" t="e">
            <v>#N/A</v>
          </cell>
          <cell r="AK990" t="str">
            <v>CDC-17659</v>
          </cell>
          <cell r="AL990" t="str">
            <v>CDC17659</v>
          </cell>
        </row>
        <row r="991">
          <cell r="N991" t="str">
            <v>OUR LADY OF PERPETUAL HELP ROMAN CATHOLIC PARISH</v>
          </cell>
          <cell r="O991" t="str">
            <v>7521 NORTH 57TH AVENUE</v>
          </cell>
          <cell r="P991" t="str">
            <v>scooper@olph.com</v>
          </cell>
          <cell r="Q991" t="str">
            <v>CDC-14194</v>
          </cell>
          <cell r="AJ991" t="e">
            <v>#N/A</v>
          </cell>
          <cell r="AK991" t="str">
            <v>CDC-14194</v>
          </cell>
          <cell r="AL991" t="str">
            <v>CDC14194</v>
          </cell>
        </row>
        <row r="992">
          <cell r="N992" t="str">
            <v>OUR LADY OF THE LAKE ROMAN CATHOLIC PARISH  LAKE HAVASU CITY</v>
          </cell>
          <cell r="O992" t="str">
            <v>1975 DAYTONA DRIVE</v>
          </cell>
          <cell r="P992" t="str">
            <v>jeff@ourladylhc.net</v>
          </cell>
          <cell r="Q992" t="str">
            <v>CDC-14642</v>
          </cell>
          <cell r="AJ992" t="e">
            <v>#N/A</v>
          </cell>
          <cell r="AK992" t="str">
            <v>CDC-14642</v>
          </cell>
          <cell r="AL992" t="str">
            <v>CDC14642</v>
          </cell>
        </row>
        <row r="993">
          <cell r="N993" t="str">
            <v>OUR MOTHER OF SORROWS EXTEND DAYCARE</v>
          </cell>
          <cell r="O993" t="str">
            <v>1800 SOUTH KOLB ROAD</v>
          </cell>
          <cell r="P993" t="str">
            <v>wendy.debono@pima.gov</v>
          </cell>
          <cell r="Q993" t="str">
            <v>CDC-12677</v>
          </cell>
          <cell r="AJ993" t="e">
            <v>#N/A</v>
          </cell>
          <cell r="AK993" t="str">
            <v>CDC-12677</v>
          </cell>
          <cell r="AL993" t="str">
            <v>CDC12677</v>
          </cell>
        </row>
        <row r="994">
          <cell r="N994" t="str">
            <v>OUT OF THIS WORLD CHRISTIAN CHILD CARE, INC.</v>
          </cell>
          <cell r="O994" t="str">
            <v>3849 WEST ENCANTO BOULEVARD</v>
          </cell>
          <cell r="P994" t="str">
            <v>jmontoya_2002@yahoo.com</v>
          </cell>
          <cell r="Q994" t="str">
            <v>CDC-7009</v>
          </cell>
          <cell r="AJ994">
            <v>80542</v>
          </cell>
          <cell r="AK994" t="str">
            <v>CDC-7009</v>
          </cell>
          <cell r="AL994" t="str">
            <v>CDC7009</v>
          </cell>
        </row>
        <row r="995">
          <cell r="N995" t="str">
            <v>OUTER LIMITS SCHOOL</v>
          </cell>
          <cell r="O995" t="str">
            <v>3472 EAST FT LOWELL</v>
          </cell>
          <cell r="P995" t="str">
            <v>kelli@smallmiraclesedu.com</v>
          </cell>
          <cell r="Q995" t="str">
            <v>CDC-11368</v>
          </cell>
          <cell r="AJ995">
            <v>85227</v>
          </cell>
          <cell r="AK995" t="str">
            <v>CDC-11368</v>
          </cell>
          <cell r="AL995" t="str">
            <v>CDC11368</v>
          </cell>
        </row>
        <row r="996">
          <cell r="N996" t="str">
            <v>PAINTED DESERT MONTESSORI ACADEMY</v>
          </cell>
          <cell r="O996" t="str">
            <v>2400 SOUTH 247TH AVENUE</v>
          </cell>
          <cell r="P996" t="str">
            <v>fyanez@pdma.education</v>
          </cell>
          <cell r="Q996" t="str">
            <v>CDC-18247</v>
          </cell>
          <cell r="AJ996" t="e">
            <v>#N/A</v>
          </cell>
          <cell r="AK996" t="str">
            <v>CDC-18247</v>
          </cell>
          <cell r="AL996" t="str">
            <v>CDC18247</v>
          </cell>
        </row>
        <row r="997">
          <cell r="N997" t="str">
            <v>PAINTED HILLS PRESCHOOL, L.L.C.</v>
          </cell>
          <cell r="O997" t="str">
            <v>3295 WEST SPEEDWAY BLVD</v>
          </cell>
          <cell r="P997" t="str">
            <v>paintedhillspreschool@gmail.com</v>
          </cell>
          <cell r="Q997" t="str">
            <v>CDC-16757</v>
          </cell>
          <cell r="AJ997" t="e">
            <v>#N/A</v>
          </cell>
          <cell r="AK997" t="str">
            <v>CDC-16757</v>
          </cell>
          <cell r="AL997" t="str">
            <v>CDC16757</v>
          </cell>
        </row>
        <row r="998">
          <cell r="N998" t="str">
            <v>PALM VALLEY MONTESSORI L L C</v>
          </cell>
          <cell r="O998" t="str">
            <v>629 NORTH SARIVAL AVENUE</v>
          </cell>
          <cell r="P998" t="str">
            <v>daniel.foster@palmvalleymontessori.com</v>
          </cell>
          <cell r="Q998" t="str">
            <v>CDC-15044</v>
          </cell>
          <cell r="AJ998" t="e">
            <v>#N/A</v>
          </cell>
          <cell r="AK998" t="str">
            <v>CDC-15044</v>
          </cell>
          <cell r="AL998" t="str">
            <v>CDC15044</v>
          </cell>
        </row>
        <row r="999">
          <cell r="N999" t="str">
            <v>PALM VALLEY PRESCHOOL INC. - DBA TEACH N' FUN</v>
          </cell>
          <cell r="O999" t="str">
            <v>12375 WEST INDIAN SCHOOL ROAD</v>
          </cell>
          <cell r="P999" t="str">
            <v>info@teachnfun.com</v>
          </cell>
          <cell r="Q999" t="str">
            <v>CDC-11276</v>
          </cell>
          <cell r="AJ999">
            <v>87947</v>
          </cell>
          <cell r="AK999" t="str">
            <v>CDC-11276</v>
          </cell>
          <cell r="AL999" t="str">
            <v>CDC11276</v>
          </cell>
        </row>
        <row r="1000">
          <cell r="N1000" t="str">
            <v>PALMS CHRISTIAN PRESCHOOL</v>
          </cell>
          <cell r="O1000" t="str">
            <v>17475 WEST BELL ROAD</v>
          </cell>
          <cell r="P1000" t="str">
            <v>twarren@palmchristianschool.com</v>
          </cell>
          <cell r="Q1000" t="str">
            <v>CDC-10456</v>
          </cell>
          <cell r="AJ1000" t="e">
            <v>#N/A</v>
          </cell>
          <cell r="AK1000" t="str">
            <v>CDC-10456</v>
          </cell>
          <cell r="AL1000" t="str">
            <v>CDC10456</v>
          </cell>
        </row>
        <row r="1001">
          <cell r="N1001" t="str">
            <v>PALO VERDE HEAD START</v>
          </cell>
          <cell r="O1001" t="str">
            <v>10700 SOUTH PALO VERDE ROAD</v>
          </cell>
          <cell r="P1001" t="str">
            <v>mmanjarez@cc-az.org</v>
          </cell>
          <cell r="Q1001" t="str">
            <v>CDC-11564</v>
          </cell>
          <cell r="AJ1001" t="e">
            <v>#N/A</v>
          </cell>
          <cell r="AK1001" t="str">
            <v>CDC-11564</v>
          </cell>
          <cell r="AL1001" t="str">
            <v>CDC11564</v>
          </cell>
        </row>
        <row r="1002">
          <cell r="N1002" t="str">
            <v>PANDA BEAR LEARNING CENTER</v>
          </cell>
          <cell r="O1002" t="str">
            <v>5345 NORTH 23RD AVENUE</v>
          </cell>
          <cell r="P1002" t="str">
            <v>srh978@msn.com</v>
          </cell>
          <cell r="Q1002" t="str">
            <v>CDC-9918</v>
          </cell>
          <cell r="AJ1002" t="e">
            <v>#N/A</v>
          </cell>
          <cell r="AK1002" t="str">
            <v>CDC-9918</v>
          </cell>
          <cell r="AL1002" t="str">
            <v>CDC9918</v>
          </cell>
        </row>
        <row r="1003">
          <cell r="N1003" t="str">
            <v>PARADISE EDUCATION CENTER</v>
          </cell>
          <cell r="O1003" t="str">
            <v>15533 WEST PARADISE LANE</v>
          </cell>
          <cell r="P1003" t="str">
            <v>Cwirth@paradiseschools.org</v>
          </cell>
          <cell r="Q1003" t="str">
            <v>CDC-9378</v>
          </cell>
          <cell r="AJ1003" t="e">
            <v>#N/A</v>
          </cell>
          <cell r="AK1003" t="str">
            <v>CDC-9378</v>
          </cell>
          <cell r="AL1003" t="str">
            <v>CDC9378</v>
          </cell>
        </row>
        <row r="1004">
          <cell r="N1004" t="str">
            <v>PARADISE FOR TOTS CHRISTIAN SCHOOL</v>
          </cell>
          <cell r="O1004" t="str">
            <v>13449 NORTH TATUM BLVD</v>
          </cell>
          <cell r="P1004" t="str">
            <v>paradisefortots1@qwestoffice.net</v>
          </cell>
          <cell r="Q1004" t="str">
            <v>CDC-9658</v>
          </cell>
          <cell r="AJ1004" t="e">
            <v>#N/A</v>
          </cell>
          <cell r="AK1004" t="str">
            <v>CDC-9658</v>
          </cell>
          <cell r="AL1004" t="str">
            <v>CDC9658</v>
          </cell>
        </row>
        <row r="1005">
          <cell r="N1005" t="str">
            <v>PARADISE VALLEY CHRISTIAN SCHOOL</v>
          </cell>
          <cell r="O1005" t="str">
            <v>11875 NORTH 24TH STREET</v>
          </cell>
          <cell r="P1005" t="str">
            <v>dkenney@pvcp.org</v>
          </cell>
          <cell r="Q1005" t="str">
            <v>CDC-1046</v>
          </cell>
          <cell r="AJ1005" t="e">
            <v>#N/A</v>
          </cell>
          <cell r="AK1005" t="str">
            <v>CDC-1046</v>
          </cell>
          <cell r="AL1005" t="str">
            <v>CDC1046</v>
          </cell>
        </row>
        <row r="1006">
          <cell r="N1006" t="str">
            <v>PARADISE VALLEY COOPERATIVE SCHOOL</v>
          </cell>
          <cell r="O1006" t="str">
            <v>6239 EAST BELL ROAD</v>
          </cell>
          <cell r="P1006" t="str">
            <v>pvcoopschool@gmail.com</v>
          </cell>
          <cell r="Q1006" t="str">
            <v>CDC-14052</v>
          </cell>
          <cell r="AJ1006" t="e">
            <v>#N/A</v>
          </cell>
          <cell r="AK1006" t="str">
            <v>CDC-14052</v>
          </cell>
          <cell r="AL1006" t="str">
            <v>CDC14052</v>
          </cell>
        </row>
        <row r="1007">
          <cell r="N1007" t="str">
            <v>PARADISE VALLEY EVANGELICAL LUTHERAN PRESCHOOL</v>
          </cell>
          <cell r="O1007" t="str">
            <v>14845 NORTH 40TH STREET</v>
          </cell>
          <cell r="P1007" t="str">
            <v>pvlprek@gmail.com</v>
          </cell>
          <cell r="Q1007" t="str">
            <v>CDC-3251</v>
          </cell>
          <cell r="AJ1007" t="e">
            <v>#N/A</v>
          </cell>
          <cell r="AK1007" t="str">
            <v>CDC-3251</v>
          </cell>
          <cell r="AL1007" t="str">
            <v>CDC3251</v>
          </cell>
        </row>
        <row r="1008">
          <cell r="N1008" t="str">
            <v>PARADISE VALLEY UNITED METHODIST PRESCHOOL</v>
          </cell>
          <cell r="O1008" t="str">
            <v>4455 EAST LINCOLN DRIVE</v>
          </cell>
          <cell r="P1008" t="str">
            <v>msobraske@pvumc.org</v>
          </cell>
          <cell r="Q1008" t="str">
            <v>CDC-0139</v>
          </cell>
          <cell r="AJ1008" t="e">
            <v>#N/A</v>
          </cell>
          <cell r="AK1008" t="str">
            <v>CDC-0139</v>
          </cell>
          <cell r="AL1008" t="str">
            <v>CDC0139</v>
          </cell>
        </row>
        <row r="1009">
          <cell r="N1009" t="str">
            <v>PARAGON SCIENCE ACADEMY</v>
          </cell>
          <cell r="O1009" t="str">
            <v>2975 WEST LINDA LANE</v>
          </cell>
          <cell r="P1009" t="str">
            <v>showard@sonorsnschools.org</v>
          </cell>
          <cell r="Q1009" t="str">
            <v>CDC-15635</v>
          </cell>
          <cell r="AJ1009" t="e">
            <v>#N/A</v>
          </cell>
          <cell r="AK1009" t="str">
            <v>CDC-15635</v>
          </cell>
          <cell r="AL1009" t="str">
            <v>CDC15635</v>
          </cell>
        </row>
        <row r="1010">
          <cell r="N1010" t="str">
            <v>PARKSIDE CHRISTIAN LEARNING CENTER &amp; LOS NINOS CHRISTIAN PRESCHOOL</v>
          </cell>
          <cell r="O1010" t="str">
            <v>401 CAMP LINCOLN ROAD</v>
          </cell>
          <cell r="P1010" t="str">
            <v>Sheena@parksidecampverde.com</v>
          </cell>
          <cell r="Q1010" t="str">
            <v>CDC-13369</v>
          </cell>
          <cell r="AJ1010" t="e">
            <v>#N/A</v>
          </cell>
          <cell r="AK1010" t="str">
            <v>CDC-13369</v>
          </cell>
          <cell r="AL1010" t="str">
            <v>CDC13369</v>
          </cell>
        </row>
        <row r="1011">
          <cell r="N1011" t="str">
            <v>PATAGONIA MONTESSORI ELEMENTARY SCHOOL, INC.</v>
          </cell>
          <cell r="O1011" t="str">
            <v>500 NORTH 3RD AVENUE</v>
          </cell>
          <cell r="P1011" t="str">
            <v>jessiebeebe@gmail.com, jerrin@patagoniamontessori.org</v>
          </cell>
          <cell r="Q1011" t="str">
            <v>CDC-13488</v>
          </cell>
          <cell r="AJ1011" t="e">
            <v>#N/A</v>
          </cell>
          <cell r="AK1011" t="str">
            <v>CDC-13488</v>
          </cell>
          <cell r="AL1011" t="str">
            <v>CDC13488</v>
          </cell>
        </row>
        <row r="1012">
          <cell r="N1012" t="str">
            <v>PATHWAYS PRESCHOOL LLC</v>
          </cell>
          <cell r="O1012" t="str">
            <v>1835 EAST GUADALUPE ROAD - SUITE C-103</v>
          </cell>
          <cell r="P1012" t="str">
            <v>drroz@pathwayspreschooltempe.com</v>
          </cell>
          <cell r="Q1012" t="str">
            <v>CDC-18732</v>
          </cell>
          <cell r="AJ1012" t="e">
            <v>#N/A</v>
          </cell>
          <cell r="AK1012" t="str">
            <v>CDC-18732</v>
          </cell>
          <cell r="AL1012" t="str">
            <v>CDC18732</v>
          </cell>
        </row>
        <row r="1013">
          <cell r="N1013" t="str">
            <v>PAYSON CHRISTIAN SCHOOL</v>
          </cell>
          <cell r="O1013" t="str">
            <v>1000 EAST FRONTIER STREET</v>
          </cell>
          <cell r="P1013" t="str">
            <v>Awalp@paysonchristianschool.org</v>
          </cell>
          <cell r="Q1013" t="str">
            <v>CDC-16776</v>
          </cell>
          <cell r="AJ1013" t="e">
            <v>#N/A</v>
          </cell>
          <cell r="AK1013" t="str">
            <v>CDC-16776</v>
          </cell>
          <cell r="AL1013" t="str">
            <v>CDC16776</v>
          </cell>
        </row>
        <row r="1014">
          <cell r="N1014" t="str">
            <v>PEACE LUTHERAN PRE/ KINDER/ EXT</v>
          </cell>
          <cell r="O1014" t="str">
            <v>3430 NORTH 4TH STREET</v>
          </cell>
          <cell r="P1014" t="str">
            <v>peace.school@aspect1.net</v>
          </cell>
          <cell r="Q1014" t="str">
            <v>CDC-0566</v>
          </cell>
          <cell r="AJ1014" t="e">
            <v>#N/A</v>
          </cell>
          <cell r="AK1014" t="str">
            <v>CDC-0566</v>
          </cell>
          <cell r="AL1014" t="str">
            <v>CDC0566</v>
          </cell>
        </row>
        <row r="1015">
          <cell r="N1015" t="str">
            <v>PEACE LUTHERAN PRESCHOOL</v>
          </cell>
          <cell r="O1015" t="str">
            <v>18265 NORTH 89TH AVENUE</v>
          </cell>
          <cell r="P1015" t="str">
            <v>Macon@peaceaz.org</v>
          </cell>
          <cell r="Q1015" t="str">
            <v>CDC-3398</v>
          </cell>
          <cell r="AJ1015" t="e">
            <v>#N/A</v>
          </cell>
          <cell r="AK1015" t="str">
            <v>CDC-3398</v>
          </cell>
          <cell r="AL1015" t="str">
            <v>CDC3398</v>
          </cell>
        </row>
        <row r="1016">
          <cell r="N1016" t="str">
            <v>PEORIA A M/ P M RECREATION PROGRAM - ACADEMY OF MATH AND SCIENCE PEORIA ADVANCED</v>
          </cell>
          <cell r="O1016" t="str">
            <v>7785 WEST PEORIA AVENUE</v>
          </cell>
          <cell r="P1016" t="str">
            <v>Kathleen.Kresl@Peoriaaz.gov</v>
          </cell>
          <cell r="Q1016" t="str">
            <v>CDC-18593</v>
          </cell>
          <cell r="AJ1016" t="e">
            <v>#N/A</v>
          </cell>
          <cell r="AK1016" t="str">
            <v>CDC-18593</v>
          </cell>
          <cell r="AL1016" t="str">
            <v>CDC18593</v>
          </cell>
        </row>
        <row r="1017">
          <cell r="N1017" t="str">
            <v>PEORIA A M/ P M RECREATION PROGRAM - ALTA LOMA</v>
          </cell>
          <cell r="O1017" t="str">
            <v>9750 NORTH 87TH AVENUE</v>
          </cell>
          <cell r="P1017" t="str">
            <v>nicole.mcnally@peoriaaz.gov</v>
          </cell>
          <cell r="Q1017" t="str">
            <v>CDC-2066</v>
          </cell>
          <cell r="AJ1017" t="e">
            <v>#N/A</v>
          </cell>
          <cell r="AK1017" t="str">
            <v>CDC-2066</v>
          </cell>
          <cell r="AL1017" t="str">
            <v>CDC2066</v>
          </cell>
        </row>
        <row r="1018">
          <cell r="N1018" t="str">
            <v>PEORIA A M/ P M RECREATION PROGRAM - APACHE</v>
          </cell>
          <cell r="O1018" t="str">
            <v>8633 WEST JOHN CABOT ROAD</v>
          </cell>
          <cell r="P1018" t="str">
            <v>nikita.uptain@peoriaaz.gov</v>
          </cell>
          <cell r="Q1018" t="str">
            <v>CDC-3194</v>
          </cell>
          <cell r="AJ1018" t="e">
            <v>#N/A</v>
          </cell>
          <cell r="AK1018" t="str">
            <v>CDC-3194</v>
          </cell>
          <cell r="AL1018" t="str">
            <v>CDC3194</v>
          </cell>
        </row>
        <row r="1019">
          <cell r="N1019" t="str">
            <v>PEORIA A M/ P M RECREATION PROGRAM - CHEYENNE</v>
          </cell>
          <cell r="O1019" t="str">
            <v>11806 NORTH 87TH AVENUE</v>
          </cell>
          <cell r="P1019" t="str">
            <v>nikita.uptain@peoriaaz.gov</v>
          </cell>
          <cell r="Q1019" t="str">
            <v>CDC-6512</v>
          </cell>
          <cell r="AJ1019" t="e">
            <v>#N/A</v>
          </cell>
          <cell r="AK1019" t="str">
            <v>CDC-6512</v>
          </cell>
          <cell r="AL1019" t="str">
            <v>CDC6512</v>
          </cell>
        </row>
        <row r="1020">
          <cell r="N1020" t="str">
            <v>PEORIA A M/ P M RECREATION PROGRAM - COTTON BOLL</v>
          </cell>
          <cell r="O1020" t="str">
            <v>8540 WEST BUTLER DRIVE</v>
          </cell>
          <cell r="P1020" t="str">
            <v>nicole.mcnally@peoriaaz.gov</v>
          </cell>
          <cell r="Q1020" t="str">
            <v>CDC-2067</v>
          </cell>
          <cell r="AJ1020" t="e">
            <v>#N/A</v>
          </cell>
          <cell r="AK1020" t="str">
            <v>CDC-2067</v>
          </cell>
          <cell r="AL1020" t="str">
            <v>CDC2067</v>
          </cell>
        </row>
        <row r="1021">
          <cell r="N1021" t="str">
            <v>PEORIA A M/ P M RECREATION PROGRAM - COUNTRY MEADOWS</v>
          </cell>
          <cell r="O1021" t="str">
            <v>8409 NORTH 111TH AVENUE</v>
          </cell>
          <cell r="P1021" t="str">
            <v>kelli.kincaid@peoriaaz.gov</v>
          </cell>
          <cell r="Q1021" t="str">
            <v>CDC-9003</v>
          </cell>
          <cell r="AJ1021" t="e">
            <v>#N/A</v>
          </cell>
          <cell r="AK1021" t="str">
            <v>CDC-9003</v>
          </cell>
          <cell r="AL1021" t="str">
            <v>CDC9003</v>
          </cell>
        </row>
        <row r="1022">
          <cell r="N1022" t="str">
            <v>PEORIA A M/ P M RECREATION PROGRAM - COYOTE HILLS</v>
          </cell>
          <cell r="O1022" t="str">
            <v>21180 NORTH 87TH AVENUE</v>
          </cell>
          <cell r="P1022" t="str">
            <v>nikita.uptain@peoriaaz.com</v>
          </cell>
          <cell r="Q1022" t="str">
            <v>CDC-9001</v>
          </cell>
          <cell r="AJ1022" t="e">
            <v>#N/A</v>
          </cell>
          <cell r="AK1022" t="str">
            <v>CDC-9001</v>
          </cell>
          <cell r="AL1022" t="str">
            <v>CDC9001</v>
          </cell>
        </row>
        <row r="1023">
          <cell r="N1023" t="str">
            <v>PEORIA A M/ P M RECREATION PROGRAM - DESERT HARBOR</v>
          </cell>
          <cell r="O1023" t="str">
            <v>15585 NORTH 91ST DRIVE</v>
          </cell>
          <cell r="P1023" t="str">
            <v>nikIta.uptain@peoriaaz.gov</v>
          </cell>
          <cell r="Q1023" t="str">
            <v>CDC-5719</v>
          </cell>
          <cell r="AJ1023" t="e">
            <v>#N/A</v>
          </cell>
          <cell r="AK1023" t="str">
            <v>CDC-5719</v>
          </cell>
          <cell r="AL1023" t="str">
            <v>CDC5719</v>
          </cell>
        </row>
        <row r="1024">
          <cell r="N1024" t="str">
            <v>PEORIA A M/ P M RECREATION PROGRAM - FRONTIER</v>
          </cell>
          <cell r="O1024" t="str">
            <v>21258 NORTH 81ST AVENUE</v>
          </cell>
          <cell r="P1024" t="str">
            <v>nikita.uptain@peoriaaz.gov</v>
          </cell>
          <cell r="Q1024" t="str">
            <v>CDC-7877</v>
          </cell>
          <cell r="AJ1024" t="e">
            <v>#N/A</v>
          </cell>
          <cell r="AK1024" t="str">
            <v>CDC-7877</v>
          </cell>
          <cell r="AL1024" t="str">
            <v>CDC7877</v>
          </cell>
        </row>
        <row r="1025">
          <cell r="N1025" t="str">
            <v>PEORIA A M/ P M RECREATION PROGRAM - IRA MURPHY</v>
          </cell>
          <cell r="O1025" t="str">
            <v>7231 WEST NORTH LANE</v>
          </cell>
          <cell r="P1025" t="str">
            <v>nicole.mcnally@peoriaaz.gov</v>
          </cell>
          <cell r="Q1025" t="str">
            <v>CDC-2068</v>
          </cell>
          <cell r="AJ1025" t="e">
            <v>#N/A</v>
          </cell>
          <cell r="AK1025" t="str">
            <v>CDC-2068</v>
          </cell>
          <cell r="AL1025" t="str">
            <v>CDC2068</v>
          </cell>
        </row>
        <row r="1026">
          <cell r="N1026" t="str">
            <v>PEORIA A M/ P M RECREATION PROGRAM - LAKE PLEASANT ELEMENTARY</v>
          </cell>
          <cell r="O1026" t="str">
            <v>31501 NORTH WESTLAND ROAD</v>
          </cell>
          <cell r="P1026" t="str">
            <v>ashley.childers@peoriaaz.org</v>
          </cell>
          <cell r="Q1026" t="str">
            <v>CDC-14986</v>
          </cell>
          <cell r="AJ1026" t="e">
            <v>#N/A</v>
          </cell>
          <cell r="AK1026" t="str">
            <v>CDC-14986</v>
          </cell>
          <cell r="AL1026" t="str">
            <v>CDC14986</v>
          </cell>
        </row>
        <row r="1027">
          <cell r="N1027" t="str">
            <v>PEORIA A M/ P M RECREATION PROGRAM - OAKWOOD</v>
          </cell>
          <cell r="O1027" t="str">
            <v>12900 NORTH 71ST AVENUE</v>
          </cell>
          <cell r="P1027" t="str">
            <v>nikita.uptain@peoriaaz.gov</v>
          </cell>
          <cell r="Q1027" t="str">
            <v>CDC-2075</v>
          </cell>
          <cell r="AJ1027" t="e">
            <v>#N/A</v>
          </cell>
          <cell r="AK1027" t="str">
            <v>CDC-2075</v>
          </cell>
          <cell r="AL1027" t="str">
            <v>CDC2075</v>
          </cell>
        </row>
        <row r="1028">
          <cell r="N1028" t="str">
            <v>PEORIA A M/ P M RECREATION PROGRAM - OASIS</v>
          </cell>
          <cell r="O1028" t="str">
            <v>7841 WEST SWEETWATER AVENUE</v>
          </cell>
          <cell r="P1028" t="str">
            <v>nikita.uptain@peoriaaz.gov</v>
          </cell>
          <cell r="Q1028" t="str">
            <v>CDC-2069</v>
          </cell>
          <cell r="AJ1028" t="e">
            <v>#N/A</v>
          </cell>
          <cell r="AK1028" t="str">
            <v>CDC-2069</v>
          </cell>
          <cell r="AL1028" t="str">
            <v>CDC2069</v>
          </cell>
        </row>
        <row r="1029">
          <cell r="N1029" t="str">
            <v>PEORIA A M/ P M RECREATION PROGRAM - PARKRIDGE</v>
          </cell>
          <cell r="O1029" t="str">
            <v>9970 WEST BEARDSLEY ROAD</v>
          </cell>
          <cell r="P1029" t="str">
            <v>nikita.uptain@peoriaaz.gov</v>
          </cell>
          <cell r="Q1029" t="str">
            <v>CDC-11183</v>
          </cell>
          <cell r="AJ1029" t="e">
            <v>#N/A</v>
          </cell>
          <cell r="AK1029" t="str">
            <v>CDC-11183</v>
          </cell>
          <cell r="AL1029" t="str">
            <v>CDC11183</v>
          </cell>
        </row>
        <row r="1030">
          <cell r="N1030" t="str">
            <v>PEORIA A M/ P M RECREATION PROGRAM - PASEO VERDE</v>
          </cell>
          <cell r="O1030" t="str">
            <v>7880 WEST GREENWAY ROAD</v>
          </cell>
          <cell r="P1030" t="str">
            <v>Christineo'hayre@peoriaaz.gov</v>
          </cell>
          <cell r="Q1030" t="str">
            <v>CDC-5179</v>
          </cell>
          <cell r="AJ1030" t="e">
            <v>#N/A</v>
          </cell>
          <cell r="AK1030" t="str">
            <v>CDC-5179</v>
          </cell>
          <cell r="AL1030" t="str">
            <v>CDC5179</v>
          </cell>
        </row>
        <row r="1031">
          <cell r="N1031" t="str">
            <v>PEORIA A M/ P M RECREATION PROGRAM - PEORIA</v>
          </cell>
          <cell r="O1031" t="str">
            <v>11501 NORTH 79TH AVENUE</v>
          </cell>
          <cell r="P1031" t="str">
            <v>nikita.uptain@peoriaaz.gov</v>
          </cell>
          <cell r="Q1031" t="str">
            <v>CDC-2074</v>
          </cell>
          <cell r="AJ1031" t="e">
            <v>#N/A</v>
          </cell>
          <cell r="AK1031" t="str">
            <v>CDC-2074</v>
          </cell>
          <cell r="AL1031" t="str">
            <v>CDC2074</v>
          </cell>
        </row>
        <row r="1032">
          <cell r="N1032" t="str">
            <v>PEORIA A M/ P M RECREATION PROGRAM - SANTA FE</v>
          </cell>
          <cell r="O1032" t="str">
            <v>9880 NORTH 77TH AVENUE</v>
          </cell>
          <cell r="P1032" t="str">
            <v>nikita.vptam@peoriaaz.gov</v>
          </cell>
          <cell r="Q1032" t="str">
            <v>CDC-4626</v>
          </cell>
          <cell r="AJ1032" t="e">
            <v>#N/A</v>
          </cell>
          <cell r="AK1032" t="str">
            <v>CDC-4626</v>
          </cell>
          <cell r="AL1032" t="str">
            <v>CDC4626</v>
          </cell>
        </row>
        <row r="1033">
          <cell r="N1033" t="str">
            <v>PEORIA A M/ P M RECREATION PROGRAM - SKY VIEW</v>
          </cell>
          <cell r="O1033" t="str">
            <v>8624 WEST SWEETWATER AVENUE</v>
          </cell>
          <cell r="P1033" t="str">
            <v>nikita.uptain@peoriaaz.gov</v>
          </cell>
          <cell r="Q1033" t="str">
            <v>CDC-2070</v>
          </cell>
          <cell r="AJ1033" t="e">
            <v>#N/A</v>
          </cell>
          <cell r="AK1033" t="str">
            <v>CDC-2070</v>
          </cell>
          <cell r="AL1033" t="str">
            <v>CDC2070</v>
          </cell>
        </row>
        <row r="1034">
          <cell r="N1034" t="str">
            <v>PEORIA A M/ P M RECREATION PROGRAM - SUN VALLEY</v>
          </cell>
          <cell r="O1034" t="str">
            <v>8361 NORTH 95TH AVENUE</v>
          </cell>
          <cell r="P1034" t="str">
            <v>Kathleen.Kresi@peoriaaz.org</v>
          </cell>
          <cell r="Q1034" t="str">
            <v>CDC-2072</v>
          </cell>
          <cell r="AJ1034" t="e">
            <v>#N/A</v>
          </cell>
          <cell r="AK1034" t="str">
            <v>CDC-2072</v>
          </cell>
          <cell r="AL1034" t="str">
            <v>CDC2072</v>
          </cell>
        </row>
        <row r="1035">
          <cell r="N1035" t="str">
            <v>PEORIA A M/ P M RECREATION PROGRAM - SUNDANCE</v>
          </cell>
          <cell r="O1035" t="str">
            <v>7051 WEST CHOLLA AVENUE</v>
          </cell>
          <cell r="P1035" t="str">
            <v>Nicole.McNally@peoriaaz.gov</v>
          </cell>
          <cell r="Q1035" t="str">
            <v>CDC-2071</v>
          </cell>
          <cell r="AJ1035" t="e">
            <v>#N/A</v>
          </cell>
          <cell r="AK1035" t="str">
            <v>CDC-2071</v>
          </cell>
          <cell r="AL1035" t="str">
            <v>CDC2071</v>
          </cell>
        </row>
        <row r="1036">
          <cell r="N1036" t="str">
            <v>PEORIA A M/ P M RECREATION PROGRAM - SUNRISE FAMILY CENTER</v>
          </cell>
          <cell r="O1036" t="str">
            <v>21303 NORTH 86TH DRIVE</v>
          </cell>
          <cell r="P1036" t="str">
            <v>ashley.childers@peoriaaz.gov</v>
          </cell>
          <cell r="Q1036" t="str">
            <v>CDC-11450</v>
          </cell>
          <cell r="AJ1036" t="e">
            <v>#N/A</v>
          </cell>
          <cell r="AK1036" t="str">
            <v>CDC-11450</v>
          </cell>
          <cell r="AL1036" t="str">
            <v>CDC11450</v>
          </cell>
        </row>
        <row r="1037">
          <cell r="N1037" t="str">
            <v>PEORIA A M/ P M RECREATION PROGRAM - SUNSET HEIGHTS</v>
          </cell>
          <cell r="O1037" t="str">
            <v>9687 WEST ADAM AVENUE</v>
          </cell>
          <cell r="P1037" t="str">
            <v>nikita.uptain@peoriaaz.gov</v>
          </cell>
          <cell r="Q1037" t="str">
            <v>CDC-16884</v>
          </cell>
          <cell r="AJ1037" t="e">
            <v>#N/A</v>
          </cell>
          <cell r="AK1037" t="str">
            <v>CDC-16884</v>
          </cell>
          <cell r="AL1037" t="str">
            <v>CDC16884</v>
          </cell>
        </row>
        <row r="1038">
          <cell r="N1038" t="str">
            <v>PEORIA A M/ P M RECREATION PROGRAM - VISTANCIA</v>
          </cell>
          <cell r="O1038" t="str">
            <v>30009 NORTH SUNRISE POINT</v>
          </cell>
          <cell r="P1038" t="str">
            <v>nikita.uptain@peoriaaz.gov</v>
          </cell>
          <cell r="Q1038" t="str">
            <v>CDC-12682</v>
          </cell>
          <cell r="AJ1038" t="e">
            <v>#N/A</v>
          </cell>
          <cell r="AK1038" t="str">
            <v>CDC-12682</v>
          </cell>
          <cell r="AL1038" t="str">
            <v>CDC12682</v>
          </cell>
        </row>
        <row r="1039">
          <cell r="N1039" t="str">
            <v>PEORIA A M/ P M RECREATION PROGRAM - ZUNI HILLS</v>
          </cell>
          <cell r="O1039" t="str">
            <v>10851 WEST WILLIAMS ROAD</v>
          </cell>
          <cell r="P1039" t="str">
            <v>Kelli.Kincaid@peoriaaz.gov</v>
          </cell>
          <cell r="Q1039" t="str">
            <v>CDC-9541</v>
          </cell>
          <cell r="AJ1039" t="e">
            <v>#N/A</v>
          </cell>
          <cell r="AK1039" t="str">
            <v>CDC-9541</v>
          </cell>
          <cell r="AL1039" t="str">
            <v>CDC9541</v>
          </cell>
        </row>
        <row r="1040">
          <cell r="N1040" t="str">
            <v>PEORIA AVENUE PRESCHOOL</v>
          </cell>
          <cell r="O1040" t="str">
            <v>8815 WEST PEORIA AVENUE # 12</v>
          </cell>
          <cell r="P1040" t="str">
            <v>annettescollins@yahoo.com</v>
          </cell>
          <cell r="Q1040" t="str">
            <v>CDC-12967</v>
          </cell>
          <cell r="AJ1040" t="e">
            <v>#N/A</v>
          </cell>
          <cell r="AK1040" t="str">
            <v>CDC-12967</v>
          </cell>
          <cell r="AL1040" t="str">
            <v>CDC12967</v>
          </cell>
        </row>
        <row r="1041">
          <cell r="N1041" t="str">
            <v>PEORIA CHILD DEVELOPMENT CENTER &amp; HEAD START</v>
          </cell>
          <cell r="O1041" t="str">
            <v>11708 NORTH 80TH AVENUE</v>
          </cell>
          <cell r="P1041" t="str">
            <v>dlehmkuhl@cc-az.org</v>
          </cell>
          <cell r="Q1041" t="str">
            <v>CDC-3158</v>
          </cell>
          <cell r="AJ1041" t="e">
            <v>#N/A</v>
          </cell>
          <cell r="AK1041" t="str">
            <v>CDC-3158</v>
          </cell>
          <cell r="AL1041" t="str">
            <v>CDC3158</v>
          </cell>
        </row>
        <row r="1042">
          <cell r="N1042" t="str">
            <v>PERFORM TO LEARN - PERFORMING ARTS PRESCHOOL</v>
          </cell>
          <cell r="O1042" t="str">
            <v>4221 NORTH WINFIELD SCOTT PLAZA</v>
          </cell>
          <cell r="P1042" t="str">
            <v>info@performtolearn.com</v>
          </cell>
          <cell r="Q1042" t="str">
            <v>CDC-17868</v>
          </cell>
          <cell r="AJ1042" t="e">
            <v>#N/A</v>
          </cell>
          <cell r="AK1042" t="str">
            <v>CDC-17868</v>
          </cell>
          <cell r="AL1042" t="str">
            <v>CDC17868</v>
          </cell>
        </row>
        <row r="1043">
          <cell r="N1043" t="str">
            <v>PHOENIX CHILDREN'S ACADEMY  PRIVATE PRESCHOOL</v>
          </cell>
          <cell r="O1043" t="str">
            <v>2315 SOUTH LINDSAY ROAD</v>
          </cell>
          <cell r="P1043" t="str">
            <v>director.lindsay@pca-school.com</v>
          </cell>
          <cell r="Q1043" t="str">
            <v>CDC-11704</v>
          </cell>
          <cell r="AJ1043" t="e">
            <v>#N/A</v>
          </cell>
          <cell r="AK1043" t="str">
            <v>CDC-11704</v>
          </cell>
          <cell r="AL1043" t="str">
            <v>CDC11704</v>
          </cell>
        </row>
        <row r="1044">
          <cell r="N1044" t="str">
            <v>PHOENIX CHILDREN'S ACADEMY PRIVATE PRESCHOOL # 226</v>
          </cell>
          <cell r="O1044" t="str">
            <v>15562 NORTH REEMS ROAD</v>
          </cell>
          <cell r="P1044" t="str">
            <v>Talbright@pcapreschool.com</v>
          </cell>
          <cell r="Q1044" t="str">
            <v>CDC-14901</v>
          </cell>
          <cell r="AJ1044" t="e">
            <v>#N/A</v>
          </cell>
          <cell r="AK1044" t="str">
            <v>CDC-14901</v>
          </cell>
          <cell r="AL1044" t="str">
            <v>CDC14901</v>
          </cell>
        </row>
        <row r="1045">
          <cell r="N1045" t="str">
            <v>PHOENIX CHILDREN'S ACADEMY PRIVATE PRESCHOOL #221</v>
          </cell>
          <cell r="O1045" t="str">
            <v>7629 WEST THUNDERBIRD ROAD</v>
          </cell>
          <cell r="P1045" t="str">
            <v>director.thunderbird@cadence-.education</v>
          </cell>
          <cell r="Q1045" t="str">
            <v>CDC-10357</v>
          </cell>
          <cell r="AJ1045" t="e">
            <v>#N/A</v>
          </cell>
          <cell r="AK1045" t="str">
            <v>CDC-10357</v>
          </cell>
          <cell r="AL1045" t="str">
            <v>CDC10357</v>
          </cell>
        </row>
        <row r="1046">
          <cell r="N1046" t="str">
            <v>PHOENIX CHILDREN'S ACADEMY PRIVATE PRESCHOOL #222</v>
          </cell>
          <cell r="O1046" t="str">
            <v>18820 NORTH 83RD AVENUE</v>
          </cell>
          <cell r="P1046" t="str">
            <v>unionhills@pcapreschool.com</v>
          </cell>
          <cell r="Q1046" t="str">
            <v>CDC-11033</v>
          </cell>
          <cell r="AJ1046" t="e">
            <v>#N/A</v>
          </cell>
          <cell r="AK1046" t="str">
            <v>CDC-11033</v>
          </cell>
          <cell r="AL1046" t="str">
            <v>CDC11033</v>
          </cell>
        </row>
        <row r="1047">
          <cell r="N1047" t="str">
            <v>PHOENIX CHILDREN'S ACADEMY PRIVATE PRESCHOOL #228</v>
          </cell>
          <cell r="O1047" t="str">
            <v>1850 WEST GERMANN ROAD</v>
          </cell>
          <cell r="P1047" t="str">
            <v>director.dobson@pcapreschool.com</v>
          </cell>
          <cell r="Q1047" t="str">
            <v>CDC-14934</v>
          </cell>
          <cell r="AJ1047" t="e">
            <v>#N/A</v>
          </cell>
          <cell r="AK1047" t="str">
            <v>CDC-14934</v>
          </cell>
          <cell r="AL1047" t="str">
            <v>CDC14934</v>
          </cell>
        </row>
        <row r="1048">
          <cell r="N1048" t="str">
            <v>PHOENIX CHILDRENS ACADEMY PRIVATE PRESCHOOL # 224</v>
          </cell>
          <cell r="O1048" t="str">
            <v>6288 SOUTH HIGLEY ROAD</v>
          </cell>
          <cell r="P1048" t="str">
            <v>Director.224@pcapreschool.com</v>
          </cell>
          <cell r="Q1048" t="str">
            <v>CDC-14493</v>
          </cell>
          <cell r="AJ1048" t="e">
            <v>#N/A</v>
          </cell>
          <cell r="AK1048" t="str">
            <v>CDC-14493</v>
          </cell>
          <cell r="AL1048" t="str">
            <v>CDC14493</v>
          </cell>
        </row>
        <row r="1049">
          <cell r="N1049" t="str">
            <v>PHOENIX CHILDRENS ACADEMY PRIVATE PRESCHOOL # 225</v>
          </cell>
          <cell r="O1049" t="str">
            <v>25155 NORTH 39TH AVENUE</v>
          </cell>
          <cell r="P1049" t="str">
            <v>director.happyvalley@pcapreschool.com</v>
          </cell>
          <cell r="Q1049" t="str">
            <v>CDC-14905</v>
          </cell>
          <cell r="AJ1049" t="e">
            <v>#N/A</v>
          </cell>
          <cell r="AK1049" t="str">
            <v>CDC-14905</v>
          </cell>
          <cell r="AL1049" t="str">
            <v>CDC14905</v>
          </cell>
        </row>
        <row r="1050">
          <cell r="N1050" t="str">
            <v>PHOENIX CHILDRENS ACADEMY PRIVATE PRESCHOOL # 229</v>
          </cell>
          <cell r="O1050" t="str">
            <v>17670 WEST ELLIOT ROAD</v>
          </cell>
          <cell r="P1050" t="str">
            <v>estrellamontain@pcapreschool.com</v>
          </cell>
          <cell r="Q1050" t="str">
            <v>CDC-15590</v>
          </cell>
          <cell r="AJ1050" t="e">
            <v>#N/A</v>
          </cell>
          <cell r="AK1050" t="str">
            <v>CDC-15590</v>
          </cell>
          <cell r="AL1050" t="str">
            <v>CDC15590</v>
          </cell>
        </row>
        <row r="1051">
          <cell r="N1051" t="str">
            <v>PHOENIX CHRISTIAN PRESCHOOL</v>
          </cell>
          <cell r="O1051" t="str">
            <v>4002 NORTH 18TH AVENUE</v>
          </cell>
          <cell r="P1051" t="str">
            <v>Lmiller@phoenixchristian.org</v>
          </cell>
          <cell r="Q1051" t="str">
            <v>CDC-12619</v>
          </cell>
          <cell r="AJ1051" t="e">
            <v>#N/A</v>
          </cell>
          <cell r="AK1051" t="str">
            <v>CDC-12619</v>
          </cell>
          <cell r="AL1051" t="str">
            <v>CDC12619</v>
          </cell>
        </row>
        <row r="1052">
          <cell r="N1052" t="str">
            <v>PHOENIX CHRISTIAN SCHOOL</v>
          </cell>
          <cell r="O1052" t="str">
            <v>2425 NORTH 26TH STREET</v>
          </cell>
          <cell r="P1052" t="str">
            <v>sdenbleyker@phoenixchristianschool.org</v>
          </cell>
          <cell r="Q1052" t="str">
            <v>CDC-7623</v>
          </cell>
          <cell r="AJ1052" t="e">
            <v>#N/A</v>
          </cell>
          <cell r="AK1052" t="str">
            <v>CDC-7623</v>
          </cell>
          <cell r="AL1052" t="str">
            <v>CDC7623</v>
          </cell>
        </row>
        <row r="1053">
          <cell r="N1053" t="str">
            <v>PHOENIX COUNTRY DAY SCHOOL</v>
          </cell>
          <cell r="O1053" t="str">
            <v>3901 EAST STANFORD DRIVE</v>
          </cell>
          <cell r="P1053" t="str">
            <v>lsoffice@pcda.org</v>
          </cell>
          <cell r="Q1053" t="str">
            <v>CDC-1969</v>
          </cell>
          <cell r="AJ1053" t="e">
            <v>#N/A</v>
          </cell>
          <cell r="AK1053" t="str">
            <v>CDC-1969</v>
          </cell>
          <cell r="AL1053" t="str">
            <v>CDC1969</v>
          </cell>
        </row>
        <row r="1054">
          <cell r="N1054" t="str">
            <v>PHOENIX HEBREW ACADEMY PRE SCHOOL</v>
          </cell>
          <cell r="O1054" t="str">
            <v>515 EAST BETHANY HOME ROAD</v>
          </cell>
          <cell r="P1054" t="str">
            <v>office@phoenixhebrewacademy.org</v>
          </cell>
          <cell r="Q1054" t="str">
            <v>CDC-16939</v>
          </cell>
          <cell r="AJ1054" t="e">
            <v>#N/A</v>
          </cell>
          <cell r="AK1054" t="str">
            <v>CDC-16939</v>
          </cell>
          <cell r="AL1054" t="str">
            <v>CDC16939</v>
          </cell>
        </row>
        <row r="1055">
          <cell r="N1055" t="str">
            <v>PHOENIX PREPARATORY PRESCHOOL &amp; CHILD CARE</v>
          </cell>
          <cell r="O1055" t="str">
            <v>802 WEST OSBORN ROAD</v>
          </cell>
          <cell r="P1055" t="str">
            <v>director@phxprep.com</v>
          </cell>
          <cell r="Q1055" t="str">
            <v>CDC-18064</v>
          </cell>
          <cell r="AJ1055" t="e">
            <v>#N/A</v>
          </cell>
          <cell r="AK1055" t="str">
            <v>CDC-18064</v>
          </cell>
          <cell r="AL1055" t="str">
            <v>CDC18064</v>
          </cell>
        </row>
        <row r="1056">
          <cell r="N1056" t="str">
            <v>PHOENIX RESCUE MISSION CHANGING LIVES CENTER</v>
          </cell>
          <cell r="O1056" t="str">
            <v>338 NORTH 15TH AVENUE</v>
          </cell>
          <cell r="P1056" t="str">
            <v>amodra@phoenixrescuemission.org</v>
          </cell>
          <cell r="Q1056" t="str">
            <v>CDC-16806</v>
          </cell>
          <cell r="AJ1056" t="e">
            <v>#N/A</v>
          </cell>
          <cell r="AK1056" t="str">
            <v>CDC-16806</v>
          </cell>
          <cell r="AL1056" t="str">
            <v>CDC16806</v>
          </cell>
        </row>
        <row r="1057">
          <cell r="N1057" t="str">
            <v>PILGRIM LUTHERAN CHURCH AND SCHOOL</v>
          </cell>
          <cell r="O1057" t="str">
            <v>3257 EAST UNIVERSITY DRIVE</v>
          </cell>
          <cell r="P1057" t="str">
            <v>kdrexler2@cox.net</v>
          </cell>
          <cell r="Q1057" t="str">
            <v>CDC-8369</v>
          </cell>
          <cell r="AJ1057" t="e">
            <v>#N/A</v>
          </cell>
          <cell r="AK1057" t="str">
            <v>CDC-8369</v>
          </cell>
          <cell r="AL1057" t="str">
            <v>CDC8369</v>
          </cell>
        </row>
        <row r="1058">
          <cell r="N1058" t="str">
            <v>PIMA COUNTRY DAY SCHOOL</v>
          </cell>
          <cell r="O1058" t="str">
            <v>3107 EAST PIMA STREET</v>
          </cell>
          <cell r="P1058" t="str">
            <v>kelli@smallmiraclesedu.com</v>
          </cell>
          <cell r="Q1058" t="str">
            <v>CDC-17117</v>
          </cell>
          <cell r="AJ1058">
            <v>92703</v>
          </cell>
          <cell r="AK1058" t="str">
            <v>CDC-17117</v>
          </cell>
          <cell r="AL1058" t="str">
            <v>CDC17117</v>
          </cell>
        </row>
        <row r="1059">
          <cell r="N1059" t="str">
            <v>PIMA HEAD START</v>
          </cell>
          <cell r="O1059" t="str">
            <v>310 SOUTH 200 EAST STREET</v>
          </cell>
          <cell r="P1059" t="str">
            <v>pima@childparentcenters.org</v>
          </cell>
          <cell r="Q1059" t="str">
            <v>CDC-7274</v>
          </cell>
          <cell r="AJ1059">
            <v>9854</v>
          </cell>
          <cell r="AK1059" t="str">
            <v>CDC-7274</v>
          </cell>
          <cell r="AL1059" t="str">
            <v>CDC7274</v>
          </cell>
        </row>
        <row r="1060">
          <cell r="N1060" t="str">
            <v>PINE FOREST CHARTER SCHOOL</v>
          </cell>
          <cell r="O1060" t="str">
            <v>2257 EAST CEDAR AVENUE</v>
          </cell>
          <cell r="P1060" t="str">
            <v>ibfotre@pineforest.com</v>
          </cell>
          <cell r="Q1060" t="str">
            <v>CDC-17407</v>
          </cell>
          <cell r="AJ1060" t="e">
            <v>#N/A</v>
          </cell>
          <cell r="AK1060" t="str">
            <v>CDC-17407</v>
          </cell>
          <cell r="AL1060" t="str">
            <v>CDC17407</v>
          </cell>
        </row>
        <row r="1061">
          <cell r="N1061" t="str">
            <v>PINECONE PRESCHOOL L.L.C.</v>
          </cell>
          <cell r="O1061" t="str">
            <v>2901 NORTH KING STREET</v>
          </cell>
          <cell r="P1061" t="str">
            <v>pineconepreschool@live.com</v>
          </cell>
          <cell r="Q1061" t="str">
            <v>CDC-16927</v>
          </cell>
          <cell r="AJ1061" t="e">
            <v>#N/A</v>
          </cell>
          <cell r="AK1061" t="str">
            <v>CDC-16927</v>
          </cell>
          <cell r="AL1061" t="str">
            <v>CDC16927</v>
          </cell>
        </row>
        <row r="1062">
          <cell r="N1062" t="str">
            <v>PINNACLE PRESBYTERIAN DAY SCHOOL</v>
          </cell>
          <cell r="O1062" t="str">
            <v>25150 NORTH PIMA ROAD</v>
          </cell>
          <cell r="P1062" t="str">
            <v>sball@pinnaclepres.org</v>
          </cell>
          <cell r="Q1062" t="str">
            <v>CDC-5532</v>
          </cell>
          <cell r="AJ1062" t="e">
            <v>#N/A</v>
          </cell>
          <cell r="AK1062" t="str">
            <v>CDC-5532</v>
          </cell>
          <cell r="AL1062" t="str">
            <v>CDC5532</v>
          </cell>
        </row>
        <row r="1063">
          <cell r="N1063" t="str">
            <v>PIO DECIMO CENTER</v>
          </cell>
          <cell r="O1063" t="str">
            <v>848 SOUTH 7TH AVENUE</v>
          </cell>
          <cell r="P1063" t="str">
            <v>MTylutki@ccs-pio.org</v>
          </cell>
          <cell r="Q1063" t="str">
            <v>CDC-0007</v>
          </cell>
          <cell r="AJ1063">
            <v>9747</v>
          </cell>
          <cell r="AK1063" t="str">
            <v>CDC-0007</v>
          </cell>
          <cell r="AL1063" t="str">
            <v>CDC0007</v>
          </cell>
        </row>
        <row r="1064">
          <cell r="N1064" t="str">
            <v>PIONEER PREPARATORY SCHOOL</v>
          </cell>
          <cell r="O1064" t="str">
            <v>6510 WEST CLARENDON AVENUE</v>
          </cell>
          <cell r="P1064" t="str">
            <v>kimberly.shoat@ppslions.org</v>
          </cell>
          <cell r="Q1064" t="str">
            <v>CDC-18836</v>
          </cell>
          <cell r="AJ1064" t="e">
            <v>#N/A</v>
          </cell>
          <cell r="AK1064" t="str">
            <v>CDC-18836</v>
          </cell>
          <cell r="AL1064" t="str">
            <v>CDC18836</v>
          </cell>
        </row>
        <row r="1065">
          <cell r="N1065" t="str">
            <v>PLAY AND LEARN CHILD CARE L L C</v>
          </cell>
          <cell r="O1065" t="str">
            <v>4859 EAST GREENWAY ROAD</v>
          </cell>
          <cell r="P1065" t="str">
            <v>playandlearn@gmail.com</v>
          </cell>
          <cell r="Q1065" t="str">
            <v>CDC-15879</v>
          </cell>
          <cell r="AJ1065">
            <v>90092</v>
          </cell>
          <cell r="AK1065" t="str">
            <v>CDC-15879</v>
          </cell>
          <cell r="AL1065" t="str">
            <v>CDC15879</v>
          </cell>
        </row>
        <row r="1066">
          <cell r="N1066" t="str">
            <v>PRE-KADEMY L.L.C.</v>
          </cell>
          <cell r="O1066" t="str">
            <v>1535 WEST DUNLAP AVENUE</v>
          </cell>
          <cell r="P1066" t="str">
            <v>prekademyllc@gmail.com</v>
          </cell>
          <cell r="Q1066" t="str">
            <v>CDC-18479</v>
          </cell>
          <cell r="AJ1066" t="e">
            <v>#N/A</v>
          </cell>
          <cell r="AK1066" t="str">
            <v>CDC-18479</v>
          </cell>
          <cell r="AL1066" t="str">
            <v>CDC18479</v>
          </cell>
        </row>
        <row r="1067">
          <cell r="N1067" t="str">
            <v>PRECIOUS MOMENTS DAYCARE</v>
          </cell>
          <cell r="O1067" t="str">
            <v>3655 NORTH FLOWING WELLS RD</v>
          </cell>
          <cell r="P1067" t="str">
            <v>fbarlow65@aol.com</v>
          </cell>
          <cell r="Q1067" t="str">
            <v>CDC-12442</v>
          </cell>
          <cell r="AJ1067" t="e">
            <v>#N/A</v>
          </cell>
          <cell r="AK1067" t="str">
            <v>CDC-12442</v>
          </cell>
          <cell r="AL1067" t="str">
            <v>CDC12442</v>
          </cell>
        </row>
        <row r="1068">
          <cell r="N1068" t="str">
            <v>PRECIOUS STONES PRESCHOOL</v>
          </cell>
          <cell r="O1068" t="str">
            <v>390 DRY CREEK ROAD</v>
          </cell>
          <cell r="P1068" t="str">
            <v>gioia@preciousstonespreschool.com</v>
          </cell>
          <cell r="Q1068" t="str">
            <v>CDC-9761</v>
          </cell>
          <cell r="AJ1068" t="e">
            <v>#N/A</v>
          </cell>
          <cell r="AK1068" t="str">
            <v>CDC-9761</v>
          </cell>
          <cell r="AL1068" t="str">
            <v>CDC9761</v>
          </cell>
        </row>
        <row r="1069">
          <cell r="N1069" t="str">
            <v>PRECIOUS TREASURES CHILDCARE</v>
          </cell>
          <cell r="O1069" t="str">
            <v>4939 WEST RAY ROAD # 21</v>
          </cell>
          <cell r="P1069" t="str">
            <v>kwoods@precioustreasures.org</v>
          </cell>
          <cell r="Q1069" t="str">
            <v>CDC-15446</v>
          </cell>
          <cell r="AJ1069" t="e">
            <v>#N/A</v>
          </cell>
          <cell r="AK1069" t="str">
            <v>CDC-15446</v>
          </cell>
          <cell r="AL1069" t="str">
            <v>CDC15446</v>
          </cell>
        </row>
        <row r="1070">
          <cell r="N1070" t="str">
            <v>PREMIER CHILDREN'S CENTER</v>
          </cell>
          <cell r="O1070" t="str">
            <v>3335 WEST GREENWAY ROAD</v>
          </cell>
          <cell r="P1070" t="str">
            <v>premier3335@yahoo.com</v>
          </cell>
          <cell r="Q1070" t="str">
            <v>CDC-8368</v>
          </cell>
          <cell r="AJ1070">
            <v>80646</v>
          </cell>
          <cell r="AK1070" t="str">
            <v>CDC-8368</v>
          </cell>
          <cell r="AL1070" t="str">
            <v>CDC8368</v>
          </cell>
        </row>
        <row r="1071">
          <cell r="N1071" t="str">
            <v>PREMIER LEARNING ACADEMY</v>
          </cell>
          <cell r="O1071" t="str">
            <v>940 EAST RIGGS ROAD SUITE 4</v>
          </cell>
          <cell r="P1071" t="str">
            <v>myplapreschool@gmail.com</v>
          </cell>
          <cell r="Q1071" t="str">
            <v>CDC-15029</v>
          </cell>
          <cell r="AJ1071" t="e">
            <v>#N/A</v>
          </cell>
          <cell r="AK1071" t="str">
            <v>CDC-15029</v>
          </cell>
          <cell r="AL1071" t="str">
            <v>CDC15029</v>
          </cell>
        </row>
        <row r="1072">
          <cell r="N1072" t="str">
            <v>PRESCHOOL AT NORTH PHOENIX, WEEKDAY</v>
          </cell>
          <cell r="O1072" t="str">
            <v>5757 NORTH CENTRAL AVENUE</v>
          </cell>
          <cell r="P1072" t="str">
            <v>jenw@nphx.org</v>
          </cell>
          <cell r="Q1072" t="str">
            <v>CDC-6109</v>
          </cell>
          <cell r="AJ1072" t="e">
            <v>#N/A</v>
          </cell>
          <cell r="AK1072" t="str">
            <v>CDC-6109</v>
          </cell>
          <cell r="AL1072" t="str">
            <v>CDC6109</v>
          </cell>
        </row>
        <row r="1073">
          <cell r="N1073" t="str">
            <v>PRESCHOOL EXPRESS, L.L.C.</v>
          </cell>
          <cell r="O1073" t="str">
            <v>183 EAST 24TH STREET #8</v>
          </cell>
          <cell r="P1073" t="str">
            <v>FANNINGKD@HOTMAIL.COM</v>
          </cell>
          <cell r="Q1073" t="str">
            <v>CDC-18365</v>
          </cell>
          <cell r="AJ1073">
            <v>88451</v>
          </cell>
          <cell r="AK1073" t="str">
            <v>CDC-18365</v>
          </cell>
          <cell r="AL1073" t="str">
            <v>CDC18365</v>
          </cell>
        </row>
        <row r="1074">
          <cell r="N1074" t="str">
            <v>PRESCOTT CHRISTIAN PRESCHOOL</v>
          </cell>
          <cell r="O1074" t="str">
            <v>2980 WILLOW CREEK ROAD</v>
          </cell>
          <cell r="P1074" t="str">
            <v>prescottpreschool@gmail.com</v>
          </cell>
          <cell r="Q1074" t="str">
            <v>CDC-18451</v>
          </cell>
          <cell r="AJ1074" t="e">
            <v>#N/A</v>
          </cell>
          <cell r="AK1074" t="str">
            <v>CDC-18451</v>
          </cell>
          <cell r="AL1074" t="str">
            <v>CDC18451</v>
          </cell>
        </row>
        <row r="1075">
          <cell r="N1075" t="str">
            <v>PRESCOTT Y M C A EARLY CHILDHOOD CENTER</v>
          </cell>
          <cell r="O1075" t="str">
            <v>750 WHIPPLE STREET</v>
          </cell>
          <cell r="P1075" t="str">
            <v>rachelle.skvarek@prescottymca.org</v>
          </cell>
          <cell r="Q1075" t="str">
            <v>CDC-1065</v>
          </cell>
          <cell r="AJ1075" t="e">
            <v>#N/A</v>
          </cell>
          <cell r="AK1075" t="str">
            <v>CDC-1065</v>
          </cell>
          <cell r="AL1075" t="str">
            <v>CDC1065</v>
          </cell>
        </row>
        <row r="1076">
          <cell r="N1076" t="str">
            <v>PRESIDIO SCHOOL AFTER CARE</v>
          </cell>
          <cell r="O1076" t="str">
            <v>1615 EAST FORT LOWELL ROAD</v>
          </cell>
          <cell r="P1076" t="str">
            <v>terryg@presidioschool.com</v>
          </cell>
          <cell r="Q1076" t="str">
            <v>CDC-17307</v>
          </cell>
          <cell r="AJ1076" t="e">
            <v>#N/A</v>
          </cell>
          <cell r="AK1076" t="str">
            <v>CDC-17307</v>
          </cell>
          <cell r="AL1076" t="str">
            <v>CDC17307</v>
          </cell>
        </row>
        <row r="1077">
          <cell r="N1077" t="str">
            <v>PRIMAVERA SCHOOL INC</v>
          </cell>
          <cell r="O1077" t="str">
            <v>1446 MOYER ROAD</v>
          </cell>
          <cell r="P1077" t="str">
            <v>director@primaveraschool.org</v>
          </cell>
          <cell r="Q1077" t="str">
            <v>CDC-1130</v>
          </cell>
          <cell r="AJ1077" t="e">
            <v>#N/A</v>
          </cell>
          <cell r="AK1077" t="str">
            <v>CDC-1130</v>
          </cell>
          <cell r="AL1077" t="str">
            <v>CDC1130</v>
          </cell>
        </row>
        <row r="1078">
          <cell r="N1078" t="str">
            <v>PRIMROSE SCHOOL AT PALM VALLEY</v>
          </cell>
          <cell r="O1078" t="str">
            <v>14260 WEST INDIAN SCHOOL ROAD</v>
          </cell>
          <cell r="P1078" t="str">
            <v>kverlardi@primrosepalmvalley.com</v>
          </cell>
          <cell r="Q1078" t="str">
            <v>CDC-14086</v>
          </cell>
          <cell r="AJ1078" t="e">
            <v>#N/A</v>
          </cell>
          <cell r="AK1078" t="str">
            <v>CDC-14086</v>
          </cell>
          <cell r="AL1078" t="str">
            <v>CDC14086</v>
          </cell>
        </row>
        <row r="1079">
          <cell r="N1079" t="str">
            <v>PRIMROSE SCHOOL AT TATUM</v>
          </cell>
          <cell r="O1079" t="str">
            <v>4747 EAST DYNAMITE BOULEVARD</v>
          </cell>
          <cell r="P1079" t="str">
            <v>Director@Primrosetatum.com</v>
          </cell>
          <cell r="Q1079" t="str">
            <v>CDC-16441</v>
          </cell>
          <cell r="AJ1079" t="e">
            <v>#N/A</v>
          </cell>
          <cell r="AK1079" t="str">
            <v>CDC-16441</v>
          </cell>
          <cell r="AL1079" t="str">
            <v>CDC16441</v>
          </cell>
        </row>
        <row r="1080">
          <cell r="N1080" t="str">
            <v>PRIMROSE SCHOOL OF AHWATUKEE</v>
          </cell>
          <cell r="O1080" t="str">
            <v>3922 EAST CHANDLER BLVD</v>
          </cell>
          <cell r="P1080" t="str">
            <v>vhunnicutt@primroseahwatukee.com</v>
          </cell>
          <cell r="Q1080" t="str">
            <v>CDC-13822</v>
          </cell>
          <cell r="AJ1080" t="e">
            <v>#N/A</v>
          </cell>
          <cell r="AK1080" t="str">
            <v>CDC-13822</v>
          </cell>
          <cell r="AL1080" t="str">
            <v>CDC13822</v>
          </cell>
        </row>
        <row r="1081">
          <cell r="N1081" t="str">
            <v>PRIMROSE SCHOOL OF ARROWHEAD</v>
          </cell>
          <cell r="O1081" t="str">
            <v>7619 WEST THUNDERBIRD ROAD</v>
          </cell>
          <cell r="P1081" t="str">
            <v>bpacheco@primrosearrowhead.com</v>
          </cell>
          <cell r="Q1081" t="str">
            <v>CDC-14604</v>
          </cell>
          <cell r="AJ1081" t="e">
            <v>#N/A</v>
          </cell>
          <cell r="AK1081" t="str">
            <v>CDC-14604</v>
          </cell>
          <cell r="AL1081" t="str">
            <v>CDC14604</v>
          </cell>
        </row>
        <row r="1082">
          <cell r="N1082" t="str">
            <v>PRIMROSE SCHOOL OF EAST MESA</v>
          </cell>
          <cell r="O1082" t="str">
            <v>2710 SOUTH CRISMON ROAD</v>
          </cell>
          <cell r="P1082" t="str">
            <v>auptegrove@primroseeastmesa.com</v>
          </cell>
          <cell r="Q1082" t="str">
            <v>CDC-16877</v>
          </cell>
          <cell r="AJ1082" t="e">
            <v>#N/A</v>
          </cell>
          <cell r="AK1082" t="str">
            <v>CDC-16877</v>
          </cell>
          <cell r="AL1082" t="str">
            <v>CDC16877</v>
          </cell>
        </row>
        <row r="1083">
          <cell r="N1083" t="str">
            <v>PRIMROSE SCHOOL OF FLETCHER HEIGHTS</v>
          </cell>
          <cell r="O1083" t="str">
            <v>8270 WEST LAKE PLEASANT PKWY</v>
          </cell>
          <cell r="P1083" t="str">
            <v>director@primrosefletcherheights.com</v>
          </cell>
          <cell r="Q1083" t="str">
            <v>CDC-11331</v>
          </cell>
          <cell r="AJ1083" t="e">
            <v>#N/A</v>
          </cell>
          <cell r="AK1083" t="str">
            <v>CDC-11331</v>
          </cell>
          <cell r="AL1083" t="str">
            <v>CDC11331</v>
          </cell>
        </row>
        <row r="1084">
          <cell r="N1084" t="str">
            <v>PRIMROSE SCHOOL OF GILBERT AT SANTAN</v>
          </cell>
          <cell r="O1084" t="str">
            <v>4050 SOUTH VAL VISTA DRIVE</v>
          </cell>
          <cell r="P1084" t="str">
            <v>leadership@primrosegilbertsantan.com</v>
          </cell>
          <cell r="Q1084" t="str">
            <v>CDC-17506</v>
          </cell>
          <cell r="AJ1084" t="e">
            <v>#N/A</v>
          </cell>
          <cell r="AK1084" t="str">
            <v>CDC-17506</v>
          </cell>
          <cell r="AL1084" t="str">
            <v>CDC17506</v>
          </cell>
        </row>
        <row r="1085">
          <cell r="N1085" t="str">
            <v>PRIMROSE SCHOOL OF NORTH SCOTTSDALE</v>
          </cell>
          <cell r="O1085" t="str">
            <v>10120 EAST BELL ROAD</v>
          </cell>
          <cell r="P1085" t="str">
            <v>mverlardi@primrosenorthscottsdale.com</v>
          </cell>
          <cell r="Q1085" t="str">
            <v>CDC-18024</v>
          </cell>
          <cell r="AJ1085" t="e">
            <v>#N/A</v>
          </cell>
          <cell r="AK1085" t="str">
            <v>CDC-18024</v>
          </cell>
          <cell r="AL1085" t="str">
            <v>CDC18024</v>
          </cell>
        </row>
        <row r="1086">
          <cell r="N1086" t="str">
            <v>PRIMROSE SCHOOL OF SOUTH GILBERT</v>
          </cell>
          <cell r="O1086" t="str">
            <v>3293 EAST WILLIAMS FIELD ROAD</v>
          </cell>
          <cell r="P1086" t="str">
            <v>khubbard@primrosesouthgilbert.com</v>
          </cell>
          <cell r="Q1086" t="str">
            <v>CDC-15553</v>
          </cell>
          <cell r="AJ1086" t="e">
            <v>#N/A</v>
          </cell>
          <cell r="AK1086" t="str">
            <v>CDC-15553</v>
          </cell>
          <cell r="AL1086" t="str">
            <v>CDC15553</v>
          </cell>
        </row>
        <row r="1087">
          <cell r="N1087" t="str">
            <v>PRIMROSE SCHOOL OF WEST CHANDLER</v>
          </cell>
          <cell r="O1087" t="str">
            <v>4800 WEST CHANDLER BLVD</v>
          </cell>
          <cell r="P1087" t="str">
            <v>apatel@primrosewestchandler.com</v>
          </cell>
          <cell r="Q1087" t="str">
            <v>CDC-18053</v>
          </cell>
          <cell r="AJ1087" t="e">
            <v>#N/A</v>
          </cell>
          <cell r="AK1087" t="str">
            <v>CDC-18053</v>
          </cell>
          <cell r="AL1087" t="str">
            <v>CDC18053</v>
          </cell>
        </row>
        <row r="1088">
          <cell r="N1088" t="str">
            <v>PRINCE HEAD START</v>
          </cell>
          <cell r="O1088" t="str">
            <v>90 EAST KING ROAD</v>
          </cell>
          <cell r="P1088" t="str">
            <v>prince@childparentcenters.org</v>
          </cell>
          <cell r="Q1088" t="str">
            <v>CDC-7462</v>
          </cell>
          <cell r="AJ1088">
            <v>10371</v>
          </cell>
          <cell r="AK1088" t="str">
            <v>CDC-7462</v>
          </cell>
          <cell r="AL1088" t="str">
            <v>CDC7462</v>
          </cell>
        </row>
        <row r="1089">
          <cell r="N1089" t="str">
            <v>PRINCE OF PEACE PRESCHOOL</v>
          </cell>
          <cell r="O1089" t="str">
            <v>3641 NORTH 56TH STREET</v>
          </cell>
          <cell r="P1089" t="str">
            <v>nicole@popphoenix.org</v>
          </cell>
          <cell r="Q1089" t="str">
            <v>CDC-0098</v>
          </cell>
          <cell r="AJ1089" t="e">
            <v>#N/A</v>
          </cell>
          <cell r="AK1089" t="str">
            <v>CDC-0098</v>
          </cell>
          <cell r="AL1089" t="str">
            <v>CDC0098</v>
          </cell>
        </row>
        <row r="1090">
          <cell r="N1090" t="str">
            <v>PROMISELAND PRESCHOOL, INC</v>
          </cell>
          <cell r="O1090" t="str">
            <v>15555 EAST BAINBRIDGE AVENUE</v>
          </cell>
          <cell r="P1090" t="str">
            <v>carri@promiselandpreschool.com</v>
          </cell>
          <cell r="Q1090" t="str">
            <v>CDC-18590</v>
          </cell>
          <cell r="AJ1090" t="e">
            <v>#N/A</v>
          </cell>
          <cell r="AK1090" t="str">
            <v>CDC-18590</v>
          </cell>
          <cell r="AL1090" t="str">
            <v>CDC18590</v>
          </cell>
        </row>
        <row r="1091">
          <cell r="N1091" t="str">
            <v>PUEBLO DEL SOL HEAD START</v>
          </cell>
          <cell r="O1091" t="str">
            <v>5142 PASEO LAS PALMAS</v>
          </cell>
          <cell r="P1091" t="str">
            <v>pds@childparentcenters.org</v>
          </cell>
          <cell r="Q1091" t="str">
            <v>CDC-3052</v>
          </cell>
          <cell r="AJ1091">
            <v>9850</v>
          </cell>
          <cell r="AK1091" t="str">
            <v>CDC-3052</v>
          </cell>
          <cell r="AL1091" t="str">
            <v>CDC3052</v>
          </cell>
        </row>
        <row r="1092">
          <cell r="N1092" t="str">
            <v>PUSCH RIDGE CHRISTIAN ACADEMY</v>
          </cell>
          <cell r="O1092" t="str">
            <v>6450 NORTH CAMINO MIRAVAL</v>
          </cell>
          <cell r="P1092" t="str">
            <v>casey.robinson@prca.academy</v>
          </cell>
          <cell r="Q1092" t="str">
            <v>CDC-18906</v>
          </cell>
          <cell r="AJ1092" t="e">
            <v>#N/A</v>
          </cell>
          <cell r="AK1092" t="str">
            <v>CDC-18906</v>
          </cell>
          <cell r="AL1092" t="str">
            <v>CDC18906</v>
          </cell>
        </row>
        <row r="1093">
          <cell r="N1093" t="str">
            <v>PUSCH RIDGE PRESCHOOL</v>
          </cell>
          <cell r="O1093" t="str">
            <v>10361 NORTH ORACLE ROAD</v>
          </cell>
          <cell r="P1093" t="str">
            <v>angel.hasseltine@cadence-education.com</v>
          </cell>
          <cell r="Q1093" t="str">
            <v>CDC-12100</v>
          </cell>
          <cell r="AJ1093" t="e">
            <v>#N/A</v>
          </cell>
          <cell r="AK1093" t="str">
            <v>CDC-12100</v>
          </cell>
          <cell r="AL1093" t="str">
            <v>CDC12100</v>
          </cell>
        </row>
        <row r="1094">
          <cell r="N1094" t="str">
            <v>QUALITY CARE LEARNING CENTER INC.</v>
          </cell>
          <cell r="O1094" t="str">
            <v>51 NORTH BROWN AVENUE</v>
          </cell>
          <cell r="P1094" t="str">
            <v>frankwillis51@gmail.com</v>
          </cell>
          <cell r="Q1094" t="str">
            <v>CDC-17510</v>
          </cell>
          <cell r="AJ1094" t="e">
            <v>#N/A</v>
          </cell>
          <cell r="AK1094" t="str">
            <v>CDC-17510</v>
          </cell>
          <cell r="AL1094" t="str">
            <v>CDC17510</v>
          </cell>
        </row>
        <row r="1095">
          <cell r="N1095" t="str">
            <v>QUALITY INTERACTIVE MONTESSORI AT SPUR CROSS</v>
          </cell>
          <cell r="O1095" t="str">
            <v>38424 NORTH SPUR CROSS ROAD</v>
          </cell>
          <cell r="P1095" t="str">
            <v>pam@tschiele.com</v>
          </cell>
          <cell r="Q1095" t="str">
            <v>CDC-16283</v>
          </cell>
          <cell r="AJ1095" t="e">
            <v>#N/A</v>
          </cell>
          <cell r="AK1095" t="str">
            <v>CDC-16283</v>
          </cell>
          <cell r="AL1095" t="str">
            <v>CDC16283</v>
          </cell>
        </row>
        <row r="1096">
          <cell r="N1096" t="str">
            <v>QUALITY INTERACTIVE MONTESSORI PRESCHOOL</v>
          </cell>
          <cell r="O1096" t="str">
            <v>33212 NORTH 56TH STREET</v>
          </cell>
          <cell r="P1096" t="str">
            <v>pam@tschiele.com</v>
          </cell>
          <cell r="Q1096" t="str">
            <v>CDC-11820</v>
          </cell>
          <cell r="AJ1096" t="e">
            <v>#N/A</v>
          </cell>
          <cell r="AK1096" t="str">
            <v>CDC-11820</v>
          </cell>
          <cell r="AL1096" t="str">
            <v>CDC11820</v>
          </cell>
        </row>
        <row r="1097">
          <cell r="N1097" t="str">
            <v>QUEEN CREEK MIGRANT HEAD START</v>
          </cell>
          <cell r="O1097" t="str">
            <v>18149 EAST SAN TAN BOULEVARD</v>
          </cell>
          <cell r="P1097" t="str">
            <v>bridget.lytle@cplc.org</v>
          </cell>
          <cell r="Q1097" t="str">
            <v>CDC-6740</v>
          </cell>
          <cell r="AJ1097" t="e">
            <v>#N/A</v>
          </cell>
          <cell r="AK1097" t="str">
            <v>CDC-6740</v>
          </cell>
          <cell r="AL1097" t="str">
            <v>CDC6740</v>
          </cell>
        </row>
        <row r="1098">
          <cell r="N1098" t="str">
            <v>QUEEN OF PEACE PARISH SCHOOL</v>
          </cell>
          <cell r="O1098" t="str">
            <v>141 NORTH MACDONALD STREET</v>
          </cell>
          <cell r="P1098" t="str">
            <v>amurphy@qop.org</v>
          </cell>
          <cell r="Q1098" t="str">
            <v>CDC-14377</v>
          </cell>
          <cell r="AJ1098" t="e">
            <v>#N/A</v>
          </cell>
          <cell r="AK1098" t="str">
            <v>CDC-14377</v>
          </cell>
          <cell r="AL1098" t="str">
            <v>CDC14377</v>
          </cell>
        </row>
        <row r="1099">
          <cell r="N1099" t="str">
            <v>RAIN FOREST MONTESSORI PRESCHOOL &amp; DAY CARE CENTER, INC</v>
          </cell>
          <cell r="O1099" t="str">
            <v>786 N INDUSTRIAL PARK</v>
          </cell>
          <cell r="P1099" t="str">
            <v>rainforestdaycare1@gmail.com</v>
          </cell>
          <cell r="Q1099" t="str">
            <v>CDC-15039</v>
          </cell>
          <cell r="AJ1099" t="e">
            <v>#N/A</v>
          </cell>
          <cell r="AK1099" t="str">
            <v>CDC-15039</v>
          </cell>
          <cell r="AL1099" t="str">
            <v>CDC15039</v>
          </cell>
        </row>
        <row r="1100">
          <cell r="N1100" t="str">
            <v>RAINBOW MONTESSORI SCHOOL</v>
          </cell>
          <cell r="O1100" t="str">
            <v>6402 EAST VOLTAIRE AVENUE</v>
          </cell>
          <cell r="P1100" t="str">
            <v>rainbowmontessorischool@cox.net</v>
          </cell>
          <cell r="Q1100" t="str">
            <v>CDC-1107</v>
          </cell>
          <cell r="AJ1100" t="e">
            <v>#N/A</v>
          </cell>
          <cell r="AK1100" t="str">
            <v>CDC-1107</v>
          </cell>
          <cell r="AL1100" t="str">
            <v>CDC1107</v>
          </cell>
        </row>
        <row r="1101">
          <cell r="N1101" t="str">
            <v>RAINBOW MONTESSORI SCHOOL</v>
          </cell>
          <cell r="O1101" t="str">
            <v>6520 EAST CACTUS ROAD</v>
          </cell>
          <cell r="P1101" t="str">
            <v>rainbowmainoffice@gmail.com</v>
          </cell>
          <cell r="Q1101" t="str">
            <v>CDC-1543</v>
          </cell>
          <cell r="AJ1101" t="e">
            <v>#N/A</v>
          </cell>
          <cell r="AK1101" t="str">
            <v>CDC-1543</v>
          </cell>
          <cell r="AL1101" t="str">
            <v>CDC1543</v>
          </cell>
        </row>
        <row r="1102">
          <cell r="N1102" t="str">
            <v>RAISING ARIZONA</v>
          </cell>
          <cell r="O1102" t="str">
            <v>1616 NORTH 89TH AVENUE</v>
          </cell>
          <cell r="P1102" t="str">
            <v>jaredcook@gmail.com</v>
          </cell>
          <cell r="Q1102" t="str">
            <v>CDC-18443</v>
          </cell>
          <cell r="AJ1102" t="e">
            <v>#N/A</v>
          </cell>
          <cell r="AK1102" t="str">
            <v>CDC-18443</v>
          </cell>
          <cell r="AL1102" t="str">
            <v>CDC18443</v>
          </cell>
        </row>
        <row r="1103">
          <cell r="N1103" t="str">
            <v>RAISING ARIZONA PRESCHOOL</v>
          </cell>
          <cell r="O1103" t="str">
            <v>16809 NORTH PARK PLACE</v>
          </cell>
          <cell r="P1103" t="str">
            <v>raisingarizonapreschool@yahoo.com</v>
          </cell>
          <cell r="Q1103" t="str">
            <v>CDC-14029</v>
          </cell>
          <cell r="AJ1103">
            <v>90133</v>
          </cell>
          <cell r="AK1103" t="str">
            <v>CDC-14029</v>
          </cell>
          <cell r="AL1103" t="str">
            <v>CDC14029</v>
          </cell>
        </row>
        <row r="1104">
          <cell r="N1104" t="str">
            <v>RAISING ARIZONA PRESCHOOL L L C</v>
          </cell>
          <cell r="O1104" t="str">
            <v>6145 WEST OLIVE AVENUE</v>
          </cell>
          <cell r="P1104" t="str">
            <v>Janiece@raisingarizonapreschool.com</v>
          </cell>
          <cell r="Q1104" t="str">
            <v>CDC-16809</v>
          </cell>
          <cell r="AJ1104">
            <v>92375</v>
          </cell>
          <cell r="AK1104" t="str">
            <v>CDC-16809</v>
          </cell>
          <cell r="AL1104" t="str">
            <v>CDC16809</v>
          </cell>
        </row>
        <row r="1105">
          <cell r="N1105" t="str">
            <v>RANCHO SOLANO PRIVATE SCHOOL</v>
          </cell>
          <cell r="O1105" t="str">
            <v>5656 EAST GREENWAY ROAD</v>
          </cell>
          <cell r="P1105" t="str">
            <v>Lhead@ranchosolano.com</v>
          </cell>
          <cell r="Q1105" t="str">
            <v>CDC-18057</v>
          </cell>
          <cell r="AJ1105" t="e">
            <v>#N/A</v>
          </cell>
          <cell r="AK1105" t="str">
            <v>CDC-18057</v>
          </cell>
          <cell r="AL1105" t="str">
            <v>CDC18057</v>
          </cell>
        </row>
        <row r="1106">
          <cell r="N1106" t="str">
            <v>RAYS OF SUNSHINE CENTER</v>
          </cell>
          <cell r="O1106" t="str">
            <v>30 EAST CLIFF HOUSE DRIVE</v>
          </cell>
          <cell r="P1106" t="str">
            <v>raysofsunshine2@outlook.com, masterohwize1@yahoo.com</v>
          </cell>
          <cell r="Q1106" t="str">
            <v>CDC-14846</v>
          </cell>
          <cell r="AJ1106">
            <v>90727</v>
          </cell>
          <cell r="AK1106" t="str">
            <v>CDC-14846</v>
          </cell>
          <cell r="AL1106" t="str">
            <v>CDC14846</v>
          </cell>
        </row>
        <row r="1107">
          <cell r="N1107" t="str">
            <v>READY SET GROW CASA GRANDE L.L.C.</v>
          </cell>
          <cell r="O1107" t="str">
            <v>241 WEST COTTONWOOD LANE</v>
          </cell>
          <cell r="P1107" t="str">
            <v>annettescollins@yahoo.com</v>
          </cell>
          <cell r="Q1107" t="str">
            <v>CDC-18216</v>
          </cell>
          <cell r="AJ1107" t="e">
            <v>#N/A</v>
          </cell>
          <cell r="AK1107" t="str">
            <v>CDC-18216</v>
          </cell>
          <cell r="AL1107" t="str">
            <v>CDC18216</v>
          </cell>
        </row>
        <row r="1108">
          <cell r="N1108" t="str">
            <v>REAL KIDS PRESCHOOL</v>
          </cell>
          <cell r="O1108" t="str">
            <v>3353 NORTH HOUGHTON ROAD</v>
          </cell>
          <cell r="P1108" t="str">
            <v>jayedeetee@aol.com</v>
          </cell>
          <cell r="Q1108" t="str">
            <v>CDC-13516</v>
          </cell>
          <cell r="AJ1108" t="e">
            <v>#N/A</v>
          </cell>
          <cell r="AK1108" t="str">
            <v>CDC-13516</v>
          </cell>
          <cell r="AL1108" t="str">
            <v>CDC13516</v>
          </cell>
        </row>
        <row r="1109">
          <cell r="N1109" t="str">
            <v>RED EARTH WALDORF KINDERGARTEN, INC</v>
          </cell>
          <cell r="O1109" t="str">
            <v>480 COFFEE POT DRIVE</v>
          </cell>
          <cell r="P1109" t="str">
            <v>charitycygal@yahoo.com</v>
          </cell>
          <cell r="Q1109" t="str">
            <v>CDC-15944</v>
          </cell>
          <cell r="AJ1109" t="e">
            <v>#N/A</v>
          </cell>
          <cell r="AK1109" t="str">
            <v>CDC-15944</v>
          </cell>
          <cell r="AL1109" t="str">
            <v>CDC15944</v>
          </cell>
        </row>
        <row r="1110">
          <cell r="N1110" t="str">
            <v>RED MOUNTAIN CENTER</v>
          </cell>
          <cell r="O1110" t="str">
            <v>950 NORTH SUNVALLEY BOULEVARD RM 13</v>
          </cell>
          <cell r="P1110" t="str">
            <v>chrisanda.debois@maricopa.gov</v>
          </cell>
          <cell r="Q1110" t="str">
            <v>CDC-18702</v>
          </cell>
          <cell r="AJ1110" t="e">
            <v>#N/A</v>
          </cell>
          <cell r="AK1110" t="str">
            <v>CDC-18702</v>
          </cell>
          <cell r="AL1110" t="str">
            <v>CDC18702</v>
          </cell>
        </row>
        <row r="1111">
          <cell r="N1111" t="str">
            <v>RED MOUNTAIN MONTESSORI ACADEMY</v>
          </cell>
          <cell r="O1111" t="str">
            <v>6426 EAST MCDOWELL ROAD</v>
          </cell>
          <cell r="P1111" t="str">
            <v>rmmontessoriacademy@gmail.com</v>
          </cell>
          <cell r="Q1111" t="str">
            <v>CDC-8789</v>
          </cell>
          <cell r="AJ1111" t="e">
            <v>#N/A</v>
          </cell>
          <cell r="AK1111" t="str">
            <v>CDC-8789</v>
          </cell>
          <cell r="AL1111" t="str">
            <v>CDC8789</v>
          </cell>
        </row>
        <row r="1112">
          <cell r="N1112" t="str">
            <v>REDEEMER LUTHERAN PRESCHOOL</v>
          </cell>
          <cell r="O1112" t="str">
            <v>8845 NORTH SILVERBELL</v>
          </cell>
          <cell r="P1112" t="str">
            <v>office@redeemertucson.com</v>
          </cell>
          <cell r="Q1112" t="str">
            <v>CDC-7895</v>
          </cell>
          <cell r="AJ1112" t="e">
            <v>#N/A</v>
          </cell>
          <cell r="AK1112" t="str">
            <v>CDC-7895</v>
          </cell>
          <cell r="AL1112" t="str">
            <v>CDC7895</v>
          </cell>
        </row>
        <row r="1113">
          <cell r="N1113" t="str">
            <v>REID TRADITIONAL SCHOOLS' PAINTED ROCK ACADEMY</v>
          </cell>
          <cell r="O1113" t="str">
            <v>14800 NORTH 25TH DRIVE</v>
          </cell>
          <cell r="P1113" t="str">
            <v>rharper@paintedrockacademy.com</v>
          </cell>
          <cell r="Q1113" t="str">
            <v>CDC-16565</v>
          </cell>
          <cell r="AJ1113" t="e">
            <v>#N/A</v>
          </cell>
          <cell r="AK1113" t="str">
            <v>CDC-16565</v>
          </cell>
          <cell r="AL1113" t="str">
            <v>CDC16565</v>
          </cell>
        </row>
        <row r="1114">
          <cell r="N1114" t="str">
            <v>RESURRECTION LUTHERAN CHILD DEVELOPMENT CENTER</v>
          </cell>
          <cell r="O1114" t="str">
            <v>11575 NORTH FIRST AVENUE</v>
          </cell>
          <cell r="P1114" t="str">
            <v>chrisjustesen1@gmail.com</v>
          </cell>
          <cell r="Q1114" t="str">
            <v>CDC-5085</v>
          </cell>
          <cell r="AJ1114" t="e">
            <v>#N/A</v>
          </cell>
          <cell r="AK1114" t="str">
            <v>CDC-5085</v>
          </cell>
          <cell r="AL1114" t="str">
            <v>CDC5085</v>
          </cell>
        </row>
        <row r="1115">
          <cell r="N1115" t="str">
            <v>RESURRECTION LUTHERAN PRESCHOOL &amp; DAYCARE</v>
          </cell>
          <cell r="O1115" t="str">
            <v>4930 EAST GREENWAY ROAD</v>
          </cell>
          <cell r="P1115" t="str">
            <v>Andrea@rlc-scottsdale.org</v>
          </cell>
          <cell r="Q1115" t="str">
            <v>CDC-8038</v>
          </cell>
          <cell r="AJ1115" t="e">
            <v>#N/A</v>
          </cell>
          <cell r="AK1115" t="str">
            <v>CDC-8038</v>
          </cell>
          <cell r="AL1115" t="str">
            <v>CDC8038</v>
          </cell>
        </row>
        <row r="1116">
          <cell r="N1116" t="str">
            <v>RHEMA KNIGHTS LEARNING CENTER</v>
          </cell>
          <cell r="O1116" t="str">
            <v>460 SOUTH COUNTRY CLUB DRIVE</v>
          </cell>
          <cell r="P1116" t="str">
            <v>rhemaknightslc@gmail.com</v>
          </cell>
          <cell r="Q1116" t="str">
            <v>CDC-18751</v>
          </cell>
          <cell r="AJ1116" t="e">
            <v>#N/A</v>
          </cell>
          <cell r="AK1116" t="str">
            <v>CDC-18751</v>
          </cell>
          <cell r="AL1116" t="str">
            <v>CDC18751</v>
          </cell>
        </row>
        <row r="1117">
          <cell r="N1117" t="str">
            <v>RIGHT AT SCHOOL @ ALICE BYRNE ELEMENTARY</v>
          </cell>
          <cell r="O1117" t="str">
            <v>811 WEST 16TH STREET</v>
          </cell>
          <cell r="P1117" t="str">
            <v>SILVIA.RIVERA@RIGHTATSCHOOL.COM</v>
          </cell>
          <cell r="Q1117" t="str">
            <v>CDC-18345</v>
          </cell>
          <cell r="AJ1117" t="e">
            <v>#N/A</v>
          </cell>
          <cell r="AK1117" t="str">
            <v>CDC-18345</v>
          </cell>
          <cell r="AL1117" t="str">
            <v>CDC18345</v>
          </cell>
        </row>
        <row r="1118">
          <cell r="N1118" t="str">
            <v>RIGHT AT SCHOOL @ DESERT MESA ELEMENTARY</v>
          </cell>
          <cell r="O1118" t="str">
            <v>2750 AVENUE 1 1/2 E</v>
          </cell>
          <cell r="P1118" t="str">
            <v>SILVIA.RIVERA@RIGHTATSCHOOL.COM</v>
          </cell>
          <cell r="Q1118" t="str">
            <v>CDC-18346</v>
          </cell>
          <cell r="AJ1118" t="e">
            <v>#N/A</v>
          </cell>
          <cell r="AK1118" t="str">
            <v>CDC-18346</v>
          </cell>
          <cell r="AL1118" t="str">
            <v>CDC18346</v>
          </cell>
        </row>
        <row r="1119">
          <cell r="N1119" t="str">
            <v>RIGHT AT SCHOOL @ DOROTHY HALL ELEMENTARY</v>
          </cell>
          <cell r="O1119" t="str">
            <v>5777 EAST 45TH PLACE</v>
          </cell>
          <cell r="P1119" t="str">
            <v>silvia.rivera@rightatschool.com</v>
          </cell>
          <cell r="Q1119" t="str">
            <v>CDC-18638</v>
          </cell>
          <cell r="AJ1119" t="e">
            <v>#N/A</v>
          </cell>
          <cell r="AK1119" t="str">
            <v>CDC-18638</v>
          </cell>
          <cell r="AL1119" t="str">
            <v>CDC18638</v>
          </cell>
        </row>
        <row r="1120">
          <cell r="N1120" t="str">
            <v>RIGHT AT SCHOOL @ H.L. SUVERKRUP ELEMENTARY</v>
          </cell>
          <cell r="O1120" t="str">
            <v>1590 SOUTH AVENUE C</v>
          </cell>
          <cell r="P1120" t="str">
            <v>SILVIA.RIVERA@RIGHTATSCHOOL.COM</v>
          </cell>
          <cell r="Q1120" t="str">
            <v>CDC-18343</v>
          </cell>
          <cell r="AJ1120" t="e">
            <v>#N/A</v>
          </cell>
          <cell r="AK1120" t="str">
            <v>CDC-18343</v>
          </cell>
          <cell r="AL1120" t="str">
            <v>CDC18343</v>
          </cell>
        </row>
        <row r="1121">
          <cell r="N1121" t="str">
            <v>RIGHT AT SCHOOL @ MARY A. OTONDO ELEMENTARY</v>
          </cell>
          <cell r="O1121" t="str">
            <v>2251 OTONDO DRIVE</v>
          </cell>
          <cell r="P1121" t="str">
            <v>silvia.rivera@rightatschool.com</v>
          </cell>
          <cell r="Q1121" t="str">
            <v>CDC-18340</v>
          </cell>
          <cell r="AJ1121" t="e">
            <v>#N/A</v>
          </cell>
          <cell r="AK1121" t="str">
            <v>CDC-18340</v>
          </cell>
          <cell r="AL1121" t="str">
            <v>CDC18340</v>
          </cell>
        </row>
        <row r="1122">
          <cell r="N1122" t="str">
            <v>RIGHT AT SCHOOL @ MESQUITE ELEMENTARY</v>
          </cell>
          <cell r="O1122" t="str">
            <v>4451 WEST 28TH STREET</v>
          </cell>
          <cell r="P1122" t="str">
            <v>silvia.rivera@rightatschool.com</v>
          </cell>
          <cell r="Q1122" t="str">
            <v>CDC-18336</v>
          </cell>
          <cell r="AJ1122" t="e">
            <v>#N/A</v>
          </cell>
          <cell r="AK1122" t="str">
            <v>CDC-18336</v>
          </cell>
          <cell r="AL1122" t="str">
            <v>CDC18336</v>
          </cell>
        </row>
        <row r="1123">
          <cell r="N1123" t="str">
            <v>RIGHT AT SCHOOL @ PALMCROFT ELEMENTARY</v>
          </cell>
          <cell r="O1123" t="str">
            <v>901 WEST PALMCROFT DRIVE</v>
          </cell>
          <cell r="P1123" t="str">
            <v>SILVIA.RIVERA@RIGHTATSCHOOL.COM</v>
          </cell>
          <cell r="Q1123" t="str">
            <v>CDC-18342</v>
          </cell>
          <cell r="AJ1123" t="e">
            <v>#N/A</v>
          </cell>
          <cell r="AK1123" t="str">
            <v>CDC-18342</v>
          </cell>
          <cell r="AL1123" t="str">
            <v>CDC18342</v>
          </cell>
        </row>
        <row r="1124">
          <cell r="N1124" t="str">
            <v>RIGHT AT SCHOOL @ ROLLE ELEMENTARY</v>
          </cell>
          <cell r="O1124" t="str">
            <v>27115 SOUTH ENGLER DRIVE</v>
          </cell>
          <cell r="P1124" t="str">
            <v>SILVIA.RIVERA@RIGHTATSCHOOL.COM</v>
          </cell>
          <cell r="Q1124" t="str">
            <v>CDC-18341</v>
          </cell>
          <cell r="AJ1124" t="e">
            <v>#N/A</v>
          </cell>
          <cell r="AK1124" t="str">
            <v>CDC-18341</v>
          </cell>
          <cell r="AL1124" t="str">
            <v>CDC18341</v>
          </cell>
        </row>
        <row r="1125">
          <cell r="N1125" t="str">
            <v>RIGHT AT SCHOOL @ RONALD REAGAN ELEMENTARY</v>
          </cell>
          <cell r="O1125" t="str">
            <v>3320 WEST 16TH STREET</v>
          </cell>
          <cell r="P1125" t="str">
            <v>silvia.rivera@rightatschool.com</v>
          </cell>
          <cell r="Q1125" t="str">
            <v>CDC-18337</v>
          </cell>
          <cell r="AJ1125" t="e">
            <v>#N/A</v>
          </cell>
          <cell r="AK1125" t="str">
            <v>CDC-18337</v>
          </cell>
          <cell r="AL1125" t="str">
            <v>CDC18337</v>
          </cell>
        </row>
        <row r="1126">
          <cell r="N1126" t="str">
            <v>RIGHT AT SCHOOL @ SALIDA DEL SOL ELEMENTARY</v>
          </cell>
          <cell r="O1126" t="str">
            <v>910 SOUTH AVENUE C</v>
          </cell>
          <cell r="P1126" t="str">
            <v>SILVIA.RIVERA@RIGHTATSCHOOL.COM</v>
          </cell>
          <cell r="Q1126" t="str">
            <v>CDC-18344</v>
          </cell>
          <cell r="AJ1126" t="e">
            <v>#N/A</v>
          </cell>
          <cell r="AK1126" t="str">
            <v>CDC-18344</v>
          </cell>
          <cell r="AL1126" t="str">
            <v>CDC18344</v>
          </cell>
        </row>
        <row r="1127">
          <cell r="N1127" t="str">
            <v>RIGHT AT SCHOOL @ SUNRISE ELEMENTARY</v>
          </cell>
          <cell r="O1127" t="str">
            <v>9943 EAST 28TH AVENUE</v>
          </cell>
          <cell r="P1127" t="str">
            <v>SILVIA.RIVERA@RIGHTATSCHOOL.COM</v>
          </cell>
          <cell r="Q1127" t="str">
            <v>CDC-18339</v>
          </cell>
          <cell r="AJ1127" t="e">
            <v>#N/A</v>
          </cell>
          <cell r="AK1127" t="str">
            <v>CDC-18339</v>
          </cell>
          <cell r="AL1127" t="str">
            <v>CDC18339</v>
          </cell>
        </row>
        <row r="1128">
          <cell r="N1128" t="str">
            <v>RIGHT AT SCHOOL @ VALLE DEL ENCANTO LEARNING CENTER</v>
          </cell>
          <cell r="O1128" t="str">
            <v>400 NORTH CESAR CHAVEZ AVENUE</v>
          </cell>
          <cell r="P1128" t="str">
            <v>SILVIA.RIVERA@RIGHTATSCHOOL.COM</v>
          </cell>
          <cell r="Q1128" t="str">
            <v>CDC-18347</v>
          </cell>
          <cell r="AJ1128" t="e">
            <v>#N/A</v>
          </cell>
          <cell r="AK1128" t="str">
            <v>CDC-18347</v>
          </cell>
          <cell r="AL1128" t="str">
            <v>CDC18347</v>
          </cell>
        </row>
        <row r="1129">
          <cell r="N1129" t="str">
            <v>RIGHT AT SCHOOL AT ANTHEM ELEMENTARY</v>
          </cell>
          <cell r="O1129" t="str">
            <v>2700 NORTH ANTHEM WAY</v>
          </cell>
          <cell r="P1129" t="str">
            <v>Tresa.olson@rightatschool.com</v>
          </cell>
          <cell r="Q1129" t="str">
            <v>CDC-18597</v>
          </cell>
          <cell r="AJ1129" t="e">
            <v>#N/A</v>
          </cell>
          <cell r="AK1129" t="str">
            <v>CDC-18597</v>
          </cell>
          <cell r="AL1129" t="str">
            <v>CDC18597</v>
          </cell>
        </row>
        <row r="1130">
          <cell r="N1130" t="str">
            <v>RIGHT AT SCHOOL AT CIRCLE CROSS K-8</v>
          </cell>
          <cell r="O1130" t="str">
            <v>35900 NORTH CHARBRAY DRIVE</v>
          </cell>
          <cell r="P1130" t="str">
            <v>Tresa.olson@rightatschool.com</v>
          </cell>
          <cell r="Q1130" t="str">
            <v>CDC-18598</v>
          </cell>
          <cell r="AJ1130" t="e">
            <v>#N/A</v>
          </cell>
          <cell r="AK1130" t="str">
            <v>CDC-18598</v>
          </cell>
          <cell r="AL1130" t="str">
            <v>CDC18598</v>
          </cell>
        </row>
        <row r="1131">
          <cell r="N1131" t="str">
            <v>RIGHT AT SCHOOL AT FLORENCE K-8</v>
          </cell>
          <cell r="O1131" t="str">
            <v>460 S PARK STREET</v>
          </cell>
          <cell r="P1131" t="str">
            <v>Tresa.olson@rightatschool.com</v>
          </cell>
          <cell r="Q1131" t="str">
            <v>CDC-18600</v>
          </cell>
          <cell r="AJ1131" t="e">
            <v>#N/A</v>
          </cell>
          <cell r="AK1131" t="str">
            <v>CDC-18600</v>
          </cell>
          <cell r="AL1131" t="str">
            <v>CDC18600</v>
          </cell>
        </row>
        <row r="1132">
          <cell r="N1132" t="str">
            <v>RIGHT AT SCHOOL AT MAGMA RANCH K-8</v>
          </cell>
          <cell r="O1132" t="str">
            <v>10980 EAST DESERT MOUNTAIN BLVD</v>
          </cell>
          <cell r="P1132" t="str">
            <v>Tresa.olson@rightatschool.com</v>
          </cell>
          <cell r="Q1132" t="str">
            <v>CDC-18601</v>
          </cell>
          <cell r="AJ1132" t="e">
            <v>#N/A</v>
          </cell>
          <cell r="AK1132" t="str">
            <v>CDC-18601</v>
          </cell>
          <cell r="AL1132" t="str">
            <v>CDC18601</v>
          </cell>
        </row>
        <row r="1133">
          <cell r="N1133" t="str">
            <v>RIGHT AT SCHOOL AT SAN TAN HEIGHTS K-8</v>
          </cell>
          <cell r="O1133" t="str">
            <v>2500 WEST SAN TAN HEIGHTS BOULEVARD</v>
          </cell>
          <cell r="P1133" t="str">
            <v>Tresa.olson@rightatschool.com</v>
          </cell>
          <cell r="Q1133" t="str">
            <v>CDC-18602</v>
          </cell>
          <cell r="AJ1133" t="e">
            <v>#N/A</v>
          </cell>
          <cell r="AK1133" t="str">
            <v>CDC-18602</v>
          </cell>
          <cell r="AL1133" t="str">
            <v>CDC18602</v>
          </cell>
        </row>
        <row r="1134">
          <cell r="N1134" t="str">
            <v>RIGHT AT SCHOOL AT SKYLINE RANCH K-8</v>
          </cell>
          <cell r="O1134" t="str">
            <v>1084 WEST SAN TAN HILLS DRIVE</v>
          </cell>
          <cell r="P1134" t="str">
            <v>Tresa.olson@rightatschool.com</v>
          </cell>
          <cell r="Q1134" t="str">
            <v>CDC-18603</v>
          </cell>
          <cell r="AJ1134" t="e">
            <v>#N/A</v>
          </cell>
          <cell r="AK1134" t="str">
            <v>CDC-18603</v>
          </cell>
          <cell r="AL1134" t="str">
            <v>CDC18603</v>
          </cell>
        </row>
        <row r="1135">
          <cell r="N1135" t="str">
            <v>RIGHT AT SCHOOL AT WALKER BUTTE K-8</v>
          </cell>
          <cell r="O1135" t="str">
            <v>29697 NORTH DESERT WILLOW BOULEVARD</v>
          </cell>
          <cell r="P1135" t="str">
            <v>Tresa.olson@rightatschool.com</v>
          </cell>
          <cell r="Q1135" t="str">
            <v>CDC-18604</v>
          </cell>
          <cell r="AJ1135" t="e">
            <v>#N/A</v>
          </cell>
          <cell r="AK1135" t="str">
            <v>CDC-18604</v>
          </cell>
          <cell r="AL1135" t="str">
            <v>CDC18604</v>
          </cell>
        </row>
        <row r="1136">
          <cell r="N1136" t="str">
            <v>RINCON LEARNING CENTER</v>
          </cell>
          <cell r="O1136" t="str">
            <v>5643 SOUTH 7TH AVENUE</v>
          </cell>
          <cell r="P1136" t="str">
            <v>ophelia_rincon@msn.com</v>
          </cell>
          <cell r="Q1136" t="str">
            <v>CDC-10092</v>
          </cell>
          <cell r="AJ1136">
            <v>84317</v>
          </cell>
          <cell r="AK1136" t="str">
            <v>CDC-10092</v>
          </cell>
          <cell r="AL1136" t="str">
            <v>CDC10092</v>
          </cell>
        </row>
        <row r="1137">
          <cell r="N1137" t="str">
            <v>RIO RICO HEAD START</v>
          </cell>
          <cell r="O1137" t="str">
            <v>1412 WEST FRONTAGE ROAD</v>
          </cell>
          <cell r="P1137" t="str">
            <v>riorico@childparentcenters.org</v>
          </cell>
          <cell r="Q1137" t="str">
            <v>CDC-7275</v>
          </cell>
          <cell r="AJ1137">
            <v>9855</v>
          </cell>
          <cell r="AK1137" t="str">
            <v>CDC-7275</v>
          </cell>
          <cell r="AL1137" t="str">
            <v>CDC7275</v>
          </cell>
        </row>
        <row r="1138">
          <cell r="N1138" t="str">
            <v>RISE AND SHINE ACADEMY LLC</v>
          </cell>
          <cell r="O1138" t="str">
            <v>7227 SOUTH CENTRAL AVENUE #1160</v>
          </cell>
          <cell r="P1138" t="str">
            <v>b.moreno@riseandshonecenter.com</v>
          </cell>
          <cell r="Q1138" t="str">
            <v>CDC-17676</v>
          </cell>
          <cell r="AJ1138" t="e">
            <v>#N/A</v>
          </cell>
          <cell r="AK1138" t="str">
            <v>CDC-17676</v>
          </cell>
          <cell r="AL1138" t="str">
            <v>CDC17676</v>
          </cell>
        </row>
        <row r="1139">
          <cell r="N1139" t="str">
            <v>RISE N SHINE</v>
          </cell>
          <cell r="O1139" t="str">
            <v>1819 WEST OSBORN ROAD</v>
          </cell>
          <cell r="P1139" t="str">
            <v>risenshine143@gmail.com</v>
          </cell>
          <cell r="Q1139" t="str">
            <v>CDC-17327</v>
          </cell>
          <cell r="AJ1139" t="e">
            <v>#N/A</v>
          </cell>
          <cell r="AK1139" t="str">
            <v>CDC-17327</v>
          </cell>
          <cell r="AL1139" t="str">
            <v>CDC17327</v>
          </cell>
        </row>
        <row r="1140">
          <cell r="N1140" t="str">
            <v>RISE N SHINE PRESCHOOL</v>
          </cell>
          <cell r="O1140" t="str">
            <v>4301 WEST FILLMORE STREET</v>
          </cell>
          <cell r="Q1140" t="str">
            <v>CDC-18741</v>
          </cell>
          <cell r="AJ1140" t="e">
            <v>#N/A</v>
          </cell>
          <cell r="AK1140" t="str">
            <v>CDC-18741</v>
          </cell>
          <cell r="AL1140" t="str">
            <v>CDC18741</v>
          </cell>
        </row>
        <row r="1141">
          <cell r="N1141" t="str">
            <v>RISEN SAVIOR LUTHERAN CHURCH</v>
          </cell>
          <cell r="O1141" t="str">
            <v>23914 SOUTH ALMA SCHOOL ROAD</v>
          </cell>
          <cell r="P1141" t="str">
            <v>pauley@rslcs.org</v>
          </cell>
          <cell r="Q1141" t="str">
            <v>CDC-9979</v>
          </cell>
          <cell r="AJ1141">
            <v>92870</v>
          </cell>
          <cell r="AK1141" t="str">
            <v>CDC-9979</v>
          </cell>
          <cell r="AL1141" t="str">
            <v>CDC9979</v>
          </cell>
        </row>
        <row r="1142">
          <cell r="N1142" t="str">
            <v>RISING STAR DAYCARE</v>
          </cell>
          <cell r="O1142" t="str">
            <v>4330 WEST MISSOURI AVENUE</v>
          </cell>
          <cell r="P1142" t="str">
            <v>hiralparikhjs@yahoo.com</v>
          </cell>
          <cell r="Q1142" t="str">
            <v>CDC-5405</v>
          </cell>
          <cell r="AJ1142">
            <v>9369</v>
          </cell>
          <cell r="AK1142" t="str">
            <v>CDC-5405</v>
          </cell>
          <cell r="AL1142" t="str">
            <v>CDC5405</v>
          </cell>
        </row>
        <row r="1143">
          <cell r="N1143" t="str">
            <v>ROBERTS HEAD START</v>
          </cell>
          <cell r="O1143" t="str">
            <v>1945 SOUTH COLUMBUS BLVD</v>
          </cell>
          <cell r="P1143" t="str">
            <v>roberts@childparentcenters.org</v>
          </cell>
          <cell r="Q1143" t="str">
            <v>CDC-12138</v>
          </cell>
          <cell r="AJ1143">
            <v>87917</v>
          </cell>
          <cell r="AK1143" t="str">
            <v>CDC-12138</v>
          </cell>
          <cell r="AL1143" t="str">
            <v>CDC12138</v>
          </cell>
        </row>
        <row r="1144">
          <cell r="N1144" t="str">
            <v>ROBIN'S NEST</v>
          </cell>
          <cell r="O1144" t="str">
            <v>3420 NORTH 35TH AVENUE</v>
          </cell>
          <cell r="P1144" t="str">
            <v>Kellymcreadyvlc@gmail.com</v>
          </cell>
          <cell r="Q1144" t="str">
            <v>CDC-0267</v>
          </cell>
          <cell r="AJ1144">
            <v>9281</v>
          </cell>
          <cell r="AK1144" t="str">
            <v>CDC-0267</v>
          </cell>
          <cell r="AL1144" t="str">
            <v>CDC0267</v>
          </cell>
        </row>
        <row r="1145">
          <cell r="N1145" t="str">
            <v>ROBINS CREW CLUB</v>
          </cell>
          <cell r="O1145" t="str">
            <v>3939 NORTH MAGNETITE LANE</v>
          </cell>
          <cell r="P1145" t="str">
            <v>kareny@azcommunityenrichment.org</v>
          </cell>
          <cell r="Q1145" t="str">
            <v>CDC-18684</v>
          </cell>
          <cell r="AJ1145" t="e">
            <v>#N/A</v>
          </cell>
          <cell r="AK1145" t="str">
            <v>CDC-18684</v>
          </cell>
          <cell r="AL1145" t="str">
            <v>CDC18684</v>
          </cell>
        </row>
        <row r="1146">
          <cell r="N1146" t="str">
            <v>ROCKHOUSE PLAYSCHOOL</v>
          </cell>
          <cell r="O1146" t="str">
            <v>414 WEST CHERRY AVENUE</v>
          </cell>
          <cell r="P1146" t="str">
            <v>rockhouseplayschool@gmail.com</v>
          </cell>
          <cell r="Q1146" t="str">
            <v>CDC-16901</v>
          </cell>
          <cell r="AJ1146" t="e">
            <v>#N/A</v>
          </cell>
          <cell r="AK1146" t="str">
            <v>CDC-16901</v>
          </cell>
          <cell r="AL1146" t="str">
            <v>CDC16901</v>
          </cell>
        </row>
        <row r="1147">
          <cell r="N1147" t="str">
            <v>ROSS FARNSWORTH EAST VALLEY Y M C A</v>
          </cell>
          <cell r="O1147" t="str">
            <v>1807 SOUTH SUNVIEW</v>
          </cell>
          <cell r="P1147" t="str">
            <v>luz.amaro@vosymca.org</v>
          </cell>
          <cell r="Q1147" t="str">
            <v>CDC-15357</v>
          </cell>
          <cell r="AJ1147" t="e">
            <v>#N/A</v>
          </cell>
          <cell r="AK1147" t="str">
            <v>CDC-15357</v>
          </cell>
          <cell r="AL1147" t="str">
            <v>CDC15357</v>
          </cell>
        </row>
        <row r="1148">
          <cell r="N1148" t="str">
            <v>ROYALTY LEARNING CENTER L.L.C.</v>
          </cell>
          <cell r="O1148" t="str">
            <v>5312 NORTH 12TH STREET STE 302</v>
          </cell>
          <cell r="P1148" t="str">
            <v>mrspalma@psae-edu.org</v>
          </cell>
          <cell r="Q1148" t="str">
            <v>CDC-17060</v>
          </cell>
          <cell r="AJ1148" t="e">
            <v>#N/A</v>
          </cell>
          <cell r="AK1148" t="str">
            <v>CDC-17060</v>
          </cell>
          <cell r="AL1148" t="str">
            <v>CDC17060</v>
          </cell>
        </row>
        <row r="1149">
          <cell r="N1149" t="str">
            <v>S. S. SIMON &amp; JUDE SCHOOL</v>
          </cell>
          <cell r="O1149" t="str">
            <v>6351 NORTH 27TH AVENUE</v>
          </cell>
          <cell r="P1149" t="str">
            <v>cchrisman@simonjude.org</v>
          </cell>
          <cell r="Q1149" t="str">
            <v>CDC-14498</v>
          </cell>
          <cell r="AJ1149" t="e">
            <v>#N/A</v>
          </cell>
          <cell r="AK1149" t="str">
            <v>CDC-14498</v>
          </cell>
          <cell r="AL1149" t="str">
            <v>CDC14498</v>
          </cell>
        </row>
        <row r="1150">
          <cell r="N1150" t="str">
            <v>S.E.E.K. ARIZONA</v>
          </cell>
          <cell r="O1150" t="str">
            <v>1848 NORTH 52ND STREET</v>
          </cell>
          <cell r="P1150" t="str">
            <v>Lmartinez@seekarizona.org</v>
          </cell>
          <cell r="Q1150" t="str">
            <v>CDC-16197</v>
          </cell>
          <cell r="AJ1150" t="e">
            <v>#N/A</v>
          </cell>
          <cell r="AK1150" t="str">
            <v>CDC-16197</v>
          </cell>
          <cell r="AL1150" t="str">
            <v>CDC16197</v>
          </cell>
        </row>
        <row r="1151">
          <cell r="N1151" t="str">
            <v>S.K.E.S.D.#15 - SKULL VALLEY ELEMENTARY SCHOOL</v>
          </cell>
          <cell r="O1151" t="str">
            <v>3150 OLD SKULL VALLEY ROAD</v>
          </cell>
          <cell r="P1151" t="str">
            <v>Admin@SkullValleySchool.org</v>
          </cell>
          <cell r="Q1151" t="str">
            <v>CDC-18776</v>
          </cell>
          <cell r="AJ1151" t="e">
            <v>#N/A</v>
          </cell>
          <cell r="AK1151" t="str">
            <v>CDC-18776</v>
          </cell>
          <cell r="AL1151" t="str">
            <v>CDC18776</v>
          </cell>
        </row>
        <row r="1152">
          <cell r="N1152" t="str">
            <v>SACRED HEART CATHOLIC PRESCHOOL</v>
          </cell>
          <cell r="O1152" t="str">
            <v>150 FLEURY STREET</v>
          </cell>
          <cell r="P1152" t="str">
            <v>jrichards@shcsprescott.com</v>
          </cell>
          <cell r="Q1152" t="str">
            <v>CDC-14264</v>
          </cell>
          <cell r="AJ1152" t="e">
            <v>#N/A</v>
          </cell>
          <cell r="AK1152" t="str">
            <v>CDC-14264</v>
          </cell>
          <cell r="AL1152" t="str">
            <v>CDC14264</v>
          </cell>
        </row>
        <row r="1153">
          <cell r="N1153" t="str">
            <v>SACRED HEART CATHOLIC SCHOOL</v>
          </cell>
          <cell r="O1153" t="str">
            <v>207 WEST OAK STREET</v>
          </cell>
          <cell r="P1153" t="str">
            <v>vrothstein@qwestoffice.net</v>
          </cell>
          <cell r="Q1153" t="str">
            <v>CDC-16590</v>
          </cell>
          <cell r="AJ1153" t="e">
            <v>#N/A</v>
          </cell>
          <cell r="AK1153" t="str">
            <v>CDC-16590</v>
          </cell>
          <cell r="AL1153" t="str">
            <v>CDC16590</v>
          </cell>
        </row>
        <row r="1154">
          <cell r="N1154" t="str">
            <v>SAFE HAVEN CHILD DEVELOPMENT CENTER</v>
          </cell>
          <cell r="O1154" t="str">
            <v>200 EAST TYLER PARKWAY</v>
          </cell>
          <cell r="P1154" t="str">
            <v>safehavencdc@outlook.com</v>
          </cell>
          <cell r="Q1154" t="str">
            <v>CDC-13926</v>
          </cell>
          <cell r="AJ1154" t="e">
            <v>#N/A</v>
          </cell>
          <cell r="AK1154" t="str">
            <v>CDC-13926</v>
          </cell>
          <cell r="AL1154" t="str">
            <v>CDC13926</v>
          </cell>
        </row>
        <row r="1155">
          <cell r="N1155" t="str">
            <v>SAGE CHILD DEVELOPMENT CENTER</v>
          </cell>
          <cell r="O1155" t="str">
            <v>10220 NORTH 25TH AVENUE</v>
          </cell>
          <cell r="P1155" t="str">
            <v>lynnette@sage-academy.org</v>
          </cell>
          <cell r="Q1155" t="str">
            <v>CDC-18145</v>
          </cell>
          <cell r="AJ1155" t="e">
            <v>#N/A</v>
          </cell>
          <cell r="AK1155" t="str">
            <v>CDC-18145</v>
          </cell>
          <cell r="AL1155" t="str">
            <v>CDC18145</v>
          </cell>
        </row>
        <row r="1156">
          <cell r="N1156" t="str">
            <v>SAGUARO INFANT CARE &amp; PRESCHOOL</v>
          </cell>
          <cell r="O1156" t="str">
            <v>8302 EAST BROADWAY</v>
          </cell>
          <cell r="P1156" t="str">
            <v>sicp@saguarochristian.org</v>
          </cell>
          <cell r="Q1156" t="str">
            <v>CDC-1588</v>
          </cell>
          <cell r="AJ1156">
            <v>80750</v>
          </cell>
          <cell r="AK1156" t="str">
            <v>CDC-1588</v>
          </cell>
          <cell r="AL1156" t="str">
            <v>CDC1588</v>
          </cell>
        </row>
        <row r="1157">
          <cell r="N1157" t="str">
            <v>SAINTS PETER &amp; PAUL CATHOLIC SCHOOL</v>
          </cell>
          <cell r="O1157" t="str">
            <v>1436 NORTH CAMPBELL AVENUE</v>
          </cell>
          <cell r="P1157" t="str">
            <v>croll@sspptucson.org</v>
          </cell>
          <cell r="Q1157" t="str">
            <v>CDC-12657</v>
          </cell>
          <cell r="AJ1157" t="e">
            <v>#N/A</v>
          </cell>
          <cell r="AK1157" t="str">
            <v>CDC-12657</v>
          </cell>
          <cell r="AL1157" t="str">
            <v>CDC12657</v>
          </cell>
        </row>
        <row r="1158">
          <cell r="N1158" t="str">
            <v>SAM HUGHES ELEMENTARY - C.R.E.W. CLUB</v>
          </cell>
          <cell r="O1158" t="str">
            <v>700 NORTH WILSON AVENUE</v>
          </cell>
          <cell r="P1158" t="str">
            <v>kareny@azcommunityenrichment.org</v>
          </cell>
          <cell r="Q1158" t="str">
            <v>CDC-18398</v>
          </cell>
          <cell r="AJ1158" t="e">
            <v>#N/A</v>
          </cell>
          <cell r="AK1158" t="str">
            <v>CDC-18398</v>
          </cell>
          <cell r="AL1158" t="str">
            <v>CDC18398</v>
          </cell>
        </row>
        <row r="1159">
          <cell r="N1159" t="str">
            <v>SAN FRANCISCO DE ASIS CATHOLIC SCHOOL</v>
          </cell>
          <cell r="O1159" t="str">
            <v>1600 EAST ROUTE 66</v>
          </cell>
          <cell r="P1159" t="str">
            <v>lbarquin@sfdaparish.org</v>
          </cell>
          <cell r="Q1159" t="str">
            <v>CDC-17608</v>
          </cell>
          <cell r="AJ1159" t="e">
            <v>#N/A</v>
          </cell>
          <cell r="AK1159" t="str">
            <v>CDC-17608</v>
          </cell>
          <cell r="AL1159" t="str">
            <v>CDC17608</v>
          </cell>
        </row>
        <row r="1160">
          <cell r="N1160" t="str">
            <v>SAN PEDRO VALLEY DAYCARE AND PRESCHOOL</v>
          </cell>
          <cell r="O1160" t="str">
            <v>1275 EAST BARNEY LANE</v>
          </cell>
          <cell r="P1160" t="str">
            <v>sanpedrovalley.daycare@gmail.com</v>
          </cell>
          <cell r="Q1160" t="str">
            <v>CDC-17777</v>
          </cell>
          <cell r="AJ1160" t="e">
            <v>#N/A</v>
          </cell>
          <cell r="AK1160" t="str">
            <v>CDC-17777</v>
          </cell>
          <cell r="AL1160" t="str">
            <v>CDC17777</v>
          </cell>
        </row>
        <row r="1161">
          <cell r="N1161" t="str">
            <v>SAN TAN MONTESSORI LLC</v>
          </cell>
          <cell r="O1161" t="str">
            <v>3959 EAST ELLIOT  ROAD</v>
          </cell>
          <cell r="P1161" t="str">
            <v>Ksippel@santancs.com</v>
          </cell>
          <cell r="Q1161" t="str">
            <v>CDC-16944</v>
          </cell>
          <cell r="AJ1161" t="e">
            <v>#N/A</v>
          </cell>
          <cell r="AK1161" t="str">
            <v>CDC-16944</v>
          </cell>
          <cell r="AL1161" t="str">
            <v>CDC16944</v>
          </cell>
        </row>
        <row r="1162">
          <cell r="N1162" t="str">
            <v>SAN TAN VALLEY HEAD START</v>
          </cell>
          <cell r="O1162" t="str">
            <v>301 EAST COMBS ROAD, #505</v>
          </cell>
          <cell r="P1162" t="str">
            <v>Areal.alderette@pgccs.org</v>
          </cell>
          <cell r="Q1162" t="str">
            <v>CDC-9727</v>
          </cell>
          <cell r="AJ1162">
            <v>10092</v>
          </cell>
          <cell r="AK1162" t="str">
            <v>CDC-9727</v>
          </cell>
          <cell r="AL1162" t="str">
            <v>CDC9727</v>
          </cell>
        </row>
        <row r="1163">
          <cell r="N1163" t="str">
            <v>SANTA CLARA HEAD START</v>
          </cell>
          <cell r="O1163" t="str">
            <v>6970 SOUTH SANTA CLARA</v>
          </cell>
          <cell r="P1163" t="str">
            <v>santaclara@childparentcenters.org</v>
          </cell>
          <cell r="Q1163" t="str">
            <v>CDC-5897</v>
          </cell>
          <cell r="AJ1163">
            <v>10901</v>
          </cell>
          <cell r="AK1163" t="str">
            <v>CDC-5897</v>
          </cell>
          <cell r="AL1163" t="str">
            <v>CDC5897</v>
          </cell>
        </row>
        <row r="1164">
          <cell r="N1164" t="str">
            <v>SANTA CRUZ CATHOLIC SCHOOL</v>
          </cell>
          <cell r="O1164" t="str">
            <v>29 WEST 22ND STREET</v>
          </cell>
          <cell r="P1164" t="str">
            <v>aschmidt@santacruzschool.org</v>
          </cell>
          <cell r="Q1164" t="str">
            <v>CDC-12834</v>
          </cell>
          <cell r="AJ1164" t="e">
            <v>#N/A</v>
          </cell>
          <cell r="AK1164" t="str">
            <v>CDC-12834</v>
          </cell>
          <cell r="AL1164" t="str">
            <v>CDC12834</v>
          </cell>
        </row>
        <row r="1165">
          <cell r="N1165" t="str">
            <v>SANTA ROSA CHILD DEVELOPMENT CENTER</v>
          </cell>
          <cell r="O1165" t="str">
            <v>1065 SOUTH 10TH AVENUE</v>
          </cell>
          <cell r="P1165" t="str">
            <v>nconesa@childparentcenters.org</v>
          </cell>
          <cell r="Q1165" t="str">
            <v>CDC-9212</v>
          </cell>
          <cell r="AJ1165">
            <v>7948</v>
          </cell>
          <cell r="AK1165" t="str">
            <v>CDC-9212</v>
          </cell>
          <cell r="AL1165" t="str">
            <v>CDC9212</v>
          </cell>
        </row>
        <row r="1166">
          <cell r="N1166" t="str">
            <v>SARRC COMMUNITY SCHOOL - TEMPE CAMPUS</v>
          </cell>
          <cell r="O1166" t="str">
            <v>975 EAST WARNER ROAD</v>
          </cell>
          <cell r="P1166" t="str">
            <v>borr@aurismcotr.org</v>
          </cell>
          <cell r="Q1166" t="str">
            <v>CDC-17515</v>
          </cell>
          <cell r="AJ1166" t="e">
            <v>#N/A</v>
          </cell>
          <cell r="AK1166" t="str">
            <v>CDC-17515</v>
          </cell>
          <cell r="AL1166" t="str">
            <v>CDC17515</v>
          </cell>
        </row>
        <row r="1167">
          <cell r="N1167" t="str">
            <v>SATORI</v>
          </cell>
          <cell r="O1167" t="str">
            <v>3801 NORTH 1ST AVENUE</v>
          </cell>
          <cell r="P1167" t="str">
            <v>jo@satorischool.org</v>
          </cell>
          <cell r="Q1167" t="str">
            <v>CDC-5195</v>
          </cell>
          <cell r="AJ1167" t="e">
            <v>#N/A</v>
          </cell>
          <cell r="AK1167" t="str">
            <v>CDC-5195</v>
          </cell>
          <cell r="AL1167" t="str">
            <v>CDC5195</v>
          </cell>
        </row>
        <row r="1168">
          <cell r="N1168" t="str">
            <v>SATORI CHARTER SCHOOL</v>
          </cell>
          <cell r="O1168" t="str">
            <v>3727 NORTH FIRST AVENUE</v>
          </cell>
          <cell r="P1168" t="str">
            <v>jesse.ramos@satoricharterschool.org</v>
          </cell>
          <cell r="Q1168" t="str">
            <v>CDC-7973</v>
          </cell>
          <cell r="AJ1168" t="e">
            <v>#N/A</v>
          </cell>
          <cell r="AK1168" t="str">
            <v>CDC-7973</v>
          </cell>
          <cell r="AL1168" t="str">
            <v>CDC7973</v>
          </cell>
        </row>
        <row r="1169">
          <cell r="N1169" t="str">
            <v>SCOTTISH RITE U OF A WINGS ON WORDS</v>
          </cell>
          <cell r="O1169" t="str">
            <v>202 EAST SPEEDWAY BLVD</v>
          </cell>
          <cell r="P1169" t="str">
            <v>krostzak@email.arizona.edu</v>
          </cell>
          <cell r="Q1169" t="str">
            <v>CDC-8868</v>
          </cell>
          <cell r="AJ1169" t="e">
            <v>#N/A</v>
          </cell>
          <cell r="AK1169" t="str">
            <v>CDC-8868</v>
          </cell>
          <cell r="AL1169" t="str">
            <v>CDC8868</v>
          </cell>
        </row>
        <row r="1170">
          <cell r="N1170" t="str">
            <v>SCOTTSDALE /  PARADISE VALLEY Y M C A</v>
          </cell>
          <cell r="O1170" t="str">
            <v>6869 EAST SHEA BOULEVARD</v>
          </cell>
          <cell r="P1170" t="str">
            <v>danielle.gilmore@vosymca.org</v>
          </cell>
          <cell r="Q1170" t="str">
            <v>CDC-5543</v>
          </cell>
          <cell r="AJ1170" t="e">
            <v>#N/A</v>
          </cell>
          <cell r="AK1170" t="str">
            <v>CDC-5543</v>
          </cell>
          <cell r="AL1170" t="str">
            <v>CDC5543</v>
          </cell>
        </row>
        <row r="1171">
          <cell r="N1171" t="str">
            <v>SCOTTSDALE CHILD CARE &amp; LEARNING CENTER - KIERLAND</v>
          </cell>
          <cell r="O1171" t="str">
            <v>6440 EAST GREENWAY PARKWAY</v>
          </cell>
          <cell r="P1171" t="str">
            <v>scottsdalelearningcenter@gmail.com</v>
          </cell>
          <cell r="Q1171" t="str">
            <v>CDC-7588</v>
          </cell>
          <cell r="AJ1171" t="e">
            <v>#N/A</v>
          </cell>
          <cell r="AK1171" t="str">
            <v>CDC-7588</v>
          </cell>
          <cell r="AL1171" t="str">
            <v>CDC7588</v>
          </cell>
        </row>
        <row r="1172">
          <cell r="N1172" t="str">
            <v>SCOTTSDALE CHILD CARE &amp; LEARNING CENTER @ CAREFREE, INC.</v>
          </cell>
          <cell r="O1172" t="str">
            <v>2717 WEST CAREFREE HIGHWAY</v>
          </cell>
          <cell r="P1172" t="str">
            <v>slcatcarefree@gmail.com</v>
          </cell>
          <cell r="Q1172" t="str">
            <v>CDC-13163</v>
          </cell>
          <cell r="AJ1172" t="e">
            <v>#N/A</v>
          </cell>
          <cell r="AK1172" t="str">
            <v>CDC-13163</v>
          </cell>
          <cell r="AL1172" t="str">
            <v>CDC13163</v>
          </cell>
        </row>
        <row r="1173">
          <cell r="N1173" t="str">
            <v>SCOTTSDALE CHILD CARE AND LEARNING CENTER</v>
          </cell>
          <cell r="O1173" t="str">
            <v>13831 NORTH 94TH STREET</v>
          </cell>
          <cell r="P1173" t="str">
            <v>scclcraintree@gmail.com</v>
          </cell>
          <cell r="Q1173" t="str">
            <v>CDC-5084</v>
          </cell>
          <cell r="AJ1173" t="e">
            <v>#N/A</v>
          </cell>
          <cell r="AK1173" t="str">
            <v>CDC-5084</v>
          </cell>
          <cell r="AL1173" t="str">
            <v>CDC5084</v>
          </cell>
        </row>
        <row r="1174">
          <cell r="N1174" t="str">
            <v>SCOTTSDALE CHILDRENS ACADEMY DBA KIDDIE ACADEMY OF NORTH PHOENIX</v>
          </cell>
          <cell r="O1174" t="str">
            <v>4250 WEST PINNACLE PEAK ROAD</v>
          </cell>
          <cell r="P1174" t="str">
            <v>rachael.cerreta@kiddieacademy.net</v>
          </cell>
          <cell r="Q1174" t="str">
            <v>CDC-18587</v>
          </cell>
          <cell r="AJ1174" t="e">
            <v>#N/A</v>
          </cell>
          <cell r="AK1174" t="str">
            <v>CDC-18587</v>
          </cell>
          <cell r="AL1174" t="str">
            <v>CDC18587</v>
          </cell>
        </row>
        <row r="1175">
          <cell r="N1175" t="str">
            <v>SCOTTSDALE CHRISTIAN ACADEMY  / EARLY CHILDHOOD</v>
          </cell>
          <cell r="O1175" t="str">
            <v>14400 NORTH TATUM BOULEVARD</v>
          </cell>
          <cell r="P1175" t="str">
            <v xml:space="preserve"> jshane@scamail.org</v>
          </cell>
          <cell r="Q1175" t="str">
            <v>CDC-15394</v>
          </cell>
          <cell r="AJ1175" t="e">
            <v>#N/A</v>
          </cell>
          <cell r="AK1175" t="str">
            <v>CDC-15394</v>
          </cell>
          <cell r="AL1175" t="str">
            <v>CDC15394</v>
          </cell>
        </row>
        <row r="1176">
          <cell r="N1176" t="str">
            <v>SCOTTSDALE PRESCHOOL</v>
          </cell>
          <cell r="O1176" t="str">
            <v>12630 NORTH 48TH STREET</v>
          </cell>
          <cell r="P1176" t="str">
            <v>jennifer.w@lcjbinc.com</v>
          </cell>
          <cell r="Q1176" t="str">
            <v>CDC-15206</v>
          </cell>
          <cell r="AJ1176">
            <v>90553</v>
          </cell>
          <cell r="AK1176" t="str">
            <v>CDC-15206</v>
          </cell>
          <cell r="AL1176" t="str">
            <v>CDC15206</v>
          </cell>
        </row>
        <row r="1177">
          <cell r="N1177" t="str">
            <v>SCOTTSDALE UNITED METHODIST DAYCARE</v>
          </cell>
          <cell r="O1177" t="str">
            <v>4140 NORTH MILLER ROAD</v>
          </cell>
          <cell r="P1177" t="str">
            <v>rhondalinder@scottsdaleumc.org</v>
          </cell>
          <cell r="Q1177" t="str">
            <v>CDC-11504</v>
          </cell>
          <cell r="AJ1177" t="e">
            <v>#N/A</v>
          </cell>
          <cell r="AK1177" t="str">
            <v>CDC-11504</v>
          </cell>
          <cell r="AL1177" t="str">
            <v>CDC11504</v>
          </cell>
        </row>
        <row r="1178">
          <cell r="N1178" t="str">
            <v>SECOND STREET CHILDREN'S SCHOOL</v>
          </cell>
          <cell r="O1178" t="str">
            <v>2430 EAST 2ND STREET</v>
          </cell>
          <cell r="P1178" t="str">
            <v>office@secondstreetschool.org</v>
          </cell>
          <cell r="Q1178" t="str">
            <v>CDC-11668</v>
          </cell>
          <cell r="AJ1178" t="e">
            <v>#N/A</v>
          </cell>
          <cell r="AK1178" t="str">
            <v>CDC-11668</v>
          </cell>
          <cell r="AL1178" t="str">
            <v>CDC11668</v>
          </cell>
        </row>
        <row r="1179">
          <cell r="N1179" t="str">
            <v>SEDONA MONTESSORI SCHOOL</v>
          </cell>
          <cell r="O1179" t="str">
            <v>90 DEER TRAIL</v>
          </cell>
          <cell r="P1179" t="str">
            <v>sms@esedona.net</v>
          </cell>
          <cell r="Q1179" t="str">
            <v>CDC-1533</v>
          </cell>
          <cell r="AJ1179" t="e">
            <v>#N/A</v>
          </cell>
          <cell r="AK1179" t="str">
            <v>CDC-1533</v>
          </cell>
          <cell r="AL1179" t="str">
            <v>CDC1533</v>
          </cell>
        </row>
        <row r="1180">
          <cell r="N1180" t="str">
            <v>SEDONA VILLAGE LEARNING CENTER</v>
          </cell>
          <cell r="O1180" t="str">
            <v>25 SADDLEHORN ROAD</v>
          </cell>
          <cell r="P1180" t="str">
            <v>sharacoughlin78@gmail.com</v>
          </cell>
          <cell r="Q1180" t="str">
            <v>CDC-18796</v>
          </cell>
          <cell r="AJ1180" t="e">
            <v>#N/A</v>
          </cell>
          <cell r="AK1180" t="str">
            <v>CDC-18796</v>
          </cell>
          <cell r="AL1180" t="str">
            <v>CDC18796</v>
          </cell>
        </row>
        <row r="1181">
          <cell r="N1181" t="str">
            <v>SEEDS OF KNOWLEDGE PRESCHOOL</v>
          </cell>
          <cell r="O1181" t="str">
            <v>6683 SOUTH CLUB HOUSE DRIVE</v>
          </cell>
          <cell r="P1181" t="str">
            <v>wangler4@gmail.com</v>
          </cell>
          <cell r="Q1181" t="str">
            <v>CDC-12081</v>
          </cell>
          <cell r="AJ1181" t="e">
            <v>#N/A</v>
          </cell>
          <cell r="AK1181" t="str">
            <v>CDC-12081</v>
          </cell>
          <cell r="AL1181" t="str">
            <v>CDC12081</v>
          </cell>
        </row>
        <row r="1182">
          <cell r="N1182" t="str">
            <v>SELF DEVELOPMENT PRESCHOOL</v>
          </cell>
          <cell r="O1182" t="str">
            <v>1721 NORTH GREENFIELD ROAD</v>
          </cell>
          <cell r="P1182" t="str">
            <v>vernettam@selfdevelopmentacademy.com</v>
          </cell>
          <cell r="Q1182" t="str">
            <v>CDC-1851</v>
          </cell>
          <cell r="AJ1182" t="e">
            <v>#N/A</v>
          </cell>
          <cell r="AK1182" t="str">
            <v>CDC-1851</v>
          </cell>
          <cell r="AL1182" t="str">
            <v>CDC1851</v>
          </cell>
        </row>
        <row r="1183">
          <cell r="N1183" t="str">
            <v>SEQUOIA PATHWAY ACADEMY</v>
          </cell>
          <cell r="O1183" t="str">
            <v>19265 NORTH PORTER ROAD</v>
          </cell>
          <cell r="P1183" t="str">
            <v>tstanton@edkey.org</v>
          </cell>
          <cell r="Q1183" t="str">
            <v>CDC-17964</v>
          </cell>
          <cell r="AJ1183" t="e">
            <v>#N/A</v>
          </cell>
          <cell r="AK1183" t="str">
            <v>CDC-17964</v>
          </cell>
          <cell r="AL1183" t="str">
            <v>CDC17964</v>
          </cell>
        </row>
        <row r="1184">
          <cell r="N1184" t="str">
            <v>SERENDIPITY DAY CARE</v>
          </cell>
          <cell r="O1184" t="str">
            <v>1579 NORTH TREKELL ROAD</v>
          </cell>
          <cell r="P1184" t="str">
            <v>lorrainemlewis@gmail.com</v>
          </cell>
          <cell r="Q1184" t="str">
            <v>CDC-0884</v>
          </cell>
          <cell r="AJ1184" t="e">
            <v>#N/A</v>
          </cell>
          <cell r="AK1184" t="str">
            <v>CDC-0884</v>
          </cell>
          <cell r="AL1184" t="str">
            <v>CDC0884</v>
          </cell>
        </row>
        <row r="1185">
          <cell r="N1185" t="str">
            <v>SHADOW ROCK PRESCHOOL</v>
          </cell>
          <cell r="O1185" t="str">
            <v>12861 NORTH 8TH AVENUE</v>
          </cell>
          <cell r="P1185" t="str">
            <v>director@shadowrockpreschool.org</v>
          </cell>
          <cell r="Q1185" t="str">
            <v>CDC-0851</v>
          </cell>
          <cell r="AJ1185" t="e">
            <v>#N/A</v>
          </cell>
          <cell r="AK1185" t="str">
            <v>CDC-0851</v>
          </cell>
          <cell r="AL1185" t="str">
            <v>CDC0851</v>
          </cell>
        </row>
        <row r="1186">
          <cell r="N1186" t="str">
            <v>SHELLIE'S EARLY START LEARNING CENTER #2</v>
          </cell>
          <cell r="O1186" t="str">
            <v>1923 EAST BROADWAY ROAD</v>
          </cell>
          <cell r="P1186" t="str">
            <v>shelliestart@aol.com</v>
          </cell>
          <cell r="Q1186" t="str">
            <v>CDC-17511</v>
          </cell>
          <cell r="AJ1186" t="e">
            <v>#N/A</v>
          </cell>
          <cell r="AK1186" t="str">
            <v>CDC-17511</v>
          </cell>
          <cell r="AL1186" t="str">
            <v>CDC17511</v>
          </cell>
        </row>
        <row r="1187">
          <cell r="N1187" t="str">
            <v>SHELLIE'S EARLY START LEARNING CENTER #4</v>
          </cell>
          <cell r="O1187" t="str">
            <v>26 EAST BASELINE ROAD SUITE 116A-B</v>
          </cell>
          <cell r="P1187" t="str">
            <v>shelliestart@aol.com</v>
          </cell>
          <cell r="Q1187" t="str">
            <v>CDC-17289</v>
          </cell>
          <cell r="AJ1187" t="e">
            <v>#N/A</v>
          </cell>
          <cell r="AK1187" t="str">
            <v>CDC-17289</v>
          </cell>
          <cell r="AL1187" t="str">
            <v>CDC17289</v>
          </cell>
        </row>
        <row r="1188">
          <cell r="N1188" t="str">
            <v>SHELLIE'S EARLY START LEARNING CENTER #5</v>
          </cell>
          <cell r="O1188" t="str">
            <v>3740 WEST CAMELBACK ROAD</v>
          </cell>
          <cell r="P1188" t="str">
            <v>shelliestart@aol.com</v>
          </cell>
          <cell r="Q1188" t="str">
            <v>CDC-18487</v>
          </cell>
          <cell r="AJ1188" t="e">
            <v>#N/A</v>
          </cell>
          <cell r="AK1188" t="str">
            <v>CDC-18487</v>
          </cell>
          <cell r="AL1188" t="str">
            <v>CDC18487</v>
          </cell>
        </row>
        <row r="1189">
          <cell r="N1189" t="str">
            <v>SHELLIE'S EARLY START LEARNING CENTER L.L.C. #3</v>
          </cell>
          <cell r="O1189" t="str">
            <v>4616 SOUTH CENTRAL AVENUE</v>
          </cell>
          <cell r="P1189" t="str">
            <v>shelliestart@aol.com</v>
          </cell>
          <cell r="Q1189" t="str">
            <v>CDC-17125</v>
          </cell>
          <cell r="AJ1189" t="e">
            <v>#N/A</v>
          </cell>
          <cell r="AK1189" t="str">
            <v>CDC-17125</v>
          </cell>
          <cell r="AL1189" t="str">
            <v>CDC17125</v>
          </cell>
        </row>
        <row r="1190">
          <cell r="N1190" t="str">
            <v>SHEPHERD OF THE DESERT LUTHERAN CHURCH AND SCHOOL</v>
          </cell>
          <cell r="O1190" t="str">
            <v>9590 EAST SHEA BLVD</v>
          </cell>
          <cell r="P1190" t="str">
            <v>chadblock@sofdaz.org</v>
          </cell>
          <cell r="Q1190" t="str">
            <v>CDC-17362</v>
          </cell>
          <cell r="AJ1190" t="e">
            <v>#N/A</v>
          </cell>
          <cell r="AK1190" t="str">
            <v>CDC-17362</v>
          </cell>
          <cell r="AL1190" t="str">
            <v>CDC17362</v>
          </cell>
        </row>
        <row r="1191">
          <cell r="N1191" t="str">
            <v>SHEPHERD OF THE DESERT LUTHERAN PRESCHOOL - MOUNTAIN VIEW CAMPUS</v>
          </cell>
          <cell r="O1191" t="str">
            <v>9400 EAST MOUNTAIN VIEW ROAD</v>
          </cell>
          <cell r="P1191" t="str">
            <v>dosman@sotdaz.org</v>
          </cell>
          <cell r="Q1191" t="str">
            <v>CDC-15605</v>
          </cell>
          <cell r="AJ1191" t="e">
            <v>#N/A</v>
          </cell>
          <cell r="AK1191" t="str">
            <v>CDC-15605</v>
          </cell>
          <cell r="AL1191" t="str">
            <v>CDC15605</v>
          </cell>
        </row>
        <row r="1192">
          <cell r="N1192" t="str">
            <v>SHEPHERD PRESCHOOL</v>
          </cell>
          <cell r="O1192" t="str">
            <v>331 SOUTH LAKE POWELL BLV</v>
          </cell>
          <cell r="P1192" t="str">
            <v>shepherdpreschool@cableone.net</v>
          </cell>
          <cell r="Q1192" t="str">
            <v>CDC-1433</v>
          </cell>
          <cell r="AJ1192" t="e">
            <v>#N/A</v>
          </cell>
          <cell r="AK1192" t="str">
            <v>CDC-1433</v>
          </cell>
          <cell r="AL1192" t="str">
            <v>CDC1433</v>
          </cell>
        </row>
        <row r="1193">
          <cell r="N1193" t="str">
            <v>SHEPHERD'S FOLD CHILD CARE CENTER</v>
          </cell>
          <cell r="O1193" t="str">
            <v>101 NORTH LENZNER AVENUE</v>
          </cell>
          <cell r="P1193" t="str">
            <v>sfcc@selcaz.org</v>
          </cell>
          <cell r="Q1193" t="str">
            <v>CDC-3226</v>
          </cell>
          <cell r="AJ1193" t="e">
            <v>#N/A</v>
          </cell>
          <cell r="AK1193" t="str">
            <v>CDC-3226</v>
          </cell>
          <cell r="AL1193" t="str">
            <v>CDC3226</v>
          </cell>
        </row>
        <row r="1194">
          <cell r="N1194" t="str">
            <v>SHEPHERD'S FOLD DAYCARE</v>
          </cell>
          <cell r="O1194" t="str">
            <v>1111 NORTH LA CANADA DRIVE</v>
          </cell>
          <cell r="P1194" t="str">
            <v>shepherdsfoldaz@aol.com</v>
          </cell>
          <cell r="Q1194" t="str">
            <v>CDC-9500</v>
          </cell>
          <cell r="AJ1194" t="e">
            <v>#N/A</v>
          </cell>
          <cell r="AK1194" t="str">
            <v>CDC-9500</v>
          </cell>
          <cell r="AL1194" t="str">
            <v>CDC9500</v>
          </cell>
        </row>
        <row r="1195">
          <cell r="N1195" t="str">
            <v>SHOOTING S.T.A.R.S. PRESCHOOL</v>
          </cell>
          <cell r="O1195" t="str">
            <v>69 EAST COMSTOCK DRIVE #2</v>
          </cell>
          <cell r="P1195" t="str">
            <v>shootingstarspreschool@outlook.com</v>
          </cell>
          <cell r="Q1195" t="str">
            <v>CDC-16717</v>
          </cell>
          <cell r="AJ1195" t="e">
            <v>#N/A</v>
          </cell>
          <cell r="AK1195" t="str">
            <v>CDC-16717</v>
          </cell>
          <cell r="AL1195" t="str">
            <v>CDC16717</v>
          </cell>
        </row>
        <row r="1196">
          <cell r="N1196" t="str">
            <v>SIERRA BONITA HEAD START</v>
          </cell>
          <cell r="O1196" t="str">
            <v>1415 CENTRAL AVENUE</v>
          </cell>
          <cell r="P1196" t="str">
            <v>sierrabonita@childparentcenters.org</v>
          </cell>
          <cell r="Q1196" t="str">
            <v>CDC-6702</v>
          </cell>
          <cell r="AJ1196">
            <v>9853</v>
          </cell>
          <cell r="AK1196" t="str">
            <v>CDC-6702</v>
          </cell>
          <cell r="AL1196" t="str">
            <v>CDC6702</v>
          </cell>
        </row>
        <row r="1197">
          <cell r="N1197" t="str">
            <v>SIERRA MONTANA RECREATION CENTER</v>
          </cell>
          <cell r="O1197" t="str">
            <v>14861 WEST SPRING LANE</v>
          </cell>
          <cell r="P1197" t="str">
            <v>gina.fasching@surpriseaz.com</v>
          </cell>
          <cell r="Q1197" t="str">
            <v>CDC-15417</v>
          </cell>
          <cell r="AJ1197" t="e">
            <v>#N/A</v>
          </cell>
          <cell r="AK1197" t="str">
            <v>CDC-15417</v>
          </cell>
          <cell r="AL1197" t="str">
            <v>CDC15417</v>
          </cell>
        </row>
        <row r="1198">
          <cell r="N1198" t="str">
            <v>SIGNAL PEAK EARLY LEARNING CENTER</v>
          </cell>
          <cell r="O1198" t="str">
            <v>8470 NORTH OVERFIELD ROAD</v>
          </cell>
          <cell r="P1198" t="str">
            <v>lsalter@blake.easterseals.com</v>
          </cell>
          <cell r="Q1198" t="str">
            <v>CDC-17376</v>
          </cell>
          <cell r="AJ1198" t="e">
            <v>#N/A</v>
          </cell>
          <cell r="AK1198" t="str">
            <v>CDC-17376</v>
          </cell>
          <cell r="AL1198" t="str">
            <v>CDC17376</v>
          </cell>
        </row>
        <row r="1199">
          <cell r="N1199" t="str">
            <v>SINE HEAD START</v>
          </cell>
          <cell r="O1199" t="str">
            <v>4933 WEST ORANGEWOOD AVENUE</v>
          </cell>
          <cell r="P1199" t="str">
            <v>lasanchez@cc-az.org</v>
          </cell>
          <cell r="Q1199" t="str">
            <v>CDC-6222</v>
          </cell>
          <cell r="AJ1199" t="e">
            <v>#N/A</v>
          </cell>
          <cell r="AK1199" t="str">
            <v>CDC-6222</v>
          </cell>
          <cell r="AL1199" t="str">
            <v>CDC6222</v>
          </cell>
        </row>
        <row r="1200">
          <cell r="N1200" t="str">
            <v>SKYLINE EDUCATION INC S E I PRESCHOOL CHANDLER CAMPUS</v>
          </cell>
          <cell r="O1200" t="str">
            <v>2020 NORTH ARIZONA AVENUE  - SUITE G62</v>
          </cell>
          <cell r="P1200" t="str">
            <v>ngillen@skylineschools.com</v>
          </cell>
          <cell r="Q1200" t="str">
            <v>CDC-16742</v>
          </cell>
          <cell r="AJ1200" t="e">
            <v>#N/A</v>
          </cell>
          <cell r="AK1200" t="str">
            <v>CDC-16742</v>
          </cell>
          <cell r="AL1200" t="str">
            <v>CDC16742</v>
          </cell>
        </row>
        <row r="1201">
          <cell r="N1201" t="str">
            <v>SKYLINE EDUCATION, INC. PRESCHOOL</v>
          </cell>
          <cell r="O1201" t="str">
            <v>7450 SOUTH 40TH STREET</v>
          </cell>
          <cell r="P1201" t="str">
            <v>jkensey@skylineschools.com</v>
          </cell>
          <cell r="Q1201" t="str">
            <v>CDC-16682</v>
          </cell>
          <cell r="AJ1201" t="e">
            <v>#N/A</v>
          </cell>
          <cell r="AK1201" t="str">
            <v>CDC-16682</v>
          </cell>
          <cell r="AL1201" t="str">
            <v>CDC16682</v>
          </cell>
        </row>
        <row r="1202">
          <cell r="N1202" t="str">
            <v>SMALL MARVELS L.L.C.</v>
          </cell>
          <cell r="O1202" t="str">
            <v>1403 EAST BROADWAY BLVD</v>
          </cell>
          <cell r="P1202" t="str">
            <v>melissa.callahan@smallmarvels.com</v>
          </cell>
          <cell r="Q1202" t="str">
            <v>CDC-18132</v>
          </cell>
          <cell r="AJ1202" t="e">
            <v>#N/A</v>
          </cell>
          <cell r="AK1202" t="str">
            <v>CDC-18132</v>
          </cell>
          <cell r="AL1202" t="str">
            <v>CDC18132</v>
          </cell>
        </row>
        <row r="1203">
          <cell r="N1203" t="str">
            <v>SMALL PEOPLE PRESCHOOL GREENWAY</v>
          </cell>
          <cell r="O1203" t="str">
            <v>2601 EAST GREENWAY ROAD</v>
          </cell>
          <cell r="P1203" t="str">
            <v>smallpeople@live.com</v>
          </cell>
          <cell r="Q1203" t="str">
            <v>CDC-11968</v>
          </cell>
          <cell r="AJ1203">
            <v>80920</v>
          </cell>
          <cell r="AK1203" t="str">
            <v>CDC-11968</v>
          </cell>
          <cell r="AL1203" t="str">
            <v>CDC11968</v>
          </cell>
        </row>
        <row r="1204">
          <cell r="N1204" t="str">
            <v>SMALL PEOPLE PRESCHOOL INC</v>
          </cell>
          <cell r="O1204" t="str">
            <v>14801 NORTH CAVE CREEK ROAD</v>
          </cell>
          <cell r="P1204" t="str">
            <v>josepi@doitnow.com</v>
          </cell>
          <cell r="Q1204" t="str">
            <v>CDC-18050</v>
          </cell>
          <cell r="AJ1204">
            <v>17296</v>
          </cell>
          <cell r="AK1204" t="str">
            <v>CDC-18050</v>
          </cell>
          <cell r="AL1204" t="str">
            <v>CDC18050</v>
          </cell>
        </row>
        <row r="1205">
          <cell r="N1205" t="str">
            <v>SMALL WORLD PRESCHOOL</v>
          </cell>
          <cell r="O1205" t="str">
            <v>3637 EAST 3RD STREET</v>
          </cell>
          <cell r="P1205" t="str">
            <v>dnjedus@gmail.com</v>
          </cell>
          <cell r="Q1205" t="str">
            <v>CDC-3164</v>
          </cell>
          <cell r="AJ1205">
            <v>10030</v>
          </cell>
          <cell r="AK1205" t="str">
            <v>CDC-3164</v>
          </cell>
          <cell r="AL1205" t="str">
            <v>CDC3164</v>
          </cell>
        </row>
        <row r="1206">
          <cell r="N1206" t="str">
            <v>SMALL WORLD PRESCHOOL</v>
          </cell>
          <cell r="O1206" t="str">
            <v>8720 EAST SPEEDWAY BLVD.</v>
          </cell>
          <cell r="P1206" t="str">
            <v>smallworld2@dnjeducational.com</v>
          </cell>
          <cell r="Q1206" t="str">
            <v>CDC-8140</v>
          </cell>
          <cell r="AJ1206">
            <v>78762</v>
          </cell>
          <cell r="AK1206" t="str">
            <v>CDC-8140</v>
          </cell>
          <cell r="AL1206" t="str">
            <v>CDC8140</v>
          </cell>
        </row>
        <row r="1207">
          <cell r="N1207" t="str">
            <v>SMALLER SCHOLARS MONTESSORI ACADEMY</v>
          </cell>
          <cell r="O1207" t="str">
            <v>1675 WEST GUADALUPE</v>
          </cell>
          <cell r="P1207" t="str">
            <v>director.gilbert@smallerscholars.com</v>
          </cell>
          <cell r="Q1207" t="str">
            <v>CDC-16907</v>
          </cell>
          <cell r="AJ1207" t="e">
            <v>#N/A</v>
          </cell>
          <cell r="AK1207" t="str">
            <v>CDC-16907</v>
          </cell>
          <cell r="AL1207" t="str">
            <v>CDC16907</v>
          </cell>
        </row>
        <row r="1208">
          <cell r="N1208" t="str">
            <v>SMART CHILDREN LEARNING CENTER LLC</v>
          </cell>
          <cell r="O1208" t="str">
            <v>3320 WEST SOUTHERN AVENUE STE 102</v>
          </cell>
          <cell r="P1208" t="str">
            <v>md.sandoval@brighterangels.com</v>
          </cell>
          <cell r="Q1208" t="str">
            <v>CDC-14823</v>
          </cell>
          <cell r="AJ1208" t="e">
            <v>#N/A</v>
          </cell>
          <cell r="AK1208" t="str">
            <v>CDC-14823</v>
          </cell>
          <cell r="AL1208" t="str">
            <v>CDC14823</v>
          </cell>
        </row>
        <row r="1209">
          <cell r="N1209" t="str">
            <v>SMART KIDS</v>
          </cell>
          <cell r="O1209" t="str">
            <v>939 NORTH PERKINS AVENUE</v>
          </cell>
          <cell r="P1209" t="str">
            <v>hacalanis@gmail.com</v>
          </cell>
          <cell r="Q1209" t="str">
            <v>CDC-12694</v>
          </cell>
          <cell r="AJ1209" t="e">
            <v>#N/A</v>
          </cell>
          <cell r="AK1209" t="str">
            <v>CDC-12694</v>
          </cell>
          <cell r="AL1209" t="str">
            <v>CDC12694</v>
          </cell>
        </row>
        <row r="1210">
          <cell r="N1210" t="str">
            <v>SOJOURNER CENTER CHILD DEVELOPMENT CENTER</v>
          </cell>
          <cell r="O1210" t="str">
            <v>P O BOX 20156</v>
          </cell>
          <cell r="P1210" t="str">
            <v>bsponsler@sojournercenter.org</v>
          </cell>
          <cell r="Q1210" t="str">
            <v>CDC-5239</v>
          </cell>
          <cell r="AJ1210" t="e">
            <v>#N/A</v>
          </cell>
          <cell r="AK1210" t="str">
            <v>CDC-5239</v>
          </cell>
          <cell r="AL1210" t="str">
            <v>CDC5239</v>
          </cell>
        </row>
        <row r="1211">
          <cell r="N1211" t="str">
            <v>SONSHINE CHRISTIAN PRESCHOOL</v>
          </cell>
          <cell r="O1211" t="str">
            <v>1916 NORTH FRANK REED RD</v>
          </cell>
          <cell r="P1211" t="str">
            <v>accounting@fbcnogales.org</v>
          </cell>
          <cell r="Q1211" t="str">
            <v>CDC-1725</v>
          </cell>
          <cell r="AJ1211" t="e">
            <v>#N/A</v>
          </cell>
          <cell r="AK1211" t="str">
            <v>CDC-1725</v>
          </cell>
          <cell r="AL1211" t="str">
            <v>CDC1725</v>
          </cell>
        </row>
        <row r="1212">
          <cell r="N1212" t="str">
            <v>SONSHINE LEARNING CENTER</v>
          </cell>
          <cell r="O1212" t="str">
            <v>34595 SOUTH PHYLLIS STREET</v>
          </cell>
          <cell r="P1212" t="str">
            <v>birch_sherry@yahoo.com</v>
          </cell>
          <cell r="Q1212" t="str">
            <v>CDC-14050</v>
          </cell>
          <cell r="AJ1212" t="e">
            <v>#N/A</v>
          </cell>
          <cell r="AK1212" t="str">
            <v>CDC-14050</v>
          </cell>
          <cell r="AL1212" t="str">
            <v>CDC14050</v>
          </cell>
        </row>
        <row r="1213">
          <cell r="N1213" t="str">
            <v>SONSHINE PRESCHOOL</v>
          </cell>
          <cell r="O1213" t="str">
            <v>715 WEST SOUTHERN AVENUE</v>
          </cell>
          <cell r="P1213" t="str">
            <v>Rmarten@elstempe.org</v>
          </cell>
          <cell r="Q1213" t="str">
            <v>CDC-16840</v>
          </cell>
          <cell r="AJ1213" t="e">
            <v>#N/A</v>
          </cell>
          <cell r="AK1213" t="str">
            <v>CDC-16840</v>
          </cell>
          <cell r="AL1213" t="str">
            <v>CDC16840</v>
          </cell>
        </row>
        <row r="1214">
          <cell r="N1214" t="str">
            <v>SONSHINE PRESCHOOL AND CHILDCARE</v>
          </cell>
          <cell r="O1214" t="str">
            <v>551 NORTH CAMINO SECO</v>
          </cell>
          <cell r="P1214" t="str">
            <v>brenda@Sonshineprek.org</v>
          </cell>
          <cell r="Q1214" t="str">
            <v>CDC-1054</v>
          </cell>
          <cell r="AJ1214" t="e">
            <v>#N/A</v>
          </cell>
          <cell r="AK1214" t="str">
            <v>CDC-1054</v>
          </cell>
          <cell r="AL1214" t="str">
            <v>CDC1054</v>
          </cell>
        </row>
        <row r="1215">
          <cell r="N1215" t="str">
            <v>SOUTHSIDE COMMUNITY SCHOOL</v>
          </cell>
          <cell r="O1215" t="str">
            <v>2701 S CAMPBELL AVENUE</v>
          </cell>
          <cell r="Q1215" t="str">
            <v>CDC-15415</v>
          </cell>
          <cell r="AJ1215" t="e">
            <v>#N/A</v>
          </cell>
          <cell r="AK1215" t="str">
            <v>CDC-15415</v>
          </cell>
          <cell r="AL1215" t="str">
            <v>CDC15415</v>
          </cell>
        </row>
        <row r="1216">
          <cell r="N1216" t="str">
            <v>SOUTHSIDE HEAD START</v>
          </cell>
          <cell r="O1216" t="str">
            <v>317 WEST 23RD STREET</v>
          </cell>
          <cell r="Q1216" t="str">
            <v>CDC-0279</v>
          </cell>
          <cell r="AJ1216">
            <v>7950</v>
          </cell>
          <cell r="AK1216" t="str">
            <v>CDC-0279</v>
          </cell>
          <cell r="AL1216" t="str">
            <v>CDC0279</v>
          </cell>
        </row>
        <row r="1217">
          <cell r="N1217" t="str">
            <v>SOUTHWEST CREIGHTON HEAD START</v>
          </cell>
          <cell r="O1217" t="str">
            <v>2802 EAST MCDOWELL ROAD</v>
          </cell>
          <cell r="P1217" t="str">
            <v>nwilliams@swhd.org</v>
          </cell>
          <cell r="Q1217" t="str">
            <v>CDC-4709</v>
          </cell>
          <cell r="AJ1217">
            <v>8882</v>
          </cell>
          <cell r="AK1217" t="str">
            <v>CDC-4709</v>
          </cell>
          <cell r="AL1217" t="str">
            <v>CDC4709</v>
          </cell>
        </row>
        <row r="1218">
          <cell r="N1218" t="str">
            <v>SOUTHWEST EARLY HEAD START / HEAD START AT EDUCARE ARIZONA</v>
          </cell>
          <cell r="O1218" t="str">
            <v>1300 NORTH 48TH STREET</v>
          </cell>
          <cell r="P1218" t="str">
            <v>lpowers@swhd.org</v>
          </cell>
          <cell r="Q1218" t="str">
            <v>CDC-15893</v>
          </cell>
          <cell r="AJ1218">
            <v>91234</v>
          </cell>
          <cell r="AK1218" t="str">
            <v>CDC-15893</v>
          </cell>
          <cell r="AL1218" t="str">
            <v>CDC15893</v>
          </cell>
        </row>
        <row r="1219">
          <cell r="N1219" t="str">
            <v>SOUTHWEST HEAD START @ BALSZ SCHOOL</v>
          </cell>
          <cell r="O1219" t="str">
            <v>4309 EAST BELLEVIEW STREET</v>
          </cell>
          <cell r="P1219" t="str">
            <v>Nwilliams@swhs.org</v>
          </cell>
          <cell r="Q1219" t="str">
            <v>CDC-7167</v>
          </cell>
          <cell r="AJ1219" t="e">
            <v>#N/A</v>
          </cell>
          <cell r="AK1219" t="str">
            <v>CDC-7167</v>
          </cell>
          <cell r="AL1219" t="str">
            <v>CDC7167</v>
          </cell>
        </row>
        <row r="1220">
          <cell r="N1220" t="str">
            <v>SOUTHWEST HEAD START @ CAMPO BELLO</v>
          </cell>
          <cell r="O1220" t="str">
            <v>2650 EAST CONTENTION MINE ROAD</v>
          </cell>
          <cell r="P1220" t="str">
            <v>Lpowers@swhd.org</v>
          </cell>
          <cell r="Q1220" t="str">
            <v>CDC-7346</v>
          </cell>
          <cell r="AJ1220">
            <v>10355</v>
          </cell>
          <cell r="AK1220" t="str">
            <v>CDC-7346</v>
          </cell>
          <cell r="AL1220" t="str">
            <v>CDC7346</v>
          </cell>
        </row>
        <row r="1221">
          <cell r="N1221" t="str">
            <v>SOUTHWEST HEAD START @ CROCKETT</v>
          </cell>
          <cell r="O1221" t="str">
            <v>501 NORTH 36TH STREET</v>
          </cell>
          <cell r="P1221" t="str">
            <v>lpowers@swhs.org</v>
          </cell>
          <cell r="Q1221" t="str">
            <v>CDC-9608</v>
          </cell>
          <cell r="AJ1221" t="e">
            <v>#N/A</v>
          </cell>
          <cell r="AK1221" t="str">
            <v>CDC-9608</v>
          </cell>
          <cell r="AL1221" t="str">
            <v>CDC9608</v>
          </cell>
        </row>
        <row r="1222">
          <cell r="N1222" t="str">
            <v>SOUTHWEST HEAD START @ ECHO MOUNTAIN</v>
          </cell>
          <cell r="O1222" t="str">
            <v>1811 EAST MICHIGAN AVENUE</v>
          </cell>
          <cell r="P1222" t="str">
            <v>lpowers@swhd.org</v>
          </cell>
          <cell r="Q1222" t="str">
            <v>CDC-4663</v>
          </cell>
          <cell r="AJ1222" t="e">
            <v>#N/A</v>
          </cell>
          <cell r="AK1222" t="str">
            <v>CDC-4663</v>
          </cell>
          <cell r="AL1222" t="str">
            <v>CDC4663</v>
          </cell>
        </row>
        <row r="1223">
          <cell r="N1223" t="str">
            <v>SOUTHWEST HEAD START @ ENCANTO</v>
          </cell>
          <cell r="O1223" t="str">
            <v>1426 WEST OSBORN ROAD</v>
          </cell>
          <cell r="P1223" t="str">
            <v>lpowers@swhs.org</v>
          </cell>
          <cell r="Q1223" t="str">
            <v>CDC-8463</v>
          </cell>
          <cell r="AJ1223" t="e">
            <v>#N/A</v>
          </cell>
          <cell r="AK1223" t="str">
            <v>CDC-8463</v>
          </cell>
          <cell r="AL1223" t="str">
            <v>CDC8463</v>
          </cell>
        </row>
        <row r="1224">
          <cell r="N1224" t="str">
            <v>SOUTHWEST HEAD START @ EXCELENCIA SCHOOL</v>
          </cell>
          <cell r="O1224" t="str">
            <v>2181 EAST MCDOWELL ROAD</v>
          </cell>
          <cell r="P1224" t="str">
            <v>1powers@swhd.org</v>
          </cell>
          <cell r="Q1224" t="str">
            <v>CDC-9609</v>
          </cell>
          <cell r="AJ1224">
            <v>79758</v>
          </cell>
          <cell r="AK1224" t="str">
            <v>CDC-9609</v>
          </cell>
          <cell r="AL1224" t="str">
            <v>CDC9609</v>
          </cell>
        </row>
        <row r="1225">
          <cell r="N1225" t="str">
            <v>SOUTHWEST HEAD START @ GATEWAY</v>
          </cell>
          <cell r="O1225" t="str">
            <v>1100 NORTH 35TH STREET</v>
          </cell>
          <cell r="P1225" t="str">
            <v>lpowers@swhs.org</v>
          </cell>
          <cell r="Q1225" t="str">
            <v>CDC-8105</v>
          </cell>
          <cell r="AJ1225">
            <v>78729</v>
          </cell>
          <cell r="AK1225" t="str">
            <v>CDC-8105</v>
          </cell>
          <cell r="AL1225" t="str">
            <v>CDC8105</v>
          </cell>
        </row>
        <row r="1226">
          <cell r="N1226" t="str">
            <v>SOUTHWEST HEAD START @ KENNEDY</v>
          </cell>
          <cell r="O1226" t="str">
            <v>2702 EAST OSBORN ROAD</v>
          </cell>
          <cell r="P1226" t="str">
            <v>nwilliams@swhd.org</v>
          </cell>
          <cell r="Q1226" t="str">
            <v>CDC-11565</v>
          </cell>
          <cell r="AJ1226">
            <v>86879</v>
          </cell>
          <cell r="AK1226" t="str">
            <v>CDC-11565</v>
          </cell>
          <cell r="AL1226" t="str">
            <v>CDC11565</v>
          </cell>
        </row>
        <row r="1227">
          <cell r="N1227" t="str">
            <v>SOUTHWEST HEAD START @ LOMA LINDA</v>
          </cell>
          <cell r="O1227" t="str">
            <v>2002 EAST CLARENDON AVENUE</v>
          </cell>
          <cell r="P1227" t="str">
            <v>lpowers@swhd.org</v>
          </cell>
          <cell r="Q1227" t="str">
            <v>CDC-3745</v>
          </cell>
          <cell r="AJ1227" t="e">
            <v>#N/A</v>
          </cell>
          <cell r="AK1227" t="str">
            <v>CDC-3745</v>
          </cell>
          <cell r="AL1227" t="str">
            <v>CDC3745</v>
          </cell>
        </row>
        <row r="1228">
          <cell r="N1228" t="str">
            <v>SOUTHWEST HEAD START @ MACHAN SCHOOL</v>
          </cell>
          <cell r="O1228" t="str">
            <v>2140 EAST VIRGINIA AVENUE</v>
          </cell>
          <cell r="P1228" t="str">
            <v>Pmartinez@swhd.org</v>
          </cell>
          <cell r="Q1228" t="str">
            <v>CDC-4063</v>
          </cell>
          <cell r="AJ1228" t="e">
            <v>#N/A</v>
          </cell>
          <cell r="AK1228" t="str">
            <v>CDC-4063</v>
          </cell>
          <cell r="AL1228" t="str">
            <v>CDC4063</v>
          </cell>
        </row>
        <row r="1229">
          <cell r="N1229" t="str">
            <v>SOUTHWEST HEAD START @ MADISON PARK</v>
          </cell>
          <cell r="O1229" t="str">
            <v>1431 EAST CAMPBELL AVENUE</v>
          </cell>
          <cell r="P1229" t="str">
            <v>nwilliams@swhd.org</v>
          </cell>
          <cell r="Q1229" t="str">
            <v>CDC-11649</v>
          </cell>
          <cell r="AJ1229" t="e">
            <v>#N/A</v>
          </cell>
          <cell r="AK1229" t="str">
            <v>CDC-11649</v>
          </cell>
          <cell r="AL1229" t="str">
            <v>CDC11649</v>
          </cell>
        </row>
        <row r="1230">
          <cell r="N1230" t="str">
            <v>SOUTHWEST HEAD START @ MONTE VISTA SCHOOL</v>
          </cell>
          <cell r="O1230" t="str">
            <v>3501 EAST OSBORN ROAD</v>
          </cell>
          <cell r="P1230" t="str">
            <v>Nwilliams@swhd.org</v>
          </cell>
          <cell r="Q1230" t="str">
            <v>CDC-7158</v>
          </cell>
          <cell r="AJ1230">
            <v>8887</v>
          </cell>
          <cell r="AK1230" t="str">
            <v>CDC-7158</v>
          </cell>
          <cell r="AL1230" t="str">
            <v>CDC7158</v>
          </cell>
        </row>
        <row r="1231">
          <cell r="N1231" t="str">
            <v>SOUTHWEST HEAD START @ MONTECITO</v>
          </cell>
          <cell r="O1231" t="str">
            <v>715 EAST MONTECITO AVENUE</v>
          </cell>
          <cell r="P1231" t="str">
            <v>lpowers@swhd.org</v>
          </cell>
          <cell r="Q1231" t="str">
            <v>CDC-8964</v>
          </cell>
          <cell r="AJ1231">
            <v>80690</v>
          </cell>
          <cell r="AK1231" t="str">
            <v>CDC-8964</v>
          </cell>
          <cell r="AL1231" t="str">
            <v>CDC8964</v>
          </cell>
        </row>
        <row r="1232">
          <cell r="N1232" t="str">
            <v>SOUTHWEST HEAD START @ PALOMINO SCHOOL</v>
          </cell>
          <cell r="O1232" t="str">
            <v>15833 NORTH 29TH STREET</v>
          </cell>
          <cell r="P1232" t="str">
            <v>SThomas2@swhd.org</v>
          </cell>
          <cell r="Q1232" t="str">
            <v>CDC-10965</v>
          </cell>
          <cell r="AJ1232">
            <v>84663</v>
          </cell>
          <cell r="AK1232" t="str">
            <v>CDC-10965</v>
          </cell>
          <cell r="AL1232" t="str">
            <v>CDC10965</v>
          </cell>
        </row>
        <row r="1233">
          <cell r="N1233" t="str">
            <v>SOUTHWEST HEAD START @ PAPAGO SCHOOL</v>
          </cell>
          <cell r="O1233" t="str">
            <v>2052 NORTH 36TH STREET</v>
          </cell>
          <cell r="P1233" t="str">
            <v>R.Williams@swhd.org</v>
          </cell>
          <cell r="Q1233" t="str">
            <v>CDC-4064</v>
          </cell>
          <cell r="AJ1233" t="e">
            <v>#N/A</v>
          </cell>
          <cell r="AK1233" t="str">
            <v>CDC-4064</v>
          </cell>
          <cell r="AL1233" t="str">
            <v>CDC4064</v>
          </cell>
        </row>
        <row r="1234">
          <cell r="N1234" t="str">
            <v>SOUTHWEST HEAD START @ PHOENIX COLLEGE</v>
          </cell>
          <cell r="O1234" t="str">
            <v>3310 NORTH 10TH AVENUE</v>
          </cell>
          <cell r="P1234" t="str">
            <v>lpowers@swhd.org</v>
          </cell>
          <cell r="Q1234" t="str">
            <v>CDC-8046</v>
          </cell>
          <cell r="AJ1234">
            <v>78728</v>
          </cell>
          <cell r="AK1234" t="str">
            <v>CDC-8046</v>
          </cell>
          <cell r="AL1234" t="str">
            <v>CDC8046</v>
          </cell>
        </row>
        <row r="1235">
          <cell r="N1235" t="str">
            <v>SOUTHWEST HEAD START AT BRUNSON LEE</v>
          </cell>
          <cell r="O1235" t="str">
            <v>1350 NORTH 48TH STREET</v>
          </cell>
          <cell r="P1235" t="str">
            <v>Nwilliams@swhd.org</v>
          </cell>
          <cell r="Q1235" t="str">
            <v>CDC-18558</v>
          </cell>
          <cell r="AJ1235">
            <v>86878</v>
          </cell>
          <cell r="AK1235" t="str">
            <v>CDC-18558</v>
          </cell>
          <cell r="AL1235" t="str">
            <v>CDC18558</v>
          </cell>
        </row>
        <row r="1236">
          <cell r="N1236" t="str">
            <v>SPIRIT OF HOPE MONTESSORI SCHOOL, INC</v>
          </cell>
          <cell r="O1236" t="str">
            <v>14403 NORTH 75TH AVENUE</v>
          </cell>
          <cell r="P1236" t="str">
            <v>rickcolleen@cox.net</v>
          </cell>
          <cell r="Q1236" t="str">
            <v>CDC-8834</v>
          </cell>
          <cell r="AJ1236" t="e">
            <v>#N/A</v>
          </cell>
          <cell r="AK1236" t="str">
            <v>CDC-8834</v>
          </cell>
          <cell r="AL1236" t="str">
            <v>CDC8834</v>
          </cell>
        </row>
        <row r="1237">
          <cell r="N1237" t="str">
            <v>SPONDEO PRESCHOOL</v>
          </cell>
          <cell r="O1237" t="str">
            <v>2680 SOUTH VAL VISTA DRIVE STE 157</v>
          </cell>
          <cell r="P1237" t="str">
            <v>ivanjpemberton@gmail.com</v>
          </cell>
          <cell r="Q1237" t="str">
            <v>CDC-14862</v>
          </cell>
          <cell r="AJ1237" t="e">
            <v>#N/A</v>
          </cell>
          <cell r="AK1237" t="str">
            <v>CDC-14862</v>
          </cell>
          <cell r="AL1237" t="str">
            <v>CDC14862</v>
          </cell>
        </row>
        <row r="1238">
          <cell r="N1238" t="str">
            <v>SPROUTS PRESCHOOL</v>
          </cell>
          <cell r="O1238" t="str">
            <v>261 NORTH 5TH STREET</v>
          </cell>
          <cell r="P1238" t="str">
            <v>bethharper1@yahoo.com</v>
          </cell>
          <cell r="Q1238" t="str">
            <v>CDC-8385</v>
          </cell>
          <cell r="AJ1238" t="e">
            <v>#N/A</v>
          </cell>
          <cell r="AK1238" t="str">
            <v>CDC-8385</v>
          </cell>
          <cell r="AL1238" t="str">
            <v>CDC8385</v>
          </cell>
        </row>
        <row r="1239">
          <cell r="N1239" t="str">
            <v>ST. AGNES PRESCHOOL</v>
          </cell>
          <cell r="O1239" t="str">
            <v>2311 EAST PALM LANE</v>
          </cell>
          <cell r="P1239" t="str">
            <v>mcaca@stagnesphx.org</v>
          </cell>
          <cell r="Q1239" t="str">
            <v>CDC-14535</v>
          </cell>
          <cell r="AJ1239" t="e">
            <v>#N/A</v>
          </cell>
          <cell r="AK1239" t="str">
            <v>CDC-14535</v>
          </cell>
          <cell r="AL1239" t="str">
            <v>CDC14535</v>
          </cell>
        </row>
        <row r="1240">
          <cell r="N1240" t="str">
            <v>ST. ALBAN'S PRESCHOOL &amp; KINDERGARTEN</v>
          </cell>
          <cell r="O1240" t="str">
            <v>3738 N OLD SABINO CANYON</v>
          </cell>
          <cell r="P1240" t="str">
            <v>albanspk@stalbansaz.org</v>
          </cell>
          <cell r="Q1240" t="str">
            <v>CDC-3173</v>
          </cell>
          <cell r="AJ1240" t="e">
            <v>#N/A</v>
          </cell>
          <cell r="AK1240" t="str">
            <v>CDC-3173</v>
          </cell>
          <cell r="AL1240" t="str">
            <v>CDC3173</v>
          </cell>
        </row>
        <row r="1241">
          <cell r="N1241" t="str">
            <v>ST. AMBROSE EARLY LEARNING CENTER</v>
          </cell>
          <cell r="O1241" t="str">
            <v>300 SOUTH TUCSON BLVD</v>
          </cell>
          <cell r="P1241" t="str">
            <v>rvillanueva@stambrosetucson.org</v>
          </cell>
          <cell r="Q1241" t="str">
            <v>CDC-18155</v>
          </cell>
          <cell r="AJ1241" t="e">
            <v>#N/A</v>
          </cell>
          <cell r="AK1241" t="str">
            <v>CDC-18155</v>
          </cell>
          <cell r="AL1241" t="str">
            <v>CDC18155</v>
          </cell>
        </row>
        <row r="1242">
          <cell r="N1242" t="str">
            <v>ST. ANDREW'S PRESCHOOL &amp; DAY CARE CENTER INC.</v>
          </cell>
          <cell r="O1242" t="str">
            <v>969 WEST COUNTRY CLUB DR.</v>
          </cell>
          <cell r="P1242" t="str">
            <v>info@sapreschool.org</v>
          </cell>
          <cell r="Q1242" t="str">
            <v>CDC-7060</v>
          </cell>
          <cell r="AJ1242" t="e">
            <v>#N/A</v>
          </cell>
          <cell r="AK1242" t="str">
            <v>CDC-7060</v>
          </cell>
          <cell r="AL1242" t="str">
            <v>CDC7060</v>
          </cell>
        </row>
        <row r="1243">
          <cell r="N1243" t="str">
            <v>ST. ANDREW'S PRESCHOOL &amp; KINDERGARTEN</v>
          </cell>
          <cell r="O1243" t="str">
            <v>7650 NORTH PASEO DEL NORTE</v>
          </cell>
          <cell r="P1243" t="str">
            <v>cplaner@sapctucson.org</v>
          </cell>
          <cell r="Q1243" t="str">
            <v>CDC-1656</v>
          </cell>
          <cell r="AJ1243" t="e">
            <v>#N/A</v>
          </cell>
          <cell r="AK1243" t="str">
            <v>CDC-1656</v>
          </cell>
          <cell r="AL1243" t="str">
            <v>CDC1656</v>
          </cell>
        </row>
        <row r="1244">
          <cell r="N1244" t="str">
            <v>ST. ANTHONY OF PADUA CATHOLIC PRESCHOOL</v>
          </cell>
          <cell r="O1244" t="str">
            <v>501 EAST 2ND STREET</v>
          </cell>
          <cell r="P1244" t="str">
            <v>officemanager@stanthonycgschool.org</v>
          </cell>
          <cell r="Q1244" t="str">
            <v>CDC-12666</v>
          </cell>
          <cell r="AJ1244" t="e">
            <v>#N/A</v>
          </cell>
          <cell r="AK1244" t="str">
            <v>CDC-12666</v>
          </cell>
          <cell r="AL1244" t="str">
            <v>CDC12666</v>
          </cell>
        </row>
        <row r="1245">
          <cell r="N1245" t="str">
            <v>ST. ANTHONY SCHOOL-PREKINDERGARTEN</v>
          </cell>
          <cell r="O1245" t="str">
            <v>1400 EAST OWENS</v>
          </cell>
          <cell r="P1245" t="str">
            <v>admin@stantschool.org</v>
          </cell>
          <cell r="Q1245" t="str">
            <v>CDC-15213</v>
          </cell>
          <cell r="AJ1245" t="e">
            <v>#N/A</v>
          </cell>
          <cell r="AK1245" t="str">
            <v>CDC-15213</v>
          </cell>
          <cell r="AL1245" t="str">
            <v>CDC15213</v>
          </cell>
        </row>
        <row r="1246">
          <cell r="N1246" t="str">
            <v>ST. APKAR ARMENIAN CHURCH</v>
          </cell>
          <cell r="O1246" t="str">
            <v>8849 EAST CHOLLA STREET</v>
          </cell>
          <cell r="P1246" t="str">
            <v>jdtryon@missionmontessori.com</v>
          </cell>
          <cell r="Q1246" t="str">
            <v>CDC-18141</v>
          </cell>
          <cell r="AJ1246" t="e">
            <v>#N/A</v>
          </cell>
          <cell r="AK1246" t="str">
            <v>CDC-18141</v>
          </cell>
          <cell r="AL1246" t="str">
            <v>CDC18141</v>
          </cell>
        </row>
        <row r="1247">
          <cell r="N1247" t="str">
            <v>ST. CATHERINE OF SIENA PRESCHOOL</v>
          </cell>
          <cell r="O1247" t="str">
            <v>6413 SOUTH CENTRAL AVENUE</v>
          </cell>
          <cell r="P1247" t="str">
            <v>xramirez@thesclions.org</v>
          </cell>
          <cell r="Q1247" t="str">
            <v>CDC-17714</v>
          </cell>
          <cell r="AJ1247" t="e">
            <v>#N/A</v>
          </cell>
          <cell r="AK1247" t="str">
            <v>CDC-17714</v>
          </cell>
          <cell r="AL1247" t="str">
            <v>CDC17714</v>
          </cell>
        </row>
        <row r="1248">
          <cell r="N1248" t="str">
            <v>ST. CYRIL OF ALEXANDRIA SCHOOL</v>
          </cell>
          <cell r="O1248" t="str">
            <v>4725 EAST PIMA ST</v>
          </cell>
          <cell r="P1248" t="str">
            <v>Deborah@stcyril.com, marcim@stcyril.com</v>
          </cell>
          <cell r="Q1248" t="str">
            <v>CDC-12667</v>
          </cell>
          <cell r="AJ1248" t="e">
            <v>#N/A</v>
          </cell>
          <cell r="AK1248" t="str">
            <v>CDC-12667</v>
          </cell>
          <cell r="AL1248" t="str">
            <v>CDC12667</v>
          </cell>
        </row>
        <row r="1249">
          <cell r="N1249" t="str">
            <v>ST. ELIZABETH ANN SETON SCHOOL</v>
          </cell>
          <cell r="O1249" t="str">
            <v>8650 NORTH SHANNON ROAD</v>
          </cell>
          <cell r="Q1249" t="str">
            <v>CDC-12391</v>
          </cell>
          <cell r="AJ1249" t="e">
            <v>#N/A</v>
          </cell>
          <cell r="AK1249" t="str">
            <v>CDC-12391</v>
          </cell>
          <cell r="AL1249" t="str">
            <v>CDC12391</v>
          </cell>
        </row>
        <row r="1250">
          <cell r="N1250" t="str">
            <v>ST. FRANCIS OF ASSISI SCHOOL</v>
          </cell>
          <cell r="O1250" t="str">
            <v>700 WEST 18TH STREET</v>
          </cell>
          <cell r="P1250" t="str">
            <v>vlopez@stfrancisyuma.com</v>
          </cell>
          <cell r="Q1250" t="str">
            <v>CDC-17464</v>
          </cell>
          <cell r="AJ1250" t="e">
            <v>#N/A</v>
          </cell>
          <cell r="AK1250" t="str">
            <v>CDC-17464</v>
          </cell>
          <cell r="AL1250" t="str">
            <v>CDC17464</v>
          </cell>
        </row>
        <row r="1251">
          <cell r="N1251" t="str">
            <v>ST. FRANCIS XAVIER ROMAN CATHOLIC PARISH</v>
          </cell>
          <cell r="O1251" t="str">
            <v>4715 NORTH CENTRAL AVENUE</v>
          </cell>
          <cell r="P1251" t="str">
            <v>chris.sheedy@sfxphx.org</v>
          </cell>
          <cell r="Q1251" t="str">
            <v>CDC-15670</v>
          </cell>
          <cell r="AJ1251" t="e">
            <v>#N/A</v>
          </cell>
          <cell r="AK1251" t="str">
            <v>CDC-15670</v>
          </cell>
          <cell r="AL1251" t="str">
            <v>CDC15670</v>
          </cell>
        </row>
        <row r="1252">
          <cell r="N1252" t="str">
            <v>ST. GREGORY CATHOLIC SCHOOL -  PRESCHOOL AND EXTENDED CARE</v>
          </cell>
          <cell r="O1252" t="str">
            <v>3440 NORTH 18TH AVENUE</v>
          </cell>
          <cell r="P1252" t="str">
            <v>tbartlett@stgphx.com, lcook@stgphx.org</v>
          </cell>
          <cell r="Q1252" t="str">
            <v>CDC-14367</v>
          </cell>
          <cell r="AJ1252" t="e">
            <v>#N/A</v>
          </cell>
          <cell r="AK1252" t="str">
            <v>CDC-14367</v>
          </cell>
          <cell r="AL1252" t="str">
            <v>CDC14367</v>
          </cell>
        </row>
        <row r="1253">
          <cell r="N1253" t="str">
            <v>ST. JEROME PRESCHOOL</v>
          </cell>
          <cell r="O1253" t="str">
            <v>10815 NORTH 35TH AVENUE</v>
          </cell>
          <cell r="P1253" t="str">
            <v>mdegrose@saintjerome.org</v>
          </cell>
          <cell r="Q1253" t="str">
            <v>CDC-14279</v>
          </cell>
          <cell r="AJ1253" t="e">
            <v>#N/A</v>
          </cell>
          <cell r="AK1253" t="str">
            <v>CDC-14279</v>
          </cell>
          <cell r="AL1253" t="str">
            <v>CDC14279</v>
          </cell>
        </row>
        <row r="1254">
          <cell r="N1254" t="str">
            <v>ST. JOAN OF ARC PRESCHOOL</v>
          </cell>
          <cell r="O1254" t="str">
            <v>3801 EAST GREENWAY ROAD</v>
          </cell>
          <cell r="P1254" t="str">
            <v>dhilliard@stjoanofarc.com</v>
          </cell>
          <cell r="Q1254" t="str">
            <v>CDC-14805</v>
          </cell>
          <cell r="AJ1254" t="e">
            <v>#N/A</v>
          </cell>
          <cell r="AK1254" t="str">
            <v>CDC-14805</v>
          </cell>
          <cell r="AL1254" t="str">
            <v>CDC14805</v>
          </cell>
        </row>
        <row r="1255">
          <cell r="N1255" t="str">
            <v>ST. JOHN BOSCO CATHOLIC SCHOOL PROGRAM</v>
          </cell>
          <cell r="O1255" t="str">
            <v>16035 SOUTH 48TH STREET</v>
          </cell>
          <cell r="P1255" t="str">
            <v>jbescak@sjbosco.org</v>
          </cell>
          <cell r="Q1255" t="str">
            <v>CDC-14341</v>
          </cell>
          <cell r="AJ1255" t="e">
            <v>#N/A</v>
          </cell>
          <cell r="AK1255" t="str">
            <v>CDC-14341</v>
          </cell>
          <cell r="AL1255" t="str">
            <v>CDC14341</v>
          </cell>
        </row>
        <row r="1256">
          <cell r="N1256" t="str">
            <v>ST. JOHN THE EVANGELIST PRESCHOOL AND FAMILY CENTER</v>
          </cell>
          <cell r="O1256" t="str">
            <v>602 WEST AJO WAY</v>
          </cell>
          <cell r="P1256" t="str">
            <v>msolorzano@stjohntucson.org</v>
          </cell>
          <cell r="Q1256" t="str">
            <v>CDC-12444</v>
          </cell>
          <cell r="AJ1256" t="e">
            <v>#N/A</v>
          </cell>
          <cell r="AK1256" t="str">
            <v>CDC-12444</v>
          </cell>
          <cell r="AL1256" t="str">
            <v>CDC12444</v>
          </cell>
        </row>
        <row r="1257">
          <cell r="N1257" t="str">
            <v>ST. JOHN VIANNEY CATHOLIC PRESCHOOL</v>
          </cell>
          <cell r="O1257" t="str">
            <v>539 LA PASADA BOULEVARD</v>
          </cell>
          <cell r="P1257" t="str">
            <v>lrodriguez@sjvaz.net</v>
          </cell>
          <cell r="Q1257" t="str">
            <v>CDC-14342</v>
          </cell>
          <cell r="AJ1257" t="e">
            <v>#N/A</v>
          </cell>
          <cell r="AK1257" t="str">
            <v>CDC-14342</v>
          </cell>
          <cell r="AL1257" t="str">
            <v>CDC14342</v>
          </cell>
        </row>
        <row r="1258">
          <cell r="N1258" t="str">
            <v>ST. JOSEPH CATHOLIC SCHOOL PRE-K AND ESD PROGRAMS</v>
          </cell>
          <cell r="O1258" t="str">
            <v>215 SOUTH CRAYCROFT ROAD</v>
          </cell>
          <cell r="P1258" t="str">
            <v>cteran@stjosephtusconaz.org</v>
          </cell>
          <cell r="Q1258" t="str">
            <v>CDC-12903</v>
          </cell>
          <cell r="AJ1258" t="e">
            <v>#N/A</v>
          </cell>
          <cell r="AK1258" t="str">
            <v>CDC-12903</v>
          </cell>
          <cell r="AL1258" t="str">
            <v>CDC12903</v>
          </cell>
        </row>
        <row r="1259">
          <cell r="N1259" t="str">
            <v>ST. LOUIS THE KING PRE - KINDERGARTEN AND EXTENDED DAY</v>
          </cell>
          <cell r="O1259" t="str">
            <v>4331 WEST MARYLAND AVENUE</v>
          </cell>
          <cell r="P1259" t="str">
            <v>jenniferweworski@slkschool.com</v>
          </cell>
          <cell r="Q1259" t="str">
            <v>CDC-14371</v>
          </cell>
          <cell r="AJ1259" t="e">
            <v>#N/A</v>
          </cell>
          <cell r="AK1259" t="str">
            <v>CDC-14371</v>
          </cell>
          <cell r="AL1259" t="str">
            <v>CDC14371</v>
          </cell>
        </row>
        <row r="1260">
          <cell r="N1260" t="str">
            <v>ST. MARK LITTLE TOTS CHILDREN CENTER</v>
          </cell>
          <cell r="O1260" t="str">
            <v>2727 WEST TANGERINE ROAD</v>
          </cell>
          <cell r="P1260" t="str">
            <v>hikutie@gmail.com</v>
          </cell>
          <cell r="Q1260" t="str">
            <v>CDC-17658</v>
          </cell>
          <cell r="AJ1260" t="e">
            <v>#N/A</v>
          </cell>
          <cell r="AK1260" t="str">
            <v>CDC-17658</v>
          </cell>
          <cell r="AL1260" t="str">
            <v>CDC17658</v>
          </cell>
        </row>
        <row r="1261">
          <cell r="N1261" t="str">
            <v>ST. MARK LUTHERAN  PRESCHOOL</v>
          </cell>
          <cell r="O1261" t="str">
            <v>3030 EAST THUNDERBIRD ROAD</v>
          </cell>
          <cell r="P1261" t="str">
            <v>preschool@stmarkphx.org</v>
          </cell>
          <cell r="Q1261" t="str">
            <v>CDC-0838</v>
          </cell>
          <cell r="AJ1261" t="e">
            <v>#N/A</v>
          </cell>
          <cell r="AK1261" t="str">
            <v>CDC-0838</v>
          </cell>
          <cell r="AL1261" t="str">
            <v>CDC0838</v>
          </cell>
        </row>
        <row r="1262">
          <cell r="N1262" t="str">
            <v>ST. MARK'S EARLY CHILDHOOD CENTER</v>
          </cell>
          <cell r="O1262" t="str">
            <v>1431 WEST MAGEE ROAD</v>
          </cell>
          <cell r="P1262" t="str">
            <v>stmarksecc@live.com</v>
          </cell>
          <cell r="Q1262" t="str">
            <v>CDC-0320</v>
          </cell>
          <cell r="AJ1262" t="e">
            <v>#N/A</v>
          </cell>
          <cell r="AK1262" t="str">
            <v>CDC-0320</v>
          </cell>
          <cell r="AL1262" t="str">
            <v>CDC0320</v>
          </cell>
        </row>
        <row r="1263">
          <cell r="N1263" t="str">
            <v>ST. MARK'S PRESCHOOL &amp; KINDERGARTEN</v>
          </cell>
          <cell r="O1263" t="str">
            <v>3809 EAST THIRD STREET</v>
          </cell>
          <cell r="P1263" t="str">
            <v>office@stmarkspreschool.com</v>
          </cell>
          <cell r="Q1263" t="str">
            <v>CDC-0228</v>
          </cell>
          <cell r="AJ1263" t="e">
            <v>#N/A</v>
          </cell>
          <cell r="AK1263" t="str">
            <v>CDC-0228</v>
          </cell>
          <cell r="AL1263" t="str">
            <v>CDC0228</v>
          </cell>
        </row>
        <row r="1264">
          <cell r="N1264" t="str">
            <v>ST. MARY-BASHA CATHOLIC SCHOOL BEFORE/AFTER SCHOOL PROGRAM</v>
          </cell>
          <cell r="O1264" t="str">
            <v>200 WEST GALVESTON STREET</v>
          </cell>
          <cell r="P1264" t="str">
            <v>SMB@stmarybashacatholic.org</v>
          </cell>
          <cell r="Q1264" t="str">
            <v>CDC-14330</v>
          </cell>
          <cell r="AJ1264" t="e">
            <v>#N/A</v>
          </cell>
          <cell r="AK1264" t="str">
            <v>CDC-14330</v>
          </cell>
          <cell r="AL1264" t="str">
            <v>CDC14330</v>
          </cell>
        </row>
        <row r="1265">
          <cell r="N1265" t="str">
            <v>ST. MARY-BASHA PRESCHOOL AT SAN JUAN DIEGO</v>
          </cell>
          <cell r="O1265" t="str">
            <v>3200 SOUTH COOPER ROAD</v>
          </cell>
          <cell r="P1265" t="str">
            <v>SMB@stmarybashacatholic.org</v>
          </cell>
          <cell r="Q1265" t="str">
            <v>CDC-18037</v>
          </cell>
          <cell r="AJ1265" t="e">
            <v>#N/A</v>
          </cell>
          <cell r="AK1265" t="str">
            <v>CDC-18037</v>
          </cell>
          <cell r="AL1265" t="str">
            <v>CDC18037</v>
          </cell>
        </row>
        <row r="1266">
          <cell r="N1266" t="str">
            <v>ST. MICHAEL'S PARISH DAY SCHOOL</v>
          </cell>
          <cell r="O1266" t="str">
            <v>602 NORTH WILMOT ROAD</v>
          </cell>
          <cell r="P1266" t="str">
            <v>pking@stmichael.net</v>
          </cell>
          <cell r="Q1266" t="str">
            <v>CDC-3249</v>
          </cell>
          <cell r="AJ1266" t="e">
            <v>#N/A</v>
          </cell>
          <cell r="AK1266" t="str">
            <v>CDC-3249</v>
          </cell>
          <cell r="AL1266" t="str">
            <v>CDC3249</v>
          </cell>
        </row>
        <row r="1267">
          <cell r="N1267" t="str">
            <v>ST. PAUL'S UNITED METHODIST PRESCHOOL</v>
          </cell>
          <cell r="O1267" t="str">
            <v>8051 EAST BROADWAY</v>
          </cell>
          <cell r="P1267" t="str">
            <v>spumcpreschool@gmail.com</v>
          </cell>
          <cell r="Q1267" t="str">
            <v>CDC-0256</v>
          </cell>
          <cell r="AJ1267" t="e">
            <v>#N/A</v>
          </cell>
          <cell r="AK1267" t="str">
            <v>CDC-0256</v>
          </cell>
          <cell r="AL1267" t="str">
            <v>CDC0256</v>
          </cell>
        </row>
        <row r="1268">
          <cell r="N1268" t="str">
            <v>ST. PETER'S EPISCOPAL MONTESSORI SCHOOL</v>
          </cell>
          <cell r="O1268" t="str">
            <v>400 SOUTH OLD LITCHFIELD ROAD</v>
          </cell>
          <cell r="P1268" t="str">
            <v>montessori@stpetersaz.com</v>
          </cell>
          <cell r="Q1268" t="str">
            <v>CDC-0779</v>
          </cell>
          <cell r="AJ1268" t="e">
            <v>#N/A</v>
          </cell>
          <cell r="AK1268" t="str">
            <v>CDC-0779</v>
          </cell>
          <cell r="AL1268" t="str">
            <v>CDC0779</v>
          </cell>
        </row>
        <row r="1269">
          <cell r="N1269" t="str">
            <v>ST. THERESA LITTLE FLOWER PRESCHOOL</v>
          </cell>
          <cell r="O1269" t="str">
            <v>5001 EAST THOMAS ROAD</v>
          </cell>
          <cell r="P1269" t="str">
            <v>jzander@stcs.us</v>
          </cell>
          <cell r="Q1269" t="str">
            <v>CDC-14970</v>
          </cell>
          <cell r="AJ1269" t="e">
            <v>#N/A</v>
          </cell>
          <cell r="AK1269" t="str">
            <v>CDC-14970</v>
          </cell>
          <cell r="AL1269" t="str">
            <v>CDC14970</v>
          </cell>
        </row>
        <row r="1270">
          <cell r="N1270" t="str">
            <v>ST. THOMAS AQUINAS PRESCHOOL</v>
          </cell>
          <cell r="O1270" t="str">
            <v>13720 WEST THOMAS ROAD</v>
          </cell>
          <cell r="P1270" t="str">
            <v>cscheller@stacc.net</v>
          </cell>
          <cell r="Q1270" t="str">
            <v>CDC-14267</v>
          </cell>
          <cell r="AJ1270" t="e">
            <v>#N/A</v>
          </cell>
          <cell r="AK1270" t="str">
            <v>CDC-14267</v>
          </cell>
          <cell r="AL1270" t="str">
            <v>CDC14267</v>
          </cell>
        </row>
        <row r="1271">
          <cell r="N1271" t="str">
            <v>ST. THOMAS PRESCHOOL</v>
          </cell>
          <cell r="O1271" t="str">
            <v>5150 NORTH VALLEY VIEW ROAD</v>
          </cell>
          <cell r="P1271" t="str">
            <v>Sthomaspreschool@gmail.com</v>
          </cell>
          <cell r="Q1271" t="str">
            <v>CDC-12595</v>
          </cell>
          <cell r="AJ1271" t="e">
            <v>#N/A</v>
          </cell>
          <cell r="AK1271" t="str">
            <v>CDC-12595</v>
          </cell>
          <cell r="AL1271" t="str">
            <v>CDC12595</v>
          </cell>
        </row>
        <row r="1272">
          <cell r="N1272" t="str">
            <v>ST. THOMAS THE APOSTLE CATHOLIC SCHOOL</v>
          </cell>
          <cell r="O1272" t="str">
            <v>4510 NORTH 24TH STREET</v>
          </cell>
          <cell r="P1272" t="str">
            <v>amansour@staphx.org</v>
          </cell>
          <cell r="Q1272" t="str">
            <v>CDC-16626</v>
          </cell>
          <cell r="AJ1272" t="e">
            <v>#N/A</v>
          </cell>
          <cell r="AK1272" t="str">
            <v>CDC-16626</v>
          </cell>
          <cell r="AL1272" t="str">
            <v>CDC16626</v>
          </cell>
        </row>
        <row r="1273">
          <cell r="N1273" t="str">
            <v>ST. TIMOTHY CATHOLIC PRESCHOOL &amp; DAYCARE</v>
          </cell>
          <cell r="O1273" t="str">
            <v>2045 SOUTH PENNINGTON</v>
          </cell>
          <cell r="P1273" t="str">
            <v>Arise@sttimothymesa.org</v>
          </cell>
          <cell r="Q1273" t="str">
            <v>CDC-17847</v>
          </cell>
          <cell r="AJ1273" t="e">
            <v>#N/A</v>
          </cell>
          <cell r="AK1273" t="str">
            <v>CDC-17847</v>
          </cell>
          <cell r="AL1273" t="str">
            <v>CDC17847</v>
          </cell>
        </row>
        <row r="1274">
          <cell r="N1274" t="str">
            <v>ST. VINCENT DE PAUL EXTENDED CARE</v>
          </cell>
          <cell r="O1274" t="str">
            <v>3130 NORTH 51ST AVENUE</v>
          </cell>
          <cell r="P1274" t="str">
            <v>gyslava@svdpschool.org</v>
          </cell>
          <cell r="Q1274" t="str">
            <v>CDC-14376</v>
          </cell>
          <cell r="AJ1274" t="e">
            <v>#N/A</v>
          </cell>
          <cell r="AK1274" t="str">
            <v>CDC-14376</v>
          </cell>
          <cell r="AL1274" t="str">
            <v>CDC14376</v>
          </cell>
        </row>
        <row r="1275">
          <cell r="N1275" t="str">
            <v>ST. VINCENT DE PAUL PRE - SCHOOL</v>
          </cell>
          <cell r="O1275" t="str">
            <v>3130 NORTH 51ST AVENUE</v>
          </cell>
          <cell r="P1275" t="str">
            <v>jyslava@svdpschool.org</v>
          </cell>
          <cell r="Q1275" t="str">
            <v>CDC-14375</v>
          </cell>
          <cell r="AJ1275" t="e">
            <v>#N/A</v>
          </cell>
          <cell r="AK1275" t="str">
            <v>CDC-14375</v>
          </cell>
          <cell r="AL1275" t="str">
            <v>CDC14375</v>
          </cell>
        </row>
        <row r="1276">
          <cell r="N1276" t="str">
            <v>STANDING STONES CHRISTIAN ACADEMY</v>
          </cell>
          <cell r="O1276" t="str">
            <v>28750 N NORTH VALLEY PKWY</v>
          </cell>
          <cell r="P1276" t="str">
            <v>saunders8913@msn.com</v>
          </cell>
          <cell r="Q1276" t="str">
            <v>CDC-18429</v>
          </cell>
          <cell r="AJ1276" t="e">
            <v>#N/A</v>
          </cell>
          <cell r="AK1276" t="str">
            <v>CDC-18429</v>
          </cell>
          <cell r="AL1276" t="str">
            <v>CDC18429</v>
          </cell>
        </row>
        <row r="1277">
          <cell r="N1277" t="str">
            <v>STANFIELD HEAD START CENTER</v>
          </cell>
          <cell r="O1277" t="str">
            <v>515 SOUTH STANFIELD ROAD</v>
          </cell>
          <cell r="P1277" t="str">
            <v>erika.manriquez@pgccs.org</v>
          </cell>
          <cell r="Q1277" t="str">
            <v>CDC-1210</v>
          </cell>
          <cell r="AJ1277">
            <v>8077</v>
          </cell>
          <cell r="AK1277" t="str">
            <v>CDC-1210</v>
          </cell>
          <cell r="AL1277" t="str">
            <v>CDC1210</v>
          </cell>
        </row>
        <row r="1278">
          <cell r="N1278" t="str">
            <v>STAR SCHOOL</v>
          </cell>
          <cell r="O1278" t="str">
            <v>145 LEUPP ROAD</v>
          </cell>
          <cell r="P1278" t="str">
            <v>info@starschool.org</v>
          </cell>
          <cell r="Q1278" t="str">
            <v>CDC-16942</v>
          </cell>
          <cell r="AJ1278" t="e">
            <v>#N/A</v>
          </cell>
          <cell r="AK1278" t="str">
            <v>CDC-16942</v>
          </cell>
          <cell r="AL1278" t="str">
            <v>CDC16942</v>
          </cell>
        </row>
        <row r="1279">
          <cell r="N1279" t="str">
            <v>STARKS LEARNING CENTER L.L.C.</v>
          </cell>
          <cell r="O1279" t="str">
            <v>2155 EAST BROADWAY ROAD</v>
          </cell>
          <cell r="P1279" t="str">
            <v>kyra@starkslearningcenter.com</v>
          </cell>
          <cell r="Q1279" t="str">
            <v>CDC-18374</v>
          </cell>
          <cell r="AJ1279" t="e">
            <v>#N/A</v>
          </cell>
          <cell r="AK1279" t="str">
            <v>CDC-18374</v>
          </cell>
          <cell r="AL1279" t="str">
            <v>CDC18374</v>
          </cell>
        </row>
        <row r="1280">
          <cell r="N1280" t="str">
            <v>STARS AND CHAMPS LEARNING CENTER L.L.C.</v>
          </cell>
          <cell r="O1280" t="str">
            <v>4114 EAST BROWN WAY</v>
          </cell>
          <cell r="P1280" t="str">
            <v>alma@starsandchamps.com</v>
          </cell>
          <cell r="Q1280" t="str">
            <v>CDC-18765</v>
          </cell>
          <cell r="AJ1280" t="e">
            <v>#N/A</v>
          </cell>
          <cell r="AK1280" t="str">
            <v>CDC-18765</v>
          </cell>
          <cell r="AL1280" t="str">
            <v>CDC18765</v>
          </cell>
        </row>
        <row r="1281">
          <cell r="N1281" t="str">
            <v>START RIGHT PRESCHOOL</v>
          </cell>
          <cell r="O1281" t="str">
            <v>3460 EAST SOUTHERN AVENUE STE 101</v>
          </cell>
          <cell r="P1281" t="str">
            <v>Aj@startrightpreschool.com</v>
          </cell>
          <cell r="Q1281" t="str">
            <v>CDC-16563</v>
          </cell>
          <cell r="AJ1281" t="e">
            <v>#N/A</v>
          </cell>
          <cell r="AK1281" t="str">
            <v>CDC-16563</v>
          </cell>
          <cell r="AL1281" t="str">
            <v>CDC16563</v>
          </cell>
        </row>
        <row r="1282">
          <cell r="N1282" t="str">
            <v>STARTING BLOCKS PRESCHOOL</v>
          </cell>
          <cell r="O1282" t="str">
            <v>42101 NORTH 41ST DRIVE - SUITE 136</v>
          </cell>
          <cell r="P1282" t="str">
            <v>startingblockspreschool@gmail.com</v>
          </cell>
          <cell r="Q1282" t="str">
            <v>CDC-18893</v>
          </cell>
          <cell r="AJ1282" t="e">
            <v>#N/A</v>
          </cell>
          <cell r="AK1282" t="str">
            <v>CDC-18893</v>
          </cell>
          <cell r="AL1282" t="str">
            <v>CDC18893</v>
          </cell>
        </row>
        <row r="1283">
          <cell r="N1283" t="str">
            <v>STARTING POINTE AT PINNACLE</v>
          </cell>
          <cell r="O1283" t="str">
            <v>6753 WEST PINNACLE PEAK ROAD</v>
          </cell>
          <cell r="P1283" t="str">
            <v>afallon@pointeschools.org</v>
          </cell>
          <cell r="Q1283" t="str">
            <v>CDC-18171</v>
          </cell>
          <cell r="AJ1283" t="e">
            <v>#N/A</v>
          </cell>
          <cell r="AK1283" t="str">
            <v>CDC-18171</v>
          </cell>
          <cell r="AL1283" t="str">
            <v>CDC18171</v>
          </cell>
        </row>
        <row r="1284">
          <cell r="N1284" t="str">
            <v>STEPPING STONES ACADEMY</v>
          </cell>
          <cell r="O1284" t="str">
            <v>35812 NORTH 7TH STREET</v>
          </cell>
          <cell r="P1284" t="str">
            <v>DDSA@SSA.School</v>
          </cell>
          <cell r="Q1284" t="str">
            <v>CDC-16656</v>
          </cell>
          <cell r="AJ1284" t="e">
            <v>#N/A</v>
          </cell>
          <cell r="AK1284" t="str">
            <v>CDC-16656</v>
          </cell>
          <cell r="AL1284" t="str">
            <v>CDC16656</v>
          </cell>
        </row>
        <row r="1285">
          <cell r="N1285" t="str">
            <v>STEPPING STONES CHILDCARE LLC</v>
          </cell>
          <cell r="O1285" t="str">
            <v>863 AIRPARK DRIVE</v>
          </cell>
          <cell r="P1285" t="str">
            <v>deann_lucchino@hotmail.com</v>
          </cell>
          <cell r="Q1285" t="str">
            <v>CDC-16251</v>
          </cell>
          <cell r="AJ1285">
            <v>91898</v>
          </cell>
          <cell r="AK1285" t="str">
            <v>CDC-16251</v>
          </cell>
          <cell r="AL1285" t="str">
            <v>CDC16251</v>
          </cell>
        </row>
        <row r="1286">
          <cell r="N1286" t="str">
            <v>STEPPING STONES PRESCHOOL, LTD.</v>
          </cell>
          <cell r="O1286" t="str">
            <v>3951 WEST HAPPY VALLEY ROAD</v>
          </cell>
          <cell r="P1286" t="str">
            <v>joanne.black@steppingstonesaz.com</v>
          </cell>
          <cell r="Q1286" t="str">
            <v>CDC-10025</v>
          </cell>
          <cell r="AJ1286" t="e">
            <v>#N/A</v>
          </cell>
          <cell r="AK1286" t="str">
            <v>CDC-10025</v>
          </cell>
          <cell r="AL1286" t="str">
            <v>CDC10025</v>
          </cell>
        </row>
        <row r="1287">
          <cell r="N1287" t="str">
            <v>STORYBOOK COTTAGE</v>
          </cell>
          <cell r="O1287" t="str">
            <v>8323 EAST 22ND STREET</v>
          </cell>
          <cell r="P1287" t="str">
            <v>info@storybookaz.com</v>
          </cell>
          <cell r="Q1287" t="str">
            <v>CDC-17015</v>
          </cell>
          <cell r="AJ1287" t="e">
            <v>#N/A</v>
          </cell>
          <cell r="AK1287" t="str">
            <v>CDC-17015</v>
          </cell>
          <cell r="AL1287" t="str">
            <v>CDC17015</v>
          </cell>
        </row>
        <row r="1288">
          <cell r="N1288" t="str">
            <v>STRONG FOUNDATIONS ACADEMY</v>
          </cell>
          <cell r="O1288" t="str">
            <v>985 WEST CHANDLER HEIGHTS ROAD - SUITE 4</v>
          </cell>
          <cell r="P1288" t="str">
            <v>StrongFoundationsAcademy@gmail.com</v>
          </cell>
          <cell r="Q1288" t="str">
            <v>CDC-18852</v>
          </cell>
          <cell r="AJ1288" t="e">
            <v>#N/A</v>
          </cell>
          <cell r="AK1288" t="str">
            <v>CDC-18852</v>
          </cell>
          <cell r="AL1288" t="str">
            <v>CDC18852</v>
          </cell>
        </row>
        <row r="1289">
          <cell r="N1289" t="str">
            <v>STRONG FOUNDATIONS EARLY LEARNING CENTER</v>
          </cell>
          <cell r="O1289" t="str">
            <v>2302 WEST COLTER STREET</v>
          </cell>
          <cell r="P1289" t="str">
            <v>n.amireh@homewardboundaz.org</v>
          </cell>
          <cell r="Q1289" t="str">
            <v>CDC-11703</v>
          </cell>
          <cell r="AJ1289">
            <v>88418</v>
          </cell>
          <cell r="AK1289" t="str">
            <v>CDC-11703</v>
          </cell>
          <cell r="AL1289" t="str">
            <v>CDC11703</v>
          </cell>
        </row>
        <row r="1290">
          <cell r="N1290" t="str">
            <v>SUMMIT SCHOOL OF AHWATUKEE</v>
          </cell>
          <cell r="O1290" t="str">
            <v>4515 EAST MUIRWOOD DRIVE</v>
          </cell>
          <cell r="P1290" t="str">
            <v>andrea.benkel@summitschoolaz.org</v>
          </cell>
          <cell r="Q1290" t="str">
            <v>CDC-9276</v>
          </cell>
          <cell r="AJ1290" t="e">
            <v>#N/A</v>
          </cell>
          <cell r="AK1290" t="str">
            <v>CDC-9276</v>
          </cell>
          <cell r="AL1290" t="str">
            <v>CDC9276</v>
          </cell>
        </row>
        <row r="1291">
          <cell r="N1291" t="str">
            <v>SUMMIT VIEW HEAD START</v>
          </cell>
          <cell r="O1291" t="str">
            <v>10170 SOUTH EPPERSON LANE</v>
          </cell>
          <cell r="P1291" t="str">
            <v>summitview@childparentcenters.org</v>
          </cell>
          <cell r="Q1291" t="str">
            <v>CDC-9329</v>
          </cell>
          <cell r="AJ1291">
            <v>80623</v>
          </cell>
          <cell r="AK1291" t="str">
            <v>CDC-9329</v>
          </cell>
          <cell r="AL1291" t="str">
            <v>CDC9329</v>
          </cell>
        </row>
        <row r="1292">
          <cell r="N1292" t="str">
            <v>SUN VALLEY PRESCHOOL</v>
          </cell>
          <cell r="O1292" t="str">
            <v>2675 WEST BASELINE ROAD</v>
          </cell>
          <cell r="P1292" t="str">
            <v>llaspada@sunvalleyacademy.org</v>
          </cell>
          <cell r="Q1292" t="str">
            <v>CDC-18413</v>
          </cell>
          <cell r="AJ1292" t="e">
            <v>#N/A</v>
          </cell>
          <cell r="AK1292" t="str">
            <v>CDC-18413</v>
          </cell>
          <cell r="AL1292" t="str">
            <v>CDC18413</v>
          </cell>
        </row>
        <row r="1293">
          <cell r="N1293" t="str">
            <v>SUNBRIGHT CHILDREN CENTER</v>
          </cell>
          <cell r="O1293" t="str">
            <v>4834 WEST GLENDALE AVENUE</v>
          </cell>
          <cell r="P1293" t="str">
            <v>sunbright@qwestoffice.net</v>
          </cell>
          <cell r="Q1293" t="str">
            <v>CDC-8689</v>
          </cell>
          <cell r="AJ1293">
            <v>80622</v>
          </cell>
          <cell r="AK1293" t="str">
            <v>CDC-8689</v>
          </cell>
          <cell r="AL1293" t="str">
            <v>CDC8689</v>
          </cell>
        </row>
        <row r="1294">
          <cell r="N1294" t="str">
            <v>SUNCARE CHILDCARE</v>
          </cell>
          <cell r="O1294" t="str">
            <v>4312 WEST NORTHERN AVENUE</v>
          </cell>
          <cell r="P1294" t="str">
            <v>infosuncarechildcare@gmail.com</v>
          </cell>
          <cell r="Q1294" t="str">
            <v>CDC-12097</v>
          </cell>
          <cell r="AJ1294" t="e">
            <v>#N/A</v>
          </cell>
          <cell r="AK1294" t="str">
            <v>CDC-12097</v>
          </cell>
          <cell r="AL1294" t="str">
            <v>CDC12097</v>
          </cell>
        </row>
        <row r="1295">
          <cell r="N1295" t="str">
            <v>SUNNY DAYS LEARNING CENTER</v>
          </cell>
          <cell r="O1295" t="str">
            <v>2100 WEST CHANDLER BLVD #32</v>
          </cell>
          <cell r="P1295" t="str">
            <v>sunnydays2100@gmail.com</v>
          </cell>
          <cell r="Q1295" t="str">
            <v>CDC-7237</v>
          </cell>
          <cell r="AJ1295" t="e">
            <v>#N/A</v>
          </cell>
          <cell r="AK1295" t="str">
            <v>CDC-7237</v>
          </cell>
          <cell r="AL1295" t="str">
            <v>CDC7237</v>
          </cell>
        </row>
        <row r="1296">
          <cell r="N1296" t="str">
            <v>SUNNYSIDE HEADSTART</v>
          </cell>
          <cell r="O1296" t="str">
            <v>1105 EAST DREXEL ROAD</v>
          </cell>
          <cell r="P1296" t="str">
            <v>sunnyside@childparentcenters.org</v>
          </cell>
          <cell r="Q1296" t="str">
            <v>CDC-1569</v>
          </cell>
          <cell r="AJ1296">
            <v>9830</v>
          </cell>
          <cell r="AK1296" t="str">
            <v>CDC-1569</v>
          </cell>
          <cell r="AL1296" t="str">
            <v>CDC1569</v>
          </cell>
        </row>
        <row r="1297">
          <cell r="N1297" t="str">
            <v>SUNRISE MONTESSORI SCHOOL NORTH</v>
          </cell>
          <cell r="O1297" t="str">
            <v>8430 WEST DEER VALLEY ROAD</v>
          </cell>
          <cell r="P1297" t="str">
            <v>madison@sunrisemontessori.com</v>
          </cell>
          <cell r="Q1297" t="str">
            <v>CDC-18589</v>
          </cell>
          <cell r="AJ1297" t="e">
            <v>#N/A</v>
          </cell>
          <cell r="AK1297" t="str">
            <v>CDC-18589</v>
          </cell>
          <cell r="AL1297" t="str">
            <v>CDC18589</v>
          </cell>
        </row>
        <row r="1298">
          <cell r="N1298" t="str">
            <v>SUNRISE MONTESSORI SCHOOL SOUTH</v>
          </cell>
          <cell r="O1298" t="str">
            <v>14233 NORTH 47TH AVENUE</v>
          </cell>
          <cell r="P1298" t="str">
            <v>alissa@sunrisemontessori.com</v>
          </cell>
          <cell r="Q1298" t="str">
            <v>CDC-17831</v>
          </cell>
          <cell r="AJ1298" t="e">
            <v>#N/A</v>
          </cell>
          <cell r="AK1298" t="str">
            <v>CDC-17831</v>
          </cell>
          <cell r="AL1298" t="str">
            <v>CDC17831</v>
          </cell>
        </row>
        <row r="1299">
          <cell r="N1299" t="str">
            <v>SUNRISE PRESCHOOLS #113</v>
          </cell>
          <cell r="O1299" t="str">
            <v>4111 EAST RAY ROAD</v>
          </cell>
          <cell r="P1299" t="str">
            <v>sun271@sunrisepreschools.com</v>
          </cell>
          <cell r="Q1299" t="str">
            <v>CDC-17604</v>
          </cell>
          <cell r="AJ1299">
            <v>80599</v>
          </cell>
          <cell r="AK1299" t="str">
            <v>CDC-17604</v>
          </cell>
          <cell r="AL1299" t="str">
            <v>CDC17604</v>
          </cell>
        </row>
        <row r="1300">
          <cell r="N1300" t="str">
            <v>SUNRISE PRESCHOOLS #116</v>
          </cell>
          <cell r="O1300" t="str">
            <v>900 SOUTH COOPER</v>
          </cell>
          <cell r="P1300" t="str">
            <v>sun272@sunrisepreschools.com</v>
          </cell>
          <cell r="Q1300" t="str">
            <v>CDC-17595</v>
          </cell>
          <cell r="AJ1300">
            <v>90432</v>
          </cell>
          <cell r="AK1300" t="str">
            <v>CDC-17595</v>
          </cell>
          <cell r="AL1300" t="str">
            <v>CDC17595</v>
          </cell>
        </row>
        <row r="1301">
          <cell r="N1301" t="str">
            <v>SUNRISE PRESCHOOLS #123</v>
          </cell>
          <cell r="O1301" t="str">
            <v>9880 SOUTH RURAL ROAD #116</v>
          </cell>
          <cell r="P1301" t="str">
            <v>sun273@sunrisepreschools.com</v>
          </cell>
          <cell r="Q1301" t="str">
            <v>CDC-17599</v>
          </cell>
          <cell r="AJ1301">
            <v>84315</v>
          </cell>
          <cell r="AK1301" t="str">
            <v>CDC-17599</v>
          </cell>
          <cell r="AL1301" t="str">
            <v>CDC17599</v>
          </cell>
        </row>
        <row r="1302">
          <cell r="N1302" t="str">
            <v>SUNRISE PRESCHOOLS #124</v>
          </cell>
          <cell r="O1302" t="str">
            <v>5801 WEST MOHAWK LANE</v>
          </cell>
          <cell r="P1302" t="str">
            <v>sun124@sunrisepreschools.com</v>
          </cell>
          <cell r="Q1302" t="str">
            <v>CDC-17616</v>
          </cell>
          <cell r="AJ1302">
            <v>91359</v>
          </cell>
          <cell r="AK1302" t="str">
            <v>CDC-17616</v>
          </cell>
          <cell r="AL1302" t="str">
            <v>CDC17616</v>
          </cell>
        </row>
        <row r="1303">
          <cell r="N1303" t="str">
            <v>SUNRISE PRESCHOOLS #129</v>
          </cell>
          <cell r="O1303" t="str">
            <v>13201 WEST THOMAS ROAD</v>
          </cell>
          <cell r="P1303" t="str">
            <v>sun287@sunrisepreschools.com</v>
          </cell>
          <cell r="Q1303" t="str">
            <v>CDC-17612</v>
          </cell>
          <cell r="AJ1303">
            <v>80598</v>
          </cell>
          <cell r="AK1303" t="str">
            <v>CDC-17612</v>
          </cell>
          <cell r="AL1303" t="str">
            <v>CDC17612</v>
          </cell>
        </row>
        <row r="1304">
          <cell r="N1304" t="str">
            <v>SUNRISE PRESCHOOLS #130</v>
          </cell>
          <cell r="O1304" t="str">
            <v>11090 NORTH FRANK LLOYD WRIGHT BLVD</v>
          </cell>
          <cell r="P1304" t="str">
            <v>279@sunrisepreschools.com</v>
          </cell>
          <cell r="Q1304" t="str">
            <v>CDC-17610</v>
          </cell>
          <cell r="AJ1304">
            <v>90922</v>
          </cell>
          <cell r="AK1304" t="str">
            <v>CDC-17610</v>
          </cell>
          <cell r="AL1304" t="str">
            <v>CDC17610</v>
          </cell>
        </row>
        <row r="1305">
          <cell r="N1305" t="str">
            <v>SUNRISE PRESCHOOLS #132</v>
          </cell>
          <cell r="O1305" t="str">
            <v>1628 EAST BROADWAY ROAD</v>
          </cell>
          <cell r="P1305" t="str">
            <v>sun274@sunrisepreschools.com</v>
          </cell>
          <cell r="Q1305" t="str">
            <v>CDC-17617</v>
          </cell>
          <cell r="AJ1305">
            <v>79762</v>
          </cell>
          <cell r="AK1305" t="str">
            <v>CDC-17617</v>
          </cell>
          <cell r="AL1305" t="str">
            <v>CDC17617</v>
          </cell>
        </row>
        <row r="1306">
          <cell r="N1306" t="str">
            <v>SUNRISE PRESCHOOLS #133</v>
          </cell>
          <cell r="O1306" t="str">
            <v>7642 WEST CACTUS ROAD</v>
          </cell>
          <cell r="P1306" t="str">
            <v>sun288@sunrisepreschools.com</v>
          </cell>
          <cell r="Q1306" t="str">
            <v>CDC-17613</v>
          </cell>
          <cell r="AJ1306">
            <v>79763</v>
          </cell>
          <cell r="AK1306" t="str">
            <v>CDC-17613</v>
          </cell>
          <cell r="AL1306" t="str">
            <v>CDC17613</v>
          </cell>
        </row>
        <row r="1307">
          <cell r="N1307" t="str">
            <v>SUNRISE PRESCHOOLS #134</v>
          </cell>
          <cell r="O1307" t="str">
            <v>102 NORTH LINDSAY ROAD</v>
          </cell>
          <cell r="P1307" t="str">
            <v>sun285@sunrisepreschools.com</v>
          </cell>
          <cell r="Q1307" t="str">
            <v>CDC-17596</v>
          </cell>
          <cell r="AJ1307">
            <v>80597</v>
          </cell>
          <cell r="AK1307" t="str">
            <v>CDC-17596</v>
          </cell>
          <cell r="AL1307" t="str">
            <v>CDC17596</v>
          </cell>
        </row>
        <row r="1308">
          <cell r="N1308" t="str">
            <v>SUNRISE PRESCHOOLS #136</v>
          </cell>
          <cell r="O1308" t="str">
            <v>3401 WEST UNION HILLS DRIVE</v>
          </cell>
          <cell r="P1308" t="str">
            <v>dvela@sunrisepreschools.com</v>
          </cell>
          <cell r="Q1308" t="str">
            <v>CDC-17601</v>
          </cell>
          <cell r="AJ1308">
            <v>84670</v>
          </cell>
          <cell r="AK1308" t="str">
            <v>CDC-17601</v>
          </cell>
          <cell r="AL1308" t="str">
            <v>CDC17601</v>
          </cell>
        </row>
        <row r="1309">
          <cell r="N1309" t="str">
            <v>SUNRISE PRESCHOOLS #137</v>
          </cell>
          <cell r="O1309" t="str">
            <v>1415 EAST BELL ROAD</v>
          </cell>
          <cell r="P1309" t="str">
            <v>Sun290@sunrisepreschools.com</v>
          </cell>
          <cell r="Q1309" t="str">
            <v>CDC-17618</v>
          </cell>
          <cell r="AJ1309">
            <v>79769</v>
          </cell>
          <cell r="AK1309" t="str">
            <v>CDC-17618</v>
          </cell>
          <cell r="AL1309" t="str">
            <v>CDC17618</v>
          </cell>
        </row>
        <row r="1310">
          <cell r="N1310" t="str">
            <v>SUNRISE PRESCHOOLS #139</v>
          </cell>
          <cell r="O1310" t="str">
            <v>1114 WEST ELLIOT ROAD</v>
          </cell>
          <cell r="P1310" t="str">
            <v>sun275@sunrisepreschools.com</v>
          </cell>
          <cell r="Q1310" t="str">
            <v>CDC-17603</v>
          </cell>
          <cell r="AJ1310">
            <v>84669</v>
          </cell>
          <cell r="AK1310" t="str">
            <v>CDC-17603</v>
          </cell>
          <cell r="AL1310" t="str">
            <v>CDC17603</v>
          </cell>
        </row>
        <row r="1311">
          <cell r="N1311" t="str">
            <v>SUNRISE PRESCHOOLS #140</v>
          </cell>
          <cell r="O1311" t="str">
            <v>3270 EAST RAY ROAD</v>
          </cell>
          <cell r="P1311" t="str">
            <v>sun276@sunrisepreschools.com</v>
          </cell>
          <cell r="Q1311" t="str">
            <v>CDC-17609</v>
          </cell>
          <cell r="AJ1311">
            <v>91762</v>
          </cell>
          <cell r="AK1311" t="str">
            <v>CDC-17609</v>
          </cell>
          <cell r="AL1311" t="str">
            <v>CDC17609</v>
          </cell>
        </row>
        <row r="1312">
          <cell r="N1312" t="str">
            <v>SUNRISE PRESCHOOLS #141</v>
          </cell>
          <cell r="O1312" t="str">
            <v>1549 NORTH BURK STREET</v>
          </cell>
          <cell r="P1312" t="str">
            <v>Sun280@SunrisePreschools.com</v>
          </cell>
          <cell r="Q1312" t="str">
            <v>CDC-17597</v>
          </cell>
          <cell r="AJ1312">
            <v>79768</v>
          </cell>
          <cell r="AK1312" t="str">
            <v>CDC-17597</v>
          </cell>
          <cell r="AL1312" t="str">
            <v>CDC17597</v>
          </cell>
        </row>
        <row r="1313">
          <cell r="N1313" t="str">
            <v>SUNRISE PRESCHOOLS #142</v>
          </cell>
          <cell r="O1313" t="str">
            <v>1365 SOUTH GILBERT ROAD</v>
          </cell>
          <cell r="P1313" t="str">
            <v>sun281@sunrisepreschools.com</v>
          </cell>
          <cell r="Q1313" t="str">
            <v>CDC-17600</v>
          </cell>
          <cell r="AJ1313">
            <v>91348</v>
          </cell>
          <cell r="AK1313" t="str">
            <v>CDC-17600</v>
          </cell>
          <cell r="AL1313" t="str">
            <v>CDC17600</v>
          </cell>
        </row>
        <row r="1314">
          <cell r="N1314" t="str">
            <v>SUNRISE PRESCHOOLS #144</v>
          </cell>
          <cell r="O1314" t="str">
            <v>4110 WEST NORTHERN AVENUE</v>
          </cell>
          <cell r="P1314" t="str">
            <v>Sun291@SunrisePreschools.com</v>
          </cell>
          <cell r="Q1314" t="str">
            <v>CDC-17607</v>
          </cell>
          <cell r="AJ1314">
            <v>92331</v>
          </cell>
          <cell r="AK1314" t="str">
            <v>CDC-17607</v>
          </cell>
          <cell r="AL1314" t="str">
            <v>CDC17607</v>
          </cell>
        </row>
        <row r="1315">
          <cell r="N1315" t="str">
            <v>SUNRISE PRESCHOOLS #147</v>
          </cell>
          <cell r="O1315" t="str">
            <v>2122 WEST INDIAN SCHOOL ROAD</v>
          </cell>
          <cell r="P1315" t="str">
            <v>sun293@sunrisepreschools.com</v>
          </cell>
          <cell r="Q1315" t="str">
            <v>CDC-17614</v>
          </cell>
          <cell r="AJ1315">
            <v>79765</v>
          </cell>
          <cell r="AK1315" t="str">
            <v>CDC-17614</v>
          </cell>
          <cell r="AL1315" t="str">
            <v>CDC17614</v>
          </cell>
        </row>
        <row r="1316">
          <cell r="N1316" t="str">
            <v>SUNRISE PRESCHOOLS #148</v>
          </cell>
          <cell r="O1316" t="str">
            <v>12010 NORTH 43RD AVENUE</v>
          </cell>
          <cell r="P1316" t="str">
            <v>sun148@sunrisepreschools.com</v>
          </cell>
          <cell r="Q1316" t="str">
            <v>CDC-17611</v>
          </cell>
          <cell r="AJ1316">
            <v>87387</v>
          </cell>
          <cell r="AK1316" t="str">
            <v>CDC-17611</v>
          </cell>
          <cell r="AL1316" t="str">
            <v>CDC17611</v>
          </cell>
        </row>
        <row r="1317">
          <cell r="N1317" t="str">
            <v>SUNRISE PRESCHOOLS #216</v>
          </cell>
          <cell r="O1317" t="str">
            <v>10633 EAST APACHE TRAIL #103</v>
          </cell>
          <cell r="P1317" t="str">
            <v>sun283@sunrisepreschools.com</v>
          </cell>
          <cell r="Q1317" t="str">
            <v>CDC-17606</v>
          </cell>
          <cell r="AJ1317">
            <v>87386</v>
          </cell>
          <cell r="AK1317" t="str">
            <v>CDC-17606</v>
          </cell>
          <cell r="AL1317" t="str">
            <v>CDC17606</v>
          </cell>
        </row>
        <row r="1318">
          <cell r="N1318" t="str">
            <v>SUNRISE PRESCHOOLS #218</v>
          </cell>
          <cell r="O1318" t="str">
            <v>50 EAST GUADALUPE</v>
          </cell>
          <cell r="P1318" t="str">
            <v>sun284@sunrisepreschools.com</v>
          </cell>
          <cell r="Q1318" t="str">
            <v>CDC-17602</v>
          </cell>
          <cell r="AJ1318">
            <v>87388</v>
          </cell>
          <cell r="AK1318" t="str">
            <v>CDC-17602</v>
          </cell>
          <cell r="AL1318" t="str">
            <v>CDC17602</v>
          </cell>
        </row>
        <row r="1319">
          <cell r="N1319" t="str">
            <v>SUNRISE PRESCHOOLS #222</v>
          </cell>
          <cell r="O1319" t="str">
            <v>2734 SOUTH ALMA SCHOOL ROAD</v>
          </cell>
          <cell r="P1319" t="str">
            <v>sun277@sunrisepreschools.com</v>
          </cell>
          <cell r="Q1319" t="str">
            <v>CDC-17598</v>
          </cell>
          <cell r="AJ1319">
            <v>87389</v>
          </cell>
          <cell r="AK1319" t="str">
            <v>CDC-17598</v>
          </cell>
          <cell r="AL1319" t="str">
            <v>CDC17598</v>
          </cell>
        </row>
        <row r="1320">
          <cell r="N1320" t="str">
            <v>SUNRISE PRESCHOOLS #230</v>
          </cell>
          <cell r="O1320" t="str">
            <v>808 EAST MINTON</v>
          </cell>
          <cell r="P1320" t="str">
            <v>sun278@sunrisepreschools.com</v>
          </cell>
          <cell r="Q1320" t="str">
            <v>CDC-17605</v>
          </cell>
          <cell r="AJ1320">
            <v>87392</v>
          </cell>
          <cell r="AK1320" t="str">
            <v>CDC-17605</v>
          </cell>
          <cell r="AL1320" t="str">
            <v>CDC17605</v>
          </cell>
        </row>
        <row r="1321">
          <cell r="N1321" t="str">
            <v>SUNRISE PRESCHOOLS #282</v>
          </cell>
          <cell r="O1321" t="str">
            <v>641 WEST SOUTHERN AVENUE</v>
          </cell>
          <cell r="P1321" t="str">
            <v>sun282@sunrisepreschools.com</v>
          </cell>
          <cell r="Q1321" t="str">
            <v>CDC-17730</v>
          </cell>
          <cell r="AJ1321" t="e">
            <v>#N/A</v>
          </cell>
          <cell r="AK1321" t="str">
            <v>CDC-17730</v>
          </cell>
          <cell r="AL1321" t="str">
            <v>CDC17730</v>
          </cell>
        </row>
        <row r="1322">
          <cell r="N1322" t="str">
            <v>SUNRISE PRESCHOOLS #292</v>
          </cell>
          <cell r="O1322" t="str">
            <v>350 NORTH 96TH AVENUE</v>
          </cell>
          <cell r="P1322" t="str">
            <v>sun292@sunrisepreschools.com</v>
          </cell>
          <cell r="Q1322" t="str">
            <v>CDC-17917</v>
          </cell>
          <cell r="AJ1322">
            <v>86283</v>
          </cell>
          <cell r="AK1322" t="str">
            <v>CDC-17917</v>
          </cell>
          <cell r="AL1322" t="str">
            <v>CDC17917</v>
          </cell>
        </row>
        <row r="1323">
          <cell r="N1323" t="str">
            <v>SUNRISE PRESCHOOLS #295</v>
          </cell>
          <cell r="O1323" t="str">
            <v>2217 NORTH POWER ROAD #1001</v>
          </cell>
          <cell r="P1323" t="str">
            <v>sun295@sunrisepreschools.com</v>
          </cell>
          <cell r="Q1323" t="str">
            <v>CDC-17729</v>
          </cell>
          <cell r="AJ1323">
            <v>516037</v>
          </cell>
          <cell r="AK1323" t="str">
            <v>CDC-17729</v>
          </cell>
          <cell r="AL1323" t="str">
            <v>CDC17729</v>
          </cell>
        </row>
        <row r="1324">
          <cell r="N1324" t="str">
            <v>SUNRISE PRESCHOOLS #300</v>
          </cell>
          <cell r="O1324" t="str">
            <v>1520 NORTH PRIEST ROAD</v>
          </cell>
          <cell r="P1324" t="str">
            <v>sun300@sunrisepreschools.com</v>
          </cell>
          <cell r="Q1324" t="str">
            <v>CDC-17875</v>
          </cell>
          <cell r="AJ1324">
            <v>597102</v>
          </cell>
          <cell r="AK1324" t="str">
            <v>CDC-17875</v>
          </cell>
          <cell r="AL1324" t="str">
            <v>CDC17875</v>
          </cell>
        </row>
        <row r="1325">
          <cell r="N1325" t="str">
            <v>SUNRISE PRESCHOOLS #303</v>
          </cell>
          <cell r="O1325" t="str">
            <v>4991 SOUTH ALMA SCHOOL ROAD</v>
          </cell>
          <cell r="P1325" t="str">
            <v>sun303@sunrisepreschools.com</v>
          </cell>
          <cell r="Q1325" t="str">
            <v>CDC-17864</v>
          </cell>
          <cell r="AJ1325">
            <v>24741</v>
          </cell>
          <cell r="AK1325" t="str">
            <v>CDC-17864</v>
          </cell>
          <cell r="AL1325" t="str">
            <v>CDC17864</v>
          </cell>
        </row>
        <row r="1326">
          <cell r="N1326" t="str">
            <v>SUNRISE PRESCHOOLS #304</v>
          </cell>
          <cell r="O1326" t="str">
            <v>2109 BLUEJAY DRIVE</v>
          </cell>
          <cell r="P1326" t="str">
            <v>sun304@sunrisepreschools.com</v>
          </cell>
          <cell r="Q1326" t="str">
            <v>CDC-17863</v>
          </cell>
          <cell r="AJ1326">
            <v>545702</v>
          </cell>
          <cell r="AK1326" t="str">
            <v>CDC-17863</v>
          </cell>
          <cell r="AL1326" t="str">
            <v>CDC17863</v>
          </cell>
        </row>
        <row r="1327">
          <cell r="N1327" t="str">
            <v>SUNRISE PRESCHOOLS #315</v>
          </cell>
          <cell r="O1327" t="str">
            <v>19287 NORTH PORTER ROAD</v>
          </cell>
          <cell r="P1327" t="str">
            <v>sun315@sunrisepreschools.com</v>
          </cell>
          <cell r="Q1327" t="str">
            <v>CDC-18447</v>
          </cell>
          <cell r="AJ1327">
            <v>1000196</v>
          </cell>
          <cell r="AK1327" t="str">
            <v>CDC-18447</v>
          </cell>
          <cell r="AL1327" t="str">
            <v>CDC18447</v>
          </cell>
        </row>
        <row r="1328">
          <cell r="N1328" t="str">
            <v>SUNRISE PRESCHOOLS #317</v>
          </cell>
          <cell r="O1328" t="str">
            <v>548 NORTH POTTEBAUM AVENUE</v>
          </cell>
          <cell r="P1328" t="str">
            <v>sun317@sunrisepreschools.com</v>
          </cell>
          <cell r="Q1328" t="str">
            <v>CDC-18606</v>
          </cell>
          <cell r="AJ1328">
            <v>1000357</v>
          </cell>
          <cell r="AK1328" t="str">
            <v>CDC-18606</v>
          </cell>
          <cell r="AL1328" t="str">
            <v>CDC18606</v>
          </cell>
        </row>
        <row r="1329">
          <cell r="N1329" t="str">
            <v>SUNSHINE A B C PRESCHOOL L.L.C.</v>
          </cell>
          <cell r="O1329" t="str">
            <v>1901 SOUTH 7TH AVENUE</v>
          </cell>
          <cell r="P1329" t="str">
            <v>sunshineabcpreschool@gmail.com</v>
          </cell>
          <cell r="Q1329" t="str">
            <v>CDC-18437</v>
          </cell>
          <cell r="AJ1329" t="e">
            <v>#N/A</v>
          </cell>
          <cell r="AK1329" t="str">
            <v>CDC-18437</v>
          </cell>
          <cell r="AL1329" t="str">
            <v>CDC18437</v>
          </cell>
        </row>
        <row r="1330">
          <cell r="N1330" t="str">
            <v>SUNSHINE SCHOOL IN ORO VALLEY</v>
          </cell>
          <cell r="O1330" t="str">
            <v>9000 NORTH ORACLE ROAD, SUITE 204</v>
          </cell>
          <cell r="P1330" t="str">
            <v>sunshineschoolov@comcast.net</v>
          </cell>
          <cell r="Q1330" t="str">
            <v>CDC-1409</v>
          </cell>
          <cell r="AJ1330" t="e">
            <v>#N/A</v>
          </cell>
          <cell r="AK1330" t="str">
            <v>CDC-1409</v>
          </cell>
          <cell r="AL1330" t="str">
            <v>CDC1409</v>
          </cell>
        </row>
        <row r="1331">
          <cell r="N1331" t="str">
            <v>SUPERIOR CHILDREN'S CENTER</v>
          </cell>
          <cell r="O1331" t="str">
            <v>1870 WEST RIO SALADO PARKWAY</v>
          </cell>
          <cell r="P1331" t="str">
            <v>centene.tempe@brighthorizons.com</v>
          </cell>
          <cell r="Q1331" t="str">
            <v>CDC-18203</v>
          </cell>
          <cell r="AJ1331" t="e">
            <v>#N/A</v>
          </cell>
          <cell r="AK1331" t="str">
            <v>CDC-18203</v>
          </cell>
          <cell r="AL1331" t="str">
            <v>CDC18203</v>
          </cell>
        </row>
        <row r="1332">
          <cell r="N1332" t="str">
            <v>SUPERIOR HEAD START</v>
          </cell>
          <cell r="O1332" t="str">
            <v>150 NORTH LOBB AVENUE</v>
          </cell>
          <cell r="P1332" t="str">
            <v>Irene.navarro@pgccs.org</v>
          </cell>
          <cell r="Q1332" t="str">
            <v>CDC-8676</v>
          </cell>
          <cell r="AJ1332">
            <v>8078</v>
          </cell>
          <cell r="AK1332" t="str">
            <v>CDC-8676</v>
          </cell>
          <cell r="AL1332" t="str">
            <v>CDC8676</v>
          </cell>
        </row>
        <row r="1333">
          <cell r="N1333" t="str">
            <v>SUPERSTITION MOUNTAIN EARLY LEARNING CENTER</v>
          </cell>
          <cell r="O1333" t="str">
            <v>805 SOUTH IDAHO ROAD</v>
          </cell>
          <cell r="P1333" t="str">
            <v>scox@blake.easterseals.com</v>
          </cell>
          <cell r="Q1333" t="str">
            <v>CDC-17380</v>
          </cell>
          <cell r="AJ1333" t="e">
            <v>#N/A</v>
          </cell>
          <cell r="AK1333" t="str">
            <v>CDC-17380</v>
          </cell>
          <cell r="AL1333" t="str">
            <v>CDC17380</v>
          </cell>
        </row>
        <row r="1334">
          <cell r="N1334" t="str">
            <v>SURPRISE CHRISTIAN PRESCHOOL</v>
          </cell>
          <cell r="O1334" t="str">
            <v>14925 WEST SILVERLEAF WAY</v>
          </cell>
          <cell r="P1334" t="str">
            <v>director@surprisechristianpreschool.com</v>
          </cell>
          <cell r="Q1334" t="str">
            <v>CDC-17930</v>
          </cell>
          <cell r="AJ1334" t="e">
            <v>#N/A</v>
          </cell>
          <cell r="AK1334" t="str">
            <v>CDC-17930</v>
          </cell>
          <cell r="AL1334" t="str">
            <v>CDC17930</v>
          </cell>
        </row>
        <row r="1335">
          <cell r="N1335" t="str">
            <v>SUSIE'S MAMA BEAR</v>
          </cell>
          <cell r="O1335" t="str">
            <v>16830 NORTH 12TH STREET</v>
          </cell>
          <cell r="P1335" t="str">
            <v>susiesanson1@gmail.com</v>
          </cell>
          <cell r="Q1335" t="str">
            <v>CDC-1622</v>
          </cell>
          <cell r="AJ1335">
            <v>9449</v>
          </cell>
          <cell r="AK1335" t="str">
            <v>CDC-1622</v>
          </cell>
          <cell r="AL1335" t="str">
            <v>CDC1622</v>
          </cell>
        </row>
        <row r="1336">
          <cell r="N1336" t="str">
            <v>SWEET PEA LEARNING CENTER</v>
          </cell>
          <cell r="O1336" t="str">
            <v>1621 EAST BETHANY HOME ROAD</v>
          </cell>
          <cell r="P1336" t="str">
            <v>123.SweetPealearning@gmail.com</v>
          </cell>
          <cell r="Q1336" t="str">
            <v>CDC-17434</v>
          </cell>
          <cell r="AJ1336" t="e">
            <v>#N/A</v>
          </cell>
          <cell r="AK1336" t="str">
            <v>CDC-17434</v>
          </cell>
          <cell r="AL1336" t="str">
            <v>CDC17434</v>
          </cell>
        </row>
        <row r="1337">
          <cell r="N1337" t="str">
            <v>T L C CHILD ENRICHMENT</v>
          </cell>
          <cell r="O1337" t="str">
            <v>18210 NORTH 19TH AVENUE</v>
          </cell>
          <cell r="P1337" t="str">
            <v>inbox@tlcenrichment.com</v>
          </cell>
          <cell r="Q1337" t="str">
            <v>CDC-16488</v>
          </cell>
          <cell r="AJ1337" t="e">
            <v>#N/A</v>
          </cell>
          <cell r="AK1337" t="str">
            <v>CDC-16488</v>
          </cell>
          <cell r="AL1337" t="str">
            <v>CDC16488</v>
          </cell>
        </row>
        <row r="1338">
          <cell r="N1338" t="str">
            <v>T L C PRESCHOOL</v>
          </cell>
          <cell r="O1338" t="str">
            <v>1428 NORTH PUEBLO DRIVE</v>
          </cell>
          <cell r="P1338" t="str">
            <v>charlie.walsworth@tlcscg.org</v>
          </cell>
          <cell r="Q1338" t="str">
            <v>CDC-9000</v>
          </cell>
          <cell r="AJ1338" t="e">
            <v>#N/A</v>
          </cell>
          <cell r="AK1338" t="str">
            <v>CDC-9000</v>
          </cell>
          <cell r="AL1338" t="str">
            <v>CDC9000</v>
          </cell>
        </row>
        <row r="1339">
          <cell r="N1339" t="str">
            <v>T R C C - RAY RD INC</v>
          </cell>
          <cell r="O1339" t="str">
            <v>4510 EAST RAY ROAD</v>
          </cell>
          <cell r="P1339" t="str">
            <v>lisak507@gmail.com</v>
          </cell>
          <cell r="Q1339" t="str">
            <v>CDC-10371</v>
          </cell>
          <cell r="AJ1339" t="e">
            <v>#N/A</v>
          </cell>
          <cell r="AK1339" t="str">
            <v>CDC-10371</v>
          </cell>
          <cell r="AL1339" t="str">
            <v>CDC10371</v>
          </cell>
        </row>
        <row r="1340">
          <cell r="N1340" t="str">
            <v>TANQUE VERDE LUTHERAN PRESCHOOL</v>
          </cell>
          <cell r="O1340" t="str">
            <v>8625 EAST TANQUE VERDE</v>
          </cell>
          <cell r="P1340" t="str">
            <v>carilindsey@tvlc.org</v>
          </cell>
          <cell r="Q1340" t="str">
            <v>CDC-1011</v>
          </cell>
          <cell r="AJ1340" t="e">
            <v>#N/A</v>
          </cell>
          <cell r="AK1340" t="str">
            <v>CDC-1011</v>
          </cell>
          <cell r="AL1340" t="str">
            <v>CDC1011</v>
          </cell>
        </row>
        <row r="1341">
          <cell r="N1341" t="str">
            <v>TEACH AND CARE</v>
          </cell>
          <cell r="O1341" t="str">
            <v>315 SOUTH STAPLEY DRIVE</v>
          </cell>
          <cell r="P1341" t="str">
            <v>teachandcare@hotmail.com</v>
          </cell>
          <cell r="Q1341" t="str">
            <v>CDC-7240</v>
          </cell>
          <cell r="AJ1341">
            <v>80675</v>
          </cell>
          <cell r="AK1341" t="str">
            <v>CDC-7240</v>
          </cell>
          <cell r="AL1341" t="str">
            <v>CDC7240</v>
          </cell>
        </row>
        <row r="1342">
          <cell r="N1342" t="str">
            <v>TEACH N TOTS INC</v>
          </cell>
          <cell r="O1342" t="str">
            <v>4501 NORTH 19TH AVENUE</v>
          </cell>
          <cell r="P1342" t="str">
            <v>tntweredynamite@yahoo.com</v>
          </cell>
          <cell r="Q1342" t="str">
            <v>CDC-11634</v>
          </cell>
          <cell r="AJ1342" t="e">
            <v>#N/A</v>
          </cell>
          <cell r="AK1342" t="str">
            <v>CDC-11634</v>
          </cell>
          <cell r="AL1342" t="str">
            <v>CDC11634</v>
          </cell>
        </row>
        <row r="1343">
          <cell r="N1343" t="str">
            <v>TELESIS PAW PRINTS PRESCHOOL</v>
          </cell>
          <cell r="O1343" t="str">
            <v>2598 STARTLITE LANE</v>
          </cell>
          <cell r="Q1343" t="str">
            <v>CDC-18680</v>
          </cell>
          <cell r="AJ1343" t="e">
            <v>#N/A</v>
          </cell>
          <cell r="AK1343" t="str">
            <v>CDC-18680</v>
          </cell>
          <cell r="AL1343" t="str">
            <v>CDC18680</v>
          </cell>
        </row>
        <row r="1344">
          <cell r="N1344" t="str">
            <v>TEMPE CHRISTIAN  SCHOOL</v>
          </cell>
          <cell r="O1344" t="str">
            <v>3929 SOUTH RURAL ROAD</v>
          </cell>
          <cell r="P1344" t="str">
            <v>pastordebbie@tempenazarene.org</v>
          </cell>
          <cell r="Q1344" t="str">
            <v>CDC-0465</v>
          </cell>
          <cell r="AJ1344" t="e">
            <v>#N/A</v>
          </cell>
          <cell r="AK1344" t="str">
            <v>CDC-0465</v>
          </cell>
          <cell r="AL1344" t="str">
            <v>CDC0465</v>
          </cell>
        </row>
        <row r="1345">
          <cell r="N1345" t="str">
            <v>TEMPE MONTESSORI SCHOOL</v>
          </cell>
          <cell r="O1345" t="str">
            <v>410 SOUTH EL DORADO</v>
          </cell>
          <cell r="P1345" t="str">
            <v>office@tempemontessori.org</v>
          </cell>
          <cell r="Q1345" t="str">
            <v>CDC-1043</v>
          </cell>
          <cell r="AJ1345" t="e">
            <v>#N/A</v>
          </cell>
          <cell r="AK1345" t="str">
            <v>CDC-1043</v>
          </cell>
          <cell r="AL1345" t="str">
            <v>CDC1043</v>
          </cell>
        </row>
        <row r="1346">
          <cell r="N1346" t="str">
            <v>TEMPLE KOL AMI EARLY CHILDHOOD CENTER</v>
          </cell>
          <cell r="O1346" t="str">
            <v>15030 NORTH 64TH STREET</v>
          </cell>
          <cell r="P1346" t="str">
            <v>eccdirector@templokolami.org</v>
          </cell>
          <cell r="Q1346" t="str">
            <v>CDC-9388</v>
          </cell>
          <cell r="AJ1346" t="e">
            <v>#N/A</v>
          </cell>
          <cell r="AK1346" t="str">
            <v>CDC-9388</v>
          </cell>
          <cell r="AL1346" t="str">
            <v>CDC9388</v>
          </cell>
        </row>
        <row r="1347">
          <cell r="N1347" t="str">
            <v>TENDER CARE CREATIVE CENTER</v>
          </cell>
          <cell r="O1347" t="str">
            <v>705 EAST BASELINE ROAD</v>
          </cell>
          <cell r="P1347" t="str">
            <v>jrob676781@aol.com</v>
          </cell>
          <cell r="Q1347" t="str">
            <v>CDC-10857</v>
          </cell>
          <cell r="AJ1347" t="e">
            <v>#N/A</v>
          </cell>
          <cell r="AK1347" t="str">
            <v>CDC-10857</v>
          </cell>
          <cell r="AL1347" t="str">
            <v>CDC10857</v>
          </cell>
        </row>
        <row r="1348">
          <cell r="N1348" t="str">
            <v>THE  A C E S - SOARING EAGLES PROGRAM</v>
          </cell>
          <cell r="O1348" t="str">
            <v>6815 WEST CACTUS ROAD</v>
          </cell>
          <cell r="P1348" t="str">
            <v>jenell.johnson@theaces.net</v>
          </cell>
          <cell r="Q1348" t="str">
            <v>CDC-10362</v>
          </cell>
          <cell r="AJ1348" t="e">
            <v>#N/A</v>
          </cell>
          <cell r="AK1348" t="str">
            <v>CDC-10362</v>
          </cell>
          <cell r="AL1348" t="str">
            <v>CDC10362</v>
          </cell>
        </row>
        <row r="1349">
          <cell r="N1349" t="str">
            <v>THE ACADEMY DAY SCHOOL</v>
          </cell>
          <cell r="O1349" t="str">
            <v>1080 EAST PECOS ROAD - SUITE 19</v>
          </cell>
          <cell r="P1349" t="str">
            <v>theacademydayschool@gmail.con</v>
          </cell>
          <cell r="Q1349" t="str">
            <v>CDC-17272</v>
          </cell>
          <cell r="AJ1349" t="e">
            <v>#N/A</v>
          </cell>
          <cell r="AK1349" t="str">
            <v>CDC-17272</v>
          </cell>
          <cell r="AL1349" t="str">
            <v>CDC17272</v>
          </cell>
        </row>
        <row r="1350">
          <cell r="N1350" t="str">
            <v>THE APPLE TREE LEARNING CENTERS</v>
          </cell>
          <cell r="O1350" t="str">
            <v>1010 EAST BROADWAY BLVD</v>
          </cell>
          <cell r="P1350" t="str">
            <v>crmned@aol.com</v>
          </cell>
          <cell r="Q1350" t="str">
            <v>CDC-16726</v>
          </cell>
          <cell r="AJ1350">
            <v>92306</v>
          </cell>
          <cell r="AK1350" t="str">
            <v>CDC-16726</v>
          </cell>
          <cell r="AL1350" t="str">
            <v>CDC16726</v>
          </cell>
        </row>
        <row r="1351">
          <cell r="N1351" t="str">
            <v>THE ARK EARLY CHILDHOOD LEARNING CENTER</v>
          </cell>
          <cell r="O1351" t="str">
            <v>3600 NORTH FOURTH STREET</v>
          </cell>
          <cell r="P1351" t="str">
            <v>marymargaret@thumc.com</v>
          </cell>
          <cell r="Q1351" t="str">
            <v>CDC-9066</v>
          </cell>
          <cell r="AJ1351" t="e">
            <v>#N/A</v>
          </cell>
          <cell r="AK1351" t="str">
            <v>CDC-9066</v>
          </cell>
          <cell r="AL1351" t="str">
            <v>CDC9066</v>
          </cell>
        </row>
        <row r="1352">
          <cell r="N1352" t="str">
            <v>THE BEGINNING SCHOOL</v>
          </cell>
          <cell r="O1352" t="str">
            <v>4440 NORTH CAMPBELL AVE</v>
          </cell>
          <cell r="P1352" t="str">
            <v>tbs4440@gmail.com</v>
          </cell>
          <cell r="Q1352" t="str">
            <v>CDC-1917</v>
          </cell>
          <cell r="AJ1352" t="e">
            <v>#N/A</v>
          </cell>
          <cell r="AK1352" t="str">
            <v>CDC-1917</v>
          </cell>
          <cell r="AL1352" t="str">
            <v>CDC1917</v>
          </cell>
        </row>
        <row r="1353">
          <cell r="N1353" t="str">
            <v>THE CHILDREN'S CENTER</v>
          </cell>
          <cell r="O1353" t="str">
            <v>4831 EAST 22ND STREET</v>
          </cell>
          <cell r="P1353" t="str">
            <v>thechildrenscenterck@hotmail.com</v>
          </cell>
          <cell r="Q1353" t="str">
            <v>CDC-9945</v>
          </cell>
          <cell r="AJ1353">
            <v>84311</v>
          </cell>
          <cell r="AK1353" t="str">
            <v>CDC-9945</v>
          </cell>
          <cell r="AL1353" t="str">
            <v>CDC9945</v>
          </cell>
        </row>
        <row r="1354">
          <cell r="N1354" t="str">
            <v>THE CHILDREN'S CENTER FOR NEURODEVELOPMENTAL STUDIES</v>
          </cell>
          <cell r="O1354" t="str">
            <v>5430 WEST GLENN DRIVE</v>
          </cell>
          <cell r="P1354" t="str">
            <v>mlythgoe@ccnsaz.org</v>
          </cell>
          <cell r="Q1354" t="str">
            <v>CDC-18133</v>
          </cell>
          <cell r="AJ1354" t="e">
            <v>#N/A</v>
          </cell>
          <cell r="AK1354" t="str">
            <v>CDC-18133</v>
          </cell>
          <cell r="AL1354" t="str">
            <v>CDC18133</v>
          </cell>
        </row>
        <row r="1355">
          <cell r="N1355" t="str">
            <v>THE CHILDREN'S GARDEN  L L C</v>
          </cell>
          <cell r="O1355" t="str">
            <v>13 BROOKSIDE BOULEVARD</v>
          </cell>
          <cell r="P1355" t="str">
            <v>thechildrensgardenprescott@gmail.com</v>
          </cell>
          <cell r="Q1355" t="str">
            <v>CDC-15643</v>
          </cell>
          <cell r="AJ1355" t="e">
            <v>#N/A</v>
          </cell>
          <cell r="AK1355" t="str">
            <v>CDC-15643</v>
          </cell>
          <cell r="AL1355" t="str">
            <v>CDC15643</v>
          </cell>
        </row>
        <row r="1356">
          <cell r="N1356" t="str">
            <v>THE CLUBHOUSE</v>
          </cell>
          <cell r="O1356" t="str">
            <v>2719 NORTH SWAN ROAD</v>
          </cell>
          <cell r="P1356" t="str">
            <v>thesandboxtucson@gmail.com</v>
          </cell>
          <cell r="Q1356" t="str">
            <v>CDC-9860</v>
          </cell>
          <cell r="AJ1356" t="e">
            <v>#N/A</v>
          </cell>
          <cell r="AK1356" t="str">
            <v>CDC-9860</v>
          </cell>
          <cell r="AL1356" t="str">
            <v>CDC9860</v>
          </cell>
        </row>
        <row r="1357">
          <cell r="N1357" t="str">
            <v>THE DISCOVERY ZONE LEARNING CENTER</v>
          </cell>
          <cell r="O1357" t="str">
            <v>184 W WHITE MOUNTAIN BLVD</v>
          </cell>
          <cell r="P1357" t="str">
            <v>discoveryzone@frontiernet.net</v>
          </cell>
          <cell r="Q1357" t="str">
            <v>CDC-1773</v>
          </cell>
          <cell r="AJ1357" t="e">
            <v>#N/A</v>
          </cell>
          <cell r="AK1357" t="str">
            <v>CDC-1773</v>
          </cell>
          <cell r="AL1357" t="str">
            <v>CDC1773</v>
          </cell>
        </row>
        <row r="1358">
          <cell r="N1358" t="str">
            <v>THE FAMILY SCHOOL</v>
          </cell>
          <cell r="O1358" t="str">
            <v>1121 WEST MCDOWELL ROAD</v>
          </cell>
          <cell r="P1358" t="str">
            <v>janis@tfsphx.org</v>
          </cell>
          <cell r="Q1358" t="str">
            <v>CDC-4157</v>
          </cell>
          <cell r="AJ1358" t="e">
            <v>#N/A</v>
          </cell>
          <cell r="AK1358" t="str">
            <v>CDC-4157</v>
          </cell>
          <cell r="AL1358" t="str">
            <v>CDC4157</v>
          </cell>
        </row>
        <row r="1359">
          <cell r="N1359" t="str">
            <v>THE FRENCH AMERICAN SCHOOL OF ARIZONA</v>
          </cell>
          <cell r="O1359" t="str">
            <v>2222 SOUTH PRICE ROAD</v>
          </cell>
          <cell r="P1359" t="str">
            <v>corinne@frenchman.org</v>
          </cell>
          <cell r="Q1359" t="str">
            <v>CDC-15360</v>
          </cell>
          <cell r="AJ1359" t="e">
            <v>#N/A</v>
          </cell>
          <cell r="AK1359" t="str">
            <v>CDC-15360</v>
          </cell>
          <cell r="AL1359" t="str">
            <v>CDC15360</v>
          </cell>
        </row>
        <row r="1360">
          <cell r="N1360" t="str">
            <v>THE GODDARD SCHOOL</v>
          </cell>
          <cell r="O1360" t="str">
            <v>4080 EAST GERMANN ROAD</v>
          </cell>
          <cell r="P1360" t="str">
            <v>gilbert3az@goddardschools.com</v>
          </cell>
          <cell r="Q1360" t="str">
            <v>CDC-14246</v>
          </cell>
          <cell r="AJ1360" t="e">
            <v>#N/A</v>
          </cell>
          <cell r="AK1360" t="str">
            <v>CDC-14246</v>
          </cell>
          <cell r="AL1360" t="str">
            <v>CDC14246</v>
          </cell>
        </row>
        <row r="1361">
          <cell r="N1361" t="str">
            <v>THE GODDARD SCHOOL</v>
          </cell>
          <cell r="O1361" t="str">
            <v>13940 NORTH FRANK LLOYD WRIGHT BLVD</v>
          </cell>
          <cell r="P1361" t="str">
            <v>scottsdaleaz@goddardschools.com</v>
          </cell>
          <cell r="Q1361" t="str">
            <v>CDC-14743</v>
          </cell>
          <cell r="AJ1361" t="e">
            <v>#N/A</v>
          </cell>
          <cell r="AK1361" t="str">
            <v>CDC-14743</v>
          </cell>
          <cell r="AL1361" t="str">
            <v>CDC14743</v>
          </cell>
        </row>
        <row r="1362">
          <cell r="N1362" t="str">
            <v>THE GODDARD SCHOOL</v>
          </cell>
          <cell r="O1362" t="str">
            <v>4320 NORTH SCHOOL HILL ROAD</v>
          </cell>
          <cell r="P1362" t="str">
            <v>DBuckeyeaz@goddardschools.com</v>
          </cell>
          <cell r="Q1362" t="str">
            <v>CDC-14808</v>
          </cell>
          <cell r="AJ1362" t="e">
            <v>#N/A</v>
          </cell>
          <cell r="AK1362" t="str">
            <v>CDC-14808</v>
          </cell>
          <cell r="AL1362" t="str">
            <v>CDC14808</v>
          </cell>
        </row>
        <row r="1363">
          <cell r="N1363" t="str">
            <v>THE GODDARD SCHOOL</v>
          </cell>
          <cell r="O1363" t="str">
            <v>1815 WEST CHANDLER BLVD</v>
          </cell>
          <cell r="P1363" t="str">
            <v>chandlerdirector@gmail.com</v>
          </cell>
          <cell r="Q1363" t="str">
            <v>CDC-14831</v>
          </cell>
          <cell r="AJ1363" t="e">
            <v>#N/A</v>
          </cell>
          <cell r="AK1363" t="str">
            <v>CDC-14831</v>
          </cell>
          <cell r="AL1363" t="str">
            <v>CDC14831</v>
          </cell>
        </row>
        <row r="1364">
          <cell r="N1364" t="str">
            <v>THE GODDARD SCHOOL</v>
          </cell>
          <cell r="O1364" t="str">
            <v>13235 WEST THOMAS ROAD</v>
          </cell>
          <cell r="P1364" t="str">
            <v>dgoodyearaz@goddardschools.com</v>
          </cell>
          <cell r="Q1364" t="str">
            <v>CDC-15102</v>
          </cell>
          <cell r="AJ1364" t="e">
            <v>#N/A</v>
          </cell>
          <cell r="AK1364" t="str">
            <v>CDC-15102</v>
          </cell>
          <cell r="AL1364" t="str">
            <v>CDC15102</v>
          </cell>
        </row>
        <row r="1365">
          <cell r="N1365" t="str">
            <v>THE GODDARD SCHOOL</v>
          </cell>
          <cell r="O1365" t="str">
            <v>1420 NORTH HIGLEY ROAD</v>
          </cell>
          <cell r="P1365" t="str">
            <v>dgilbert1az@goddardschools.com</v>
          </cell>
          <cell r="Q1365" t="str">
            <v>CDC-15734</v>
          </cell>
          <cell r="AJ1365" t="e">
            <v>#N/A</v>
          </cell>
          <cell r="AK1365" t="str">
            <v>CDC-15734</v>
          </cell>
          <cell r="AL1365" t="str">
            <v>CDC15734</v>
          </cell>
        </row>
        <row r="1366">
          <cell r="N1366" t="str">
            <v>THE GODDARD SCHOOL</v>
          </cell>
          <cell r="O1366" t="str">
            <v>720 EAST WARNER ROAD</v>
          </cell>
          <cell r="P1366" t="str">
            <v>Dgilbert2az@goddardschools.com</v>
          </cell>
          <cell r="Q1366" t="str">
            <v>CDC-17250</v>
          </cell>
          <cell r="AJ1366" t="e">
            <v>#N/A</v>
          </cell>
          <cell r="AK1366" t="str">
            <v>CDC-17250</v>
          </cell>
          <cell r="AL1366" t="str">
            <v>CDC17250</v>
          </cell>
        </row>
        <row r="1367">
          <cell r="N1367" t="str">
            <v>THE GODDARD SCHOOL</v>
          </cell>
          <cell r="O1367" t="str">
            <v>4060 EAST PEAK VIEW ROAD</v>
          </cell>
          <cell r="P1367" t="str">
            <v>cavecreekaz@goddardschools.com</v>
          </cell>
          <cell r="Q1367" t="str">
            <v>CDC-17829</v>
          </cell>
          <cell r="AJ1367" t="e">
            <v>#N/A</v>
          </cell>
          <cell r="AK1367" t="str">
            <v>CDC-17829</v>
          </cell>
          <cell r="AL1367" t="str">
            <v>CDC17829</v>
          </cell>
        </row>
        <row r="1368">
          <cell r="N1368" t="str">
            <v>THE GOOD SHEPHERD PRESCHOOL</v>
          </cell>
          <cell r="O1368" t="str">
            <v>15220 NORTH 39TH AVENUE</v>
          </cell>
          <cell r="P1368" t="str">
            <v>office@tgspreschool.org</v>
          </cell>
          <cell r="Q1368" t="str">
            <v>CDC-18229</v>
          </cell>
          <cell r="AJ1368" t="e">
            <v>#N/A</v>
          </cell>
          <cell r="AK1368" t="str">
            <v>CDC-18229</v>
          </cell>
          <cell r="AL1368" t="str">
            <v>CDC18229</v>
          </cell>
        </row>
        <row r="1369">
          <cell r="N1369" t="str">
            <v>THE GROWING PLACE PRESCHOOL</v>
          </cell>
          <cell r="O1369" t="str">
            <v>744 WEST RAY ROAD STE 104</v>
          </cell>
          <cell r="P1369" t="str">
            <v>info@mygrowingplace.com</v>
          </cell>
          <cell r="Q1369" t="str">
            <v>CDC-13118</v>
          </cell>
          <cell r="AJ1369" t="e">
            <v>#N/A</v>
          </cell>
          <cell r="AK1369" t="str">
            <v>CDC-13118</v>
          </cell>
          <cell r="AL1369" t="str">
            <v>CDC13118</v>
          </cell>
        </row>
        <row r="1370">
          <cell r="N1370" t="str">
            <v>THE HILLS SCHOOL AND ATELIER</v>
          </cell>
          <cell r="O1370" t="str">
            <v>5524 EAST LAFAYETTE BOULEVARD</v>
          </cell>
          <cell r="P1370" t="str">
            <v>nenge@asu.edu</v>
          </cell>
          <cell r="Q1370" t="str">
            <v>CDC-0669</v>
          </cell>
          <cell r="AJ1370" t="e">
            <v>#N/A</v>
          </cell>
          <cell r="AK1370" t="str">
            <v>CDC-0669</v>
          </cell>
          <cell r="AL1370" t="str">
            <v>CDC0669</v>
          </cell>
        </row>
        <row r="1371">
          <cell r="N1371" t="str">
            <v>THE ILIAD ACADEMY PRESCHOOL</v>
          </cell>
          <cell r="O1371" t="str">
            <v>20909 WEST YUMA ROAD</v>
          </cell>
          <cell r="P1371" t="str">
            <v>ecunningham@theiliadacademy.com</v>
          </cell>
          <cell r="Q1371" t="str">
            <v>CDC-18013</v>
          </cell>
          <cell r="AJ1371" t="e">
            <v>#N/A</v>
          </cell>
          <cell r="AK1371" t="str">
            <v>CDC-18013</v>
          </cell>
          <cell r="AL1371" t="str">
            <v>CDC18013</v>
          </cell>
        </row>
        <row r="1372">
          <cell r="N1372" t="str">
            <v>THE KIDS ACADEMY</v>
          </cell>
          <cell r="O1372" t="str">
            <v>7430 WEST CACTUS ROAD</v>
          </cell>
          <cell r="P1372" t="str">
            <v>contact@kidsarizona.com</v>
          </cell>
          <cell r="Q1372" t="str">
            <v>CDC-17260</v>
          </cell>
          <cell r="AJ1372">
            <v>624184</v>
          </cell>
          <cell r="AK1372" t="str">
            <v>CDC-17260</v>
          </cell>
          <cell r="AL1372" t="str">
            <v>CDC17260</v>
          </cell>
        </row>
        <row r="1373">
          <cell r="N1373" t="str">
            <v>THE KINGMAN GINGERBREAD HOUSE, L.L.C.</v>
          </cell>
          <cell r="O1373" t="str">
            <v>4145 NORTH BANK A</v>
          </cell>
          <cell r="P1373" t="str">
            <v>l2long@hotmail.com</v>
          </cell>
          <cell r="Q1373" t="str">
            <v>CDC-16681</v>
          </cell>
          <cell r="AJ1373">
            <v>90131</v>
          </cell>
          <cell r="AK1373" t="str">
            <v>CDC-16681</v>
          </cell>
          <cell r="AL1373" t="str">
            <v>CDC16681</v>
          </cell>
        </row>
        <row r="1374">
          <cell r="N1374" t="str">
            <v>THE LEARNING EXPERIENCE</v>
          </cell>
          <cell r="O1374" t="str">
            <v>4744 SOUTH EASTMARK PARKWAY</v>
          </cell>
          <cell r="P1374" t="str">
            <v>eastmark@tlechildcare.com</v>
          </cell>
          <cell r="Q1374" t="str">
            <v>CDC-18140</v>
          </cell>
          <cell r="AJ1374" t="e">
            <v>#N/A</v>
          </cell>
          <cell r="AK1374" t="str">
            <v>CDC-18140</v>
          </cell>
          <cell r="AL1374" t="str">
            <v>CDC18140</v>
          </cell>
        </row>
        <row r="1375">
          <cell r="N1375" t="str">
            <v>THE LEARNING EXPERIENCE</v>
          </cell>
          <cell r="O1375" t="str">
            <v>13922 WEST AVALON DRIVE</v>
          </cell>
          <cell r="P1375" t="str">
            <v>palmvalley@tlechldcare.com</v>
          </cell>
          <cell r="Q1375" t="str">
            <v>CDC-18162</v>
          </cell>
          <cell r="AJ1375" t="e">
            <v>#N/A</v>
          </cell>
          <cell r="AK1375" t="str">
            <v>CDC-18162</v>
          </cell>
          <cell r="AL1375" t="str">
            <v>CDC18162</v>
          </cell>
        </row>
        <row r="1376">
          <cell r="N1376" t="str">
            <v>THE LEARNING EXPERIENCE</v>
          </cell>
          <cell r="O1376" t="str">
            <v>3111 EAST PECOS ROAD</v>
          </cell>
          <cell r="P1376" t="str">
            <v>happylearnersllc@gmail.com</v>
          </cell>
          <cell r="Q1376" t="str">
            <v>CDC-18845</v>
          </cell>
          <cell r="AJ1376" t="e">
            <v>#N/A</v>
          </cell>
          <cell r="AK1376" t="str">
            <v>CDC-18845</v>
          </cell>
          <cell r="AL1376" t="str">
            <v>CDC18845</v>
          </cell>
        </row>
        <row r="1377">
          <cell r="N1377" t="str">
            <v>THE LEARNING EXPERIENCE - CHANDLER - OCOTILLO</v>
          </cell>
          <cell r="O1377" t="str">
            <v>3735 SOUTH ARIZONA AVENUE</v>
          </cell>
          <cell r="P1377" t="str">
            <v>chandler-ocotillo@tlechildcare.com</v>
          </cell>
          <cell r="Q1377" t="str">
            <v>CDC-18452</v>
          </cell>
          <cell r="AJ1377" t="e">
            <v>#N/A</v>
          </cell>
          <cell r="AK1377" t="str">
            <v>CDC-18452</v>
          </cell>
          <cell r="AL1377" t="str">
            <v>CDC18452</v>
          </cell>
        </row>
        <row r="1378">
          <cell r="N1378" t="str">
            <v>THE LEARNING EXPERIENCE / HAPPY VALLEY L.L.C.</v>
          </cell>
          <cell r="O1378" t="str">
            <v>1720 WEST HAPPY VALLEY ROAD</v>
          </cell>
          <cell r="P1378" t="str">
            <v>happyvalley@tlchildcare.com</v>
          </cell>
          <cell r="Q1378" t="str">
            <v>CDC-18679</v>
          </cell>
          <cell r="AJ1378" t="e">
            <v>#N/A</v>
          </cell>
          <cell r="AK1378" t="str">
            <v>CDC-18679</v>
          </cell>
          <cell r="AL1378" t="str">
            <v>CDC18679</v>
          </cell>
        </row>
        <row r="1379">
          <cell r="N1379" t="str">
            <v>THE LEARNING PAD CHRISTIAN PRESCHOOL</v>
          </cell>
          <cell r="O1379" t="str">
            <v>12716 NORTH FRONTAGE ROAD</v>
          </cell>
          <cell r="P1379" t="str">
            <v>thelearningpad@live.com</v>
          </cell>
          <cell r="Q1379" t="str">
            <v>CDC-8819</v>
          </cell>
          <cell r="AJ1379" t="e">
            <v>#N/A</v>
          </cell>
          <cell r="AK1379" t="str">
            <v>CDC-8819</v>
          </cell>
          <cell r="AL1379" t="str">
            <v>CDC8819</v>
          </cell>
        </row>
        <row r="1380">
          <cell r="N1380" t="str">
            <v>THE LEARNING TREE PRESCHOOL</v>
          </cell>
          <cell r="O1380" t="str">
            <v>620 EAST MYER DRIVE</v>
          </cell>
          <cell r="P1380" t="str">
            <v>lrningtree@aol.com</v>
          </cell>
          <cell r="Q1380" t="str">
            <v>CDC-5464</v>
          </cell>
          <cell r="AJ1380" t="e">
            <v>#N/A</v>
          </cell>
          <cell r="AK1380" t="str">
            <v>CDC-5464</v>
          </cell>
          <cell r="AL1380" t="str">
            <v>CDC5464</v>
          </cell>
        </row>
        <row r="1381">
          <cell r="N1381" t="str">
            <v>THE LILY PAD DAY CARE CENTER</v>
          </cell>
          <cell r="O1381" t="str">
            <v>1099 SUNRISE AVENUE</v>
          </cell>
          <cell r="P1381" t="str">
            <v>jlucchesi@creativecare.cc</v>
          </cell>
          <cell r="Q1381" t="str">
            <v>CDC-10416</v>
          </cell>
          <cell r="AJ1381" t="e">
            <v>#N/A</v>
          </cell>
          <cell r="AK1381" t="str">
            <v>CDC-10416</v>
          </cell>
          <cell r="AL1381" t="str">
            <v>CDC10416</v>
          </cell>
        </row>
        <row r="1382">
          <cell r="N1382" t="str">
            <v>THE LITTLE GARDEN SCHOOLHOUSE</v>
          </cell>
          <cell r="O1382" t="str">
            <v>2243 EAST UNIVERSITY DRIVE</v>
          </cell>
          <cell r="P1382" t="str">
            <v>littlegardenschoolhouse@gmail.com</v>
          </cell>
          <cell r="Q1382" t="str">
            <v>CDC-16993</v>
          </cell>
          <cell r="AJ1382" t="e">
            <v>#N/A</v>
          </cell>
          <cell r="AK1382" t="str">
            <v>CDC-16993</v>
          </cell>
          <cell r="AL1382" t="str">
            <v>CDC16993</v>
          </cell>
        </row>
        <row r="1383">
          <cell r="N1383" t="str">
            <v>THE LITTLE PROSPECTOR</v>
          </cell>
          <cell r="O1383" t="str">
            <v>550 SOUTH IRONWOOD DRIVE</v>
          </cell>
          <cell r="P1383" t="str">
            <v>lucyattlp@msn.com</v>
          </cell>
          <cell r="Q1383" t="str">
            <v>CDC-17590</v>
          </cell>
          <cell r="AJ1383" t="e">
            <v>#N/A</v>
          </cell>
          <cell r="AK1383" t="str">
            <v>CDC-17590</v>
          </cell>
          <cell r="AL1383" t="str">
            <v>CDC17590</v>
          </cell>
        </row>
        <row r="1384">
          <cell r="N1384" t="str">
            <v>THE LITTLE PROSPECTOR</v>
          </cell>
          <cell r="O1384" t="str">
            <v>1802 SOUTH IRONWOOD DRIVE</v>
          </cell>
          <cell r="P1384" t="str">
            <v>lucyattlp@msn.com</v>
          </cell>
          <cell r="Q1384" t="str">
            <v>CDC-5713</v>
          </cell>
          <cell r="AJ1384" t="e">
            <v>#N/A</v>
          </cell>
          <cell r="AK1384" t="str">
            <v>CDC-5713</v>
          </cell>
          <cell r="AL1384" t="str">
            <v>CDC5713</v>
          </cell>
        </row>
        <row r="1385">
          <cell r="N1385" t="str">
            <v>THE MONTESSORI SCHOOLHOUSE OF TUCSON</v>
          </cell>
          <cell r="O1385" t="str">
            <v>1127 NORTH 6TH AVENUE</v>
          </cell>
          <cell r="P1385" t="str">
            <v>mont1127@hotmail.com</v>
          </cell>
          <cell r="Q1385" t="str">
            <v>CDC-0815</v>
          </cell>
          <cell r="AJ1385" t="e">
            <v>#N/A</v>
          </cell>
          <cell r="AK1385" t="str">
            <v>CDC-0815</v>
          </cell>
          <cell r="AL1385" t="str">
            <v>CDC0815</v>
          </cell>
        </row>
        <row r="1386">
          <cell r="N1386" t="str">
            <v>THE PAIDEIA ACADEMY OF SOUTH PHOENIX PRESCHOOL</v>
          </cell>
          <cell r="O1386" t="str">
            <v>1535 EAST BASELINE ROAD</v>
          </cell>
          <cell r="P1386" t="str">
            <v>jwilliams@paideiamail.com</v>
          </cell>
          <cell r="Q1386" t="str">
            <v>CDC-18566</v>
          </cell>
          <cell r="AJ1386" t="e">
            <v>#N/A</v>
          </cell>
          <cell r="AK1386" t="str">
            <v>CDC-18566</v>
          </cell>
          <cell r="AL1386" t="str">
            <v>CDC18566</v>
          </cell>
        </row>
        <row r="1387">
          <cell r="N1387" t="str">
            <v>THE PRESCHOOL AT DISCOVERY</v>
          </cell>
          <cell r="O1387" t="str">
            <v>1644 SOUTH LINDSAY ROAD</v>
          </cell>
          <cell r="P1387" t="str">
            <v>sbrown@thepreschoolgroup.com</v>
          </cell>
          <cell r="Q1387" t="str">
            <v>CDC-18792</v>
          </cell>
          <cell r="AJ1387" t="e">
            <v>#N/A</v>
          </cell>
          <cell r="AK1387" t="str">
            <v>CDC-18792</v>
          </cell>
          <cell r="AL1387" t="str">
            <v>CDC18792</v>
          </cell>
        </row>
        <row r="1388">
          <cell r="N1388" t="str">
            <v>THE PRESCHOOL AT RED MOUNTAIN UNITED METHODIST CHURCH</v>
          </cell>
          <cell r="O1388" t="str">
            <v>2936 NORTH POWER ROAD</v>
          </cell>
          <cell r="P1388" t="str">
            <v>the.preschool@rmumc.com</v>
          </cell>
          <cell r="Q1388" t="str">
            <v>CDC-12812</v>
          </cell>
          <cell r="AJ1388" t="e">
            <v>#N/A</v>
          </cell>
          <cell r="AK1388" t="str">
            <v>CDC-12812</v>
          </cell>
          <cell r="AL1388" t="str">
            <v>CDC12812</v>
          </cell>
        </row>
        <row r="1389">
          <cell r="N1389" t="str">
            <v>THE ROCK - THE SALVATION ARMY DAYCARE</v>
          </cell>
          <cell r="O1389" t="str">
            <v>161 EAST CEDAR STREET</v>
          </cell>
          <cell r="P1389" t="str">
            <v>Yvette.angulo@usw.salvationarmy.org</v>
          </cell>
          <cell r="Q1389" t="str">
            <v>CDC-13348</v>
          </cell>
          <cell r="AJ1389" t="e">
            <v>#N/A</v>
          </cell>
          <cell r="AK1389" t="str">
            <v>CDC-13348</v>
          </cell>
          <cell r="AL1389" t="str">
            <v>CDC13348</v>
          </cell>
        </row>
        <row r="1390">
          <cell r="N1390" t="str">
            <v>THE S A R R C COMMUNITY SCHOOL</v>
          </cell>
          <cell r="O1390" t="str">
            <v>300 NORTH 18TH STREET</v>
          </cell>
          <cell r="P1390" t="str">
            <v>sarrc@autismcenter.org</v>
          </cell>
          <cell r="Q1390" t="str">
            <v>CDC-11999</v>
          </cell>
          <cell r="AJ1390" t="e">
            <v>#N/A</v>
          </cell>
          <cell r="AK1390" t="str">
            <v>CDC-11999</v>
          </cell>
          <cell r="AL1390" t="str">
            <v>CDC11999</v>
          </cell>
        </row>
        <row r="1391">
          <cell r="N1391" t="str">
            <v>THE SALVATION ARMY RAY AND JOAN KROC COMMUNITY CENTER</v>
          </cell>
          <cell r="O1391" t="str">
            <v>1375 EAST BROADWAY ROAD</v>
          </cell>
          <cell r="P1391" t="str">
            <v>Rommel.Apostol@usw.salvationarmy.org</v>
          </cell>
          <cell r="Q1391" t="str">
            <v>CDC-18184</v>
          </cell>
          <cell r="AJ1391" t="e">
            <v>#N/A</v>
          </cell>
          <cell r="AK1391" t="str">
            <v>CDC-18184</v>
          </cell>
          <cell r="AL1391" t="str">
            <v>CDC18184</v>
          </cell>
        </row>
        <row r="1392">
          <cell r="N1392" t="str">
            <v>THE SANDBOX 2</v>
          </cell>
          <cell r="O1392" t="str">
            <v>2701 NORTH SWAN</v>
          </cell>
          <cell r="P1392" t="str">
            <v xml:space="preserve"> thesandboxtucson@gmail.com</v>
          </cell>
          <cell r="Q1392" t="str">
            <v>CDC-5046</v>
          </cell>
          <cell r="AJ1392" t="e">
            <v>#N/A</v>
          </cell>
          <cell r="AK1392" t="str">
            <v>CDC-5046</v>
          </cell>
          <cell r="AL1392" t="str">
            <v>CDC5046</v>
          </cell>
        </row>
        <row r="1393">
          <cell r="N1393" t="str">
            <v>THE SCOTTSDALE SCHOOL</v>
          </cell>
          <cell r="O1393" t="str">
            <v>14684 NORTH FRANK LLOYD WRIGHT BLVD</v>
          </cell>
          <cell r="P1393" t="str">
            <v>info@thescottsdaleschool.com</v>
          </cell>
          <cell r="Q1393" t="str">
            <v>CDC-15738</v>
          </cell>
          <cell r="AJ1393" t="e">
            <v>#N/A</v>
          </cell>
          <cell r="AK1393" t="str">
            <v>CDC-15738</v>
          </cell>
          <cell r="AL1393" t="str">
            <v>CDC15738</v>
          </cell>
        </row>
        <row r="1394">
          <cell r="N1394" t="str">
            <v>THE SOLEL SCHOOL - PRESCHOOL</v>
          </cell>
          <cell r="O1394" t="str">
            <v>6805 EAST MCDONALD DRIVE</v>
          </cell>
          <cell r="P1394" t="str">
            <v>mabloom@templesolel.org</v>
          </cell>
          <cell r="Q1394" t="str">
            <v>CDC-1706</v>
          </cell>
          <cell r="AJ1394" t="e">
            <v>#N/A</v>
          </cell>
          <cell r="AK1394" t="str">
            <v>CDC-1706</v>
          </cell>
          <cell r="AL1394" t="str">
            <v>CDC1706</v>
          </cell>
        </row>
        <row r="1395">
          <cell r="N1395" t="str">
            <v>THE SON'S CHILDREN</v>
          </cell>
          <cell r="O1395" t="str">
            <v>3301 NORTH 32ND STREET</v>
          </cell>
          <cell r="P1395" t="str">
            <v>thesonschildren@gmail.com</v>
          </cell>
          <cell r="Q1395" t="str">
            <v>CDC-16826</v>
          </cell>
          <cell r="AJ1395" t="e">
            <v>#N/A</v>
          </cell>
          <cell r="AK1395" t="str">
            <v>CDC-16826</v>
          </cell>
          <cell r="AL1395" t="str">
            <v>CDC16826</v>
          </cell>
        </row>
        <row r="1396">
          <cell r="N1396" t="str">
            <v>THE SPRINGS PRESCHOOL &amp; CHILDCARE</v>
          </cell>
          <cell r="O1396" t="str">
            <v>6135 WEST DETROIT STREET</v>
          </cell>
          <cell r="P1396" t="str">
            <v>director@springspreschool.info</v>
          </cell>
          <cell r="Q1396" t="str">
            <v>CDC-18297</v>
          </cell>
          <cell r="AJ1396" t="e">
            <v>#N/A</v>
          </cell>
          <cell r="AK1396" t="str">
            <v>CDC-18297</v>
          </cell>
          <cell r="AL1396" t="str">
            <v>CDC18297</v>
          </cell>
        </row>
        <row r="1397">
          <cell r="N1397" t="str">
            <v>THE TREEHOUSE KIDS CLUB</v>
          </cell>
          <cell r="O1397" t="str">
            <v>1730 SOUTH 4TH AVENUE</v>
          </cell>
          <cell r="P1397" t="str">
            <v>play@treehouseyuma.com</v>
          </cell>
          <cell r="Q1397" t="str">
            <v>CDC-17544</v>
          </cell>
          <cell r="AJ1397">
            <v>1000102</v>
          </cell>
          <cell r="AK1397" t="str">
            <v>CDC-17544</v>
          </cell>
          <cell r="AL1397" t="str">
            <v>CDC17544</v>
          </cell>
        </row>
        <row r="1398">
          <cell r="N1398" t="str">
            <v>THE TREEHOUSE KIDS CLUB</v>
          </cell>
          <cell r="O1398" t="str">
            <v>7985 EAST 24TH STREET</v>
          </cell>
          <cell r="P1398" t="str">
            <v>davidsears71@icloud.com</v>
          </cell>
          <cell r="Q1398" t="str">
            <v>CDC-18231</v>
          </cell>
          <cell r="AJ1398">
            <v>1000103</v>
          </cell>
          <cell r="AK1398" t="str">
            <v>CDC-18231</v>
          </cell>
          <cell r="AL1398" t="str">
            <v>CDC18231</v>
          </cell>
        </row>
        <row r="1399">
          <cell r="N1399" t="str">
            <v>THE VILLAGE CHRISTIAN PRESCHOOL</v>
          </cell>
          <cell r="O1399" t="str">
            <v>3225 SAINT ANDREWS DRIVE</v>
          </cell>
          <cell r="P1399" t="str">
            <v>svumcpreschool@gmail.com</v>
          </cell>
          <cell r="Q1399" t="str">
            <v>CDC-4932</v>
          </cell>
          <cell r="AJ1399" t="e">
            <v>#N/A</v>
          </cell>
          <cell r="AK1399" t="str">
            <v>CDC-4932</v>
          </cell>
          <cell r="AL1399" t="str">
            <v>CDC4932</v>
          </cell>
        </row>
        <row r="1400">
          <cell r="N1400" t="str">
            <v>THE VILLAGE PRESCHOOL, INC.</v>
          </cell>
          <cell r="O1400" t="str">
            <v>2156 EAST LIBERTY LANE</v>
          </cell>
          <cell r="P1400" t="str">
            <v>bdsavoy@netzero.net</v>
          </cell>
          <cell r="Q1400" t="str">
            <v>CDC-8922</v>
          </cell>
          <cell r="AJ1400" t="e">
            <v>#N/A</v>
          </cell>
          <cell r="AK1400" t="str">
            <v>CDC-8922</v>
          </cell>
          <cell r="AL1400" t="str">
            <v>CDC8922</v>
          </cell>
        </row>
        <row r="1401">
          <cell r="N1401" t="str">
            <v>THE WEEKDAY SCHOOL</v>
          </cell>
          <cell r="O1401" t="str">
            <v>5510 NORTH CENTRAL AVENUE</v>
          </cell>
          <cell r="P1401" t="str">
            <v>becki@firstchurchoncentral.org</v>
          </cell>
          <cell r="Q1401" t="str">
            <v>CDC-0032</v>
          </cell>
          <cell r="AJ1401" t="e">
            <v>#N/A</v>
          </cell>
          <cell r="AK1401" t="str">
            <v>CDC-0032</v>
          </cell>
          <cell r="AL1401" t="str">
            <v>CDC0032</v>
          </cell>
        </row>
        <row r="1402">
          <cell r="N1402" t="str">
            <v>THE YELLOW BRICK HOUSE DAYCARE L.L.C.</v>
          </cell>
          <cell r="O1402" t="str">
            <v>506 WEST UNIVERSITY DRIVE</v>
          </cell>
          <cell r="P1402" t="str">
            <v>theyellowbrickhousedaycare@gmail.com</v>
          </cell>
          <cell r="Q1402" t="str">
            <v>CDC-18366</v>
          </cell>
          <cell r="AJ1402" t="e">
            <v>#N/A</v>
          </cell>
          <cell r="AK1402" t="str">
            <v>CDC-18366</v>
          </cell>
          <cell r="AL1402" t="str">
            <v>CDC18366</v>
          </cell>
        </row>
        <row r="1403">
          <cell r="N1403" t="str">
            <v>THREE POINTS CHILD CARE CENTER</v>
          </cell>
          <cell r="O1403" t="str">
            <v>15530 W AJO</v>
          </cell>
          <cell r="P1403" t="str">
            <v>3pointschildcc@cox.net</v>
          </cell>
          <cell r="Q1403" t="str">
            <v>CDC-15273</v>
          </cell>
          <cell r="AJ1403">
            <v>90499</v>
          </cell>
          <cell r="AK1403" t="str">
            <v>CDC-15273</v>
          </cell>
          <cell r="AL1403" t="str">
            <v>CDC15273</v>
          </cell>
        </row>
        <row r="1404">
          <cell r="N1404" t="str">
            <v>TIME FOR TOTS PRESCHOOL</v>
          </cell>
          <cell r="O1404" t="str">
            <v>2211 WEST GERMANN ROAD</v>
          </cell>
          <cell r="P1404" t="str">
            <v>jarid.lawson@timefortots.org</v>
          </cell>
          <cell r="Q1404" t="str">
            <v>CDC-14880</v>
          </cell>
          <cell r="AJ1404" t="e">
            <v>#N/A</v>
          </cell>
          <cell r="AK1404" t="str">
            <v>CDC-14880</v>
          </cell>
          <cell r="AL1404" t="str">
            <v>CDC14880</v>
          </cell>
        </row>
        <row r="1405">
          <cell r="N1405" t="str">
            <v>TINY TOTS DAYCARE CENTER</v>
          </cell>
          <cell r="O1405" t="str">
            <v>4431 SOUTH HIGHWAY 92</v>
          </cell>
          <cell r="P1405" t="str">
            <v>tinytotsvictoria@yahoo.com</v>
          </cell>
          <cell r="Q1405" t="str">
            <v>CDC-14884</v>
          </cell>
          <cell r="AJ1405">
            <v>90453</v>
          </cell>
          <cell r="AK1405" t="str">
            <v>CDC-14884</v>
          </cell>
          <cell r="AL1405" t="str">
            <v>CDC14884</v>
          </cell>
        </row>
        <row r="1406">
          <cell r="N1406" t="str">
            <v>TINY TOTS WEST</v>
          </cell>
          <cell r="O1406" t="str">
            <v>1024 WEST UNIVERSITY DRIVE</v>
          </cell>
          <cell r="P1406" t="str">
            <v>tinytotswest@gmail.com</v>
          </cell>
          <cell r="Q1406" t="str">
            <v>CDC-9423</v>
          </cell>
          <cell r="AJ1406">
            <v>80538</v>
          </cell>
          <cell r="AK1406" t="str">
            <v>CDC-9423</v>
          </cell>
          <cell r="AL1406" t="str">
            <v>CDC9423</v>
          </cell>
        </row>
        <row r="1407">
          <cell r="N1407" t="str">
            <v>TINY TREASURES PRE-SCHOOL</v>
          </cell>
          <cell r="O1407" t="str">
            <v>4123 NORTH 15TH AVENUE</v>
          </cell>
          <cell r="P1407" t="str">
            <v>debbi_at_tinytreasures@yahoo.com</v>
          </cell>
          <cell r="Q1407" t="str">
            <v>CDC-10363</v>
          </cell>
          <cell r="AJ1407">
            <v>80913</v>
          </cell>
          <cell r="AK1407" t="str">
            <v>CDC-10363</v>
          </cell>
          <cell r="AL1407" t="str">
            <v>CDC10363</v>
          </cell>
        </row>
        <row r="1408">
          <cell r="N1408" t="str">
            <v>TLE AT MESA - GUADALUPE, LLC</v>
          </cell>
          <cell r="O1408" t="str">
            <v>430 WEST GUADALUPE ROAD</v>
          </cell>
          <cell r="P1408" t="str">
            <v>kmonfiston@tlecorp.com</v>
          </cell>
          <cell r="Q1408" t="str">
            <v>CDC-18752</v>
          </cell>
          <cell r="AJ1408" t="e">
            <v>#N/A</v>
          </cell>
          <cell r="AK1408" t="str">
            <v>CDC-18752</v>
          </cell>
          <cell r="AL1408" t="str">
            <v>CDC18752</v>
          </cell>
        </row>
        <row r="1409">
          <cell r="N1409" t="str">
            <v>TODAYS TOMORROW LEARNING ACADEMY</v>
          </cell>
          <cell r="O1409" t="str">
            <v>1616 NORTH 24TH STREET - SUITE #104</v>
          </cell>
          <cell r="P1409" t="str">
            <v>todaystomorrowlc@gmail.com</v>
          </cell>
          <cell r="Q1409" t="str">
            <v>CDC-15222</v>
          </cell>
          <cell r="AJ1409">
            <v>90796</v>
          </cell>
          <cell r="AK1409" t="str">
            <v>CDC-15222</v>
          </cell>
          <cell r="AL1409" t="str">
            <v>CDC15222</v>
          </cell>
        </row>
        <row r="1410">
          <cell r="N1410" t="str">
            <v>TODDLER'S INN</v>
          </cell>
          <cell r="O1410" t="str">
            <v>8226 EAST APACHE TRAIL</v>
          </cell>
          <cell r="P1410" t="str">
            <v>clifglo@cox.net</v>
          </cell>
          <cell r="Q1410" t="str">
            <v>CDC-0998</v>
          </cell>
          <cell r="AJ1410" t="e">
            <v>#N/A</v>
          </cell>
          <cell r="AK1410" t="str">
            <v>CDC-0998</v>
          </cell>
          <cell r="AL1410" t="str">
            <v>CDC0998</v>
          </cell>
        </row>
        <row r="1411">
          <cell r="N1411" t="str">
            <v>TOLLESON HEAD START</v>
          </cell>
          <cell r="O1411" t="str">
            <v>9302 WEST BADEN</v>
          </cell>
          <cell r="P1411" t="str">
            <v>acassibba@cc-az.org</v>
          </cell>
          <cell r="Q1411" t="str">
            <v>CDC-8713</v>
          </cell>
          <cell r="AJ1411" t="e">
            <v>#N/A</v>
          </cell>
          <cell r="AK1411" t="str">
            <v>CDC-8713</v>
          </cell>
          <cell r="AL1411" t="str">
            <v>CDC8713</v>
          </cell>
        </row>
        <row r="1412">
          <cell r="N1412" t="str">
            <v>TOLTEC HEAD START</v>
          </cell>
          <cell r="O1412" t="str">
            <v>3720 NORTH MARSH STREET</v>
          </cell>
          <cell r="P1412" t="str">
            <v>pat.davis@pgccs.org</v>
          </cell>
          <cell r="Q1412" t="str">
            <v>CDC-4976</v>
          </cell>
          <cell r="AJ1412">
            <v>8079</v>
          </cell>
          <cell r="AK1412" t="str">
            <v>CDC-4976</v>
          </cell>
          <cell r="AL1412" t="str">
            <v>CDC4976</v>
          </cell>
        </row>
        <row r="1413">
          <cell r="N1413" t="str">
            <v>TOTS UNLIMITED # 28</v>
          </cell>
          <cell r="O1413" t="str">
            <v>8311 WEST GLENDALE AVENUE</v>
          </cell>
          <cell r="P1413" t="str">
            <v>mwerber@cox.net</v>
          </cell>
          <cell r="Q1413" t="str">
            <v>CDC-14782</v>
          </cell>
          <cell r="AJ1413">
            <v>90437</v>
          </cell>
          <cell r="AK1413" t="str">
            <v>CDC-14782</v>
          </cell>
          <cell r="AL1413" t="str">
            <v>CDC14782</v>
          </cell>
        </row>
        <row r="1414">
          <cell r="N1414" t="str">
            <v>TOTS UNLIMITED #26</v>
          </cell>
          <cell r="O1414" t="str">
            <v>6390 NORTH 59TH AVENUE</v>
          </cell>
          <cell r="P1414" t="str">
            <v>staceytots@hotmail.com</v>
          </cell>
          <cell r="Q1414" t="str">
            <v>CDC-9937</v>
          </cell>
          <cell r="AJ1414">
            <v>80731</v>
          </cell>
          <cell r="AK1414" t="str">
            <v>CDC-9937</v>
          </cell>
          <cell r="AL1414" t="str">
            <v>CDC9937</v>
          </cell>
        </row>
        <row r="1415">
          <cell r="N1415" t="str">
            <v>TOTSPOT PRESCHOOL L L C</v>
          </cell>
          <cell r="O1415" t="str">
            <v>4844 SOUTH VAL VISTA DRIVE STE A105</v>
          </cell>
          <cell r="P1415" t="str">
            <v>shannon@totspotpreschool.com</v>
          </cell>
          <cell r="Q1415" t="str">
            <v>CDC-15469</v>
          </cell>
          <cell r="AJ1415" t="e">
            <v>#N/A</v>
          </cell>
          <cell r="AK1415" t="str">
            <v>CDC-15469</v>
          </cell>
          <cell r="AL1415" t="str">
            <v>CDC15469</v>
          </cell>
        </row>
        <row r="1416">
          <cell r="N1416" t="str">
            <v>TOTSPOT PRESCHOOL TOO, LLC</v>
          </cell>
          <cell r="O1416" t="str">
            <v>1075 EAST RIGGS ROAD #4</v>
          </cell>
          <cell r="P1416" t="str">
            <v>totspotpreschoolchandler@gmail.com</v>
          </cell>
          <cell r="Q1416" t="str">
            <v>CDC-17698</v>
          </cell>
          <cell r="AJ1416" t="e">
            <v>#N/A</v>
          </cell>
          <cell r="AK1416" t="str">
            <v>CDC-17698</v>
          </cell>
          <cell r="AL1416" t="str">
            <v>CDC17698</v>
          </cell>
        </row>
        <row r="1417">
          <cell r="N1417" t="str">
            <v>TREE OF LIFE PRESCHOOL ACADEMY, L.L.C.</v>
          </cell>
          <cell r="O1417" t="str">
            <v>7050 SOUTH 24TH STREET</v>
          </cell>
          <cell r="P1417" t="str">
            <v>tolpreschoolacademy@gmail.com</v>
          </cell>
          <cell r="Q1417" t="str">
            <v>CDC-17586</v>
          </cell>
          <cell r="AJ1417" t="e">
            <v>#N/A</v>
          </cell>
          <cell r="AK1417" t="str">
            <v>CDC-17586</v>
          </cell>
          <cell r="AL1417" t="str">
            <v>CDC17586</v>
          </cell>
        </row>
        <row r="1418">
          <cell r="N1418" t="str">
            <v>TRICIA'S LEARNING CENTER</v>
          </cell>
          <cell r="O1418" t="str">
            <v>1520 W CAMINO ANTIGUA</v>
          </cell>
          <cell r="P1418" t="str">
            <v>pkucko2@aol.com</v>
          </cell>
          <cell r="Q1418" t="str">
            <v>CDC-14676</v>
          </cell>
          <cell r="AJ1418" t="e">
            <v>#N/A</v>
          </cell>
          <cell r="AK1418" t="str">
            <v>CDC-14676</v>
          </cell>
          <cell r="AL1418" t="str">
            <v>CDC14676</v>
          </cell>
        </row>
        <row r="1419">
          <cell r="N1419" t="str">
            <v>TRINITY LUTHERAN SCHOOL</v>
          </cell>
          <cell r="O1419" t="str">
            <v>830 EAST PLAZA CIRCLE EAST</v>
          </cell>
          <cell r="P1419" t="str">
            <v>hchapman@trinitylcs.org</v>
          </cell>
          <cell r="Q1419" t="str">
            <v>CDC-1718</v>
          </cell>
          <cell r="AJ1419" t="e">
            <v>#N/A</v>
          </cell>
          <cell r="AK1419" t="str">
            <v>CDC-1718</v>
          </cell>
          <cell r="AL1419" t="str">
            <v>CDC1718</v>
          </cell>
        </row>
        <row r="1420">
          <cell r="N1420" t="str">
            <v>TRINITY PRE SCHOOL/ CHILD CARE</v>
          </cell>
          <cell r="O1420" t="str">
            <v>216 ARIZONA STREET</v>
          </cell>
          <cell r="P1420" t="str">
            <v>preschool.tumc@gmail.com</v>
          </cell>
          <cell r="Q1420" t="str">
            <v>CDC-8060</v>
          </cell>
          <cell r="AJ1420" t="e">
            <v>#N/A</v>
          </cell>
          <cell r="AK1420" t="str">
            <v>CDC-8060</v>
          </cell>
          <cell r="AL1420" t="str">
            <v>CDC8060</v>
          </cell>
        </row>
        <row r="1421">
          <cell r="N1421" t="str">
            <v>TUCSON BAPTIST TEMPLE CHILD DEVELOPMENT CENTER</v>
          </cell>
          <cell r="O1421" t="str">
            <v>1525 S COLUMBUS BLVD</v>
          </cell>
          <cell r="P1421" t="str">
            <v>jenessa.armstrong@tucsonbaptist.com</v>
          </cell>
          <cell r="Q1421" t="str">
            <v>CDC-16344</v>
          </cell>
          <cell r="AJ1421" t="e">
            <v>#N/A</v>
          </cell>
          <cell r="AK1421" t="str">
            <v>CDC-16344</v>
          </cell>
          <cell r="AL1421" t="str">
            <v>CDC16344</v>
          </cell>
        </row>
        <row r="1422">
          <cell r="N1422" t="str">
            <v>TUCSON COMMUNITY SCHOOL, INC</v>
          </cell>
          <cell r="O1422" t="str">
            <v>2109 EAST HEDRICK DRIVE</v>
          </cell>
          <cell r="P1422" t="str">
            <v>info@tucsoncommunityschool.org</v>
          </cell>
          <cell r="Q1422" t="str">
            <v>CDC-0156</v>
          </cell>
          <cell r="AJ1422" t="e">
            <v>#N/A</v>
          </cell>
          <cell r="AK1422" t="str">
            <v>CDC-0156</v>
          </cell>
          <cell r="AL1422" t="str">
            <v>CDC0156</v>
          </cell>
        </row>
        <row r="1423">
          <cell r="N1423" t="str">
            <v>TUCSON COUNTRY DAY SCHOOL</v>
          </cell>
          <cell r="O1423" t="str">
            <v>9239 EAST WRIGHTSTOWN RD</v>
          </cell>
          <cell r="P1423" t="str">
            <v>wvinson@tcdcharterschool.com</v>
          </cell>
          <cell r="Q1423" t="str">
            <v>CDC-3141</v>
          </cell>
          <cell r="AJ1423" t="e">
            <v>#N/A</v>
          </cell>
          <cell r="AK1423" t="str">
            <v>CDC-3141</v>
          </cell>
          <cell r="AL1423" t="str">
            <v>CDC3141</v>
          </cell>
        </row>
        <row r="1424">
          <cell r="N1424" t="str">
            <v>TUCSON JEWISH COMMUNITY CENTER</v>
          </cell>
          <cell r="O1424" t="str">
            <v>3800 EAST RIVER ROAD</v>
          </cell>
          <cell r="P1424" t="str">
            <v>jriddle@tucsonjcc.org</v>
          </cell>
          <cell r="Q1424" t="str">
            <v>CDC-2022</v>
          </cell>
          <cell r="AJ1424" t="e">
            <v>#N/A</v>
          </cell>
          <cell r="AK1424" t="str">
            <v>CDC-2022</v>
          </cell>
          <cell r="AL1424" t="str">
            <v>CDC2022</v>
          </cell>
        </row>
        <row r="1425">
          <cell r="N1425" t="str">
            <v>TUCSON MUSEUM OF ART EDUCATION CENTER</v>
          </cell>
          <cell r="O1425" t="str">
            <v>166 WEST ALAMEDA</v>
          </cell>
          <cell r="P1425" t="str">
            <v>INFO@TUCSONMUSEUMOFART.ORG</v>
          </cell>
          <cell r="Q1425" t="str">
            <v>CDC-18854</v>
          </cell>
          <cell r="AJ1425" t="e">
            <v>#N/A</v>
          </cell>
          <cell r="AK1425" t="str">
            <v>CDC-18854</v>
          </cell>
          <cell r="AL1425" t="str">
            <v>CDC18854</v>
          </cell>
        </row>
        <row r="1426">
          <cell r="N1426" t="str">
            <v>TUCSON WALDORF SCHOOL</v>
          </cell>
          <cell r="O1426" t="str">
            <v>3605 EAST RIVER ROAD</v>
          </cell>
          <cell r="P1426" t="str">
            <v>operations@tucsonwaldorf.org</v>
          </cell>
          <cell r="Q1426" t="str">
            <v>CDC-16967</v>
          </cell>
          <cell r="AJ1426" t="e">
            <v>#N/A</v>
          </cell>
          <cell r="AK1426" t="str">
            <v>CDC-16967</v>
          </cell>
          <cell r="AL1426" t="str">
            <v>CDC16967</v>
          </cell>
        </row>
        <row r="1427">
          <cell r="N1427" t="str">
            <v>TUTOR TIME CHILD CARE /  LEARNING CENTERS</v>
          </cell>
          <cell r="O1427" t="str">
            <v>5911 WEST THUNDERBIRD ROAD</v>
          </cell>
          <cell r="P1427" t="str">
            <v>6084@tutortime.com</v>
          </cell>
          <cell r="Q1427" t="str">
            <v>CDC-13846</v>
          </cell>
          <cell r="AJ1427">
            <v>89888</v>
          </cell>
          <cell r="AK1427" t="str">
            <v>CDC-13846</v>
          </cell>
          <cell r="AL1427" t="str">
            <v>CDC13846</v>
          </cell>
        </row>
        <row r="1428">
          <cell r="N1428" t="str">
            <v>TUTOR TIME CHILD CARE /  LEARNING CENTERS</v>
          </cell>
          <cell r="O1428" t="str">
            <v>15365 SOUTH 48TH STREET</v>
          </cell>
          <cell r="P1428" t="str">
            <v>clara@tutortime.com</v>
          </cell>
          <cell r="Q1428" t="str">
            <v>CDC-13854</v>
          </cell>
          <cell r="AJ1428" t="e">
            <v>#N/A</v>
          </cell>
          <cell r="AK1428" t="str">
            <v>CDC-13854</v>
          </cell>
          <cell r="AL1428" t="str">
            <v>CDC13854</v>
          </cell>
        </row>
        <row r="1429">
          <cell r="N1429" t="str">
            <v>TUTOR TIME CHILD CARE / LEARNING CENTERS</v>
          </cell>
          <cell r="O1429" t="str">
            <v>10260 NORTH 67TH AVENUE</v>
          </cell>
          <cell r="P1429" t="str">
            <v>6076@tutortime.com</v>
          </cell>
          <cell r="Q1429" t="str">
            <v>CDC-13841</v>
          </cell>
          <cell r="AJ1429">
            <v>89884</v>
          </cell>
          <cell r="AK1429" t="str">
            <v>CDC-13841</v>
          </cell>
          <cell r="AL1429" t="str">
            <v>CDC13841</v>
          </cell>
        </row>
        <row r="1430">
          <cell r="N1430" t="str">
            <v>TUTOR TIME CHILD CARE / LEARNING CENTERS</v>
          </cell>
          <cell r="O1430" t="str">
            <v>1652 EAST ELLIOTT ROAD</v>
          </cell>
          <cell r="P1430" t="str">
            <v>6068@tutortime.com</v>
          </cell>
          <cell r="Q1430" t="str">
            <v>CDC-13856</v>
          </cell>
          <cell r="AJ1430">
            <v>90188</v>
          </cell>
          <cell r="AK1430" t="str">
            <v>CDC-13856</v>
          </cell>
          <cell r="AL1430" t="str">
            <v>CDC13856</v>
          </cell>
        </row>
        <row r="1431">
          <cell r="N1431" t="str">
            <v>TUTOR TIME CHILD CARE / LEARNING CENTERS</v>
          </cell>
          <cell r="O1431" t="str">
            <v>1928 NORTH GILBERT ROAD</v>
          </cell>
          <cell r="P1431" t="str">
            <v>crawls@tutortime.com</v>
          </cell>
          <cell r="Q1431" t="str">
            <v>CDC-13859</v>
          </cell>
          <cell r="AJ1431">
            <v>89879</v>
          </cell>
          <cell r="AK1431" t="str">
            <v>CDC-13859</v>
          </cell>
          <cell r="AL1431" t="str">
            <v>CDC13859</v>
          </cell>
        </row>
        <row r="1432">
          <cell r="N1432" t="str">
            <v>TUTOR TIME CHILD CARE/  LEARNING CENTERS</v>
          </cell>
          <cell r="O1432" t="str">
            <v>725 EAST BRILL STREET</v>
          </cell>
          <cell r="Q1432" t="str">
            <v>CDC-13838</v>
          </cell>
          <cell r="AJ1432" t="e">
            <v>#N/A</v>
          </cell>
          <cell r="AK1432" t="str">
            <v>CDC-13838</v>
          </cell>
          <cell r="AL1432" t="str">
            <v>CDC13838</v>
          </cell>
        </row>
        <row r="1433">
          <cell r="N1433" t="str">
            <v>TUTOR TIME CHILD CARE/  LEARNING CENTERS</v>
          </cell>
          <cell r="O1433" t="str">
            <v>7810 WEST LOWER BUCKEYE ROAD</v>
          </cell>
          <cell r="P1433" t="str">
            <v>gerald.maldonado@tutortime.com</v>
          </cell>
          <cell r="Q1433" t="str">
            <v>CDC-13839</v>
          </cell>
          <cell r="AJ1433">
            <v>89890</v>
          </cell>
          <cell r="AK1433" t="str">
            <v>CDC-13839</v>
          </cell>
          <cell r="AL1433" t="str">
            <v>CDC13839</v>
          </cell>
        </row>
        <row r="1434">
          <cell r="N1434" t="str">
            <v>TUTOR TIME CHILD CARE/  LEARNING CENTERS</v>
          </cell>
          <cell r="O1434" t="str">
            <v>3720 WEST ANTHEM WAY</v>
          </cell>
          <cell r="P1434" t="str">
            <v>6078@tutortime.com</v>
          </cell>
          <cell r="Q1434" t="str">
            <v>CDC-13840</v>
          </cell>
          <cell r="AJ1434" t="e">
            <v>#N/A</v>
          </cell>
          <cell r="AK1434" t="str">
            <v>CDC-13840</v>
          </cell>
          <cell r="AL1434" t="str">
            <v>CDC13840</v>
          </cell>
        </row>
        <row r="1435">
          <cell r="N1435" t="str">
            <v>TUTOR TIME CHILD CARE/  LEARNING CENTERS</v>
          </cell>
          <cell r="O1435" t="str">
            <v>24745 NORTH 23RD AVENUE</v>
          </cell>
          <cell r="P1435" t="str">
            <v>6092@tutortime.com</v>
          </cell>
          <cell r="Q1435" t="str">
            <v>CDC-13842</v>
          </cell>
          <cell r="AJ1435" t="e">
            <v>#N/A</v>
          </cell>
          <cell r="AK1435" t="str">
            <v>CDC-13842</v>
          </cell>
          <cell r="AL1435" t="str">
            <v>CDC13842</v>
          </cell>
        </row>
        <row r="1436">
          <cell r="N1436" t="str">
            <v>TUTOR TIME CHILD CARE/  LEARNING CENTERS</v>
          </cell>
          <cell r="O1436" t="str">
            <v>7255 SOUTH POWER ROAD</v>
          </cell>
          <cell r="P1436" t="str">
            <v>6090@tutortime.com</v>
          </cell>
          <cell r="Q1436" t="str">
            <v>CDC-13843</v>
          </cell>
          <cell r="AJ1436">
            <v>90936</v>
          </cell>
          <cell r="AK1436" t="str">
            <v>CDC-13843</v>
          </cell>
          <cell r="AL1436" t="str">
            <v>CDC13843</v>
          </cell>
        </row>
        <row r="1437">
          <cell r="N1437" t="str">
            <v>TUTOR TIME CHILD CARE/  LEARNING CENTERS</v>
          </cell>
          <cell r="O1437" t="str">
            <v>15438 WEST BELL ROAD</v>
          </cell>
          <cell r="P1437" t="str">
            <v>6087@tutortime.com</v>
          </cell>
          <cell r="Q1437" t="str">
            <v>CDC-13844</v>
          </cell>
          <cell r="AJ1437" t="e">
            <v>#N/A</v>
          </cell>
          <cell r="AK1437" t="str">
            <v>CDC-13844</v>
          </cell>
          <cell r="AL1437" t="str">
            <v>CDC13844</v>
          </cell>
        </row>
        <row r="1438">
          <cell r="N1438" t="str">
            <v>TUTOR TIME CHILD CARE/  LEARNING CENTERS</v>
          </cell>
          <cell r="O1438" t="str">
            <v>4736 EAST INDIAN SCHOOL ROAD</v>
          </cell>
          <cell r="P1438" t="str">
            <v>6086@tutortime.com</v>
          </cell>
          <cell r="Q1438" t="str">
            <v>CDC-13845</v>
          </cell>
          <cell r="AJ1438" t="e">
            <v>#N/A</v>
          </cell>
          <cell r="AK1438" t="str">
            <v>CDC-13845</v>
          </cell>
          <cell r="AL1438" t="str">
            <v>CDC13845</v>
          </cell>
        </row>
        <row r="1439">
          <cell r="N1439" t="str">
            <v>TUTOR TIME CHILD CARE/  LEARNING CENTERS</v>
          </cell>
          <cell r="O1439" t="str">
            <v>690 WEST WARNER ROAD</v>
          </cell>
          <cell r="P1439" t="str">
            <v>6083@tutortime.com</v>
          </cell>
          <cell r="Q1439" t="str">
            <v>CDC-13847</v>
          </cell>
          <cell r="AJ1439" t="e">
            <v>#N/A</v>
          </cell>
          <cell r="AK1439" t="str">
            <v>CDC-13847</v>
          </cell>
          <cell r="AL1439" t="str">
            <v>CDC13847</v>
          </cell>
        </row>
        <row r="1440">
          <cell r="N1440" t="str">
            <v>TUTOR TIME CHILD CARE/  LEARNING CENTERS</v>
          </cell>
          <cell r="O1440" t="str">
            <v>2050 WEST RAY ROAD</v>
          </cell>
          <cell r="P1440" t="str">
            <v>6080@tutortime.com</v>
          </cell>
          <cell r="Q1440" t="str">
            <v>CDC-13848</v>
          </cell>
          <cell r="AJ1440">
            <v>89885</v>
          </cell>
          <cell r="AK1440" t="str">
            <v>CDC-13848</v>
          </cell>
          <cell r="AL1440" t="str">
            <v>CDC13848</v>
          </cell>
        </row>
        <row r="1441">
          <cell r="N1441" t="str">
            <v>TUTOR TIME CHILD CARE/  LEARNING CENTERS</v>
          </cell>
          <cell r="O1441" t="str">
            <v>1900 SOUTH ALMA SCHOOL ROAD</v>
          </cell>
          <cell r="P1441" t="str">
            <v>6067@tutortime.com</v>
          </cell>
          <cell r="Q1441" t="str">
            <v>CDC-13850</v>
          </cell>
          <cell r="AJ1441" t="e">
            <v>#N/A</v>
          </cell>
          <cell r="AK1441" t="str">
            <v>CDC-13850</v>
          </cell>
          <cell r="AL1441" t="str">
            <v>CDC13850</v>
          </cell>
        </row>
        <row r="1442">
          <cell r="N1442" t="str">
            <v>TUTOR TIME CHILD CARE/  LEARNING CENTERS</v>
          </cell>
          <cell r="O1442" t="str">
            <v>905 NORTH MCCLINTOCK DRIVE</v>
          </cell>
          <cell r="P1442" t="str">
            <v>dalexander3@learningcaregroup.com</v>
          </cell>
          <cell r="Q1442" t="str">
            <v>CDC-13851</v>
          </cell>
          <cell r="AJ1442" t="e">
            <v>#N/A</v>
          </cell>
          <cell r="AK1442" t="str">
            <v>CDC-13851</v>
          </cell>
          <cell r="AL1442" t="str">
            <v>CDC13851</v>
          </cell>
        </row>
        <row r="1443">
          <cell r="N1443" t="str">
            <v>TUTOR TIME CHILD CARE/  LEARNING CENTERS</v>
          </cell>
          <cell r="O1443" t="str">
            <v>3316 EAST BASELINE ROAD</v>
          </cell>
          <cell r="P1443" t="str">
            <v>6088@tutortime.com</v>
          </cell>
          <cell r="Q1443" t="str">
            <v>CDC-13852</v>
          </cell>
          <cell r="AJ1443">
            <v>89889</v>
          </cell>
          <cell r="AK1443" t="str">
            <v>CDC-13852</v>
          </cell>
          <cell r="AL1443" t="str">
            <v>CDC13852</v>
          </cell>
        </row>
        <row r="1444">
          <cell r="N1444" t="str">
            <v>TUTOR TIME CHILD CARE/  LEARNING CENTERS</v>
          </cell>
          <cell r="O1444" t="str">
            <v>1730 NORTH DYSART ROAD</v>
          </cell>
          <cell r="P1444" t="str">
            <v>6082@tutortime.com</v>
          </cell>
          <cell r="Q1444" t="str">
            <v>CDC-13853</v>
          </cell>
          <cell r="AJ1444">
            <v>89887</v>
          </cell>
          <cell r="AK1444" t="str">
            <v>CDC-13853</v>
          </cell>
          <cell r="AL1444" t="str">
            <v>CDC13853</v>
          </cell>
        </row>
        <row r="1445">
          <cell r="N1445" t="str">
            <v>TUTOR TIME CHILD CARE/  LEARNING CENTERS</v>
          </cell>
          <cell r="O1445" t="str">
            <v>11350 EAST VIA LINDA DRIVE</v>
          </cell>
          <cell r="P1445" t="str">
            <v>6063@tutortime.com</v>
          </cell>
          <cell r="Q1445" t="str">
            <v>CDC-13858</v>
          </cell>
          <cell r="AJ1445" t="e">
            <v>#N/A</v>
          </cell>
          <cell r="AK1445" t="str">
            <v>CDC-13858</v>
          </cell>
          <cell r="AL1445" t="str">
            <v>CDC13858</v>
          </cell>
        </row>
        <row r="1446">
          <cell r="N1446" t="str">
            <v>TUTOR TIME CHILD CARE/  LEARNING CENTERS</v>
          </cell>
          <cell r="O1446" t="str">
            <v>8348 WEST DEER VALLEY ROAD</v>
          </cell>
          <cell r="P1446" t="str">
            <v>6075@tutortime.com</v>
          </cell>
          <cell r="Q1446" t="str">
            <v>CDC-13860</v>
          </cell>
          <cell r="AJ1446" t="e">
            <v>#N/A</v>
          </cell>
          <cell r="AK1446" t="str">
            <v>CDC-13860</v>
          </cell>
          <cell r="AL1446" t="str">
            <v>CDC13860</v>
          </cell>
        </row>
        <row r="1447">
          <cell r="N1447" t="str">
            <v>TUTOR TIME CHILD CARE/  LEARNING CENTERS</v>
          </cell>
          <cell r="O1447" t="str">
            <v>4060 EAST BELL ROAD</v>
          </cell>
          <cell r="P1447" t="str">
            <v>6072@tutortime.com</v>
          </cell>
          <cell r="Q1447" t="str">
            <v>CDC-13861</v>
          </cell>
          <cell r="AJ1447">
            <v>89882</v>
          </cell>
          <cell r="AK1447" t="str">
            <v>CDC-13861</v>
          </cell>
          <cell r="AL1447" t="str">
            <v>CDC13861</v>
          </cell>
        </row>
        <row r="1448">
          <cell r="N1448" t="str">
            <v>TUTOR TIME CHILD CARE/  LEARNING CENTERS</v>
          </cell>
          <cell r="O1448" t="str">
            <v>20645 NORTH SCOTTSDALE ROAD</v>
          </cell>
          <cell r="P1448" t="str">
            <v>6071@tutortime.com</v>
          </cell>
          <cell r="Q1448" t="str">
            <v>CDC-13862</v>
          </cell>
          <cell r="AJ1448" t="e">
            <v>#N/A</v>
          </cell>
          <cell r="AK1448" t="str">
            <v>CDC-13862</v>
          </cell>
          <cell r="AL1448" t="str">
            <v>CDC13862</v>
          </cell>
        </row>
        <row r="1449">
          <cell r="N1449" t="str">
            <v>TUTOR TIME CHILD CARE/  LEARNING CENTERS</v>
          </cell>
          <cell r="O1449" t="str">
            <v>4710 EAST LONE MOUNTAIN ROAD</v>
          </cell>
          <cell r="P1449" t="str">
            <v>tdeveraux@tutortime.com</v>
          </cell>
          <cell r="Q1449" t="str">
            <v>CDC-14204</v>
          </cell>
          <cell r="AJ1449" t="e">
            <v>#N/A</v>
          </cell>
          <cell r="AK1449" t="str">
            <v>CDC-14204</v>
          </cell>
          <cell r="AL1449" t="str">
            <v>CDC14204</v>
          </cell>
        </row>
        <row r="1450">
          <cell r="N1450" t="str">
            <v>TUTOR TIME CHILD CARE/  LEARNING CENTERS</v>
          </cell>
          <cell r="O1450" t="str">
            <v>875 EAST BELL ROAD</v>
          </cell>
          <cell r="P1450" t="str">
            <v>dalexander3@learningcaregroup.com</v>
          </cell>
          <cell r="Q1450" t="str">
            <v>CDC-14845</v>
          </cell>
          <cell r="AJ1450" t="e">
            <v>#N/A</v>
          </cell>
          <cell r="AK1450" t="str">
            <v>CDC-14845</v>
          </cell>
          <cell r="AL1450" t="str">
            <v>CDC14845</v>
          </cell>
        </row>
        <row r="1451">
          <cell r="N1451" t="str">
            <v>TUTOR TIME CHILD CARE/ LEARNING CENTERS</v>
          </cell>
          <cell r="O1451" t="str">
            <v>3901 EAST GUADALUPE ROAD</v>
          </cell>
          <cell r="P1451" t="str">
            <v>6066@tutortime.com</v>
          </cell>
          <cell r="Q1451" t="str">
            <v>CDC-13863</v>
          </cell>
          <cell r="AJ1451">
            <v>89880</v>
          </cell>
          <cell r="AK1451" t="str">
            <v>CDC-13863</v>
          </cell>
          <cell r="AL1451" t="str">
            <v>CDC13863</v>
          </cell>
        </row>
        <row r="1452">
          <cell r="N1452" t="str">
            <v>TUTOR TIME CHILD CARE/LEARNING CENTERS</v>
          </cell>
          <cell r="O1452" t="str">
            <v>5550 WEST BELL ROAD</v>
          </cell>
          <cell r="P1452" t="str">
            <v>jadair1@tutortime.com</v>
          </cell>
          <cell r="Q1452" t="str">
            <v>CDC-13849</v>
          </cell>
          <cell r="AJ1452">
            <v>89886</v>
          </cell>
          <cell r="AK1452" t="str">
            <v>CDC-13849</v>
          </cell>
          <cell r="AL1452" t="str">
            <v>CDC13849</v>
          </cell>
        </row>
        <row r="1453">
          <cell r="N1453" t="str">
            <v>TUTY'S DAYCARE AND PRESCHOOL</v>
          </cell>
          <cell r="O1453" t="str">
            <v>251 W 38TH STREET</v>
          </cell>
          <cell r="P1453" t="str">
            <v>luzivasquez11@gmail.com</v>
          </cell>
          <cell r="Q1453" t="str">
            <v>CDC-14841</v>
          </cell>
          <cell r="AJ1453" t="e">
            <v>#N/A</v>
          </cell>
          <cell r="AK1453" t="str">
            <v>CDC-14841</v>
          </cell>
          <cell r="AL1453" t="str">
            <v>CDC14841</v>
          </cell>
        </row>
        <row r="1454">
          <cell r="N1454" t="str">
            <v>U3 ACADEMY CHILDCARE CENTER L.L.C.</v>
          </cell>
          <cell r="O1454" t="str">
            <v>128 NORTH 7TH STREET</v>
          </cell>
          <cell r="P1454" t="str">
            <v>arpasineeu3@hotmail.com</v>
          </cell>
          <cell r="Q1454" t="str">
            <v>CDC-17453</v>
          </cell>
          <cell r="AJ1454">
            <v>278198</v>
          </cell>
          <cell r="AK1454" t="str">
            <v>CDC-17453</v>
          </cell>
          <cell r="AL1454" t="str">
            <v>CDC17453</v>
          </cell>
        </row>
        <row r="1455">
          <cell r="N1455" t="str">
            <v>UNION ELEMENTARY - WESTSIDE HEAD START</v>
          </cell>
          <cell r="O1455" t="str">
            <v>3834 SOUTH 91ST AVENUE</v>
          </cell>
          <cell r="P1455" t="str">
            <v>rsandoval@cc-az.org</v>
          </cell>
          <cell r="Q1455" t="str">
            <v>CDC-18677</v>
          </cell>
          <cell r="AJ1455" t="e">
            <v>#N/A</v>
          </cell>
          <cell r="AK1455" t="str">
            <v>CDC-18677</v>
          </cell>
          <cell r="AL1455" t="str">
            <v>CDC18677</v>
          </cell>
        </row>
        <row r="1456">
          <cell r="N1456" t="str">
            <v>UNITED CEREBRAL PALSY OF CENTRAL ARIZONA</v>
          </cell>
          <cell r="O1456" t="str">
            <v>1802 WEST PARKSIDE LANE</v>
          </cell>
          <cell r="P1456" t="str">
            <v>kmoon@ucpofcentralaz.org</v>
          </cell>
          <cell r="Q1456" t="str">
            <v>CDC-10827</v>
          </cell>
          <cell r="AJ1456">
            <v>79186</v>
          </cell>
          <cell r="AK1456" t="str">
            <v>CDC-10827</v>
          </cell>
          <cell r="AL1456" t="str">
            <v>CDC10827</v>
          </cell>
        </row>
        <row r="1457">
          <cell r="N1457" t="str">
            <v>UNITED CHRISTIAN SCHOOL</v>
          </cell>
          <cell r="O1457" t="str">
            <v>903 WEST FINNIE FLAT ROAD</v>
          </cell>
          <cell r="P1457" t="str">
            <v>lhilton@cvucs.org</v>
          </cell>
          <cell r="Q1457" t="str">
            <v>CDC-16046</v>
          </cell>
          <cell r="AJ1457" t="e">
            <v>#N/A</v>
          </cell>
          <cell r="AK1457" t="str">
            <v>CDC-16046</v>
          </cell>
          <cell r="AL1457" t="str">
            <v>CDC16046</v>
          </cell>
        </row>
        <row r="1458">
          <cell r="N1458" t="str">
            <v>UPWARD FOR CHILDREN AND FAMILIES</v>
          </cell>
          <cell r="O1458" t="str">
            <v>6306 NORTH 7TH STREET</v>
          </cell>
          <cell r="P1458" t="str">
            <v>sharon.graham@upwardaz.org</v>
          </cell>
          <cell r="Q1458" t="str">
            <v>CDC-0024</v>
          </cell>
          <cell r="AJ1458" t="e">
            <v>#N/A</v>
          </cell>
          <cell r="AK1458" t="str">
            <v>CDC-0024</v>
          </cell>
          <cell r="AL1458" t="str">
            <v>CDC0024</v>
          </cell>
        </row>
        <row r="1459">
          <cell r="N1459" t="str">
            <v>VAL VISTA ACADEMY</v>
          </cell>
          <cell r="O1459" t="str">
            <v>4120 SOUTH VAL VISTA DRIVE</v>
          </cell>
          <cell r="P1459" t="str">
            <v>bmorales@ballcharterschools.org</v>
          </cell>
          <cell r="Q1459" t="str">
            <v>CDC-17643</v>
          </cell>
          <cell r="AJ1459" t="e">
            <v>#N/A</v>
          </cell>
          <cell r="AK1459" t="str">
            <v>CDC-17643</v>
          </cell>
          <cell r="AL1459" t="str">
            <v>CDC17643</v>
          </cell>
        </row>
        <row r="1460">
          <cell r="N1460" t="str">
            <v>VALLEY ACADEMY</v>
          </cell>
          <cell r="O1460" t="str">
            <v>1520 WEST ROSE GARDEN LANE</v>
          </cell>
          <cell r="P1460" t="str">
            <v>pbrowne@valleyacademy.com</v>
          </cell>
          <cell r="Q1460" t="str">
            <v>CDC-15133</v>
          </cell>
          <cell r="AJ1460" t="e">
            <v>#N/A</v>
          </cell>
          <cell r="AK1460" t="str">
            <v>CDC-15133</v>
          </cell>
          <cell r="AL1460" t="str">
            <v>CDC15133</v>
          </cell>
        </row>
        <row r="1461">
          <cell r="N1461" t="str">
            <v>VALLEY CHILD CARE</v>
          </cell>
          <cell r="O1461" t="str">
            <v>5041 WEST UNION HILLS DRIVE</v>
          </cell>
          <cell r="P1461" t="str">
            <v>joyyac@gmail.com</v>
          </cell>
          <cell r="Q1461" t="str">
            <v>CDC-1251</v>
          </cell>
          <cell r="AJ1461" t="e">
            <v>#N/A</v>
          </cell>
          <cell r="AK1461" t="str">
            <v>CDC-1251</v>
          </cell>
          <cell r="AL1461" t="str">
            <v>CDC1251</v>
          </cell>
        </row>
        <row r="1462">
          <cell r="N1462" t="str">
            <v>VALLEY CHILD CARE #1001</v>
          </cell>
          <cell r="O1462" t="str">
            <v>3620 WEST GREENWAY ROAD</v>
          </cell>
          <cell r="P1462" t="str">
            <v>valleychildcareaz@gmail.com</v>
          </cell>
          <cell r="Q1462" t="str">
            <v>CDC-0849</v>
          </cell>
          <cell r="AJ1462" t="e">
            <v>#N/A</v>
          </cell>
          <cell r="AK1462" t="str">
            <v>CDC-0849</v>
          </cell>
          <cell r="AL1462" t="str">
            <v>CDC0849</v>
          </cell>
        </row>
        <row r="1463">
          <cell r="N1463" t="str">
            <v>VALLEY CHILD CARE &amp; LEARNING CENTER</v>
          </cell>
          <cell r="O1463" t="str">
            <v>14085 NORTH DYSART ROAD</v>
          </cell>
          <cell r="P1463" t="str">
            <v>sharon@vcclc.com</v>
          </cell>
          <cell r="Q1463" t="str">
            <v>CDC-11261</v>
          </cell>
          <cell r="AJ1463" t="e">
            <v>#N/A</v>
          </cell>
          <cell r="AK1463" t="str">
            <v>CDC-11261</v>
          </cell>
          <cell r="AL1463" t="str">
            <v>CDC11261</v>
          </cell>
        </row>
        <row r="1464">
          <cell r="N1464" t="str">
            <v>VALLEY CHILD CARE &amp; LEARNING CENTER</v>
          </cell>
          <cell r="O1464" t="str">
            <v>4041 EAST CACTUS ROAD</v>
          </cell>
          <cell r="P1464" t="str">
            <v>ashley@vcclc.com</v>
          </cell>
          <cell r="Q1464" t="str">
            <v>CDC-11569</v>
          </cell>
          <cell r="AJ1464" t="e">
            <v>#N/A</v>
          </cell>
          <cell r="AK1464" t="str">
            <v>CDC-11569</v>
          </cell>
          <cell r="AL1464" t="str">
            <v>CDC11569</v>
          </cell>
        </row>
        <row r="1465">
          <cell r="N1465" t="str">
            <v>VALLEY CHILD CARE &amp; LEARNING CENTER</v>
          </cell>
          <cell r="O1465" t="str">
            <v>41117 NORTH DAISY MOUNTAIN DRIVE</v>
          </cell>
          <cell r="P1465" t="str">
            <v>debra@vcclc.com</v>
          </cell>
          <cell r="Q1465" t="str">
            <v>CDC-12994</v>
          </cell>
          <cell r="AJ1465" t="e">
            <v>#N/A</v>
          </cell>
          <cell r="AK1465" t="str">
            <v>CDC-12994</v>
          </cell>
          <cell r="AL1465" t="str">
            <v>CDC12994</v>
          </cell>
        </row>
        <row r="1466">
          <cell r="N1466" t="str">
            <v>VALLEY CHILD CARE &amp; LEARNING CENTER #1003</v>
          </cell>
          <cell r="O1466" t="str">
            <v>2121 EAST BROADWAY ROAD</v>
          </cell>
          <cell r="P1466" t="str">
            <v>kelly@vcclc.com</v>
          </cell>
          <cell r="Q1466" t="str">
            <v>CDC-10915</v>
          </cell>
          <cell r="AJ1466" t="e">
            <v>#N/A</v>
          </cell>
          <cell r="AK1466" t="str">
            <v>CDC-10915</v>
          </cell>
          <cell r="AL1466" t="str">
            <v>CDC10915</v>
          </cell>
        </row>
        <row r="1467">
          <cell r="N1467" t="str">
            <v>VALLEY CHILD CARE &amp; LEARNING CENTER #1007</v>
          </cell>
          <cell r="O1467" t="str">
            <v>3700 WEST RAY ROAD</v>
          </cell>
          <cell r="P1467" t="str">
            <v>heather@vcclc.com</v>
          </cell>
          <cell r="Q1467" t="str">
            <v>CDC-5423</v>
          </cell>
          <cell r="AJ1467" t="e">
            <v>#N/A</v>
          </cell>
          <cell r="AK1467" t="str">
            <v>CDC-5423</v>
          </cell>
          <cell r="AL1467" t="str">
            <v>CDC5423</v>
          </cell>
        </row>
        <row r="1468">
          <cell r="N1468" t="str">
            <v>VALLEY CHILD CARE &amp; LEARNING CENTER #1008 L L C</v>
          </cell>
          <cell r="O1468" t="str">
            <v>21468 NORTH 75TH AVENUE</v>
          </cell>
          <cell r="P1468" t="str">
            <v>amber@vcclc.com</v>
          </cell>
          <cell r="Q1468" t="str">
            <v>CDC-7277</v>
          </cell>
          <cell r="AJ1468" t="e">
            <v>#N/A</v>
          </cell>
          <cell r="AK1468" t="str">
            <v>CDC-7277</v>
          </cell>
          <cell r="AL1468" t="str">
            <v>CDC7277</v>
          </cell>
        </row>
        <row r="1469">
          <cell r="N1469" t="str">
            <v>VALLEY CHILD CARE &amp; LEARNING CENTER #1010 L L C</v>
          </cell>
          <cell r="O1469" t="str">
            <v>16303 WEST BELL ROAD</v>
          </cell>
          <cell r="P1469" t="str">
            <v>Deidre@vcclc.com</v>
          </cell>
          <cell r="Q1469" t="str">
            <v>CDC-11421</v>
          </cell>
          <cell r="AJ1469" t="e">
            <v>#N/A</v>
          </cell>
          <cell r="AK1469" t="str">
            <v>CDC-11421</v>
          </cell>
          <cell r="AL1469" t="str">
            <v>CDC11421</v>
          </cell>
        </row>
        <row r="1470">
          <cell r="N1470" t="str">
            <v>VALLEY CHILD CARE &amp; LEARNNIG CENTER #1012</v>
          </cell>
          <cell r="O1470" t="str">
            <v>3920 EAST SOUTHERN AVENUE</v>
          </cell>
          <cell r="P1470" t="str">
            <v>lisa@vcclc.com</v>
          </cell>
          <cell r="Q1470" t="str">
            <v>CDC-10071</v>
          </cell>
          <cell r="AJ1470">
            <v>80402</v>
          </cell>
          <cell r="AK1470" t="str">
            <v>CDC-10071</v>
          </cell>
          <cell r="AL1470" t="str">
            <v>CDC10071</v>
          </cell>
        </row>
        <row r="1471">
          <cell r="N1471" t="str">
            <v>VALLEY CHILD CARE AND LEARNING CENTER, INCORPORATED</v>
          </cell>
          <cell r="O1471" t="str">
            <v>3300 EAST UNION HILLS DRIVE</v>
          </cell>
          <cell r="P1471" t="str">
            <v>debra@vcclc.com</v>
          </cell>
          <cell r="Q1471" t="str">
            <v>CDC-3060</v>
          </cell>
          <cell r="AJ1471" t="e">
            <v>#N/A</v>
          </cell>
          <cell r="AK1471" t="str">
            <v>CDC-3060</v>
          </cell>
          <cell r="AL1471" t="str">
            <v>CDC3060</v>
          </cell>
        </row>
        <row r="1472">
          <cell r="N1472" t="str">
            <v>VALLEY LEARNING CENTER</v>
          </cell>
          <cell r="O1472" t="str">
            <v>2235 SOUTH HIGHWAY 89</v>
          </cell>
          <cell r="P1472" t="str">
            <v>snkmcc77@aol.com</v>
          </cell>
          <cell r="Q1472" t="str">
            <v>CDC-7263</v>
          </cell>
          <cell r="AJ1472">
            <v>9283</v>
          </cell>
          <cell r="AK1472" t="str">
            <v>CDC-7263</v>
          </cell>
          <cell r="AL1472" t="str">
            <v>CDC7263</v>
          </cell>
        </row>
        <row r="1473">
          <cell r="N1473" t="str">
            <v>VALLEY PRESBYTERIAN DAY SCHOOL</v>
          </cell>
          <cell r="O1473" t="str">
            <v>6947 EAST MCDONALD DRIVE</v>
          </cell>
          <cell r="P1473" t="str">
            <v>meghang@vpc.church</v>
          </cell>
          <cell r="Q1473" t="str">
            <v>CDC-3277</v>
          </cell>
          <cell r="AJ1473" t="e">
            <v>#N/A</v>
          </cell>
          <cell r="AK1473" t="str">
            <v>CDC-3277</v>
          </cell>
          <cell r="AL1473" t="str">
            <v>CDC3277</v>
          </cell>
        </row>
        <row r="1474">
          <cell r="N1474" t="str">
            <v>VERDE CHRISTIAN ACADEMY</v>
          </cell>
          <cell r="O1474" t="str">
            <v>102 SOUTH WILLARD STREET</v>
          </cell>
          <cell r="P1474" t="str">
            <v>karen@myvcacademy.com</v>
          </cell>
          <cell r="Q1474" t="str">
            <v>CDC-1243</v>
          </cell>
          <cell r="AJ1474" t="e">
            <v>#N/A</v>
          </cell>
          <cell r="AK1474" t="str">
            <v>CDC-1243</v>
          </cell>
          <cell r="AL1474" t="str">
            <v>CDC1243</v>
          </cell>
        </row>
        <row r="1475">
          <cell r="N1475" t="str">
            <v>VIA MONTESSORI</v>
          </cell>
          <cell r="O1475" t="str">
            <v>7800 EAST WRIGHTSTOWN ROAD</v>
          </cell>
          <cell r="P1475" t="str">
            <v>jen980@gmail.com</v>
          </cell>
          <cell r="Q1475" t="str">
            <v>CDC-17965</v>
          </cell>
          <cell r="AJ1475" t="e">
            <v>#N/A</v>
          </cell>
          <cell r="AK1475" t="str">
            <v>CDC-17965</v>
          </cell>
          <cell r="AL1475" t="str">
            <v>CDC17965</v>
          </cell>
        </row>
        <row r="1476">
          <cell r="N1476" t="str">
            <v>VICTORY PRESCHOOL CORPORATION</v>
          </cell>
          <cell r="O1476" t="str">
            <v>3535 NORTH 63RD AVENUE</v>
          </cell>
          <cell r="P1476" t="str">
            <v>kschuerman@victorycollegiateacademy.com</v>
          </cell>
          <cell r="Q1476" t="str">
            <v>CDC-18454</v>
          </cell>
          <cell r="AJ1476" t="e">
            <v>#N/A</v>
          </cell>
          <cell r="AK1476" t="str">
            <v>CDC-18454</v>
          </cell>
          <cell r="AL1476" t="str">
            <v>CDC18454</v>
          </cell>
        </row>
        <row r="1477">
          <cell r="N1477" t="str">
            <v>VILLA MONTESSORI</v>
          </cell>
          <cell r="O1477" t="str">
            <v>2802  EAST MEADOWBROOK AVENUE</v>
          </cell>
          <cell r="P1477" t="str">
            <v>moneill@villamontessori.com</v>
          </cell>
          <cell r="Q1477" t="str">
            <v>CDC-12714</v>
          </cell>
          <cell r="AJ1477" t="e">
            <v>#N/A</v>
          </cell>
          <cell r="AK1477" t="str">
            <v>CDC-12714</v>
          </cell>
          <cell r="AL1477" t="str">
            <v>CDC12714</v>
          </cell>
        </row>
        <row r="1478">
          <cell r="N1478" t="str">
            <v>VILLA MONTESSORI INC.</v>
          </cell>
          <cell r="O1478" t="str">
            <v>4535 NORTH 28TH STREET</v>
          </cell>
          <cell r="P1478" t="str">
            <v>moneill@villamontessori.com</v>
          </cell>
          <cell r="Q1478" t="str">
            <v>CDC-12712</v>
          </cell>
          <cell r="AJ1478" t="e">
            <v>#N/A</v>
          </cell>
          <cell r="AK1478" t="str">
            <v>CDC-12712</v>
          </cell>
          <cell r="AL1478" t="str">
            <v>CDC12712</v>
          </cell>
        </row>
        <row r="1479">
          <cell r="N1479" t="str">
            <v>VISTA COLINA CHILD DEVELOPMENT</v>
          </cell>
          <cell r="O1479" t="str">
            <v>1050 WEST MOUNTAIN VIEW ROAD</v>
          </cell>
          <cell r="P1479" t="str">
            <v>kboothe@cassaz.org</v>
          </cell>
          <cell r="Q1479" t="str">
            <v>CDC-4511</v>
          </cell>
          <cell r="AJ1479">
            <v>8709</v>
          </cell>
          <cell r="AK1479" t="str">
            <v>CDC-4511</v>
          </cell>
          <cell r="AL1479" t="str">
            <v>CDC4511</v>
          </cell>
        </row>
        <row r="1480">
          <cell r="N1480" t="str">
            <v>W B A CHILD CARE &amp; EARLY LEARNING CENTER</v>
          </cell>
          <cell r="O1480" t="str">
            <v>150 SOUTH WESTMORELAND AVENUE</v>
          </cell>
          <cell r="P1480" t="str">
            <v>wbaccelc@gmail.com</v>
          </cell>
          <cell r="Q1480" t="str">
            <v>CDC-18865</v>
          </cell>
          <cell r="AJ1480" t="e">
            <v>#N/A</v>
          </cell>
          <cell r="AK1480" t="str">
            <v>CDC-18865</v>
          </cell>
          <cell r="AL1480" t="str">
            <v>CDC18865</v>
          </cell>
        </row>
        <row r="1481">
          <cell r="N1481" t="str">
            <v>W.A.C.O.G. - BRIAN MEYER DAVIS HEAD START</v>
          </cell>
          <cell r="O1481" t="str">
            <v>601 VAN BUREN</v>
          </cell>
          <cell r="P1481" t="str">
            <v>emilyg@wacog.com</v>
          </cell>
          <cell r="Q1481" t="str">
            <v>CDC-17274</v>
          </cell>
          <cell r="AJ1481">
            <v>80572</v>
          </cell>
          <cell r="AK1481" t="str">
            <v>CDC-17274</v>
          </cell>
          <cell r="AL1481" t="str">
            <v>CDC17274</v>
          </cell>
        </row>
        <row r="1482">
          <cell r="N1482" t="str">
            <v>W.A.C.O.G. - BULLHEAD CITY HEAD START</v>
          </cell>
          <cell r="O1482" t="str">
            <v>1055 MARINA BOULEVARD</v>
          </cell>
          <cell r="P1482" t="str">
            <v>Franciscac@wacog.com</v>
          </cell>
          <cell r="Q1482" t="str">
            <v>CDC-3662</v>
          </cell>
          <cell r="AJ1482">
            <v>78777</v>
          </cell>
          <cell r="AK1482" t="str">
            <v>CDC-3662</v>
          </cell>
          <cell r="AL1482" t="str">
            <v>CDC3662</v>
          </cell>
        </row>
        <row r="1483">
          <cell r="N1483" t="str">
            <v>W.A.C.O.G. - CARLISLE HEAD START CENTER</v>
          </cell>
          <cell r="O1483" t="str">
            <v>241 NORTH CONGRESS AVENUE</v>
          </cell>
          <cell r="P1483" t="str">
            <v>mariaa@wacog.com, adrianaf@wacog.com, debh@wacog.com</v>
          </cell>
          <cell r="Q1483" t="str">
            <v>CDC-5122</v>
          </cell>
          <cell r="AJ1483">
            <v>91271</v>
          </cell>
          <cell r="AK1483" t="str">
            <v>CDC-5122</v>
          </cell>
          <cell r="AL1483" t="str">
            <v>CDC5122</v>
          </cell>
        </row>
        <row r="1484">
          <cell r="N1484" t="str">
            <v>W.A.C.O.G. - CARVER HEAD START CENTER</v>
          </cell>
          <cell r="O1484" t="str">
            <v>1341 WEST 5TH STREET</v>
          </cell>
          <cell r="P1484" t="str">
            <v>DianaT@wacog.com</v>
          </cell>
          <cell r="Q1484" t="str">
            <v>CDC-14690</v>
          </cell>
          <cell r="AJ1484">
            <v>90414</v>
          </cell>
          <cell r="AK1484" t="str">
            <v>CDC-14690</v>
          </cell>
          <cell r="AL1484" t="str">
            <v>CDC14690</v>
          </cell>
        </row>
        <row r="1485">
          <cell r="N1485" t="str">
            <v>W.A.C.O.G. - CERBAT HEAD START CENTER</v>
          </cell>
          <cell r="O1485" t="str">
            <v>2689 JAGERSON AVENUE</v>
          </cell>
          <cell r="P1485" t="str">
            <v>emilyc@wacog.com</v>
          </cell>
          <cell r="Q1485" t="str">
            <v>CDC-5352</v>
          </cell>
          <cell r="AJ1485">
            <v>80571</v>
          </cell>
          <cell r="AK1485" t="str">
            <v>CDC-5352</v>
          </cell>
          <cell r="AL1485" t="str">
            <v>CDC5352</v>
          </cell>
        </row>
        <row r="1486">
          <cell r="N1486" t="str">
            <v>W.A.C.O.G. - EHRENBERG HEAD START</v>
          </cell>
          <cell r="O1486" t="str">
            <v>49241 EHRENBERG POSTON HWY</v>
          </cell>
          <cell r="P1486" t="str">
            <v>dianat@wacog.com</v>
          </cell>
          <cell r="Q1486" t="str">
            <v>CDC-3671</v>
          </cell>
          <cell r="AJ1486" t="e">
            <v>#N/A</v>
          </cell>
          <cell r="AK1486" t="str">
            <v>CDC-3671</v>
          </cell>
          <cell r="AL1486" t="str">
            <v>CDC3671</v>
          </cell>
        </row>
        <row r="1487">
          <cell r="N1487" t="str">
            <v>W.A.C.O.G. - FOOTHILLS HEAD START</v>
          </cell>
          <cell r="O1487" t="str">
            <v>2950 S AVENUE 10 E</v>
          </cell>
          <cell r="P1487" t="str">
            <v>DianaT@wacog.com</v>
          </cell>
          <cell r="Q1487" t="str">
            <v>CDC-4753</v>
          </cell>
          <cell r="AJ1487">
            <v>10191</v>
          </cell>
          <cell r="AK1487" t="str">
            <v>CDC-4753</v>
          </cell>
          <cell r="AL1487" t="str">
            <v>CDC4753</v>
          </cell>
        </row>
        <row r="1488">
          <cell r="N1488" t="str">
            <v>W.A.C.O.G. - GOLDEN VALLEY HEAD START</v>
          </cell>
          <cell r="O1488" t="str">
            <v>3404 SANTA MARIA ROAD</v>
          </cell>
          <cell r="P1488" t="str">
            <v>leighm@wacog.com</v>
          </cell>
          <cell r="Q1488" t="str">
            <v>CDC-3859</v>
          </cell>
          <cell r="AJ1488">
            <v>80573</v>
          </cell>
          <cell r="AK1488" t="str">
            <v>CDC-3859</v>
          </cell>
          <cell r="AL1488" t="str">
            <v>CDC3859</v>
          </cell>
        </row>
        <row r="1489">
          <cell r="N1489" t="str">
            <v>W.A.C.O.G. - GWYNETH HAM EARLY LEARNING CENTER</v>
          </cell>
          <cell r="O1489" t="str">
            <v>840 EAST 22ND STREET</v>
          </cell>
          <cell r="P1489" t="str">
            <v>dianat@wacog.com</v>
          </cell>
          <cell r="Q1489" t="str">
            <v>CDC-4596</v>
          </cell>
          <cell r="AJ1489">
            <v>10196</v>
          </cell>
          <cell r="AK1489" t="str">
            <v>CDC-4596</v>
          </cell>
          <cell r="AL1489" t="str">
            <v>CDC4596</v>
          </cell>
        </row>
        <row r="1490">
          <cell r="N1490" t="str">
            <v>W.A.C.O.G. - HAVASUPAI HEAD START CENTER</v>
          </cell>
          <cell r="O1490" t="str">
            <v>880 CASHMERE DRIVE</v>
          </cell>
          <cell r="P1490" t="str">
            <v>debs@wacog.com</v>
          </cell>
          <cell r="Q1490" t="str">
            <v>CDC-18697</v>
          </cell>
          <cell r="AJ1490">
            <v>1000316</v>
          </cell>
          <cell r="AK1490" t="str">
            <v>CDC-18697</v>
          </cell>
          <cell r="AL1490" t="str">
            <v>CDC18697</v>
          </cell>
        </row>
        <row r="1491">
          <cell r="N1491" t="str">
            <v>W.A.C.O.G. - HEAD START - HELPING HAND</v>
          </cell>
          <cell r="O1491" t="str">
            <v>384 SOUTH 13TH AVENUE</v>
          </cell>
          <cell r="P1491" t="str">
            <v>DianaT@wacog.com</v>
          </cell>
          <cell r="Q1491" t="str">
            <v>CDC-2092</v>
          </cell>
          <cell r="AJ1491">
            <v>10188</v>
          </cell>
          <cell r="AK1491" t="str">
            <v>CDC-2092</v>
          </cell>
          <cell r="AL1491" t="str">
            <v>CDC2092</v>
          </cell>
        </row>
        <row r="1492">
          <cell r="N1492" t="str">
            <v>W.A.C.O.G. - HUBBS HOUSE HEAD START</v>
          </cell>
          <cell r="O1492" t="str">
            <v>421 GOLCONDA STREET</v>
          </cell>
          <cell r="Q1492" t="str">
            <v>CDC-17070</v>
          </cell>
          <cell r="AJ1492">
            <v>80574</v>
          </cell>
          <cell r="AK1492" t="str">
            <v>CDC-17070</v>
          </cell>
          <cell r="AL1492" t="str">
            <v>CDC17070</v>
          </cell>
        </row>
        <row r="1493">
          <cell r="N1493" t="str">
            <v>W.A.C.O.G. - KINGMAN NORTH HEAD START</v>
          </cell>
          <cell r="O1493" t="str">
            <v>1971 JAGERSON AVENUE</v>
          </cell>
          <cell r="P1493" t="str">
            <v>Brendap@wacog.com</v>
          </cell>
          <cell r="Q1493" t="str">
            <v>CDC-5351</v>
          </cell>
          <cell r="AJ1493">
            <v>10194</v>
          </cell>
          <cell r="AK1493" t="str">
            <v>CDC-5351</v>
          </cell>
          <cell r="AL1493" t="str">
            <v>CDC5351</v>
          </cell>
        </row>
        <row r="1494">
          <cell r="N1494" t="str">
            <v>W.A.C.O.G. - LAKE HAVASU CITY HEAD START</v>
          </cell>
          <cell r="O1494" t="str">
            <v>2385 NORTH PIMA DRIVE</v>
          </cell>
          <cell r="P1494" t="str">
            <v>headstart@wacog.com</v>
          </cell>
          <cell r="Q1494" t="str">
            <v>CDC-17785</v>
          </cell>
          <cell r="AJ1494">
            <v>10192</v>
          </cell>
          <cell r="AK1494" t="str">
            <v>CDC-17785</v>
          </cell>
          <cell r="AL1494" t="str">
            <v>CDC17785</v>
          </cell>
        </row>
        <row r="1495">
          <cell r="N1495" t="str">
            <v>W.A.C.O.G. - MOHAVE VALLEY HEAD START</v>
          </cell>
          <cell r="O1495" t="str">
            <v>1425 EAST WILLOW DRIVE</v>
          </cell>
          <cell r="P1495" t="str">
            <v>myrtled@wacog.com</v>
          </cell>
          <cell r="Q1495" t="str">
            <v>CDC-4672</v>
          </cell>
          <cell r="AJ1495">
            <v>90106</v>
          </cell>
          <cell r="AK1495" t="str">
            <v>CDC-4672</v>
          </cell>
          <cell r="AL1495" t="str">
            <v>CDC4672</v>
          </cell>
        </row>
        <row r="1496">
          <cell r="N1496" t="str">
            <v>W.A.C.O.G. - NAUTILIS HEAD START</v>
          </cell>
          <cell r="O1496" t="str">
            <v>1425 PATRICIAN DRIVE</v>
          </cell>
          <cell r="P1496" t="str">
            <v>Tina7@wacog.com</v>
          </cell>
          <cell r="Q1496" t="str">
            <v>CDC-15533</v>
          </cell>
          <cell r="AJ1496">
            <v>90809</v>
          </cell>
          <cell r="AK1496" t="str">
            <v>CDC-15533</v>
          </cell>
          <cell r="AL1496" t="str">
            <v>CDC15533</v>
          </cell>
        </row>
        <row r="1497">
          <cell r="N1497" t="str">
            <v>W.A.C.O.G. - ORANGE GROVE HEAD START</v>
          </cell>
          <cell r="O1497" t="str">
            <v>3525 W COUNTY 16TH 1/2 STREET</v>
          </cell>
          <cell r="P1497" t="str">
            <v>orangegrove@wacog.com, adrianaf@wacog.com, debh@wacog.com</v>
          </cell>
          <cell r="Q1497" t="str">
            <v>CDC-3834</v>
          </cell>
          <cell r="AJ1497">
            <v>91272</v>
          </cell>
          <cell r="AK1497" t="str">
            <v>CDC-3834</v>
          </cell>
          <cell r="AL1497" t="str">
            <v>CDC3834</v>
          </cell>
        </row>
        <row r="1498">
          <cell r="N1498" t="str">
            <v>W.A.C.O.G. - ORO GRANDE HEAD START</v>
          </cell>
          <cell r="O1498" t="str">
            <v>1250 PAWNEE DRIVE</v>
          </cell>
          <cell r="Q1498" t="str">
            <v>CDC-17123</v>
          </cell>
          <cell r="AJ1498">
            <v>92668</v>
          </cell>
          <cell r="AK1498" t="str">
            <v>CDC-17123</v>
          </cell>
          <cell r="AL1498" t="str">
            <v>CDC17123</v>
          </cell>
        </row>
        <row r="1499">
          <cell r="N1499" t="str">
            <v>W.A.C.O.G. - PECAN GROVE HEAD START</v>
          </cell>
          <cell r="O1499" t="str">
            <v>600 SOUTH 21ST AVENUE</v>
          </cell>
          <cell r="P1499" t="str">
            <v>yisselii@wacog.com</v>
          </cell>
          <cell r="Q1499" t="str">
            <v>CDC-17734</v>
          </cell>
          <cell r="AJ1499">
            <v>647485</v>
          </cell>
          <cell r="AK1499" t="str">
            <v>CDC-17734</v>
          </cell>
          <cell r="AL1499" t="str">
            <v>CDC17734</v>
          </cell>
        </row>
        <row r="1500">
          <cell r="N1500" t="str">
            <v>W.A.C.O.G. - RANCHO VIEJO HEAD START</v>
          </cell>
          <cell r="O1500" t="str">
            <v>930 SOUTH AVENUE C</v>
          </cell>
          <cell r="P1500" t="str">
            <v>adrianaf@wacog.com, debh@wacog.com</v>
          </cell>
          <cell r="Q1500" t="str">
            <v>CDC-3736</v>
          </cell>
          <cell r="AJ1500">
            <v>10195</v>
          </cell>
          <cell r="AK1500" t="str">
            <v>CDC-3736</v>
          </cell>
          <cell r="AL1500" t="str">
            <v>CDC3736</v>
          </cell>
        </row>
        <row r="1501">
          <cell r="N1501" t="str">
            <v>W.A.C.O.G. - SAN LUIS HEAD START</v>
          </cell>
          <cell r="O1501" t="str">
            <v>720 WEST JUAN SANCHEZ BLVD</v>
          </cell>
          <cell r="P1501" t="str">
            <v>sanluis@wacog.com, adrianaf@wacog.com, debh@wacog.com</v>
          </cell>
          <cell r="Q1501" t="str">
            <v>CDC-2008</v>
          </cell>
          <cell r="AJ1501">
            <v>10189</v>
          </cell>
          <cell r="AK1501" t="str">
            <v>CDC-2008</v>
          </cell>
          <cell r="AL1501" t="str">
            <v>CDC2008</v>
          </cell>
        </row>
        <row r="1502">
          <cell r="N1502" t="str">
            <v>W.A.C.O.G. - WELLTON HEAD START</v>
          </cell>
          <cell r="O1502" t="str">
            <v>29126 SAN JOSE AVENUE</v>
          </cell>
          <cell r="P1502" t="str">
            <v>wellton@wacog.com, adrianaf@wacog.com, debh@wacog.com</v>
          </cell>
          <cell r="Q1502" t="str">
            <v>CDC-3804</v>
          </cell>
          <cell r="AJ1502" t="e">
            <v>#N/A</v>
          </cell>
          <cell r="AK1502" t="str">
            <v>CDC-3804</v>
          </cell>
          <cell r="AL1502" t="str">
            <v>CDC3804</v>
          </cell>
        </row>
        <row r="1503">
          <cell r="N1503" t="str">
            <v>W.A.C.O.G. - YUMA WEST HEAD START CENTER</v>
          </cell>
          <cell r="O1503" t="str">
            <v>2505 WEST 20TH STREET</v>
          </cell>
          <cell r="P1503" t="str">
            <v>Dianat@wacog.com</v>
          </cell>
          <cell r="Q1503" t="str">
            <v>CDC-5123</v>
          </cell>
          <cell r="AJ1503">
            <v>10190</v>
          </cell>
          <cell r="AK1503" t="str">
            <v>CDC-5123</v>
          </cell>
          <cell r="AL1503" t="str">
            <v>CDC5123</v>
          </cell>
        </row>
        <row r="1504">
          <cell r="N1504" t="str">
            <v>WALTER DOUGLAS HEAD START</v>
          </cell>
          <cell r="O1504" t="str">
            <v>3232 NORTH FLOWING WELLS</v>
          </cell>
          <cell r="P1504" t="str">
            <v>walterdouglas@childparentcenters.org</v>
          </cell>
          <cell r="Q1504" t="str">
            <v>CDC-4162</v>
          </cell>
          <cell r="AJ1504">
            <v>7957</v>
          </cell>
          <cell r="AK1504" t="str">
            <v>CDC-4162</v>
          </cell>
          <cell r="AL1504" t="str">
            <v>CDC4162</v>
          </cell>
        </row>
        <row r="1505">
          <cell r="N1505" t="str">
            <v>WARREN CREW CLUB</v>
          </cell>
          <cell r="O1505" t="str">
            <v>3505 WEST MILTON ROAD</v>
          </cell>
          <cell r="P1505" t="str">
            <v>kareny@azcommunityenrichment.org</v>
          </cell>
          <cell r="Q1505" t="str">
            <v>CDC-18686</v>
          </cell>
          <cell r="AJ1505" t="e">
            <v>#N/A</v>
          </cell>
          <cell r="AK1505" t="str">
            <v>CDC-18686</v>
          </cell>
          <cell r="AL1505" t="str">
            <v>CDC18686</v>
          </cell>
        </row>
        <row r="1506">
          <cell r="N1506" t="str">
            <v>WATCH ME GROW CHILD CARE</v>
          </cell>
          <cell r="O1506" t="str">
            <v>4100 SOUTH LINDSAY ROAD - #117</v>
          </cell>
          <cell r="P1506" t="str">
            <v>andrea@watchmegrowchildcare.com</v>
          </cell>
          <cell r="Q1506" t="str">
            <v>CDC-14602</v>
          </cell>
          <cell r="AJ1506" t="e">
            <v>#N/A</v>
          </cell>
          <cell r="AK1506" t="str">
            <v>CDC-14602</v>
          </cell>
          <cell r="AL1506" t="str">
            <v>CDC14602</v>
          </cell>
        </row>
        <row r="1507">
          <cell r="N1507" t="str">
            <v>WATCH ME GROW CHILD CARE AND PRESCHOOL</v>
          </cell>
          <cell r="O1507" t="str">
            <v>4677 EAST QUEEN CREEK ROAD</v>
          </cell>
          <cell r="P1507" t="str">
            <v>julie@watchmegrowchildcare.com</v>
          </cell>
          <cell r="Q1507" t="str">
            <v>CDC-18165</v>
          </cell>
          <cell r="AJ1507" t="e">
            <v>#N/A</v>
          </cell>
          <cell r="AK1507" t="str">
            <v>CDC-18165</v>
          </cell>
          <cell r="AL1507" t="str">
            <v>CDC18165</v>
          </cell>
        </row>
        <row r="1508">
          <cell r="N1508" t="str">
            <v>WE LOVE KIDS CHILD CARE</v>
          </cell>
          <cell r="O1508" t="str">
            <v>18631 NORTH 19TH AVENUE #120</v>
          </cell>
          <cell r="P1508" t="str">
            <v>welovekidsaz@gmail.com</v>
          </cell>
          <cell r="Q1508" t="str">
            <v>CDC-15585</v>
          </cell>
          <cell r="AJ1508" t="e">
            <v>#N/A</v>
          </cell>
          <cell r="AK1508" t="str">
            <v>CDC-15585</v>
          </cell>
          <cell r="AL1508" t="str">
            <v>CDC15585</v>
          </cell>
        </row>
        <row r="1509">
          <cell r="N1509" t="str">
            <v>WEE BLESSINGS PRESCHOOL &amp; ACADEMY L L C</v>
          </cell>
          <cell r="O1509" t="str">
            <v>1751 EAST QUEEN CREEK ROAD</v>
          </cell>
          <cell r="P1509" t="str">
            <v>weeblessings@cox.net</v>
          </cell>
          <cell r="Q1509" t="str">
            <v>CDC-16034</v>
          </cell>
          <cell r="AJ1509" t="e">
            <v>#N/A</v>
          </cell>
          <cell r="AK1509" t="str">
            <v>CDC-16034</v>
          </cell>
          <cell r="AL1509" t="str">
            <v>CDC16034</v>
          </cell>
        </row>
        <row r="1510">
          <cell r="N1510" t="str">
            <v>WEE BLESSINGS PRESCHOOL &amp; ACADEMY, L.L.C.</v>
          </cell>
          <cell r="O1510" t="str">
            <v>22048 SOUTH ELLSWORTH ROAD</v>
          </cell>
          <cell r="P1510" t="str">
            <v>weeblessings@cox.net</v>
          </cell>
          <cell r="Q1510" t="str">
            <v>CDC-17046</v>
          </cell>
          <cell r="AJ1510" t="e">
            <v>#N/A</v>
          </cell>
          <cell r="AK1510" t="str">
            <v>CDC-17046</v>
          </cell>
          <cell r="AL1510" t="str">
            <v>CDC17046</v>
          </cell>
        </row>
        <row r="1511">
          <cell r="N1511" t="str">
            <v>WEE EXPLORERS</v>
          </cell>
          <cell r="O1511" t="str">
            <v>624 EAST MISSOURI AVENUE</v>
          </cell>
          <cell r="P1511" t="str">
            <v>kidscentraldaycare624@gmail.com</v>
          </cell>
          <cell r="Q1511" t="str">
            <v>CDC-3049</v>
          </cell>
          <cell r="AJ1511" t="e">
            <v>#N/A</v>
          </cell>
          <cell r="AK1511" t="str">
            <v>CDC-3049</v>
          </cell>
          <cell r="AL1511" t="str">
            <v>CDC3049</v>
          </cell>
        </row>
        <row r="1512">
          <cell r="N1512" t="str">
            <v>WEE RASCALS PRESCHOOL</v>
          </cell>
          <cell r="O1512" t="str">
            <v>12938 WEST GREENWAY ROAD</v>
          </cell>
          <cell r="P1512" t="str">
            <v>melaniepacheco2@gmail.com</v>
          </cell>
          <cell r="Q1512" t="str">
            <v>CDC-1194</v>
          </cell>
          <cell r="AJ1512">
            <v>8982</v>
          </cell>
          <cell r="AK1512" t="str">
            <v>CDC-1194</v>
          </cell>
          <cell r="AL1512" t="str">
            <v>CDC1194</v>
          </cell>
        </row>
        <row r="1513">
          <cell r="N1513" t="str">
            <v>WESLEYAN PRESCHOOL &amp; DAY CARE</v>
          </cell>
          <cell r="O1513" t="str">
            <v>151 SOUTH CURTIS AVENUE</v>
          </cell>
          <cell r="P1513" t="str">
            <v>wpcc@vtc.net</v>
          </cell>
          <cell r="Q1513" t="str">
            <v>CDC-12591</v>
          </cell>
          <cell r="AJ1513" t="e">
            <v>#N/A</v>
          </cell>
          <cell r="AK1513" t="str">
            <v>CDC-12591</v>
          </cell>
          <cell r="AL1513" t="str">
            <v>CDC12591</v>
          </cell>
        </row>
        <row r="1514">
          <cell r="N1514" t="str">
            <v>WEST SCHOOL C.A.S.P.E.R.</v>
          </cell>
          <cell r="O1514" t="str">
            <v>460 SOUTH 7TH STREET</v>
          </cell>
          <cell r="P1514" t="str">
            <v>bchitwood@coolidgeaz.com</v>
          </cell>
          <cell r="Q1514" t="str">
            <v>CDC-3394</v>
          </cell>
          <cell r="AJ1514" t="e">
            <v>#N/A</v>
          </cell>
          <cell r="AK1514" t="str">
            <v>CDC-3394</v>
          </cell>
          <cell r="AL1514" t="str">
            <v>CDC3394</v>
          </cell>
        </row>
        <row r="1515">
          <cell r="N1515" t="str">
            <v>WEST VALLEY CHRISTIAN SCHOOL</v>
          </cell>
          <cell r="O1515" t="str">
            <v>16260 WEST VAN BUREN STREET</v>
          </cell>
          <cell r="P1515" t="str">
            <v>jmedina@wvchristianschool.org</v>
          </cell>
          <cell r="Q1515" t="str">
            <v>CDC-16981</v>
          </cell>
          <cell r="AJ1515" t="e">
            <v>#N/A</v>
          </cell>
          <cell r="AK1515" t="str">
            <v>CDC-16981</v>
          </cell>
          <cell r="AL1515" t="str">
            <v>CDC16981</v>
          </cell>
        </row>
        <row r="1516">
          <cell r="N1516" t="str">
            <v>WESTERN HEAD START</v>
          </cell>
          <cell r="O1516" t="str">
            <v>686 NORTH WESTERN AVENUE</v>
          </cell>
          <cell r="P1516" t="str">
            <v>western@childparentcenters.org</v>
          </cell>
          <cell r="Q1516" t="str">
            <v>CDC-5541</v>
          </cell>
          <cell r="AJ1516">
            <v>9849</v>
          </cell>
          <cell r="AK1516" t="str">
            <v>CDC-5541</v>
          </cell>
          <cell r="AL1516" t="str">
            <v>CDC5541</v>
          </cell>
        </row>
        <row r="1517">
          <cell r="N1517" t="str">
            <v>WHITE MOUNTAIN MONTESSORI SCHOOLS</v>
          </cell>
          <cell r="O1517" t="str">
            <v>421 WOODLAND ROAD</v>
          </cell>
          <cell r="P1517" t="str">
            <v>wmms@frontiernet.net</v>
          </cell>
          <cell r="Q1517" t="str">
            <v>CDC-9981</v>
          </cell>
          <cell r="AJ1517" t="e">
            <v>#N/A</v>
          </cell>
          <cell r="AK1517" t="str">
            <v>CDC-9981</v>
          </cell>
          <cell r="AL1517" t="str">
            <v>CDC9981</v>
          </cell>
        </row>
        <row r="1518">
          <cell r="N1518" t="str">
            <v>WHITMORE CREW CLUB</v>
          </cell>
          <cell r="O1518" t="str">
            <v>5330 EAST GLENN STREET</v>
          </cell>
          <cell r="P1518" t="str">
            <v>kareny@azcommunityenrichment.org</v>
          </cell>
          <cell r="Q1518" t="str">
            <v>CDC-18685</v>
          </cell>
          <cell r="AJ1518" t="e">
            <v>#N/A</v>
          </cell>
          <cell r="AK1518" t="str">
            <v>CDC-18685</v>
          </cell>
          <cell r="AL1518" t="str">
            <v>CDC18685</v>
          </cell>
        </row>
        <row r="1519">
          <cell r="N1519" t="str">
            <v>WHIZ KIDZ</v>
          </cell>
          <cell r="O1519" t="str">
            <v>13424 NORTH 32ND STREET</v>
          </cell>
          <cell r="P1519" t="str">
            <v>Theresa.K@whizkidzpreschool.com</v>
          </cell>
          <cell r="Q1519" t="str">
            <v>CDC-3574</v>
          </cell>
          <cell r="AJ1519" t="e">
            <v>#N/A</v>
          </cell>
          <cell r="AK1519" t="str">
            <v>CDC-3574</v>
          </cell>
          <cell r="AL1519" t="str">
            <v>CDC3574</v>
          </cell>
        </row>
        <row r="1520">
          <cell r="N1520" t="str">
            <v>WHIZ KIDZ PRESCHOOL</v>
          </cell>
          <cell r="O1520" t="str">
            <v>4909 EAST BROWN ROAD</v>
          </cell>
          <cell r="P1520" t="str">
            <v>martha@whizkidzpreschool.com</v>
          </cell>
          <cell r="Q1520" t="str">
            <v>CDC-18619</v>
          </cell>
          <cell r="AJ1520">
            <v>90838</v>
          </cell>
          <cell r="AK1520" t="str">
            <v>CDC-18619</v>
          </cell>
          <cell r="AL1520" t="str">
            <v>CDC18619</v>
          </cell>
        </row>
        <row r="1521">
          <cell r="N1521" t="str">
            <v>WHIZ KIDZ PRESCHOOL - SCOTTSDALE</v>
          </cell>
          <cell r="O1521" t="str">
            <v>7214 EAST JENAN DRIVE</v>
          </cell>
          <cell r="P1521" t="str">
            <v>taylor.h@whizkidzpreschool.com</v>
          </cell>
          <cell r="Q1521" t="str">
            <v>CDC-17678</v>
          </cell>
          <cell r="AJ1521" t="e">
            <v>#N/A</v>
          </cell>
          <cell r="AK1521" t="str">
            <v>CDC-17678</v>
          </cell>
          <cell r="AL1521" t="str">
            <v>CDC17678</v>
          </cell>
        </row>
        <row r="1522">
          <cell r="N1522" t="str">
            <v>WICKENBURG CHRISTIAN ACADEMY</v>
          </cell>
          <cell r="O1522" t="str">
            <v>260 WEST YAVAPAI STREET</v>
          </cell>
          <cell r="P1522" t="str">
            <v>preschool.wca@gmail.com</v>
          </cell>
          <cell r="Q1522" t="str">
            <v>CDC-12136</v>
          </cell>
          <cell r="AJ1522" t="e">
            <v>#N/A</v>
          </cell>
          <cell r="AK1522" t="str">
            <v>CDC-12136</v>
          </cell>
          <cell r="AL1522" t="str">
            <v>CDC12136</v>
          </cell>
        </row>
        <row r="1523">
          <cell r="N1523" t="str">
            <v>WIGGLES AND GIGGLES, L.L.C.</v>
          </cell>
          <cell r="O1523" t="str">
            <v>9009 WEST LAKE PLEASANT PARKWAY</v>
          </cell>
          <cell r="P1523" t="str">
            <v>cnelson111210@gmail.com</v>
          </cell>
          <cell r="Q1523" t="str">
            <v>CDC-17776</v>
          </cell>
          <cell r="AJ1523" t="e">
            <v>#N/A</v>
          </cell>
          <cell r="AK1523" t="str">
            <v>CDC-17776</v>
          </cell>
          <cell r="AL1523" t="str">
            <v>CDC17776</v>
          </cell>
        </row>
        <row r="1524">
          <cell r="N1524" t="str">
            <v>WILDFLOWER HEAD START</v>
          </cell>
          <cell r="O1524" t="str">
            <v>325 SOUTH WILDFLOWER DRIVE</v>
          </cell>
          <cell r="P1524" t="str">
            <v>rsandoval@cd-az.org</v>
          </cell>
          <cell r="Q1524" t="str">
            <v>CDC-17338</v>
          </cell>
          <cell r="AJ1524" t="e">
            <v>#N/A</v>
          </cell>
          <cell r="AK1524" t="str">
            <v>CDC-17338</v>
          </cell>
          <cell r="AL1524" t="str">
            <v>CDC17338</v>
          </cell>
        </row>
        <row r="1525">
          <cell r="N1525" t="str">
            <v>WILKINS LEARNING CENTER</v>
          </cell>
          <cell r="O1525" t="str">
            <v>730 SOUTH COOPER ROAD STE C</v>
          </cell>
          <cell r="P1525" t="str">
            <v>Melissa@wilkinslearningcenter.com</v>
          </cell>
          <cell r="Q1525" t="str">
            <v>CDC-16223</v>
          </cell>
          <cell r="AJ1525" t="e">
            <v>#N/A</v>
          </cell>
          <cell r="AK1525" t="str">
            <v>CDC-16223</v>
          </cell>
          <cell r="AL1525" t="str">
            <v>CDC16223</v>
          </cell>
        </row>
        <row r="1526">
          <cell r="N1526" t="str">
            <v>WILLCOX HEAD START</v>
          </cell>
          <cell r="O1526" t="str">
            <v>501 WEST STEWART STREET</v>
          </cell>
          <cell r="P1526" t="str">
            <v>willcox@childparentcenters.org</v>
          </cell>
          <cell r="Q1526" t="str">
            <v>CDC-6218</v>
          </cell>
          <cell r="AJ1526">
            <v>9852</v>
          </cell>
          <cell r="AK1526" t="str">
            <v>CDC-6218</v>
          </cell>
          <cell r="AL1526" t="str">
            <v>CDC6218</v>
          </cell>
        </row>
        <row r="1527">
          <cell r="N1527" t="str">
            <v>WIRTZIE'S PRESCHOOL AND CHILDCARE</v>
          </cell>
          <cell r="O1527" t="str">
            <v>16752 NORTH GREASEWOOD STREET</v>
          </cell>
          <cell r="P1527" t="str">
            <v>Khorn@benevilla.org</v>
          </cell>
          <cell r="Q1527" t="str">
            <v>CDC-14978</v>
          </cell>
          <cell r="AJ1527">
            <v>92671</v>
          </cell>
          <cell r="AK1527" t="str">
            <v>CDC-14978</v>
          </cell>
          <cell r="AL1527" t="str">
            <v>CDC14978</v>
          </cell>
        </row>
        <row r="1528">
          <cell r="N1528" t="str">
            <v>WONDERKIDZ PRESCHOOL</v>
          </cell>
          <cell r="O1528" t="str">
            <v>2332 SOUTH ARIZONA AVENUE</v>
          </cell>
          <cell r="P1528" t="str">
            <v>mariagalindo@beamspeed.net</v>
          </cell>
          <cell r="Q1528" t="str">
            <v>CDC-15058</v>
          </cell>
          <cell r="AJ1528" t="e">
            <v>#N/A</v>
          </cell>
          <cell r="AK1528" t="str">
            <v>CDC-15058</v>
          </cell>
          <cell r="AL1528" t="str">
            <v>CDC15058</v>
          </cell>
        </row>
        <row r="1529">
          <cell r="N1529" t="str">
            <v>WONDERLAND MONTESSORI ACADEMY</v>
          </cell>
          <cell r="O1529" t="str">
            <v>135 SOUTH VAL VISTA DRIVE</v>
          </cell>
          <cell r="P1529" t="str">
            <v>guptap4@gmail.com</v>
          </cell>
          <cell r="Q1529" t="str">
            <v>CDC-17860</v>
          </cell>
          <cell r="AJ1529" t="e">
            <v>#N/A</v>
          </cell>
          <cell r="AK1529" t="str">
            <v>CDC-17860</v>
          </cell>
          <cell r="AL1529" t="str">
            <v>CDC17860</v>
          </cell>
        </row>
        <row r="1530">
          <cell r="N1530" t="str">
            <v>WONDERLAND PLAYHOUSE CHILDCARE CENTER</v>
          </cell>
          <cell r="O1530" t="str">
            <v>525 NORTH KING STREET</v>
          </cell>
          <cell r="P1530" t="str">
            <v>wonderland.playhouse@gmail.com</v>
          </cell>
          <cell r="Q1530" t="str">
            <v>CDC-17493</v>
          </cell>
          <cell r="AJ1530" t="e">
            <v>#N/A</v>
          </cell>
          <cell r="AK1530" t="str">
            <v>CDC-17493</v>
          </cell>
          <cell r="AL1530" t="str">
            <v>CDC17493</v>
          </cell>
        </row>
        <row r="1531">
          <cell r="N1531" t="str">
            <v>WONDERWISE</v>
          </cell>
          <cell r="O1531" t="str">
            <v>4815 WEST HUNT HIGHWAY</v>
          </cell>
          <cell r="P1531" t="str">
            <v>wonderwise@cox.net</v>
          </cell>
          <cell r="Q1531" t="str">
            <v>CDC-16689</v>
          </cell>
          <cell r="AJ1531" t="e">
            <v>#N/A</v>
          </cell>
          <cell r="AK1531" t="str">
            <v>CDC-16689</v>
          </cell>
          <cell r="AL1531" t="str">
            <v>CDC16689</v>
          </cell>
        </row>
        <row r="1532">
          <cell r="N1532" t="str">
            <v>WONDERWISE COPPER BASIN LLC</v>
          </cell>
          <cell r="O1532" t="str">
            <v>28479 NORTH MAIN STREET</v>
          </cell>
          <cell r="P1532" t="str">
            <v>cb@wonderwisepreschool.com</v>
          </cell>
          <cell r="Q1532" t="str">
            <v>CDC-17373</v>
          </cell>
          <cell r="AJ1532" t="e">
            <v>#N/A</v>
          </cell>
          <cell r="AK1532" t="str">
            <v>CDC-17373</v>
          </cell>
          <cell r="AL1532" t="str">
            <v>CDC17373</v>
          </cell>
        </row>
        <row r="1533">
          <cell r="N1533" t="str">
            <v>WOODBRIDGE PRIVATE SCHOOL</v>
          </cell>
          <cell r="O1533" t="str">
            <v>1535 WEST PARKSIDE LANE</v>
          </cell>
          <cell r="P1533" t="str">
            <v>lisa@woodbridgeprivate.com</v>
          </cell>
          <cell r="Q1533" t="str">
            <v>CDC-15922</v>
          </cell>
          <cell r="AJ1533" t="e">
            <v>#N/A</v>
          </cell>
          <cell r="AK1533" t="str">
            <v>CDC-15922</v>
          </cell>
          <cell r="AL1533" t="str">
            <v>CDC15922</v>
          </cell>
        </row>
        <row r="1534">
          <cell r="N1534" t="str">
            <v>WORD OF LIFE LUTHERAN PRESCHOOL</v>
          </cell>
          <cell r="O1534" t="str">
            <v>17525 WEST BELL ROAD</v>
          </cell>
          <cell r="P1534" t="str">
            <v>director@wolschool.org</v>
          </cell>
          <cell r="Q1534" t="str">
            <v>CDC-11052</v>
          </cell>
          <cell r="AJ1534" t="e">
            <v>#N/A</v>
          </cell>
          <cell r="AK1534" t="str">
            <v>CDC-11052</v>
          </cell>
          <cell r="AL1534" t="str">
            <v>CDC11052</v>
          </cell>
        </row>
        <row r="1535">
          <cell r="N1535" t="str">
            <v>WORK OF HEART LEARNING CENTER AT PEORIA CHURCH OF THE NAZARENE</v>
          </cell>
          <cell r="O1535" t="str">
            <v>7717 WEST THUNDERBIRD ROAD</v>
          </cell>
          <cell r="P1535" t="str">
            <v>workofheart04@aol.com</v>
          </cell>
          <cell r="Q1535" t="str">
            <v>CDC-11620</v>
          </cell>
          <cell r="AJ1535" t="e">
            <v>#N/A</v>
          </cell>
          <cell r="AK1535" t="str">
            <v>CDC-11620</v>
          </cell>
          <cell r="AL1535" t="str">
            <v>CDC11620</v>
          </cell>
        </row>
        <row r="1536">
          <cell r="N1536" t="str">
            <v>WORLD OF WONDER PRESCHOOL AND DAYCARE, L.L.C.</v>
          </cell>
          <cell r="O1536" t="str">
            <v>4699 EAST HIGHWAY 90</v>
          </cell>
          <cell r="P1536" t="str">
            <v>pm@thespringschurch.net</v>
          </cell>
          <cell r="Q1536" t="str">
            <v>CDC-18755</v>
          </cell>
          <cell r="AJ1536" t="e">
            <v>#N/A</v>
          </cell>
          <cell r="AK1536" t="str">
            <v>CDC-18755</v>
          </cell>
          <cell r="AL1536" t="str">
            <v>CDC18755</v>
          </cell>
        </row>
        <row r="1537">
          <cell r="N1537" t="str">
            <v>WRIGHT BROTHERS CHRISTIAN ACADEMY</v>
          </cell>
          <cell r="O1537" t="str">
            <v>8251 NORTH THORNYDALE</v>
          </cell>
          <cell r="P1537" t="str">
            <v>jacquie@wrightbrothersca.com</v>
          </cell>
          <cell r="Q1537" t="str">
            <v>CDC-6951</v>
          </cell>
          <cell r="AJ1537">
            <v>10056</v>
          </cell>
          <cell r="AK1537" t="str">
            <v>CDC-6951</v>
          </cell>
          <cell r="AL1537" t="str">
            <v>CDC6951</v>
          </cell>
        </row>
        <row r="1538">
          <cell r="N1538" t="str">
            <v>WRIGHT HEAD START</v>
          </cell>
          <cell r="O1538" t="str">
            <v>2080 NORTH COLUMBUS BLVD</v>
          </cell>
          <cell r="P1538" t="str">
            <v>wright@childparentcenters.org</v>
          </cell>
          <cell r="Q1538" t="str">
            <v>CDC-5586</v>
          </cell>
          <cell r="AJ1538">
            <v>9848</v>
          </cell>
          <cell r="AK1538" t="str">
            <v>CDC-5586</v>
          </cell>
          <cell r="AL1538" t="str">
            <v>CDC5586</v>
          </cell>
        </row>
        <row r="1539">
          <cell r="N1539" t="str">
            <v>Y CHILD CARE - TEMPE FAMILY Y M C A</v>
          </cell>
          <cell r="O1539" t="str">
            <v>7070 SOUTH RURAL ROAD</v>
          </cell>
          <cell r="P1539" t="str">
            <v>isaiah.teran@rosymca.org</v>
          </cell>
          <cell r="Q1539" t="str">
            <v>CDC-3929</v>
          </cell>
          <cell r="AJ1539" t="e">
            <v>#N/A</v>
          </cell>
          <cell r="AK1539" t="str">
            <v>CDC-3929</v>
          </cell>
          <cell r="AL1539" t="str">
            <v>CDC3929</v>
          </cell>
        </row>
        <row r="1540">
          <cell r="N1540" t="str">
            <v>Y CHILD CARE HL SUVERKRUP</v>
          </cell>
          <cell r="O1540" t="str">
            <v>1590 AVENUE C</v>
          </cell>
          <cell r="P1540" t="str">
            <v>acclary@vosymca.org</v>
          </cell>
          <cell r="Q1540" t="str">
            <v>CDC-14660</v>
          </cell>
          <cell r="AJ1540" t="e">
            <v>#N/A</v>
          </cell>
          <cell r="AK1540" t="str">
            <v>CDC-14660</v>
          </cell>
          <cell r="AL1540" t="str">
            <v>CDC14660</v>
          </cell>
        </row>
        <row r="1541">
          <cell r="N1541" t="str">
            <v>Y KIDS - AHWATUKEE FAMILY  Y M C A</v>
          </cell>
          <cell r="O1541" t="str">
            <v>1030 EAST LIBERTY LANE</v>
          </cell>
          <cell r="P1541" t="str">
            <v>michael.speciale@vosymca.org</v>
          </cell>
          <cell r="Q1541" t="str">
            <v>CDC-11415</v>
          </cell>
          <cell r="AJ1541" t="e">
            <v>#N/A</v>
          </cell>
          <cell r="AK1541" t="str">
            <v>CDC-11415</v>
          </cell>
          <cell r="AL1541" t="str">
            <v>CDC11415</v>
          </cell>
        </row>
        <row r="1542">
          <cell r="N1542" t="str">
            <v>Y KIDZ - CHANDLER Y M C A</v>
          </cell>
          <cell r="O1542" t="str">
            <v>1655 WEST FRYE ROAD</v>
          </cell>
          <cell r="P1542" t="str">
            <v>brian.timmons@rasymca.org</v>
          </cell>
          <cell r="Q1542" t="str">
            <v>CDC-10658</v>
          </cell>
          <cell r="AJ1542" t="e">
            <v>#N/A</v>
          </cell>
          <cell r="AK1542" t="str">
            <v>CDC-10658</v>
          </cell>
          <cell r="AL1542" t="str">
            <v>CDC10658</v>
          </cell>
        </row>
        <row r="1543">
          <cell r="N1543" t="str">
            <v>Y KIDZ - GARY KNOX</v>
          </cell>
          <cell r="O1543" t="str">
            <v>2926 SOUTH 21ST DRIVE</v>
          </cell>
          <cell r="P1543" t="str">
            <v>edith.benavides@vosymca.org</v>
          </cell>
          <cell r="Q1543" t="str">
            <v>CDC-11707</v>
          </cell>
          <cell r="AJ1543" t="e">
            <v>#N/A</v>
          </cell>
          <cell r="AK1543" t="str">
            <v>CDC-11707</v>
          </cell>
          <cell r="AL1543" t="str">
            <v>CDC11707</v>
          </cell>
        </row>
        <row r="1544">
          <cell r="N1544" t="str">
            <v>Y KIDZ - SOUTHWEST VALLEY Y M C A</v>
          </cell>
          <cell r="O1544" t="str">
            <v>2919 NORTH LITCHFIELD ROAD</v>
          </cell>
          <cell r="P1544" t="str">
            <v>dcasem@yosymca.org</v>
          </cell>
          <cell r="Q1544" t="str">
            <v>CDC-12001</v>
          </cell>
          <cell r="AJ1544" t="e">
            <v>#N/A</v>
          </cell>
          <cell r="AK1544" t="str">
            <v>CDC-12001</v>
          </cell>
          <cell r="AL1544" t="str">
            <v>CDC12001</v>
          </cell>
        </row>
        <row r="1545">
          <cell r="N1545" t="str">
            <v>Y.E.S. - CENTENNIAL</v>
          </cell>
          <cell r="O1545" t="str">
            <v>2200 WEST WETMORE ROAD</v>
          </cell>
          <cell r="P1545" t="str">
            <v>martha@fwepinc.com</v>
          </cell>
          <cell r="Q1545" t="str">
            <v>CDC-3234</v>
          </cell>
          <cell r="AJ1545" t="e">
            <v>#N/A</v>
          </cell>
          <cell r="AK1545" t="str">
            <v>CDC-3234</v>
          </cell>
          <cell r="AL1545" t="str">
            <v>CDC3234</v>
          </cell>
        </row>
        <row r="1546">
          <cell r="N1546" t="str">
            <v>Y.E.S. - HENDRICKS</v>
          </cell>
          <cell r="O1546" t="str">
            <v>3400 WEST ORANGE GROVE RD</v>
          </cell>
          <cell r="P1546" t="str">
            <v>martha@fwepinc.com</v>
          </cell>
          <cell r="Q1546" t="str">
            <v>CDC-6282</v>
          </cell>
          <cell r="AJ1546" t="e">
            <v>#N/A</v>
          </cell>
          <cell r="AK1546" t="str">
            <v>CDC-6282</v>
          </cell>
          <cell r="AL1546" t="str">
            <v>CDC6282</v>
          </cell>
        </row>
        <row r="1547">
          <cell r="N1547" t="str">
            <v>Y.E.S. - HOMER DAVIS - YOUTH ENRICHMENT SERVICES</v>
          </cell>
          <cell r="O1547" t="str">
            <v>4250 NORTH ROMERO ROAD</v>
          </cell>
          <cell r="P1547" t="str">
            <v>martha@fwepinc.com</v>
          </cell>
          <cell r="Q1547" t="str">
            <v>CDC-1708</v>
          </cell>
          <cell r="AJ1547" t="e">
            <v>#N/A</v>
          </cell>
          <cell r="AK1547" t="str">
            <v>CDC-1708</v>
          </cell>
          <cell r="AL1547" t="str">
            <v>CDC1708</v>
          </cell>
        </row>
        <row r="1548">
          <cell r="N1548" t="str">
            <v>Y.E.S. - RICHARDSON - YOUTH ENRICHMENT SERVICES</v>
          </cell>
          <cell r="O1548" t="str">
            <v>6901 NORTH CAMINO DE LA TIERRA</v>
          </cell>
          <cell r="P1548" t="str">
            <v>martha@fwepinc.com</v>
          </cell>
          <cell r="Q1548" t="str">
            <v>CDC-1711</v>
          </cell>
          <cell r="AJ1548" t="e">
            <v>#N/A</v>
          </cell>
          <cell r="AK1548" t="str">
            <v>CDC-1711</v>
          </cell>
          <cell r="AL1548" t="str">
            <v>CDC1711</v>
          </cell>
        </row>
        <row r="1549">
          <cell r="N1549" t="str">
            <v>Y.M.C.A. - CANON ELEMENTARY</v>
          </cell>
          <cell r="O1549" t="str">
            <v>34630 SOUTH SCHOOL LOOP ROAD</v>
          </cell>
          <cell r="P1549" t="str">
            <v>Clayton.flesner@vosymca.org</v>
          </cell>
          <cell r="Q1549" t="str">
            <v>CDC-18769</v>
          </cell>
          <cell r="AJ1549" t="e">
            <v>#N/A</v>
          </cell>
          <cell r="AK1549" t="str">
            <v>CDC-18769</v>
          </cell>
          <cell r="AL1549" t="str">
            <v>CDC18769</v>
          </cell>
        </row>
        <row r="1550">
          <cell r="N1550" t="str">
            <v>Y.M.C.A. - MULCAHY CITY</v>
          </cell>
          <cell r="O1550" t="str">
            <v>5085 SOUTH NOGALES HWY</v>
          </cell>
          <cell r="P1550" t="str">
            <v>brittneyt@tucsonymca.org</v>
          </cell>
          <cell r="Q1550" t="str">
            <v>CDC-3120</v>
          </cell>
          <cell r="AJ1550">
            <v>9806</v>
          </cell>
          <cell r="AK1550" t="str">
            <v>CDC-3120</v>
          </cell>
          <cell r="AL1550" t="str">
            <v>CDC3120</v>
          </cell>
        </row>
        <row r="1551">
          <cell r="N1551" t="str">
            <v>Y.M.C.A. - OTT/ Y KIDS</v>
          </cell>
          <cell r="O1551" t="str">
            <v>401 SOUTH PRUDENCE</v>
          </cell>
          <cell r="P1551" t="str">
            <v>oliviag@tucsonymca.org</v>
          </cell>
          <cell r="Q1551" t="str">
            <v>CDC-3860</v>
          </cell>
          <cell r="AJ1551" t="e">
            <v>#N/A</v>
          </cell>
          <cell r="AK1551" t="str">
            <v>CDC-3860</v>
          </cell>
          <cell r="AL1551" t="str">
            <v>CDC3860</v>
          </cell>
        </row>
        <row r="1552">
          <cell r="N1552" t="str">
            <v>Y.M.C.A. - SACC - FRUCHTHENDLER</v>
          </cell>
          <cell r="O1552" t="str">
            <v>7470 EAST CLOUD ROAD</v>
          </cell>
          <cell r="P1552" t="str">
            <v>herreras@tucsonymca.org</v>
          </cell>
          <cell r="Q1552" t="str">
            <v>CDC-4705</v>
          </cell>
          <cell r="AJ1552" t="e">
            <v>#N/A</v>
          </cell>
          <cell r="AK1552" t="str">
            <v>CDC-4705</v>
          </cell>
          <cell r="AL1552" t="str">
            <v>CDC4705</v>
          </cell>
        </row>
        <row r="1553">
          <cell r="N1553" t="str">
            <v>Y.M.C.A. - SACC - JACOBS CITY</v>
          </cell>
          <cell r="O1553" t="str">
            <v>1010 WEST LIND</v>
          </cell>
          <cell r="P1553" t="str">
            <v>kendraw@tucsonymca.org</v>
          </cell>
          <cell r="Q1553" t="str">
            <v>CDC-3956</v>
          </cell>
          <cell r="AJ1553">
            <v>80575</v>
          </cell>
          <cell r="AK1553" t="str">
            <v>CDC-3956</v>
          </cell>
          <cell r="AL1553" t="str">
            <v>CDC3956</v>
          </cell>
        </row>
        <row r="1554">
          <cell r="N1554" t="str">
            <v>Y.M.C.A. - SACC - LIGHTHOUSE</v>
          </cell>
          <cell r="O1554" t="str">
            <v>2900 NORTH COLUMBUS BLVD</v>
          </cell>
          <cell r="P1554" t="str">
            <v>oliviag@tucsonymca.org</v>
          </cell>
          <cell r="Q1554" t="str">
            <v>CDC-3421</v>
          </cell>
          <cell r="AJ1554" t="e">
            <v>#N/A</v>
          </cell>
          <cell r="AK1554" t="str">
            <v>CDC-3421</v>
          </cell>
          <cell r="AL1554" t="str">
            <v>CDC3421</v>
          </cell>
        </row>
        <row r="1555">
          <cell r="N1555" t="str">
            <v>Y.M.C.A. - WHEELER ELEMENTARY</v>
          </cell>
          <cell r="O1555" t="str">
            <v>1818 SOUTH AVE DEL SOL</v>
          </cell>
          <cell r="P1555" t="str">
            <v>aimeev@tucsonymca.org</v>
          </cell>
          <cell r="Q1555" t="str">
            <v>CDC-1834</v>
          </cell>
          <cell r="AJ1555" t="e">
            <v>#N/A</v>
          </cell>
          <cell r="AK1555" t="str">
            <v>CDC-1834</v>
          </cell>
          <cell r="AL1555" t="str">
            <v>CDC1834</v>
          </cell>
        </row>
        <row r="1556">
          <cell r="N1556" t="str">
            <v>Y.M.C.A. ACADEMY OF TUCSON ELEMENTARY SCHOOL</v>
          </cell>
          <cell r="O1556" t="str">
            <v>9209 E WRIGHTSTOWN RD</v>
          </cell>
          <cell r="P1556" t="str">
            <v>debbies@tucsonymca.org</v>
          </cell>
          <cell r="Q1556" t="str">
            <v>CDC-15558</v>
          </cell>
          <cell r="AJ1556" t="e">
            <v>#N/A</v>
          </cell>
          <cell r="AK1556" t="str">
            <v>CDC-15558</v>
          </cell>
          <cell r="AL1556" t="str">
            <v>CDC15558</v>
          </cell>
        </row>
        <row r="1557">
          <cell r="N1557" t="str">
            <v>Y.M.C.A. AT DESERT WILLOW SCHOOL</v>
          </cell>
          <cell r="O1557" t="str">
            <v>9400 E ESMOND LOOP</v>
          </cell>
          <cell r="P1557" t="str">
            <v>ErikaH@tucsonymca.org</v>
          </cell>
          <cell r="Q1557" t="str">
            <v>CDC-13468</v>
          </cell>
          <cell r="AJ1557" t="e">
            <v>#N/A</v>
          </cell>
          <cell r="AK1557" t="str">
            <v>CDC-13468</v>
          </cell>
          <cell r="AL1557" t="str">
            <v>CDC13468</v>
          </cell>
        </row>
        <row r="1558">
          <cell r="N1558" t="str">
            <v>Y.M.C.A. AT KELLOND ELEMENTARY</v>
          </cell>
          <cell r="O1558" t="str">
            <v>6606 EAST LEHIGH DRIVE</v>
          </cell>
          <cell r="P1558" t="str">
            <v>erikah@tucsonymca.org</v>
          </cell>
          <cell r="Q1558" t="str">
            <v>CDC-18547</v>
          </cell>
          <cell r="AJ1558" t="e">
            <v>#N/A</v>
          </cell>
          <cell r="AK1558" t="str">
            <v>CDC-18547</v>
          </cell>
          <cell r="AL1558" t="str">
            <v>CDC18547</v>
          </cell>
        </row>
        <row r="1559">
          <cell r="N1559" t="str">
            <v>Y.M.C.A. AT OCOTILLO RIDGE</v>
          </cell>
          <cell r="O1559" t="str">
            <v>10170 S WHITE LIGHTNING LANE</v>
          </cell>
          <cell r="P1559" t="str">
            <v>oliviag@tucsonymca.org</v>
          </cell>
          <cell r="Q1559" t="str">
            <v>CDC-14492</v>
          </cell>
          <cell r="AJ1559" t="e">
            <v>#N/A</v>
          </cell>
          <cell r="AK1559" t="str">
            <v>CDC-14492</v>
          </cell>
          <cell r="AL1559" t="str">
            <v>CDC14492</v>
          </cell>
        </row>
        <row r="1560">
          <cell r="N1560" t="str">
            <v>Y.M.C.A. OF METROPOLITAN TUCSON</v>
          </cell>
          <cell r="O1560" t="str">
            <v>9950 EAST REES LOOP</v>
          </cell>
          <cell r="P1560" t="str">
            <v>oliviag@tucsonymca.org</v>
          </cell>
          <cell r="Q1560" t="str">
            <v>CDC-14265</v>
          </cell>
          <cell r="AJ1560" t="e">
            <v>#N/A</v>
          </cell>
          <cell r="AK1560" t="str">
            <v>CDC-14265</v>
          </cell>
          <cell r="AL1560" t="str">
            <v>CDC14265</v>
          </cell>
        </row>
        <row r="1561">
          <cell r="N1561" t="str">
            <v>YAD B YAD CHILDREN'S CENTER</v>
          </cell>
          <cell r="O1561" t="str">
            <v>5801 SOUTH RURAL ROAD</v>
          </cell>
          <cell r="P1561" t="str">
            <v>tanyastabinsky.yby@gmail.com</v>
          </cell>
          <cell r="Q1561" t="str">
            <v>CDC-17901</v>
          </cell>
          <cell r="AJ1561" t="e">
            <v>#N/A</v>
          </cell>
          <cell r="AK1561" t="str">
            <v>CDC-17901</v>
          </cell>
          <cell r="AL1561" t="str">
            <v>CDC17901</v>
          </cell>
        </row>
        <row r="1562">
          <cell r="N1562" t="str">
            <v>YELLOW BRICK ROAD PRESCHOOLS</v>
          </cell>
          <cell r="O1562" t="str">
            <v>392 EAST WINDSOR AVENUE</v>
          </cell>
          <cell r="P1562" t="str">
            <v>ashok.patel@cox.net</v>
          </cell>
          <cell r="Q1562" t="str">
            <v>CDC-14254</v>
          </cell>
          <cell r="AJ1562">
            <v>90056</v>
          </cell>
          <cell r="AK1562" t="str">
            <v>CDC-14254</v>
          </cell>
          <cell r="AL1562" t="str">
            <v>CDC14254</v>
          </cell>
        </row>
        <row r="1563">
          <cell r="N1563" t="str">
            <v>YESHUA'S INTERNATIONAL SCHOOL FOR EDUCATION</v>
          </cell>
          <cell r="O1563" t="str">
            <v>160 WEST WICKENBURG WAY</v>
          </cell>
          <cell r="P1563" t="str">
            <v>yeshuasinternationalschool@gmail.com</v>
          </cell>
          <cell r="Q1563" t="str">
            <v>CDC-18738</v>
          </cell>
          <cell r="AJ1563" t="e">
            <v>#N/A</v>
          </cell>
          <cell r="AK1563" t="str">
            <v>CDC-18738</v>
          </cell>
          <cell r="AL1563" t="str">
            <v>CDC18738</v>
          </cell>
        </row>
        <row r="1564">
          <cell r="N1564" t="str">
            <v>YOU ARE MY SUNSHINE DAYCARE INC.</v>
          </cell>
          <cell r="O1564" t="str">
            <v>119 WEST SILVA LANE</v>
          </cell>
          <cell r="P1564" t="str">
            <v>youaremysunshinedaycare2017@gmail.com</v>
          </cell>
          <cell r="Q1564" t="str">
            <v>CDC-18692</v>
          </cell>
          <cell r="AJ1564" t="e">
            <v>#N/A</v>
          </cell>
          <cell r="AK1564" t="str">
            <v>CDC-18692</v>
          </cell>
          <cell r="AL1564" t="str">
            <v>CDC18692</v>
          </cell>
        </row>
        <row r="1565">
          <cell r="N1565" t="str">
            <v>YOUNG EXPLORERS SCHOOL</v>
          </cell>
          <cell r="O1565" t="str">
            <v>1201 SOUTH AVENIDA SIRIO</v>
          </cell>
          <cell r="P1565" t="str">
            <v>tdiverde@gmail.com</v>
          </cell>
          <cell r="Q1565" t="str">
            <v>CDC-18300</v>
          </cell>
          <cell r="AJ1565">
            <v>90435</v>
          </cell>
          <cell r="AK1565" t="str">
            <v>CDC-18300</v>
          </cell>
          <cell r="AL1565" t="str">
            <v>CDC18300</v>
          </cell>
        </row>
        <row r="1566">
          <cell r="N1566" t="str">
            <v>YOUNG MIND COMMUNITY CENTER</v>
          </cell>
          <cell r="O1566" t="str">
            <v xml:space="preserve"> 3202 EAST MOUNTAIN VIEW ROAD</v>
          </cell>
          <cell r="P1566" t="str">
            <v>office@youngmindcenter.org</v>
          </cell>
          <cell r="Q1566" t="str">
            <v>CDC-18291</v>
          </cell>
          <cell r="AJ1566" t="e">
            <v>#N/A</v>
          </cell>
          <cell r="AK1566" t="str">
            <v>CDC-18291</v>
          </cell>
          <cell r="AL1566" t="str">
            <v>CDC18291</v>
          </cell>
        </row>
        <row r="1567">
          <cell r="N1567" t="str">
            <v>YOUNG SCHOLAR'S ACADEMY</v>
          </cell>
          <cell r="O1567" t="str">
            <v>1501 EAST VALENCIA</v>
          </cell>
          <cell r="P1567" t="str">
            <v>ysacs@ctaz.com</v>
          </cell>
          <cell r="Q1567" t="str">
            <v>CDC-8000</v>
          </cell>
          <cell r="AJ1567" t="e">
            <v>#N/A</v>
          </cell>
          <cell r="AK1567" t="str">
            <v>CDC-8000</v>
          </cell>
          <cell r="AL1567" t="str">
            <v>CDC8000</v>
          </cell>
        </row>
        <row r="1568">
          <cell r="N1568" t="str">
            <v>YUMA LUTHERAN SCHOOL</v>
          </cell>
          <cell r="O1568" t="str">
            <v>2555 ENGLER AVENUE</v>
          </cell>
          <cell r="P1568" t="str">
            <v>shinojosa@yumalutheranschool.org</v>
          </cell>
          <cell r="Q1568" t="str">
            <v>CDC-1514</v>
          </cell>
          <cell r="AJ1568" t="e">
            <v>#N/A</v>
          </cell>
          <cell r="AK1568" t="str">
            <v>CDC-1514</v>
          </cell>
          <cell r="AL1568" t="str">
            <v>CDC1514</v>
          </cell>
        </row>
        <row r="1569">
          <cell r="N1569" t="str">
            <v>YUMA PRESCHOOL</v>
          </cell>
          <cell r="O1569" t="str">
            <v>870 WEST 32ND STREET</v>
          </cell>
          <cell r="P1569" t="str">
            <v>yumapreschool@gmail.com</v>
          </cell>
          <cell r="Q1569" t="str">
            <v>CDC-3223</v>
          </cell>
          <cell r="AJ1569" t="e">
            <v>#N/A</v>
          </cell>
          <cell r="AK1569" t="str">
            <v>CDC-3223</v>
          </cell>
          <cell r="AL1569" t="str">
            <v>CDC3223</v>
          </cell>
        </row>
        <row r="1570">
          <cell r="N1570" t="str">
            <v>ZION EARLY LEARNING ACADEMY</v>
          </cell>
          <cell r="O1570" t="str">
            <v>5644 SOUTH 16TH STREET</v>
          </cell>
          <cell r="P1570" t="str">
            <v>zionlivingphx@gmail.com</v>
          </cell>
          <cell r="Q1570" t="str">
            <v>CDC-18183</v>
          </cell>
          <cell r="AJ1570" t="e">
            <v>#N/A</v>
          </cell>
          <cell r="AK1570" t="str">
            <v>CDC-18183</v>
          </cell>
          <cell r="AL1570" t="str">
            <v>CDC18183</v>
          </cell>
        </row>
        <row r="1571">
          <cell r="N1571" t="str">
            <v>A.C.E.S.D.#53 - SHEPARDS COTTAGE</v>
          </cell>
          <cell r="O1571" t="str">
            <v>6460 E HWY 181</v>
          </cell>
          <cell r="P1571" t="str">
            <v>WranglerZZZ@hotmail.com</v>
          </cell>
          <cell r="Q1571" t="str">
            <v>CDC-13766</v>
          </cell>
          <cell r="AJ1571" t="e">
            <v>#N/A</v>
          </cell>
          <cell r="AK1571" t="str">
            <v>CDC-13766</v>
          </cell>
          <cell r="AL1571" t="str">
            <v>CDC13766</v>
          </cell>
        </row>
        <row r="1572">
          <cell r="N1572" t="str">
            <v>A.E.S.D.#44 -  CENTERRA MIRAGE SCHOOL</v>
          </cell>
          <cell r="O1572" t="str">
            <v>15151 WEST CENTERRA DRIVE SOUTH</v>
          </cell>
          <cell r="P1572" t="str">
            <v xml:space="preserve"> jschoet@avondale.k12.az.us</v>
          </cell>
          <cell r="Q1572" t="str">
            <v>CDC-16302</v>
          </cell>
          <cell r="AJ1572" t="e">
            <v>#N/A</v>
          </cell>
          <cell r="AK1572" t="str">
            <v>CDC-16302</v>
          </cell>
          <cell r="AL1572" t="str">
            <v>CDC16302</v>
          </cell>
        </row>
        <row r="1573">
          <cell r="N1573" t="str">
            <v>A.E.S.D.#44 -  COPPER TRAILS SCHOOL</v>
          </cell>
          <cell r="O1573" t="str">
            <v>16875 WEST CANYON TRAILS BLVD</v>
          </cell>
          <cell r="P1573" t="str">
            <v>kdyrhaug@chooseAESD.org</v>
          </cell>
          <cell r="Q1573" t="str">
            <v>CDC-16300</v>
          </cell>
          <cell r="AJ1573" t="e">
            <v>#N/A</v>
          </cell>
          <cell r="AK1573" t="str">
            <v>CDC-16300</v>
          </cell>
          <cell r="AL1573" t="str">
            <v>CDC16300</v>
          </cell>
        </row>
        <row r="1574">
          <cell r="N1574" t="str">
            <v>A.E.S.D.#44 -  DESERT STAR SCHOOL</v>
          </cell>
          <cell r="O1574" t="str">
            <v>2131 SOUTH 157TH AVENUE</v>
          </cell>
          <cell r="P1574" t="str">
            <v xml:space="preserve"> jschoet@avondale.k12.az.us</v>
          </cell>
          <cell r="Q1574" t="str">
            <v>CDC-16301</v>
          </cell>
          <cell r="AJ1574" t="e">
            <v>#N/A</v>
          </cell>
          <cell r="AK1574" t="str">
            <v>CDC-16301</v>
          </cell>
          <cell r="AL1574" t="str">
            <v>CDC16301</v>
          </cell>
        </row>
        <row r="1575">
          <cell r="N1575" t="str">
            <v>A.E.S.D.#44 -  DESERT THUNDER SCHOOL</v>
          </cell>
          <cell r="O1575" t="str">
            <v>16750 WEST GARFIELD STREET</v>
          </cell>
          <cell r="P1575" t="str">
            <v>jschoet@avondale.k12.az.us</v>
          </cell>
          <cell r="Q1575" t="str">
            <v>CDC-16303</v>
          </cell>
          <cell r="AJ1575" t="e">
            <v>#N/A</v>
          </cell>
          <cell r="AK1575" t="str">
            <v>CDC-16303</v>
          </cell>
          <cell r="AL1575" t="str">
            <v>CDC16303</v>
          </cell>
        </row>
        <row r="1576">
          <cell r="N1576" t="str">
            <v>A.E.S.D.#44 -  WILDFLOWER SCHOOL</v>
          </cell>
          <cell r="O1576" t="str">
            <v>325 SOUTH WILDFLOWER DRIVE</v>
          </cell>
          <cell r="P1576" t="str">
            <v xml:space="preserve"> jschoet@avondale.k12.az.us</v>
          </cell>
          <cell r="Q1576" t="str">
            <v>CDC-16304</v>
          </cell>
          <cell r="AJ1576" t="e">
            <v>#N/A</v>
          </cell>
          <cell r="AK1576" t="str">
            <v>CDC-16304</v>
          </cell>
          <cell r="AL1576" t="str">
            <v>CDC16304</v>
          </cell>
        </row>
        <row r="1577">
          <cell r="N1577" t="str">
            <v>A.E.S.D.#63 - AGUILA ELEMENTARY SCHOOL</v>
          </cell>
          <cell r="O1577" t="str">
            <v>50023 NORTH 514TH AVENUE</v>
          </cell>
          <cell r="P1577" t="str">
            <v>awannemacher@aguilaschool.org</v>
          </cell>
          <cell r="Q1577" t="str">
            <v>CDC-15982</v>
          </cell>
          <cell r="AJ1577" t="e">
            <v>#N/A</v>
          </cell>
          <cell r="AK1577" t="str">
            <v>CDC-15982</v>
          </cell>
          <cell r="AL1577" t="str">
            <v>CDC15982</v>
          </cell>
        </row>
        <row r="1578">
          <cell r="N1578" t="str">
            <v>A.E.S.D.#68 - ALHAMBRA HEAD START - WESTWOOD</v>
          </cell>
          <cell r="O1578" t="str">
            <v>4711 NORTH 23RD AVENUE</v>
          </cell>
          <cell r="P1578" t="str">
            <v>margaritarodriguez@alhambraesd.org</v>
          </cell>
          <cell r="Q1578" t="str">
            <v>CDC-6172</v>
          </cell>
          <cell r="AJ1578" t="e">
            <v>#N/A</v>
          </cell>
          <cell r="AK1578" t="str">
            <v>CDC-6172</v>
          </cell>
          <cell r="AL1578" t="str">
            <v>CDC6172</v>
          </cell>
        </row>
        <row r="1579">
          <cell r="N1579" t="str">
            <v>A.E.S.D.#68 - ALHAMBRA PRESCHOOL ACADEMY</v>
          </cell>
          <cell r="O1579" t="str">
            <v>4730 WEST CAMPBELL AVENUE</v>
          </cell>
          <cell r="P1579" t="str">
            <v>margaritaherrera@Alhambraesd.org</v>
          </cell>
          <cell r="Q1579" t="str">
            <v>CDC-18586</v>
          </cell>
          <cell r="AJ1579" t="e">
            <v>#N/A</v>
          </cell>
          <cell r="AK1579" t="str">
            <v>CDC-18586</v>
          </cell>
          <cell r="AL1579" t="str">
            <v>CDC18586</v>
          </cell>
        </row>
        <row r="1580">
          <cell r="N1580" t="str">
            <v>A.E.S.D.#68 - ALHAMBRA TRADITIONAL SCHOOL</v>
          </cell>
          <cell r="O1580" t="str">
            <v>5725 NORTH 27TH AVENUE</v>
          </cell>
          <cell r="P1580" t="str">
            <v>julianagonzales@alhambraaesd.org</v>
          </cell>
          <cell r="Q1580" t="str">
            <v>CDC-18360</v>
          </cell>
          <cell r="AJ1580" t="e">
            <v>#N/A</v>
          </cell>
          <cell r="AK1580" t="str">
            <v>CDC-18360</v>
          </cell>
          <cell r="AL1580" t="str">
            <v>CDC18360</v>
          </cell>
        </row>
        <row r="1581">
          <cell r="N1581" t="str">
            <v>A.E.S.D.#68 - CORDOVA MIDDLE SCHOOL</v>
          </cell>
          <cell r="O1581" t="str">
            <v>5631 NORTH 35TH AVENUE</v>
          </cell>
          <cell r="P1581" t="str">
            <v>Koleenriggs@alhambraesd.org, normagranillo@alhambraesd.org</v>
          </cell>
          <cell r="Q1581" t="str">
            <v>CDC-17677</v>
          </cell>
          <cell r="AJ1581" t="e">
            <v>#N/A</v>
          </cell>
          <cell r="AK1581" t="str">
            <v>CDC-17677</v>
          </cell>
          <cell r="AL1581" t="str">
            <v>CDC17677</v>
          </cell>
        </row>
        <row r="1582">
          <cell r="N1582" t="str">
            <v>A.E.S.D.#68 - HEAD START - GRANADA PRIMARY SCHOOL</v>
          </cell>
          <cell r="O1582" t="str">
            <v>3232 WEST CAMPBELL AVENUE</v>
          </cell>
          <cell r="P1582" t="str">
            <v>patriciarobles@alhambraesd.org</v>
          </cell>
          <cell r="Q1582" t="str">
            <v>CDC-14314</v>
          </cell>
          <cell r="AJ1582" t="e">
            <v>#N/A</v>
          </cell>
          <cell r="AK1582" t="str">
            <v>CDC-14314</v>
          </cell>
          <cell r="AL1582" t="str">
            <v>CDC14314</v>
          </cell>
        </row>
        <row r="1583">
          <cell r="N1583" t="str">
            <v>A.E.S.D.#68 - HEAD START - SEVILLA PRIMARY SCHOOL</v>
          </cell>
          <cell r="O1583" t="str">
            <v>3801 WEST MISSOURI AVENUE</v>
          </cell>
          <cell r="P1583" t="str">
            <v>margaritahererra@alhambraesd.org</v>
          </cell>
          <cell r="Q1583" t="str">
            <v>CDC-14313</v>
          </cell>
          <cell r="AJ1583" t="e">
            <v>#N/A</v>
          </cell>
          <cell r="AK1583" t="str">
            <v>CDC-14313</v>
          </cell>
          <cell r="AL1583" t="str">
            <v>CDC14313</v>
          </cell>
        </row>
        <row r="1584">
          <cell r="N1584" t="str">
            <v>A.J.U.S.D.#43 - THE EARLY LEARNING CENTER DAYCARE</v>
          </cell>
          <cell r="O1584" t="str">
            <v>2805 SOUTH IRONWOOD DRIVE</v>
          </cell>
          <cell r="P1584" t="str">
            <v>mperalta@goaj.org</v>
          </cell>
          <cell r="Q1584" t="str">
            <v>CDC-12361</v>
          </cell>
          <cell r="AJ1584" t="e">
            <v>#N/A</v>
          </cell>
          <cell r="AK1584" t="str">
            <v>CDC-12361</v>
          </cell>
          <cell r="AL1584" t="str">
            <v>CDC12361</v>
          </cell>
        </row>
        <row r="1585">
          <cell r="N1585" t="str">
            <v>A.U.S.D.#10 - CANYON DEL ORO EARLY CHILDHOOD CENTER</v>
          </cell>
          <cell r="O1585" t="str">
            <v>25 WEST CALLE CONCORDIA</v>
          </cell>
          <cell r="P1585" t="str">
            <v>jatteberry@amphi.com</v>
          </cell>
          <cell r="Q1585" t="str">
            <v>CDC-9983</v>
          </cell>
          <cell r="AJ1585" t="e">
            <v>#N/A</v>
          </cell>
          <cell r="AK1585" t="str">
            <v>CDC-9983</v>
          </cell>
          <cell r="AL1585" t="str">
            <v>CDC9983</v>
          </cell>
        </row>
        <row r="1586">
          <cell r="N1586" t="str">
            <v>A.U.S.D.#10 - IMAGINE PRESCHOOL AT INNOVATION ACADEMY</v>
          </cell>
          <cell r="O1586" t="str">
            <v>825 WEST DESERT FAIRWAYS</v>
          </cell>
          <cell r="P1586" t="str">
            <v>rlewis@amphi.com</v>
          </cell>
          <cell r="Q1586" t="str">
            <v>CDC-17985</v>
          </cell>
          <cell r="AJ1586" t="e">
            <v>#N/A</v>
          </cell>
          <cell r="AK1586" t="str">
            <v>CDC-17985</v>
          </cell>
          <cell r="AL1586" t="str">
            <v>CDC17985</v>
          </cell>
        </row>
        <row r="1587">
          <cell r="N1587" t="str">
            <v>A.U.S.D.#10 - IMAGINE PRESCHOOL AT PAINTED SKY ELEMENTARY</v>
          </cell>
          <cell r="O1587" t="str">
            <v>12620 NORTH WOODBURNE AVENUE</v>
          </cell>
          <cell r="P1587" t="str">
            <v>RLOPEZ@AMPHI.COM</v>
          </cell>
          <cell r="Q1587" t="str">
            <v>CDC-18296</v>
          </cell>
          <cell r="AJ1587" t="e">
            <v>#N/A</v>
          </cell>
          <cell r="AK1587" t="str">
            <v>CDC-18296</v>
          </cell>
          <cell r="AL1587" t="str">
            <v>CDC18296</v>
          </cell>
        </row>
        <row r="1588">
          <cell r="N1588" t="str">
            <v>A.U.S.D.#15 - AJO ELEMENTARY</v>
          </cell>
          <cell r="O1588" t="str">
            <v>111 NORTH WELL ROAD</v>
          </cell>
          <cell r="P1588" t="str">
            <v>bdooley@tabletoptelephone.com</v>
          </cell>
          <cell r="Q1588" t="str">
            <v>CDC-15998</v>
          </cell>
          <cell r="AJ1588" t="e">
            <v>#N/A</v>
          </cell>
          <cell r="AK1588" t="str">
            <v>CDC-15998</v>
          </cell>
          <cell r="AL1588" t="str">
            <v>CDC15998</v>
          </cell>
        </row>
        <row r="1589">
          <cell r="N1589" t="str">
            <v>A.V.S.D.#51 - ROBLES ELEMENTARY PRESCHOOL</v>
          </cell>
          <cell r="O1589" t="str">
            <v>10105 SOUTH SASABE RD</v>
          </cell>
          <cell r="P1589" t="str">
            <v>lconner@avsd.org</v>
          </cell>
          <cell r="Q1589" t="str">
            <v>CDC-15694</v>
          </cell>
          <cell r="AJ1589" t="e">
            <v>#N/A</v>
          </cell>
          <cell r="AK1589" t="str">
            <v>CDC-15694</v>
          </cell>
          <cell r="AL1589" t="str">
            <v>CDC15694</v>
          </cell>
        </row>
        <row r="1590">
          <cell r="N1590" t="str">
            <v>ACACIA EARLY CHILDHOOD AND SCHOOL AGE ENRICHMENT PROGRAM</v>
          </cell>
          <cell r="O1590" t="str">
            <v>12955 EAST COLOSSAL CAVE</v>
          </cell>
          <cell r="P1590" t="str">
            <v>kubiakl@vailschooldistrict.org</v>
          </cell>
          <cell r="Q1590" t="str">
            <v>CDC-6485</v>
          </cell>
          <cell r="AJ1590" t="e">
            <v>#N/A</v>
          </cell>
          <cell r="AK1590" t="str">
            <v>CDC-6485</v>
          </cell>
          <cell r="AL1590" t="str">
            <v>CDC6485</v>
          </cell>
        </row>
        <row r="1591">
          <cell r="N1591" t="str">
            <v>B.C.E.S.D.#15 - BULLHEAD CITY ELEMENTARY PRESCHOOL - SUNRISE</v>
          </cell>
          <cell r="O1591" t="str">
            <v>2645 LANDON DRIVE</v>
          </cell>
          <cell r="P1591" t="str">
            <v>aburroughs@bullheadschools.com</v>
          </cell>
          <cell r="Q1591" t="str">
            <v>CDC-17365</v>
          </cell>
          <cell r="AJ1591" t="e">
            <v>#N/A</v>
          </cell>
          <cell r="AK1591" t="str">
            <v>CDC-17365</v>
          </cell>
          <cell r="AL1591" t="str">
            <v>CDC17365</v>
          </cell>
        </row>
        <row r="1592">
          <cell r="N1592" t="str">
            <v>B.C.E.S.D.#15 - BULLHEAD CITY ELEMENTARY PRESCHOOL-DIAMONDBACK</v>
          </cell>
          <cell r="O1592" t="str">
            <v>2550 TESOTA WAY</v>
          </cell>
          <cell r="P1592" t="str">
            <v>aburroughs@bullheadschools.com</v>
          </cell>
          <cell r="Q1592" t="str">
            <v>CDC-16784</v>
          </cell>
          <cell r="AJ1592" t="e">
            <v>#N/A</v>
          </cell>
          <cell r="AK1592" t="str">
            <v>CDC-16784</v>
          </cell>
          <cell r="AL1592" t="str">
            <v>CDC16784</v>
          </cell>
        </row>
        <row r="1593">
          <cell r="N1593" t="str">
            <v>B.C.E.S.D.#15 - BULLHEAD ELEMENTARY PRESCHOOL</v>
          </cell>
          <cell r="O1593" t="str">
            <v>1820 LAKESIDE DRIVE</v>
          </cell>
          <cell r="P1593" t="str">
            <v>aburroughs@bullheadschools.com</v>
          </cell>
          <cell r="Q1593" t="str">
            <v>CDC-15954</v>
          </cell>
          <cell r="AJ1593" t="e">
            <v>#N/A</v>
          </cell>
          <cell r="AK1593" t="str">
            <v>CDC-15954</v>
          </cell>
          <cell r="AL1593" t="str">
            <v>CDC15954</v>
          </cell>
        </row>
        <row r="1594">
          <cell r="N1594" t="str">
            <v>B.C.E.S.D.#26 - BEAVER CREEK DEVELOPMENTAL PRESCHOOL &amp; SCHOOL AGE DAYCARE</v>
          </cell>
          <cell r="O1594" t="str">
            <v>4810 EAST BEAVER CREEK ROAD</v>
          </cell>
          <cell r="P1594" t="str">
            <v>kward@bcs.k12.az.us</v>
          </cell>
          <cell r="Q1594" t="str">
            <v>CDC-14751</v>
          </cell>
          <cell r="AJ1594" t="e">
            <v>#N/A</v>
          </cell>
          <cell r="AK1594" t="str">
            <v>CDC-14751</v>
          </cell>
          <cell r="AL1594" t="str">
            <v>CDC14751</v>
          </cell>
        </row>
        <row r="1595">
          <cell r="N1595" t="str">
            <v>B.E.S.D.#26 - BOUSE ELEMENTARY SCHOOL</v>
          </cell>
          <cell r="O1595" t="str">
            <v>44936 JOSHUA DRIVE</v>
          </cell>
          <cell r="P1595" t="str">
            <v>rmcclenning@rocketmail.com</v>
          </cell>
          <cell r="Q1595" t="str">
            <v>CDC-16091</v>
          </cell>
          <cell r="AJ1595" t="e">
            <v>#N/A</v>
          </cell>
          <cell r="AK1595" t="str">
            <v>CDC-16091</v>
          </cell>
          <cell r="AL1595" t="str">
            <v>CDC16091</v>
          </cell>
        </row>
        <row r="1596">
          <cell r="N1596" t="str">
            <v>B.E.S.D.#31 - ORANGEDALE EARLY LEARNING CENTER</v>
          </cell>
          <cell r="O1596" t="str">
            <v>5048 EAST OAK STREET</v>
          </cell>
          <cell r="P1596" t="str">
            <v>kowen-jones@balsz.org</v>
          </cell>
          <cell r="Q1596" t="str">
            <v>CDC-14937</v>
          </cell>
          <cell r="AJ1596" t="e">
            <v>#N/A</v>
          </cell>
          <cell r="AK1596" t="str">
            <v>CDC-14937</v>
          </cell>
          <cell r="AL1596" t="str">
            <v>CDC14937</v>
          </cell>
        </row>
        <row r="1597">
          <cell r="N1597" t="str">
            <v>B.E.S.D.#33 - BUCKEYE ELEMENTARY - PRESCHOOL AT JASINSKI</v>
          </cell>
          <cell r="O1597" t="str">
            <v>4280 SOUTH 246TH AVENUE</v>
          </cell>
          <cell r="P1597" t="str">
            <v>EBoettcher@besd33.org</v>
          </cell>
          <cell r="Q1597" t="str">
            <v>CDC-18030</v>
          </cell>
          <cell r="AJ1597" t="e">
            <v>#N/A</v>
          </cell>
          <cell r="AK1597" t="str">
            <v>CDC-18030</v>
          </cell>
          <cell r="AL1597" t="str">
            <v>CDC18030</v>
          </cell>
        </row>
        <row r="1598">
          <cell r="N1598" t="str">
            <v>B.E.S.D.#33 - BUCKEYE ELEMENTARY SCHOOL DISTRICT PRESCHOOL</v>
          </cell>
          <cell r="O1598" t="str">
            <v>640 WEST CENTRE AVENUE</v>
          </cell>
          <cell r="P1598" t="str">
            <v>eboettcher@bwsd33.org</v>
          </cell>
          <cell r="Q1598" t="str">
            <v>CDC-15514</v>
          </cell>
          <cell r="AJ1598" t="e">
            <v>#N/A</v>
          </cell>
          <cell r="AK1598" t="str">
            <v>CDC-15514</v>
          </cell>
          <cell r="AL1598" t="str">
            <v>CDC15514</v>
          </cell>
        </row>
        <row r="1599">
          <cell r="N1599" t="str">
            <v>B.U.H.S.D.#201 - YOUNGKER HIGH SCHOOL COOP CHILDCARE CENTER</v>
          </cell>
          <cell r="O1599" t="str">
            <v>3000 SOUTH APACHE ROAD</v>
          </cell>
          <cell r="P1599" t="str">
            <v>cassie.kinney@hotmail.com</v>
          </cell>
          <cell r="Q1599" t="str">
            <v>CDC-15919</v>
          </cell>
          <cell r="AJ1599" t="e">
            <v>#N/A</v>
          </cell>
          <cell r="AK1599" t="str">
            <v>CDC-15919</v>
          </cell>
          <cell r="AL1599" t="str">
            <v>CDC15919</v>
          </cell>
        </row>
        <row r="1600">
          <cell r="N1600" t="str">
            <v>B.U.S.D.#20 - BAGDAD SPECIAL NEEDS PRESCHOOL</v>
          </cell>
          <cell r="O1600" t="str">
            <v>200 SULTAN WAY</v>
          </cell>
          <cell r="P1600" t="str">
            <v>haenflerr@bagdadschools.org</v>
          </cell>
          <cell r="Q1600" t="str">
            <v>CDC-18581</v>
          </cell>
          <cell r="AJ1600" t="e">
            <v>#N/A</v>
          </cell>
          <cell r="AK1600" t="str">
            <v>CDC-18581</v>
          </cell>
          <cell r="AL1600" t="str">
            <v>CDC18581</v>
          </cell>
        </row>
        <row r="1601">
          <cell r="N1601" t="str">
            <v>B.U.S.D.#9 - BOBCAT CITIZEN PRESCHOOL</v>
          </cell>
          <cell r="O1601" t="str">
            <v>200 WEST UNION STREET</v>
          </cell>
          <cell r="P1601" t="str">
            <v>jjansson@bensonusd.org</v>
          </cell>
          <cell r="Q1601" t="str">
            <v>CDC-17759</v>
          </cell>
          <cell r="AJ1601" t="e">
            <v>#N/A</v>
          </cell>
          <cell r="AK1601" t="str">
            <v>CDC-17759</v>
          </cell>
          <cell r="AL1601" t="str">
            <v>CDC17759</v>
          </cell>
        </row>
        <row r="1602">
          <cell r="N1602" t="str">
            <v>C.C.U.S.D.#14 - COTTONWOOD PRESCHOOL</v>
          </cell>
          <cell r="O1602" t="str">
            <v>55 NORTH CARLING STREET</v>
          </cell>
          <cell r="P1602" t="str">
            <v>michelle@ccschools.us</v>
          </cell>
          <cell r="Q1602" t="str">
            <v>CDC-18687</v>
          </cell>
          <cell r="AJ1602" t="e">
            <v>#N/A</v>
          </cell>
          <cell r="AK1602" t="str">
            <v>CDC-18687</v>
          </cell>
          <cell r="AL1602" t="str">
            <v>CDC18687</v>
          </cell>
        </row>
        <row r="1603">
          <cell r="N1603" t="str">
            <v>C.C.U.S.D.#93 - BLACK MOUNTAIN ELEMENTARY SCHOOL</v>
          </cell>
          <cell r="O1603" t="str">
            <v>33606 NORTH 60TH STREET</v>
          </cell>
          <cell r="P1603" t="str">
            <v>eking@ccusd93.org</v>
          </cell>
          <cell r="Q1603" t="str">
            <v>CDC-12761</v>
          </cell>
          <cell r="AJ1603" t="e">
            <v>#N/A</v>
          </cell>
          <cell r="AK1603" t="str">
            <v>CDC-12761</v>
          </cell>
          <cell r="AL1603" t="str">
            <v>CDC12761</v>
          </cell>
        </row>
        <row r="1604">
          <cell r="N1604" t="str">
            <v>C.C.U.S.D.#93 - DESERT SUN ACADEMY</v>
          </cell>
          <cell r="O1604" t="str">
            <v>27880 NORTH 64TH STREET</v>
          </cell>
          <cell r="P1604" t="str">
            <v>arlehr@ccusd93.org</v>
          </cell>
          <cell r="Q1604" t="str">
            <v>CDC-18361</v>
          </cell>
          <cell r="AJ1604" t="e">
            <v>#N/A</v>
          </cell>
          <cell r="AK1604" t="str">
            <v>CDC-18361</v>
          </cell>
          <cell r="AL1604" t="str">
            <v>CDC18361</v>
          </cell>
        </row>
        <row r="1605">
          <cell r="N1605" t="str">
            <v>C.C.U.S.D.#93 - DESERT SUN ELEMENTARY SCHOOL</v>
          </cell>
          <cell r="O1605" t="str">
            <v>27880 NORTH 64TH STREET</v>
          </cell>
          <cell r="P1605" t="str">
            <v>tking@ccusd93.org</v>
          </cell>
          <cell r="Q1605" t="str">
            <v>CDC-8430</v>
          </cell>
          <cell r="AJ1605" t="e">
            <v>#N/A</v>
          </cell>
          <cell r="AK1605" t="str">
            <v>CDC-8430</v>
          </cell>
          <cell r="AL1605" t="str">
            <v>CDC8430</v>
          </cell>
        </row>
        <row r="1606">
          <cell r="N1606" t="str">
            <v>C.C.U.S.D.#93 - DESERT WILLOW ELEMENTARY</v>
          </cell>
          <cell r="O1606" t="str">
            <v>4322 EAST DESERT WILLOW PKWY</v>
          </cell>
          <cell r="P1606" t="str">
            <v>tking@ccusdaz.org</v>
          </cell>
          <cell r="Q1606" t="str">
            <v>CDC-8429</v>
          </cell>
          <cell r="AJ1606" t="e">
            <v>#N/A</v>
          </cell>
          <cell r="AK1606" t="str">
            <v>CDC-8429</v>
          </cell>
          <cell r="AL1606" t="str">
            <v>CDC8429</v>
          </cell>
        </row>
        <row r="1607">
          <cell r="N1607" t="str">
            <v>C.C.U.S.D.#93 - HORSESHOE TRAILS ELEMENTARY</v>
          </cell>
          <cell r="O1607" t="str">
            <v>5405 EAST PINNACLE VISTA DR</v>
          </cell>
          <cell r="P1607" t="str">
            <v>tking@ccusd93.org</v>
          </cell>
          <cell r="Q1607" t="str">
            <v>CDC-12003</v>
          </cell>
          <cell r="AJ1607" t="e">
            <v>#N/A</v>
          </cell>
          <cell r="AK1607" t="str">
            <v>CDC-12003</v>
          </cell>
          <cell r="AL1607" t="str">
            <v>CDC12003</v>
          </cell>
        </row>
        <row r="1608">
          <cell r="N1608" t="str">
            <v>C.C.U.S.D.#93 - LONE MOUNTAIN ELEMENTARY SCHOOL</v>
          </cell>
          <cell r="O1608" t="str">
            <v>5250 EAST MONTGOMERY ROAD</v>
          </cell>
          <cell r="P1608" t="str">
            <v>tking@ccusd93.org</v>
          </cell>
          <cell r="Q1608" t="str">
            <v>CDC-9954</v>
          </cell>
          <cell r="AJ1608" t="e">
            <v>#N/A</v>
          </cell>
          <cell r="AK1608" t="str">
            <v>CDC-9954</v>
          </cell>
          <cell r="AL1608" t="str">
            <v>CDC9954</v>
          </cell>
        </row>
        <row r="1609">
          <cell r="N1609" t="str">
            <v>C.E.S.D.#14 - GATEWAY SCHOOL</v>
          </cell>
          <cell r="O1609" t="str">
            <v>1100 NORTH 35TH STREET</v>
          </cell>
          <cell r="P1609" t="str">
            <v>khartsuff@creightonschools.org</v>
          </cell>
          <cell r="Q1609" t="str">
            <v>CDC-18311</v>
          </cell>
          <cell r="AJ1609" t="e">
            <v>#N/A</v>
          </cell>
          <cell r="AK1609" t="str">
            <v>CDC-18311</v>
          </cell>
          <cell r="AL1609" t="str">
            <v>CDC18311</v>
          </cell>
        </row>
        <row r="1610">
          <cell r="N1610" t="str">
            <v>C.E.S.D.#14 - LARRY C. KENNEDY</v>
          </cell>
          <cell r="O1610" t="str">
            <v>2702 EAST OSBORN ROAD</v>
          </cell>
          <cell r="P1610" t="str">
            <v>khartsuff@creightonschools.org</v>
          </cell>
          <cell r="Q1610" t="str">
            <v>CDC-18310</v>
          </cell>
          <cell r="AJ1610" t="e">
            <v>#N/A</v>
          </cell>
          <cell r="AK1610" t="str">
            <v>CDC-18310</v>
          </cell>
          <cell r="AL1610" t="str">
            <v>CDC18310</v>
          </cell>
        </row>
        <row r="1611">
          <cell r="N1611" t="str">
            <v>C.E.S.D.#14 - LOMA LINDA SCHOOL</v>
          </cell>
          <cell r="O1611" t="str">
            <v>2002 EAST CLARENDON</v>
          </cell>
          <cell r="P1611" t="str">
            <v>khartsuff@creightonschools.org</v>
          </cell>
          <cell r="Q1611" t="str">
            <v>CDC-18312</v>
          </cell>
          <cell r="AJ1611" t="e">
            <v>#N/A</v>
          </cell>
          <cell r="AK1611" t="str">
            <v>CDC-18312</v>
          </cell>
          <cell r="AL1611" t="str">
            <v>CDC18312</v>
          </cell>
        </row>
        <row r="1612">
          <cell r="N1612" t="str">
            <v>C.E.S.D.#14 - PAPAGO SCHOOL</v>
          </cell>
          <cell r="O1612" t="str">
            <v>2013 NORTH 36TH STREET</v>
          </cell>
          <cell r="P1612" t="str">
            <v>khartsuff@creightonschools.org</v>
          </cell>
          <cell r="Q1612" t="str">
            <v>CDC-18313</v>
          </cell>
          <cell r="AJ1612" t="e">
            <v>#N/A</v>
          </cell>
          <cell r="AK1612" t="str">
            <v>CDC-18313</v>
          </cell>
          <cell r="AL1612" t="str">
            <v>CDC18313</v>
          </cell>
        </row>
        <row r="1613">
          <cell r="N1613" t="str">
            <v>C.E.S.D.#14 - WILLIAM T. MACHAN SCHOOL</v>
          </cell>
          <cell r="O1613" t="str">
            <v>2140 EAST VIRGINIA AVENUE</v>
          </cell>
          <cell r="P1613" t="str">
            <v>jfrost@creightonschools.org</v>
          </cell>
          <cell r="Q1613" t="str">
            <v>CDC-18149</v>
          </cell>
          <cell r="AJ1613" t="e">
            <v>#N/A</v>
          </cell>
          <cell r="AK1613" t="str">
            <v>CDC-18149</v>
          </cell>
          <cell r="AL1613" t="str">
            <v>CDC18149</v>
          </cell>
        </row>
        <row r="1614">
          <cell r="N1614" t="str">
            <v>C.E.S.D.#6 - CONCHO ELEMENTARY SCHOOL</v>
          </cell>
          <cell r="O1614" t="str">
            <v>HIGHWAY 61 AND CINDER RD</v>
          </cell>
          <cell r="P1614" t="str">
            <v>bbell@concho.k12.az.us</v>
          </cell>
          <cell r="Q1614" t="str">
            <v>CDC-6586</v>
          </cell>
          <cell r="AJ1614" t="e">
            <v>#N/A</v>
          </cell>
          <cell r="AK1614" t="str">
            <v>CDC-6586</v>
          </cell>
          <cell r="AL1614" t="str">
            <v>CDC6586</v>
          </cell>
        </row>
        <row r="1615">
          <cell r="N1615" t="str">
            <v>C.E.S.D.#83 - BYRON A. BARRY ECSE</v>
          </cell>
          <cell r="O1615" t="str">
            <v>2533 NORTH 60TH AVENUE</v>
          </cell>
          <cell r="P1615" t="str">
            <v>rosalinda.duron@csd83.org</v>
          </cell>
          <cell r="Q1615" t="str">
            <v>CDC-18226</v>
          </cell>
          <cell r="AJ1615" t="e">
            <v>#N/A</v>
          </cell>
          <cell r="AK1615" t="str">
            <v>CDC-18226</v>
          </cell>
          <cell r="AL1615" t="str">
            <v>CDC18226</v>
          </cell>
        </row>
        <row r="1616">
          <cell r="N1616" t="str">
            <v>C.E.S.D.#83 - CARTWRIGHT EARLY CHILDHOOD CENTER</v>
          </cell>
          <cell r="O1616" t="str">
            <v>5480 WEST CAMPBELL AVENUE</v>
          </cell>
          <cell r="Q1616" t="str">
            <v>CDC-17662</v>
          </cell>
          <cell r="AJ1616" t="e">
            <v>#N/A</v>
          </cell>
          <cell r="AK1616" t="str">
            <v>CDC-17662</v>
          </cell>
          <cell r="AL1616" t="str">
            <v>CDC17662</v>
          </cell>
        </row>
        <row r="1617">
          <cell r="N1617" t="str">
            <v>C.E.S.D.#83 - CARTWRIGHT EMPLOYEE DAYCARE</v>
          </cell>
          <cell r="O1617" t="str">
            <v>3818 NORTH 67TH AVENUE</v>
          </cell>
          <cell r="P1617" t="str">
            <v>kristie.Scharer@csd83.org</v>
          </cell>
          <cell r="Q1617" t="str">
            <v>CDC-18641</v>
          </cell>
          <cell r="AJ1617" t="e">
            <v>#N/A</v>
          </cell>
          <cell r="AK1617" t="str">
            <v>CDC-18641</v>
          </cell>
          <cell r="AL1617" t="str">
            <v>CDC18641</v>
          </cell>
        </row>
        <row r="1618">
          <cell r="N1618" t="str">
            <v>C.F.S.D.#16 - CATALINA FOOTHILLS VALLEY VIEW EARLY LEARNING CENTER</v>
          </cell>
          <cell r="O1618" t="str">
            <v>3435 EAST SUNRISE DR</v>
          </cell>
          <cell r="P1618" t="str">
            <v>mbrevaire@cfsd16.org</v>
          </cell>
          <cell r="Q1618" t="str">
            <v>CDC-14238</v>
          </cell>
          <cell r="AJ1618" t="e">
            <v>#N/A</v>
          </cell>
          <cell r="AK1618" t="str">
            <v>CDC-14238</v>
          </cell>
          <cell r="AL1618" t="str">
            <v>CDC14238</v>
          </cell>
        </row>
        <row r="1619">
          <cell r="N1619" t="str">
            <v>C.G.E.S.D.#4 - CHOLLA PRE - K PROGRAMS</v>
          </cell>
          <cell r="O1619" t="str">
            <v>1180 EAST KORTSEN ROAD</v>
          </cell>
          <cell r="P1619" t="str">
            <v>azure.sullivan@cgesd.org</v>
          </cell>
          <cell r="Q1619" t="str">
            <v>CDC-18536</v>
          </cell>
          <cell r="AJ1619" t="e">
            <v>#N/A</v>
          </cell>
          <cell r="AK1619" t="str">
            <v>CDC-18536</v>
          </cell>
          <cell r="AL1619" t="str">
            <v>CDC18536</v>
          </cell>
        </row>
        <row r="1620">
          <cell r="N1620" t="str">
            <v>C.G.E.S.D.#4 - EVERGREEN PRE - K PROGRAM</v>
          </cell>
          <cell r="O1620" t="str">
            <v>1000 NORTH AMARILLO STREET</v>
          </cell>
          <cell r="P1620" t="str">
            <v>Scott.raymond@cdesd.org</v>
          </cell>
          <cell r="Q1620" t="str">
            <v>CDC-18535</v>
          </cell>
          <cell r="AJ1620" t="e">
            <v>#N/A</v>
          </cell>
          <cell r="AK1620" t="str">
            <v>CDC-18535</v>
          </cell>
          <cell r="AL1620" t="str">
            <v>CDC18535</v>
          </cell>
        </row>
        <row r="1621">
          <cell r="N1621" t="str">
            <v>C.G.E.S.D.#4 - VILLAGO EARLY CHILDHOOD LEARNING CENTER</v>
          </cell>
          <cell r="O1621" t="str">
            <v>390 EAST LAKESIDE PARKWAY</v>
          </cell>
          <cell r="P1621" t="str">
            <v>lisa.dempsey@cgesd.org</v>
          </cell>
          <cell r="Q1621" t="str">
            <v>CDC-15678</v>
          </cell>
          <cell r="AJ1621" t="e">
            <v>#N/A</v>
          </cell>
          <cell r="AK1621" t="str">
            <v>CDC-15678</v>
          </cell>
          <cell r="AL1621" t="str">
            <v>CDC15678</v>
          </cell>
        </row>
        <row r="1622">
          <cell r="N1622" t="str">
            <v>C.G.U.H.S.D.#82 - COUGAR CLUB PRESCHOOL</v>
          </cell>
          <cell r="O1622" t="str">
            <v>2730 NORTH TREKELL ROAD</v>
          </cell>
          <cell r="P1622" t="str">
            <v>Ksweeney@Cguhsd.org</v>
          </cell>
          <cell r="Q1622" t="str">
            <v>CDC-16760</v>
          </cell>
          <cell r="AJ1622" t="e">
            <v>#N/A</v>
          </cell>
          <cell r="AK1622" t="str">
            <v>CDC-16760</v>
          </cell>
          <cell r="AL1622" t="str">
            <v>CDC16760</v>
          </cell>
        </row>
        <row r="1623">
          <cell r="N1623" t="str">
            <v>C.G.U.H.S.D.#82 - SPARTAN SPARKIES PRESCHOOL</v>
          </cell>
          <cell r="O1623" t="str">
            <v>1556 NORTH ARIZOLA ROAD</v>
          </cell>
          <cell r="P1623" t="str">
            <v>bharvey@cguhsd.org</v>
          </cell>
          <cell r="Q1623" t="str">
            <v>CDC-15744</v>
          </cell>
          <cell r="AJ1623" t="e">
            <v>#N/A</v>
          </cell>
          <cell r="AK1623" t="str">
            <v>CDC-15744</v>
          </cell>
          <cell r="AL1623" t="str">
            <v>CDC15744</v>
          </cell>
        </row>
        <row r="1624">
          <cell r="N1624" t="str">
            <v>C.O.C.S.D.#6 - CASPER - OAK CREEK SCHOOL</v>
          </cell>
          <cell r="O1624" t="str">
            <v>11490 PURPLE SAGE ROAD</v>
          </cell>
          <cell r="P1624" t="str">
            <v>drodriguez@cocsd.k12.az.us</v>
          </cell>
          <cell r="Q1624" t="str">
            <v>CDC-6087</v>
          </cell>
          <cell r="AJ1624" t="e">
            <v>#N/A</v>
          </cell>
          <cell r="AK1624" t="str">
            <v>CDC-6087</v>
          </cell>
          <cell r="AL1624" t="str">
            <v>CDC6087</v>
          </cell>
        </row>
        <row r="1625">
          <cell r="N1625" t="str">
            <v>C.O.C.S.D.#6 - COTTONWOOD ELEMENTARY SCHOOL</v>
          </cell>
          <cell r="O1625" t="str">
            <v>301 NORTH WILLARD STREET</v>
          </cell>
          <cell r="P1625" t="str">
            <v>dsnyder@cocsd.k12.az.us</v>
          </cell>
          <cell r="Q1625" t="str">
            <v>CDC-18234</v>
          </cell>
          <cell r="AJ1625" t="e">
            <v>#N/A</v>
          </cell>
          <cell r="AK1625" t="str">
            <v>CDC-18234</v>
          </cell>
          <cell r="AL1625" t="str">
            <v>CDC18234</v>
          </cell>
        </row>
        <row r="1626">
          <cell r="N1626" t="str">
            <v>C.R.U.H.S.D.#2 - TINY-T-BIRDS (MOHAVE HIGH SCHOOL)</v>
          </cell>
          <cell r="O1626" t="str">
            <v>2251 HIGHWAY 95</v>
          </cell>
          <cell r="P1626" t="str">
            <v>mleyendecker@cruhsd.org</v>
          </cell>
          <cell r="Q1626" t="str">
            <v>CDC-6226</v>
          </cell>
          <cell r="AJ1626" t="e">
            <v>#N/A</v>
          </cell>
          <cell r="AK1626" t="str">
            <v>CDC-6226</v>
          </cell>
          <cell r="AL1626" t="str">
            <v>CDC6226</v>
          </cell>
        </row>
        <row r="1627">
          <cell r="N1627" t="str">
            <v>C.S.D.#13 - GREAT BEGINNINGS PRESCHOOL @ VALLEY HORIZON</v>
          </cell>
          <cell r="O1627" t="str">
            <v>4501 WEST 20TH STREET</v>
          </cell>
          <cell r="P1627" t="str">
            <v>MFORD@CRANESCHOOLS.ORG</v>
          </cell>
          <cell r="Q1627" t="str">
            <v>CDC-18897</v>
          </cell>
          <cell r="AJ1627" t="e">
            <v>#N/A</v>
          </cell>
          <cell r="AK1627" t="str">
            <v>CDC-18897</v>
          </cell>
          <cell r="AL1627" t="str">
            <v>CDC18897</v>
          </cell>
        </row>
        <row r="1628">
          <cell r="N1628" t="str">
            <v>C.S.D.#13 - SMART START ACADEMY @ H.L.SUVERKRUP</v>
          </cell>
          <cell r="O1628" t="str">
            <v>1590 AVENUE C</v>
          </cell>
          <cell r="P1628" t="str">
            <v>MFORD@CRANESCHOOLS.ORG</v>
          </cell>
          <cell r="Q1628" t="str">
            <v>CDC-18896</v>
          </cell>
          <cell r="AJ1628" t="e">
            <v>#N/A</v>
          </cell>
          <cell r="AK1628" t="str">
            <v>CDC-18896</v>
          </cell>
          <cell r="AL1628" t="str">
            <v>CDC18896</v>
          </cell>
        </row>
        <row r="1629">
          <cell r="N1629" t="str">
            <v>C.S.D.#13 - SMART START ACADEMY @ RONALD REGAN ELEMENTARY</v>
          </cell>
          <cell r="O1629" t="str">
            <v>3200 WEST 16TH STREET</v>
          </cell>
          <cell r="P1629" t="str">
            <v>MFORD@CRANESCHOOLS.ORG</v>
          </cell>
          <cell r="Q1629" t="str">
            <v>CDC-18898</v>
          </cell>
          <cell r="AJ1629" t="e">
            <v>#N/A</v>
          </cell>
          <cell r="AK1629" t="str">
            <v>CDC-18898</v>
          </cell>
          <cell r="AL1629" t="str">
            <v>CDC18898</v>
          </cell>
        </row>
        <row r="1630">
          <cell r="N1630" t="str">
            <v>C.S.D.#13 - SMART START ACADEMY AT GARY A. KNOX</v>
          </cell>
          <cell r="O1630" t="str">
            <v>2926 SOUTH 21ST DRIVE</v>
          </cell>
          <cell r="P1630" t="str">
            <v>mford@craneschools.org</v>
          </cell>
          <cell r="Q1630" t="str">
            <v>CDC-18468</v>
          </cell>
          <cell r="AJ1630" t="e">
            <v>#N/A</v>
          </cell>
          <cell r="AK1630" t="str">
            <v>CDC-18468</v>
          </cell>
          <cell r="AL1630" t="str">
            <v>CDC18468</v>
          </cell>
        </row>
        <row r="1631">
          <cell r="N1631" t="str">
            <v>C.S.D.#13 - SMART START ACADEMY AT PUEBLO</v>
          </cell>
          <cell r="O1631" t="str">
            <v>2803 WEST 20TH STREET</v>
          </cell>
          <cell r="P1631" t="str">
            <v>RHENRY@CRANESCHOOLS.ORG</v>
          </cell>
          <cell r="Q1631" t="str">
            <v>CDC-18308</v>
          </cell>
          <cell r="AJ1631" t="e">
            <v>#N/A</v>
          </cell>
          <cell r="AK1631" t="str">
            <v>CDC-18308</v>
          </cell>
          <cell r="AL1631" t="str">
            <v>CDC18308</v>
          </cell>
        </row>
        <row r="1632">
          <cell r="N1632" t="str">
            <v>C.S.D.#13 - SMART START ACADEMY AT SALIDA DEL SOL</v>
          </cell>
          <cell r="O1632" t="str">
            <v>910 SOUTH AVENUE C</v>
          </cell>
          <cell r="P1632" t="str">
            <v>MFORD@CRANESCHOOLS.ORG</v>
          </cell>
          <cell r="Q1632" t="str">
            <v>CDC-18295</v>
          </cell>
          <cell r="AJ1632" t="e">
            <v>#N/A</v>
          </cell>
          <cell r="AK1632" t="str">
            <v>CDC-18295</v>
          </cell>
          <cell r="AL1632" t="str">
            <v>CDC18295</v>
          </cell>
        </row>
        <row r="1633">
          <cell r="N1633" t="str">
            <v>C.S.D.#39 - CONTINENTAL SCHOOL DISTRICT #39</v>
          </cell>
          <cell r="O1633" t="str">
            <v>1991 WHITEHOUSE CANYON RD</v>
          </cell>
          <cell r="P1633" t="str">
            <v>jlichtsinn@csd39.org</v>
          </cell>
          <cell r="Q1633" t="str">
            <v>CDC-8433</v>
          </cell>
          <cell r="AJ1633" t="e">
            <v>#N/A</v>
          </cell>
          <cell r="AK1633" t="str">
            <v>CDC-8433</v>
          </cell>
          <cell r="AL1633" t="str">
            <v>CDC8433</v>
          </cell>
        </row>
        <row r="1634">
          <cell r="N1634" t="str">
            <v>C.U.S.D.#21 - C H S MINI BEARS CLUB</v>
          </cell>
          <cell r="O1634" t="str">
            <v>684 WEST NORTHERN AVENUE, RM 308</v>
          </cell>
          <cell r="P1634" t="str">
            <v>danielle.tucker@coolidgeschools.org</v>
          </cell>
          <cell r="Q1634" t="str">
            <v>CDC-11568</v>
          </cell>
          <cell r="AJ1634" t="e">
            <v>#N/A</v>
          </cell>
          <cell r="AK1634" t="str">
            <v>CDC-11568</v>
          </cell>
          <cell r="AL1634" t="str">
            <v>CDC11568</v>
          </cell>
        </row>
        <row r="1635">
          <cell r="N1635" t="str">
            <v>C.U.S.D.#24 - CANYON DE CHELLY</v>
          </cell>
          <cell r="O1635" t="str">
            <v>HWY 191</v>
          </cell>
          <cell r="P1635" t="str">
            <v>jmdowse@chinleusd.k12.az.us</v>
          </cell>
          <cell r="Q1635" t="str">
            <v>CDC-17786</v>
          </cell>
          <cell r="AJ1635" t="e">
            <v>#N/A</v>
          </cell>
          <cell r="AK1635" t="str">
            <v>CDC-17786</v>
          </cell>
          <cell r="AL1635" t="str">
            <v>CDC17786</v>
          </cell>
        </row>
        <row r="1636">
          <cell r="N1636" t="str">
            <v>C.U.S.D.#24 - CHINLE ELEMENTARY SCHOOL PRE SCHOOL</v>
          </cell>
          <cell r="O1636" t="str">
            <v>US HIGHWAY 191 NAVAJO ROUTE 7</v>
          </cell>
          <cell r="P1636" t="str">
            <v>CTScott@chinleusd.k12.az.us</v>
          </cell>
          <cell r="Q1636" t="str">
            <v>CDC-16351</v>
          </cell>
          <cell r="AJ1636" t="e">
            <v>#N/A</v>
          </cell>
          <cell r="AK1636" t="str">
            <v>CDC-16351</v>
          </cell>
          <cell r="AL1636" t="str">
            <v>CDC16351</v>
          </cell>
        </row>
        <row r="1637">
          <cell r="N1637" t="str">
            <v>C.U.S.D.#24 - MANY FARMS ELEMENTARY SCHOOL</v>
          </cell>
          <cell r="O1637" t="str">
            <v>HWY 191</v>
          </cell>
          <cell r="P1637" t="str">
            <v>sdorden@chinle.usd.k12.az.us</v>
          </cell>
          <cell r="Q1637" t="str">
            <v>CDC-17000</v>
          </cell>
          <cell r="AJ1637" t="e">
            <v>#N/A</v>
          </cell>
          <cell r="AK1637" t="str">
            <v>CDC-17000</v>
          </cell>
          <cell r="AL1637" t="str">
            <v>CDC17000</v>
          </cell>
        </row>
        <row r="1638">
          <cell r="N1638" t="str">
            <v>C.U.S.D.#24 - TSAILE PUBLIC SCHOOL</v>
          </cell>
          <cell r="O1638" t="str">
            <v>HWY 12</v>
          </cell>
          <cell r="P1638" t="str">
            <v>bbolen@chileusd.k12.az.us</v>
          </cell>
          <cell r="Q1638" t="str">
            <v>CDC-17001</v>
          </cell>
          <cell r="AJ1638" t="e">
            <v>#N/A</v>
          </cell>
          <cell r="AK1638" t="str">
            <v>CDC-17001</v>
          </cell>
          <cell r="AL1638" t="str">
            <v>CDC17001</v>
          </cell>
        </row>
        <row r="1639">
          <cell r="N1639" t="str">
            <v>C.U.S.D.#80 - ANDERSEN ELEMENTARY - SCHOOL-AGE &amp; PRESCHOOL</v>
          </cell>
          <cell r="O1639" t="str">
            <v>1350 NORTH PENNINGTON DRIVE</v>
          </cell>
          <cell r="P1639" t="str">
            <v>kleinholz.kim@cusd80.com</v>
          </cell>
          <cell r="Q1639" t="str">
            <v>CDC-12103</v>
          </cell>
          <cell r="AJ1639" t="e">
            <v>#N/A</v>
          </cell>
          <cell r="AK1639" t="str">
            <v>CDC-12103</v>
          </cell>
          <cell r="AL1639" t="str">
            <v>CDC12103</v>
          </cell>
        </row>
        <row r="1640">
          <cell r="N1640" t="str">
            <v>C.U.S.D.#80 - AUXIER ELEMENTARY - SCHOOL-AGE/PRESCHOOL</v>
          </cell>
          <cell r="O1640" t="str">
            <v>22700 SOUTH POWER ROAD</v>
          </cell>
          <cell r="P1640" t="str">
            <v>kleinholz.kim@cusd80.com</v>
          </cell>
          <cell r="Q1640" t="str">
            <v>CDC-17295</v>
          </cell>
          <cell r="AJ1640" t="e">
            <v>#N/A</v>
          </cell>
          <cell r="AK1640" t="str">
            <v>CDC-17295</v>
          </cell>
          <cell r="AL1640" t="str">
            <v>CDC17295</v>
          </cell>
        </row>
        <row r="1641">
          <cell r="N1641" t="str">
            <v>C.U.S.D.#80 - BASHA ELEMENTARY - SCHOOL-AGE</v>
          </cell>
          <cell r="O1641" t="str">
            <v>3535 SOUTH BASHA ROAD</v>
          </cell>
          <cell r="P1641" t="str">
            <v>kleinholz.kim@cusd80.com</v>
          </cell>
          <cell r="Q1641" t="str">
            <v>CDC-8974</v>
          </cell>
          <cell r="AJ1641" t="e">
            <v>#N/A</v>
          </cell>
          <cell r="AK1641" t="str">
            <v>CDC-8974</v>
          </cell>
          <cell r="AL1641" t="str">
            <v>CDC8974</v>
          </cell>
        </row>
        <row r="1642">
          <cell r="N1642" t="str">
            <v>C.U.S.D.#80 - BASHA HIGH SCHOOL LIL' EXPLORERS</v>
          </cell>
          <cell r="O1642" t="str">
            <v>5990 SOUTH VAL VISTA DRIVE</v>
          </cell>
          <cell r="P1642" t="str">
            <v>vorpahl.lisa@cusd80.com</v>
          </cell>
          <cell r="Q1642" t="str">
            <v>CDC-10861</v>
          </cell>
          <cell r="AJ1642" t="e">
            <v>#N/A</v>
          </cell>
          <cell r="AK1642" t="str">
            <v>CDC-10861</v>
          </cell>
          <cell r="AL1642" t="str">
            <v>CDC10861</v>
          </cell>
        </row>
        <row r="1643">
          <cell r="N1643" t="str">
            <v>C.U.S.D.#80 - BOLOGNA ELEMENTARY - SCHOOL-AGE/PRESCHOOL</v>
          </cell>
          <cell r="O1643" t="str">
            <v>1625 EAST FRYE ROAD</v>
          </cell>
          <cell r="P1643" t="str">
            <v>kleinholz.kim@cusd80.com</v>
          </cell>
          <cell r="Q1643" t="str">
            <v>CDC-13528</v>
          </cell>
          <cell r="AJ1643" t="e">
            <v>#N/A</v>
          </cell>
          <cell r="AK1643" t="str">
            <v>CDC-13528</v>
          </cell>
          <cell r="AL1643" t="str">
            <v>CDC13528</v>
          </cell>
        </row>
        <row r="1644">
          <cell r="N1644" t="str">
            <v>C.U.S.D.#80 - C.T.A. FREEDOM ELEMENTARY - SCHOOL-AGE/ PRESCHOOL</v>
          </cell>
          <cell r="O1644" t="str">
            <v>6040 SOUTH JOSLYN LANE</v>
          </cell>
          <cell r="P1644" t="str">
            <v>kleinholz.kim@cusd80.com</v>
          </cell>
          <cell r="Q1644" t="str">
            <v>CDC-12101</v>
          </cell>
          <cell r="AJ1644" t="e">
            <v>#N/A</v>
          </cell>
          <cell r="AK1644" t="str">
            <v>CDC-12101</v>
          </cell>
          <cell r="AL1644" t="str">
            <v>CDC12101</v>
          </cell>
        </row>
        <row r="1645">
          <cell r="N1645" t="str">
            <v>C.U.S.D.#80 - C.T.A. GOODMAN ELEMENTARY - SCHOOL-AGE</v>
          </cell>
          <cell r="O1645" t="str">
            <v>2600 WEST KNOX ROAD</v>
          </cell>
          <cell r="P1645" t="str">
            <v>kleinholz.kim@cusd80.com</v>
          </cell>
          <cell r="Q1645" t="str">
            <v>CDC-12752</v>
          </cell>
          <cell r="AJ1645" t="e">
            <v>#N/A</v>
          </cell>
          <cell r="AK1645" t="str">
            <v>CDC-12752</v>
          </cell>
          <cell r="AL1645" t="str">
            <v>CDC12752</v>
          </cell>
        </row>
        <row r="1646">
          <cell r="N1646" t="str">
            <v>C.U.S.D.#80 - C.T.A. HUMPHREY ELEMENTARY - SCHOOL-AGE</v>
          </cell>
          <cell r="O1646" t="str">
            <v>125 SOUTH 132ND STREET</v>
          </cell>
          <cell r="P1646" t="str">
            <v>kleinholz.kim@cusd80.com</v>
          </cell>
          <cell r="Q1646" t="str">
            <v>CDC-13522</v>
          </cell>
          <cell r="AJ1646" t="e">
            <v>#N/A</v>
          </cell>
          <cell r="AK1646" t="str">
            <v>CDC-13522</v>
          </cell>
          <cell r="AL1646" t="str">
            <v>CDC13522</v>
          </cell>
        </row>
        <row r="1647">
          <cell r="N1647" t="str">
            <v>C.U.S.D.#80 - C.T.A. INDEPENDENCE ELEMENTARY - SCHOOL-AGE</v>
          </cell>
          <cell r="O1647" t="str">
            <v>1405 WEST LAKE DRIVE</v>
          </cell>
          <cell r="P1647" t="str">
            <v>kleinholz.kim@cusd80.com</v>
          </cell>
          <cell r="Q1647" t="str">
            <v>CDC-12753</v>
          </cell>
          <cell r="AJ1647" t="e">
            <v>#N/A</v>
          </cell>
          <cell r="AK1647" t="str">
            <v>CDC-12753</v>
          </cell>
          <cell r="AL1647" t="str">
            <v>CDC12753</v>
          </cell>
        </row>
        <row r="1648">
          <cell r="N1648" t="str">
            <v>C.U.S.D.#80 - C.T.A. LIBERTY ELEMENTARY - SCHOOL-AGE</v>
          </cell>
          <cell r="O1648" t="str">
            <v>550 NORTH EMMETT DRIVE</v>
          </cell>
          <cell r="P1648" t="str">
            <v>kleinholtz.kim@cusd80.com</v>
          </cell>
          <cell r="Q1648" t="str">
            <v>CDC-10421</v>
          </cell>
          <cell r="AJ1648" t="e">
            <v>#N/A</v>
          </cell>
          <cell r="AK1648" t="str">
            <v>CDC-10421</v>
          </cell>
          <cell r="AL1648" t="str">
            <v>CDC10421</v>
          </cell>
        </row>
        <row r="1649">
          <cell r="N1649" t="str">
            <v>C.U.S.D.#80 - CARLSON ELEMENTARY - SCHOOL-AGE</v>
          </cell>
          <cell r="O1649" t="str">
            <v>5400 SOUTH WHITE DRIVE</v>
          </cell>
          <cell r="P1649" t="str">
            <v>kleinholz.kim@cusd80.com</v>
          </cell>
          <cell r="Q1649" t="str">
            <v>CDC-16256</v>
          </cell>
          <cell r="AJ1649" t="e">
            <v>#N/A</v>
          </cell>
          <cell r="AK1649" t="str">
            <v>CDC-16256</v>
          </cell>
          <cell r="AL1649" t="str">
            <v>CDC16256</v>
          </cell>
        </row>
        <row r="1650">
          <cell r="N1650" t="str">
            <v>C.U.S.D.#80 - CHANDLER HIGH SCHOOL LIL' EXPLORERS</v>
          </cell>
          <cell r="O1650" t="str">
            <v>350 NORTH ARIZONA  AVENUE</v>
          </cell>
          <cell r="P1650" t="str">
            <v>kleinholz.kim@cusd80.com</v>
          </cell>
          <cell r="Q1650" t="str">
            <v>CDC-14922</v>
          </cell>
          <cell r="AJ1650" t="e">
            <v>#N/A</v>
          </cell>
          <cell r="AK1650" t="str">
            <v>CDC-14922</v>
          </cell>
          <cell r="AL1650" t="str">
            <v>CDC14922</v>
          </cell>
        </row>
        <row r="1651">
          <cell r="N1651" t="str">
            <v>C.U.S.D.#80 - CONLEY  ELEMENTARY - SCHOOL-AGE/PRESCHOOL</v>
          </cell>
          <cell r="O1651" t="str">
            <v>500 SOUTH ARROWHEAD DRIVE</v>
          </cell>
          <cell r="P1651" t="str">
            <v>kleinholz.kim@cusd80.com</v>
          </cell>
          <cell r="Q1651" t="str">
            <v>CDC-13531</v>
          </cell>
          <cell r="AJ1651" t="e">
            <v>#N/A</v>
          </cell>
          <cell r="AK1651" t="str">
            <v>CDC-13531</v>
          </cell>
          <cell r="AL1651" t="str">
            <v>CDC13531</v>
          </cell>
        </row>
        <row r="1652">
          <cell r="N1652" t="str">
            <v>C.U.S.D.#80 - FRYE ELEMENTARY - SCHOOL-AGE/PRESCHOOL</v>
          </cell>
          <cell r="O1652" t="str">
            <v>801 EAST FRYE ROAD</v>
          </cell>
          <cell r="P1652" t="str">
            <v>kleinholz.kim@cusd80.com</v>
          </cell>
          <cell r="Q1652" t="str">
            <v>CDC-13525</v>
          </cell>
          <cell r="AJ1652" t="e">
            <v>#N/A</v>
          </cell>
          <cell r="AK1652" t="str">
            <v>CDC-13525</v>
          </cell>
          <cell r="AL1652" t="str">
            <v>CDC13525</v>
          </cell>
        </row>
        <row r="1653">
          <cell r="N1653" t="str">
            <v>C.U.S.D.#80 - FULTON ELEMENTARY - SCHOOL-AGE</v>
          </cell>
          <cell r="O1653" t="str">
            <v>4750 SOUTH SUNLAND DRIVE</v>
          </cell>
          <cell r="P1653" t="str">
            <v>kleinholz.kim@cusd80.com</v>
          </cell>
          <cell r="Q1653" t="str">
            <v>CDC-13529</v>
          </cell>
          <cell r="AJ1653" t="e">
            <v>#N/A</v>
          </cell>
          <cell r="AK1653" t="str">
            <v>CDC-13529</v>
          </cell>
          <cell r="AL1653" t="str">
            <v>CDC13529</v>
          </cell>
        </row>
        <row r="1654">
          <cell r="N1654" t="str">
            <v>C.U.S.D.#80 - GALVESTON ELEMENTARY - PRESCHOOL</v>
          </cell>
          <cell r="O1654" t="str">
            <v>661 EAST GALVESTON STREET</v>
          </cell>
          <cell r="P1654" t="str">
            <v>kleinholz.kim@cusd80.com</v>
          </cell>
          <cell r="Q1654" t="str">
            <v>CDC-10796</v>
          </cell>
          <cell r="AJ1654" t="e">
            <v>#N/A</v>
          </cell>
          <cell r="AK1654" t="str">
            <v>CDC-10796</v>
          </cell>
          <cell r="AL1654" t="str">
            <v>CDC10796</v>
          </cell>
        </row>
        <row r="1655">
          <cell r="N1655" t="str">
            <v>C.U.S.D.#80 - HALEY ELEMENTARY - SCHOOL-AGE</v>
          </cell>
          <cell r="O1655" t="str">
            <v>3401 SOUTH LAYTON LAKES BOULEVARD</v>
          </cell>
          <cell r="P1655" t="str">
            <v>kleinholz.kim@cusd80.com</v>
          </cell>
          <cell r="Q1655" t="str">
            <v>CDC-14402</v>
          </cell>
          <cell r="AJ1655" t="e">
            <v>#N/A</v>
          </cell>
          <cell r="AK1655" t="str">
            <v>CDC-14402</v>
          </cell>
          <cell r="AL1655" t="str">
            <v>CDC14402</v>
          </cell>
        </row>
        <row r="1656">
          <cell r="N1656" t="str">
            <v>C.U.S.D.#80 - HAMILTON HIGH SCHOOL LIL' EXPLORERS</v>
          </cell>
          <cell r="O1656" t="str">
            <v>3700 SOUTH ARIZONA AVENUE</v>
          </cell>
          <cell r="P1656" t="str">
            <v>kleinholz.kim@cusd80.com</v>
          </cell>
          <cell r="Q1656" t="str">
            <v>CDC-15021</v>
          </cell>
          <cell r="AJ1656" t="e">
            <v>#N/A</v>
          </cell>
          <cell r="AK1656" t="str">
            <v>CDC-15021</v>
          </cell>
          <cell r="AL1656" t="str">
            <v>CDC15021</v>
          </cell>
        </row>
        <row r="1657">
          <cell r="N1657" t="str">
            <v>C.U.S.D.#80 - HANCOCK ELEMENTARY - SCHOOL-AGE/PRESCHOOL</v>
          </cell>
          <cell r="O1657" t="str">
            <v>2425 SOUTH PLEASANT DRIVE</v>
          </cell>
          <cell r="P1657" t="str">
            <v>kleinholz.kim@cusd80.com</v>
          </cell>
          <cell r="Q1657" t="str">
            <v>CDC-15197</v>
          </cell>
          <cell r="AJ1657" t="e">
            <v>#N/A</v>
          </cell>
          <cell r="AK1657" t="str">
            <v>CDC-15197</v>
          </cell>
          <cell r="AL1657" t="str">
            <v>CDC15197</v>
          </cell>
        </row>
        <row r="1658">
          <cell r="N1658" t="str">
            <v>C.U.S.D.#80 - HARTFORD ELEMENTARY - SCHOOL-AGE/PRESCHOOL</v>
          </cell>
          <cell r="O1658" t="str">
            <v>700 NORTH HARTFORD STREET</v>
          </cell>
          <cell r="P1658" t="str">
            <v>kim.kleinholz@cusd80.com</v>
          </cell>
          <cell r="Q1658" t="str">
            <v>CDC-15018</v>
          </cell>
          <cell r="AJ1658" t="e">
            <v>#N/A</v>
          </cell>
          <cell r="AK1658" t="str">
            <v>CDC-15018</v>
          </cell>
          <cell r="AL1658" t="str">
            <v>CDC15018</v>
          </cell>
        </row>
        <row r="1659">
          <cell r="N1659" t="str">
            <v>C.U.S.D.#80 - HULL ELEMENTARY - SCHOOL-AGE/PRESCHOOL</v>
          </cell>
          <cell r="O1659" t="str">
            <v>2424 EAST MAREN DRIVE</v>
          </cell>
          <cell r="P1659" t="str">
            <v>kleinholz.kim@cusd80.com</v>
          </cell>
          <cell r="Q1659" t="str">
            <v>CDC-9662</v>
          </cell>
          <cell r="AJ1659" t="e">
            <v>#N/A</v>
          </cell>
          <cell r="AK1659" t="str">
            <v>CDC-9662</v>
          </cell>
          <cell r="AL1659" t="str">
            <v>CDC9662</v>
          </cell>
        </row>
        <row r="1660">
          <cell r="N1660" t="str">
            <v>C.U.S.D.#80 - JACOBSON ELEMENTARY - SCHOOL-AGE</v>
          </cell>
          <cell r="O1660" t="str">
            <v>1515 NW JACARANDA PKWY</v>
          </cell>
          <cell r="P1660" t="str">
            <v>kim.kleinholz@cusd80.com</v>
          </cell>
          <cell r="Q1660" t="str">
            <v>CDC-12755</v>
          </cell>
          <cell r="AJ1660" t="e">
            <v>#N/A</v>
          </cell>
          <cell r="AK1660" t="str">
            <v>CDC-12755</v>
          </cell>
          <cell r="AL1660" t="str">
            <v>CDC12755</v>
          </cell>
        </row>
        <row r="1661">
          <cell r="N1661" t="str">
            <v>C.U.S.D.#80 - KNOX ELEMENTARY - SCHOOL-AGE/PRESCHOOL</v>
          </cell>
          <cell r="O1661" t="str">
            <v>700 WEST ORCHID LANE</v>
          </cell>
          <cell r="P1661" t="str">
            <v>kleinholz.kim@cusd80.com</v>
          </cell>
          <cell r="Q1661" t="str">
            <v>CDC-13527</v>
          </cell>
          <cell r="AJ1661" t="e">
            <v>#N/A</v>
          </cell>
          <cell r="AK1661" t="str">
            <v>CDC-13527</v>
          </cell>
          <cell r="AL1661" t="str">
            <v>CDC13527</v>
          </cell>
        </row>
        <row r="1662">
          <cell r="N1662" t="str">
            <v>C.U.S.D.#80 - NAVARRETE ELEMENTARY - SCHOOL-AGE/PRESCHOOL</v>
          </cell>
          <cell r="O1662" t="str">
            <v>6490 SOUTH SUN GROVES BOULEVARD</v>
          </cell>
          <cell r="P1662" t="str">
            <v>kleonholz.kim@cusd80.com</v>
          </cell>
          <cell r="Q1662" t="str">
            <v>CDC-12102</v>
          </cell>
          <cell r="AJ1662" t="e">
            <v>#N/A</v>
          </cell>
          <cell r="AK1662" t="str">
            <v>CDC-12102</v>
          </cell>
          <cell r="AL1662" t="str">
            <v>CDC12102</v>
          </cell>
        </row>
        <row r="1663">
          <cell r="N1663" t="str">
            <v>C.U.S.D.#80 - PATTERSON ELEMENTARY - SCHOOL-AGE</v>
          </cell>
          <cell r="O1663" t="str">
            <v>7520 SOUTH ADORA BOULEVARD</v>
          </cell>
          <cell r="P1663" t="str">
            <v>kleinholz.kim@cusd80.com</v>
          </cell>
          <cell r="Q1663" t="str">
            <v>CDC-14401</v>
          </cell>
          <cell r="AJ1663" t="e">
            <v>#N/A</v>
          </cell>
          <cell r="AK1663" t="str">
            <v>CDC-14401</v>
          </cell>
          <cell r="AL1663" t="str">
            <v>CDC14401</v>
          </cell>
        </row>
        <row r="1664">
          <cell r="N1664" t="str">
            <v>C.U.S.D.#80 - PERRY HIGH SCHOOL LIL' EXPLORERS</v>
          </cell>
          <cell r="O1664" t="str">
            <v>1919 EAST QUEEN CREEK ROAD</v>
          </cell>
          <cell r="P1664" t="str">
            <v>kleinholz.kim@cusd80.com</v>
          </cell>
          <cell r="Q1664" t="str">
            <v>CDC-13384</v>
          </cell>
          <cell r="AJ1664" t="e">
            <v>#N/A</v>
          </cell>
          <cell r="AK1664" t="str">
            <v>CDC-13384</v>
          </cell>
          <cell r="AL1664" t="str">
            <v>CDC13384</v>
          </cell>
        </row>
        <row r="1665">
          <cell r="N1665" t="str">
            <v>C.U.S.D.#80 - RIGGS ELEMENTARY - SCHOOL-AGE/PRESCHOOL</v>
          </cell>
          <cell r="O1665" t="str">
            <v>6930 SOUTH SEVILLE BOULEVARD WEST</v>
          </cell>
          <cell r="P1665" t="str">
            <v>kleinholz.kim@cusd80.com</v>
          </cell>
          <cell r="Q1665" t="str">
            <v>CDC-13532</v>
          </cell>
          <cell r="AJ1665" t="e">
            <v>#N/A</v>
          </cell>
          <cell r="AK1665" t="str">
            <v>CDC-13532</v>
          </cell>
          <cell r="AL1665" t="str">
            <v>CDC13532</v>
          </cell>
        </row>
        <row r="1666">
          <cell r="N1666" t="str">
            <v>C.U.S.D.#80 - RYAN ELEMENTARY - SCHOOL-AGE</v>
          </cell>
          <cell r="O1666" t="str">
            <v>4600 SOUTH BRIGHT ANGEL WAY</v>
          </cell>
          <cell r="Q1666" t="str">
            <v>CDC-12746</v>
          </cell>
          <cell r="AJ1666" t="e">
            <v>#N/A</v>
          </cell>
          <cell r="AK1666" t="str">
            <v>CDC-12746</v>
          </cell>
          <cell r="AL1666" t="str">
            <v>CDC12746</v>
          </cell>
        </row>
        <row r="1667">
          <cell r="N1667" t="str">
            <v>C.U.S.D.#80 - SAN MARCOS ELEMENTARY - PRESCHOOL</v>
          </cell>
          <cell r="O1667" t="str">
            <v>451 WEST FRYE ROAD</v>
          </cell>
          <cell r="P1667" t="str">
            <v>kleinholz.kim@cusd80.com</v>
          </cell>
          <cell r="Q1667" t="str">
            <v>CDC-6566</v>
          </cell>
          <cell r="AJ1667" t="e">
            <v>#N/A</v>
          </cell>
          <cell r="AK1667" t="str">
            <v>CDC-6566</v>
          </cell>
          <cell r="AL1667" t="str">
            <v>CDC6566</v>
          </cell>
        </row>
        <row r="1668">
          <cell r="N1668" t="str">
            <v>C.U.S.D.#80 - SANBORN ELEMENTARY - SCHOOL-AGE &amp; PRESCHOOL</v>
          </cell>
          <cell r="O1668" t="str">
            <v>700 NORTH SUPERSTITION BOULEVARD</v>
          </cell>
          <cell r="P1668" t="str">
            <v>kleinholz.kim@cusd80.com</v>
          </cell>
          <cell r="Q1668" t="str">
            <v>CDC-12750</v>
          </cell>
          <cell r="AJ1668" t="e">
            <v>#N/A</v>
          </cell>
          <cell r="AK1668" t="str">
            <v>CDC-12750</v>
          </cell>
          <cell r="AL1668" t="str">
            <v>CDC12750</v>
          </cell>
        </row>
        <row r="1669">
          <cell r="N1669" t="str">
            <v>C.U.S.D.#80 - SANTAN ELEMENTARY - SCHOOL-AGE/PRESCHOOL</v>
          </cell>
          <cell r="O1669" t="str">
            <v>1550 EAST CHANDLER HEIGHTS ROAD</v>
          </cell>
          <cell r="P1669" t="str">
            <v>kleinholz.kim@cusd80.com</v>
          </cell>
          <cell r="Q1669" t="str">
            <v>CDC-12754</v>
          </cell>
          <cell r="AJ1669" t="e">
            <v>#N/A</v>
          </cell>
          <cell r="AK1669" t="str">
            <v>CDC-12754</v>
          </cell>
          <cell r="AL1669" t="str">
            <v>CDC12754</v>
          </cell>
        </row>
        <row r="1670">
          <cell r="N1670" t="str">
            <v>C.U.S.D.#80 - SHUMWAY LEADERSHIP ACADEMY - SCHOOL-AGE/PRESCHOOL</v>
          </cell>
          <cell r="O1670" t="str">
            <v>1325 NORTH SHUMWAY AVENUE</v>
          </cell>
          <cell r="P1670" t="str">
            <v>kleinholz.kim@cusd80.com</v>
          </cell>
          <cell r="Q1670" t="str">
            <v>CDC-13526</v>
          </cell>
          <cell r="AJ1670" t="e">
            <v>#N/A</v>
          </cell>
          <cell r="AK1670" t="str">
            <v>CDC-13526</v>
          </cell>
          <cell r="AL1670" t="str">
            <v>CDC13526</v>
          </cell>
        </row>
        <row r="1671">
          <cell r="N1671" t="str">
            <v>C.U.S.D.#80 - TARWATER ELEMENTARY - SCHOOL-AGE</v>
          </cell>
          <cell r="O1671" t="str">
            <v>2300 SOUTH GARDNER DRIVE</v>
          </cell>
          <cell r="P1671" t="str">
            <v>kleinholz.kim@cusd80.com</v>
          </cell>
          <cell r="Q1671" t="str">
            <v>CDC-12756</v>
          </cell>
          <cell r="AJ1671" t="e">
            <v>#N/A</v>
          </cell>
          <cell r="AK1671" t="str">
            <v>CDC-12756</v>
          </cell>
          <cell r="AL1671" t="str">
            <v>CDC12756</v>
          </cell>
        </row>
        <row r="1672">
          <cell r="N1672" t="str">
            <v>C.U.S.D.#80 - WEINBERG ELEMENTARY - SCHOOL-AGE</v>
          </cell>
          <cell r="O1672" t="str">
            <v>5245  SOUTH VAL VISTA DR</v>
          </cell>
          <cell r="Q1672" t="str">
            <v>CDC-12098</v>
          </cell>
          <cell r="AJ1672" t="e">
            <v>#N/A</v>
          </cell>
          <cell r="AK1672" t="str">
            <v>CDC-12098</v>
          </cell>
          <cell r="AL1672" t="str">
            <v>CDC12098</v>
          </cell>
        </row>
        <row r="1673">
          <cell r="N1673" t="str">
            <v>C.V.U.S.D.#51 - DEL RIO ELEMENTARY SCHOOL</v>
          </cell>
          <cell r="O1673" t="str">
            <v>1036 NORTH ROAD 1 WEST</v>
          </cell>
          <cell r="P1673" t="str">
            <v>Kbartels@chinovalleyschools.com</v>
          </cell>
          <cell r="Q1673" t="str">
            <v>CDC-15120</v>
          </cell>
          <cell r="AJ1673" t="e">
            <v>#N/A</v>
          </cell>
          <cell r="AK1673" t="str">
            <v>CDC-15120</v>
          </cell>
          <cell r="AL1673" t="str">
            <v>CDC15120</v>
          </cell>
        </row>
        <row r="1674">
          <cell r="N1674" t="str">
            <v>C.V.U.S.D.#51 - TERRITORIAL EARLY CHILDHOOD CENTER</v>
          </cell>
          <cell r="O1674" t="str">
            <v>1088 MAHAN LANE</v>
          </cell>
          <cell r="P1674" t="str">
            <v>bcox@chinovalleyschools.com</v>
          </cell>
          <cell r="Q1674" t="str">
            <v>CDC-16909</v>
          </cell>
          <cell r="AJ1674" t="e">
            <v>#N/A</v>
          </cell>
          <cell r="AK1674" t="str">
            <v>CDC-16909</v>
          </cell>
          <cell r="AL1674" t="str">
            <v>CDC16909</v>
          </cell>
        </row>
        <row r="1675">
          <cell r="N1675" t="str">
            <v>D.U.S.D. #89 - RIVERVIEW ELEMENTARY</v>
          </cell>
          <cell r="O1675" t="str">
            <v>12701 NORTH MAIN STREET</v>
          </cell>
          <cell r="P1675" t="str">
            <v>Mary.einhorn@dysart.org</v>
          </cell>
          <cell r="Q1675" t="str">
            <v>CDC-16333</v>
          </cell>
          <cell r="AJ1675" t="e">
            <v>#N/A</v>
          </cell>
          <cell r="AK1675" t="str">
            <v>CDC-16333</v>
          </cell>
          <cell r="AL1675" t="str">
            <v>CDC16333</v>
          </cell>
        </row>
        <row r="1676">
          <cell r="N1676" t="str">
            <v>D.U.S.D.#27 - CLAWSON ELEMENTARY SCHOOL-PRESCHOOL</v>
          </cell>
          <cell r="O1676" t="str">
            <v>1235 SEVENTH STREET</v>
          </cell>
          <cell r="P1676" t="str">
            <v>kwalker@douglasschools.org</v>
          </cell>
          <cell r="Q1676" t="str">
            <v>CDC-16352</v>
          </cell>
          <cell r="AJ1676" t="e">
            <v>#N/A</v>
          </cell>
          <cell r="AK1676" t="str">
            <v>CDC-16352</v>
          </cell>
          <cell r="AL1676" t="str">
            <v>CDC16352</v>
          </cell>
        </row>
        <row r="1677">
          <cell r="N1677" t="str">
            <v>D.U.S.D.#27 - DOUGLAS HIGH SCHOOL C T E/ E C E PRESCHOOL</v>
          </cell>
          <cell r="O1677" t="str">
            <v>1500 15TH STREET</v>
          </cell>
          <cell r="P1677" t="str">
            <v>arobles@douglasschools.org</v>
          </cell>
          <cell r="Q1677" t="str">
            <v>CDC-15228</v>
          </cell>
          <cell r="AJ1677" t="e">
            <v>#N/A</v>
          </cell>
          <cell r="AK1677" t="str">
            <v>CDC-15228</v>
          </cell>
          <cell r="AL1677" t="str">
            <v>CDC15228</v>
          </cell>
        </row>
        <row r="1678">
          <cell r="N1678" t="str">
            <v>D.U.S.D.#27 - FARAS ELEMENTARY</v>
          </cell>
          <cell r="O1678" t="str">
            <v>410 WEST FIR AVENUE</v>
          </cell>
          <cell r="P1678" t="str">
            <v>kwalker@douglasschools.org</v>
          </cell>
          <cell r="Q1678" t="str">
            <v>CDC-15897</v>
          </cell>
          <cell r="AJ1678" t="e">
            <v>#N/A</v>
          </cell>
          <cell r="AK1678" t="str">
            <v>CDC-15897</v>
          </cell>
          <cell r="AL1678" t="str">
            <v>CDC15897</v>
          </cell>
        </row>
        <row r="1679">
          <cell r="N1679" t="str">
            <v>D.U.S.D.#27 - JOE CARLSON ELEMENTARY SCHOOL</v>
          </cell>
          <cell r="O1679" t="str">
            <v>1700 LOUIS AVENUE</v>
          </cell>
          <cell r="P1679" t="str">
            <v>kwalker@douglasschools.org</v>
          </cell>
          <cell r="Q1679" t="str">
            <v>CDC-17344</v>
          </cell>
          <cell r="AJ1679" t="e">
            <v>#N/A</v>
          </cell>
          <cell r="AK1679" t="str">
            <v>CDC-17344</v>
          </cell>
          <cell r="AL1679" t="str">
            <v>CDC17344</v>
          </cell>
        </row>
        <row r="1680">
          <cell r="N1680" t="str">
            <v>D.U.S.D.#27 - SARAH MARLEY ELEMENTARY SCHOOL</v>
          </cell>
          <cell r="O1680" t="str">
            <v>735 EAST 7TH STREET</v>
          </cell>
          <cell r="P1680" t="str">
            <v>kwalker@douglasschools.org</v>
          </cell>
          <cell r="Q1680" t="str">
            <v>CDC-17345</v>
          </cell>
          <cell r="AJ1680" t="e">
            <v>#N/A</v>
          </cell>
          <cell r="AK1680" t="str">
            <v>CDC-17345</v>
          </cell>
          <cell r="AL1680" t="str">
            <v>CDC17345</v>
          </cell>
        </row>
        <row r="1681">
          <cell r="N1681" t="str">
            <v>D.U.S.D.#89 -  THOMPSON RANCH ELEMENTARY</v>
          </cell>
          <cell r="O1681" t="str">
            <v>11800 WEST THOMPSON RANCH ROAD</v>
          </cell>
          <cell r="P1681" t="str">
            <v>mary.einhorn@dysart.org</v>
          </cell>
          <cell r="Q1681" t="str">
            <v>CDC-16331</v>
          </cell>
          <cell r="AJ1681" t="e">
            <v>#N/A</v>
          </cell>
          <cell r="AK1681" t="str">
            <v>CDC-16331</v>
          </cell>
          <cell r="AL1681" t="str">
            <v>CDC16331</v>
          </cell>
        </row>
        <row r="1682">
          <cell r="N1682" t="str">
            <v>D.U.S.D.#89 - ASANTE PREPARATORY ACADEMY</v>
          </cell>
          <cell r="O1682" t="str">
            <v>23251 NORTH 166TH DRIVE</v>
          </cell>
          <cell r="P1682" t="str">
            <v>john.williams@dysart.org</v>
          </cell>
          <cell r="Q1682" t="str">
            <v>CDC-18534</v>
          </cell>
          <cell r="AJ1682" t="e">
            <v>#N/A</v>
          </cell>
          <cell r="AK1682" t="str">
            <v>CDC-18534</v>
          </cell>
          <cell r="AL1682" t="str">
            <v>CDC18534</v>
          </cell>
        </row>
        <row r="1683">
          <cell r="N1683" t="str">
            <v>D.U.S.D.#89 - ASHTON RANCH ELEMENTARY</v>
          </cell>
          <cell r="O1683" t="str">
            <v>14898 WEST ACOMA DRIVE</v>
          </cell>
          <cell r="P1683" t="str">
            <v>Sherry.owensl@dysart.org</v>
          </cell>
          <cell r="Q1683" t="str">
            <v>CDC-12337</v>
          </cell>
          <cell r="AJ1683" t="e">
            <v>#N/A</v>
          </cell>
          <cell r="AK1683" t="str">
            <v>CDC-12337</v>
          </cell>
          <cell r="AL1683" t="str">
            <v>CDC12337</v>
          </cell>
        </row>
        <row r="1684">
          <cell r="N1684" t="str">
            <v>D.U.S.D.#89 - CANYON RIDGE ELEMENTARY</v>
          </cell>
          <cell r="O1684" t="str">
            <v>17359 WEST SURPRISE FARMS LOOP NORTH</v>
          </cell>
          <cell r="P1684" t="str">
            <v>mary.einhorn@dysart.org</v>
          </cell>
          <cell r="Q1684" t="str">
            <v>CDC-13697</v>
          </cell>
          <cell r="AJ1684" t="e">
            <v>#N/A</v>
          </cell>
          <cell r="AK1684" t="str">
            <v>CDC-13697</v>
          </cell>
          <cell r="AL1684" t="str">
            <v>CDC13697</v>
          </cell>
        </row>
        <row r="1685">
          <cell r="N1685" t="str">
            <v>D.U.S.D.#89 - CIMARRON SPRINGS ELEMENTARY</v>
          </cell>
          <cell r="O1685" t="str">
            <v>17032 WEST SURPRISE FARMS LOOP S</v>
          </cell>
          <cell r="P1685" t="str">
            <v>sherry.owens@dysart.org</v>
          </cell>
          <cell r="Q1685" t="str">
            <v>CDC-11630</v>
          </cell>
          <cell r="AJ1685" t="e">
            <v>#N/A</v>
          </cell>
          <cell r="AK1685" t="str">
            <v>CDC-11630</v>
          </cell>
          <cell r="AL1685" t="str">
            <v>CDC11630</v>
          </cell>
        </row>
        <row r="1686">
          <cell r="N1686" t="str">
            <v>D.U.S.D.#89 - COUNTRYSIDE ELEMENTARY</v>
          </cell>
          <cell r="O1686" t="str">
            <v>15034 NORTH PARKVIEW PLACE</v>
          </cell>
          <cell r="P1686" t="str">
            <v>helen.ly@dysart.org</v>
          </cell>
          <cell r="Q1686" t="str">
            <v>CDC-12339</v>
          </cell>
          <cell r="AJ1686" t="e">
            <v>#N/A</v>
          </cell>
          <cell r="AK1686" t="str">
            <v>CDC-12339</v>
          </cell>
          <cell r="AL1686" t="str">
            <v>CDC12339</v>
          </cell>
        </row>
        <row r="1687">
          <cell r="N1687" t="str">
            <v>D.U.S.D.#89 - DYSART ELEMENTARY</v>
          </cell>
          <cell r="O1687" t="str">
            <v>12950 WEST VARNEY ROAD</v>
          </cell>
          <cell r="P1687" t="str">
            <v>sherry.owens@dysart.org</v>
          </cell>
          <cell r="Q1687" t="str">
            <v>CDC-8438</v>
          </cell>
          <cell r="AJ1687" t="e">
            <v>#N/A</v>
          </cell>
          <cell r="AK1687" t="str">
            <v>CDC-8438</v>
          </cell>
          <cell r="AL1687" t="str">
            <v>CDC8438</v>
          </cell>
        </row>
        <row r="1688">
          <cell r="N1688" t="str">
            <v>D.U.S.D.#89 - EL MIRAGE ELEMENTARY</v>
          </cell>
          <cell r="O1688" t="str">
            <v>13500 NORTH EL MIRAGE ROAD</v>
          </cell>
          <cell r="P1688" t="str">
            <v>mary.einhorn@dysart.org</v>
          </cell>
          <cell r="Q1688" t="str">
            <v>CDC-16334</v>
          </cell>
          <cell r="AJ1688" t="e">
            <v>#N/A</v>
          </cell>
          <cell r="AK1688" t="str">
            <v>CDC-16334</v>
          </cell>
          <cell r="AL1688" t="str">
            <v>CDC16334</v>
          </cell>
        </row>
        <row r="1689">
          <cell r="N1689" t="str">
            <v>D.U.S.D.#89 - FREEDOM TRADITIONAL ACADEMY</v>
          </cell>
          <cell r="O1689" t="str">
            <v>16066 NORTH PARKVIEW PLACE</v>
          </cell>
          <cell r="P1689" t="str">
            <v>kathy.hill@dysart.org</v>
          </cell>
          <cell r="Q1689" t="str">
            <v>CDC-13696</v>
          </cell>
          <cell r="AJ1689" t="e">
            <v>#N/A</v>
          </cell>
          <cell r="AK1689" t="str">
            <v>CDC-13696</v>
          </cell>
          <cell r="AL1689" t="str">
            <v>CDC13696</v>
          </cell>
        </row>
        <row r="1690">
          <cell r="N1690" t="str">
            <v>D.U.S.D.#89 - GROWING MINDS PRESCHOOL</v>
          </cell>
          <cell r="O1690" t="str">
            <v>17999 WEST SUPRISE FARMS LOOP SOUTH</v>
          </cell>
          <cell r="P1690" t="str">
            <v>Melissa.Toscano@dysart.org</v>
          </cell>
          <cell r="Q1690" t="str">
            <v>CDC-18517</v>
          </cell>
          <cell r="AJ1690" t="e">
            <v>#N/A</v>
          </cell>
          <cell r="AK1690" t="str">
            <v>CDC-18517</v>
          </cell>
          <cell r="AL1690" t="str">
            <v>CDC18517</v>
          </cell>
        </row>
        <row r="1691">
          <cell r="N1691" t="str">
            <v>D.U.S.D.#89 - KINGSWOOD ELEMENTARY</v>
          </cell>
          <cell r="O1691" t="str">
            <v>15150 WEST MONDELL ROAD</v>
          </cell>
          <cell r="P1691" t="str">
            <v>mary.einhorn@dysart.org</v>
          </cell>
          <cell r="Q1691" t="str">
            <v>CDC-8440</v>
          </cell>
          <cell r="AJ1691" t="e">
            <v>#N/A</v>
          </cell>
          <cell r="AK1691" t="str">
            <v>CDC-8440</v>
          </cell>
          <cell r="AL1691" t="str">
            <v>CDC8440</v>
          </cell>
        </row>
        <row r="1692">
          <cell r="N1692" t="str">
            <v>D.U.S.D.#89 - LUKE ELEMENTARY</v>
          </cell>
          <cell r="O1692" t="str">
            <v>7300 NORTH DYSART ROAD</v>
          </cell>
          <cell r="P1692" t="str">
            <v>mary.einhorn@dysart.org</v>
          </cell>
          <cell r="Q1692" t="str">
            <v>CDC-14349</v>
          </cell>
          <cell r="AJ1692" t="e">
            <v>#N/A</v>
          </cell>
          <cell r="AK1692" t="str">
            <v>CDC-14349</v>
          </cell>
          <cell r="AL1692" t="str">
            <v>CDC14349</v>
          </cell>
        </row>
        <row r="1693">
          <cell r="N1693" t="str">
            <v>D.U.S.D.#89 - MARLEY PARK ELEMENTARY</v>
          </cell>
          <cell r="O1693" t="str">
            <v>15042 WEST SWEETWATER ROAD</v>
          </cell>
          <cell r="P1693" t="str">
            <v>carley.bennett@dysart.org</v>
          </cell>
          <cell r="Q1693" t="str">
            <v>CDC-12338</v>
          </cell>
          <cell r="AJ1693" t="e">
            <v>#N/A</v>
          </cell>
          <cell r="AK1693" t="str">
            <v>CDC-12338</v>
          </cell>
          <cell r="AL1693" t="str">
            <v>CDC12338</v>
          </cell>
        </row>
        <row r="1694">
          <cell r="N1694" t="str">
            <v>D.U.S.D.#89 - MOUNTAIN VIEW ELEMENTARY</v>
          </cell>
          <cell r="O1694" t="str">
            <v>18312 WEST BURTON AVENUE</v>
          </cell>
          <cell r="P1694" t="str">
            <v>mary.einhorn@dysart.org</v>
          </cell>
          <cell r="Q1694" t="str">
            <v>CDC-13698</v>
          </cell>
          <cell r="AJ1694" t="e">
            <v>#N/A</v>
          </cell>
          <cell r="AK1694" t="str">
            <v>CDC-13698</v>
          </cell>
          <cell r="AL1694" t="str">
            <v>CDC13698</v>
          </cell>
        </row>
        <row r="1695">
          <cell r="N1695" t="str">
            <v>D.U.S.D.#89 - RANCHO GABRIELA ELEMENTARY</v>
          </cell>
          <cell r="O1695" t="str">
            <v>15272 WEST GABRIELA DRIVE</v>
          </cell>
          <cell r="P1695" t="str">
            <v>sherry.owens@dysart.org</v>
          </cell>
          <cell r="Q1695" t="str">
            <v>CDC-12336</v>
          </cell>
          <cell r="AJ1695" t="e">
            <v>#N/A</v>
          </cell>
          <cell r="AK1695" t="str">
            <v>CDC-12336</v>
          </cell>
          <cell r="AL1695" t="str">
            <v>CDC12336</v>
          </cell>
        </row>
        <row r="1696">
          <cell r="N1696" t="str">
            <v>D.U.S.D.#89 - SUNSET HILLS ELEMENTARY DEN CLUB</v>
          </cell>
          <cell r="O1696" t="str">
            <v>17825 WEST SIERRA MONTANA LOOP</v>
          </cell>
          <cell r="P1696" t="str">
            <v>Sherry.Owens@dysart.org</v>
          </cell>
          <cell r="Q1696" t="str">
            <v>CDC-12335</v>
          </cell>
          <cell r="AJ1696" t="e">
            <v>#N/A</v>
          </cell>
          <cell r="AK1696" t="str">
            <v>CDC-12335</v>
          </cell>
          <cell r="AL1696" t="str">
            <v>CDC12335</v>
          </cell>
        </row>
        <row r="1697">
          <cell r="N1697" t="str">
            <v>D.U.S.D.#89 - SURPRISE ELEMENTARY</v>
          </cell>
          <cell r="O1697" t="str">
            <v>12907 WEST GREENWAY ROAD</v>
          </cell>
          <cell r="P1697" t="str">
            <v>sherry.owens@dysart.org</v>
          </cell>
          <cell r="Q1697" t="str">
            <v>CDC-12872</v>
          </cell>
          <cell r="AJ1697" t="e">
            <v>#N/A</v>
          </cell>
          <cell r="AK1697" t="str">
            <v>CDC-12872</v>
          </cell>
          <cell r="AL1697" t="str">
            <v>CDC12872</v>
          </cell>
        </row>
        <row r="1698">
          <cell r="N1698" t="str">
            <v>D.U.S.D.#89 - WEST POINT ELEMENTARY SCHOOL</v>
          </cell>
          <cell r="O1698" t="str">
            <v>13700 WEST GREENWAY ROAD</v>
          </cell>
          <cell r="P1698" t="str">
            <v>kathy.hill@dysart.org</v>
          </cell>
          <cell r="Q1698" t="str">
            <v>CDC-9473</v>
          </cell>
          <cell r="AJ1698" t="e">
            <v>#N/A</v>
          </cell>
          <cell r="AK1698" t="str">
            <v>CDC-9473</v>
          </cell>
          <cell r="AL1698" t="str">
            <v>CDC9473</v>
          </cell>
        </row>
        <row r="1699">
          <cell r="N1699" t="str">
            <v>D.U.S.D.#89 - WESTERN PEAKS ELEMENTARY</v>
          </cell>
          <cell r="O1699" t="str">
            <v>18063 WEST SURPRISE FARMS LOOP SOUTH</v>
          </cell>
          <cell r="P1699" t="str">
            <v>sherry.owens@dysart.org</v>
          </cell>
          <cell r="Q1699" t="str">
            <v>CDC-12907</v>
          </cell>
          <cell r="AJ1699" t="e">
            <v>#N/A</v>
          </cell>
          <cell r="AK1699" t="str">
            <v>CDC-12907</v>
          </cell>
          <cell r="AL1699" t="str">
            <v>CDC12907</v>
          </cell>
        </row>
        <row r="1700">
          <cell r="N1700" t="str">
            <v>D.U.S.D.#89 -SONORAN HEIGHTS ELEMENTARY</v>
          </cell>
          <cell r="O1700" t="str">
            <v>11405 NORTH GREER RANCH PARKWAY</v>
          </cell>
          <cell r="P1700" t="str">
            <v>kathy.hill@dysart.org</v>
          </cell>
          <cell r="Q1700" t="str">
            <v>CDC-12906</v>
          </cell>
          <cell r="AJ1700" t="e">
            <v>#N/A</v>
          </cell>
          <cell r="AK1700" t="str">
            <v>CDC-12906</v>
          </cell>
          <cell r="AL1700" t="str">
            <v>CDC12906</v>
          </cell>
        </row>
        <row r="1701">
          <cell r="N1701" t="str">
            <v>D.V.U.S.D.#97 - ANTHEM SCHOOL</v>
          </cell>
          <cell r="O1701" t="str">
            <v>41020 NORTH FREEDOM WAY</v>
          </cell>
          <cell r="P1701" t="str">
            <v>jessica.walsh@dvusd.org</v>
          </cell>
          <cell r="Q1701" t="str">
            <v>CDC-11313</v>
          </cell>
          <cell r="AJ1701" t="e">
            <v>#N/A</v>
          </cell>
          <cell r="AK1701" t="str">
            <v>CDC-11313</v>
          </cell>
          <cell r="AL1701" t="str">
            <v>CDC11313</v>
          </cell>
        </row>
        <row r="1702">
          <cell r="N1702" t="str">
            <v>D.V.U.S.D.#97 - ARROWHEAD ELEMENTARY</v>
          </cell>
          <cell r="O1702" t="str">
            <v>7490 WEST UNION HILLS</v>
          </cell>
          <cell r="P1702" t="str">
            <v>janet.zeek@dvusd.org</v>
          </cell>
          <cell r="Q1702" t="str">
            <v>CDC-17214</v>
          </cell>
          <cell r="AJ1702" t="e">
            <v>#N/A</v>
          </cell>
          <cell r="AK1702" t="str">
            <v>CDC-17214</v>
          </cell>
          <cell r="AL1702" t="str">
            <v>CDC17214</v>
          </cell>
        </row>
        <row r="1703">
          <cell r="N1703" t="str">
            <v>D.V.U.S.D.#97 - ARROWHEAD ELEMENTARY PRESCHOOL</v>
          </cell>
          <cell r="O1703" t="str">
            <v>7490 WEST UNION HILLS DRIVE</v>
          </cell>
          <cell r="P1703" t="str">
            <v>barb.ervin@dvusd.org</v>
          </cell>
          <cell r="Q1703" t="str">
            <v>CDC-6140</v>
          </cell>
          <cell r="AJ1703" t="e">
            <v>#N/A</v>
          </cell>
          <cell r="AK1703" t="str">
            <v>CDC-6140</v>
          </cell>
          <cell r="AL1703" t="str">
            <v>CDC6140</v>
          </cell>
        </row>
        <row r="1704">
          <cell r="N1704" t="str">
            <v>D.V.U.S.D.#97 - BELLAIR SPECIAL SERVICES PRESCHOOL</v>
          </cell>
          <cell r="O1704" t="str">
            <v>4701 WEST GROVERS AVENUE</v>
          </cell>
          <cell r="P1704" t="str">
            <v>sharilyn.miller@dvusd.org</v>
          </cell>
          <cell r="Q1704" t="str">
            <v>CDC-6828</v>
          </cell>
          <cell r="AJ1704" t="e">
            <v>#N/A</v>
          </cell>
          <cell r="AK1704" t="str">
            <v>CDC-6828</v>
          </cell>
          <cell r="AL1704" t="str">
            <v>CDC6828</v>
          </cell>
        </row>
        <row r="1705">
          <cell r="N1705" t="str">
            <v>D.V.U.S.D.#97 - BOULDER CREEK LIL' JAGS CHILDCARE</v>
          </cell>
          <cell r="O1705" t="str">
            <v>40404 NORTH GAVILAN PEAK PKWY</v>
          </cell>
          <cell r="P1705" t="str">
            <v>barbara.ervin@dvusd.org</v>
          </cell>
          <cell r="Q1705" t="str">
            <v>CDC-12701</v>
          </cell>
          <cell r="AJ1705" t="e">
            <v>#N/A</v>
          </cell>
          <cell r="AK1705" t="str">
            <v>CDC-12701</v>
          </cell>
          <cell r="AL1705" t="str">
            <v>CDC12701</v>
          </cell>
        </row>
        <row r="1706">
          <cell r="N1706" t="str">
            <v>D.V.U.S.D.#97 - CANYON SPRINGS</v>
          </cell>
          <cell r="O1706" t="str">
            <v>42901 NORTH 45TH AVENUE</v>
          </cell>
          <cell r="P1706" t="str">
            <v>eva.harlow@dvusd.org, janet.zeek@dvusd.org</v>
          </cell>
          <cell r="Q1706" t="str">
            <v>CDC-13673</v>
          </cell>
          <cell r="AJ1706" t="e">
            <v>#N/A</v>
          </cell>
          <cell r="AK1706" t="str">
            <v>CDC-13673</v>
          </cell>
          <cell r="AL1706" t="str">
            <v>CDC13673</v>
          </cell>
        </row>
        <row r="1707">
          <cell r="N1707" t="str">
            <v>D.V.U.S.D.#97 - COPPER CREEK</v>
          </cell>
          <cell r="O1707" t="str">
            <v>7071 WEST HILLCREST BOULEVARD</v>
          </cell>
          <cell r="P1707" t="str">
            <v>seana.martinka@dvusd.org</v>
          </cell>
          <cell r="Q1707" t="str">
            <v>CDC-7303</v>
          </cell>
          <cell r="AJ1707" t="e">
            <v>#N/A</v>
          </cell>
          <cell r="AK1707" t="str">
            <v>CDC-7303</v>
          </cell>
          <cell r="AL1707" t="str">
            <v>CDC7303</v>
          </cell>
        </row>
        <row r="1708">
          <cell r="N1708" t="str">
            <v>D.V.U.S.D.#97 - COPPER CREEK ELEMENTARY</v>
          </cell>
          <cell r="O1708" t="str">
            <v>7071 WEST HILLCREST</v>
          </cell>
          <cell r="P1708" t="str">
            <v>janet.zeek@dvusd.org</v>
          </cell>
          <cell r="Q1708" t="str">
            <v>CDC-17212</v>
          </cell>
          <cell r="AJ1708" t="e">
            <v>#N/A</v>
          </cell>
          <cell r="AK1708" t="str">
            <v>CDC-17212</v>
          </cell>
          <cell r="AL1708" t="str">
            <v>CDC17212</v>
          </cell>
        </row>
        <row r="1709">
          <cell r="N1709" t="str">
            <v>D.V.U.S.D.#97 - DEER VALLEY HEAD START-SITE V I (SUNRISE)</v>
          </cell>
          <cell r="O1709" t="str">
            <v>17624 NORTH 31ST AVENUE</v>
          </cell>
          <cell r="P1709" t="str">
            <v>janet.zeek@dvusd.org</v>
          </cell>
          <cell r="Q1709" t="str">
            <v>CDC-11720</v>
          </cell>
          <cell r="AJ1709" t="e">
            <v>#N/A</v>
          </cell>
          <cell r="AK1709" t="str">
            <v>CDC-11720</v>
          </cell>
          <cell r="AL1709" t="str">
            <v>CDC11720</v>
          </cell>
        </row>
        <row r="1710">
          <cell r="N1710" t="str">
            <v>D.V.U.S.D.#97 - DESERT MOUNTAIN</v>
          </cell>
          <cell r="O1710" t="str">
            <v>35959 NORTH 7TH AVENUE</v>
          </cell>
          <cell r="P1710" t="str">
            <v>eva.harlow@dvusd.org</v>
          </cell>
          <cell r="Q1710" t="str">
            <v>CDC-10340</v>
          </cell>
          <cell r="AJ1710" t="e">
            <v>#N/A</v>
          </cell>
          <cell r="AK1710" t="str">
            <v>CDC-10340</v>
          </cell>
          <cell r="AL1710" t="str">
            <v>CDC10340</v>
          </cell>
        </row>
        <row r="1711">
          <cell r="N1711" t="str">
            <v>D.V.U.S.D.#97 - DESERT MOUNTAIN DEVELOPMENTAL PRESCHOOL</v>
          </cell>
          <cell r="O1711" t="str">
            <v>35959 NORTH 7TH AVENUE</v>
          </cell>
          <cell r="P1711" t="str">
            <v>ellen.foreman@dvusd.org</v>
          </cell>
          <cell r="Q1711" t="str">
            <v>CDC-16342</v>
          </cell>
          <cell r="AJ1711" t="e">
            <v>#N/A</v>
          </cell>
          <cell r="AK1711" t="str">
            <v>CDC-16342</v>
          </cell>
          <cell r="AL1711" t="str">
            <v>CDC16342</v>
          </cell>
        </row>
        <row r="1712">
          <cell r="N1712" t="str">
            <v>D.V.U.S.D.#97 - DESERT SAGE CHILDCARE</v>
          </cell>
          <cell r="O1712" t="str">
            <v>4035 WEST ALAMEDA ROAD</v>
          </cell>
          <cell r="P1712" t="str">
            <v>janet.zeek@dvusd.org</v>
          </cell>
          <cell r="Q1712" t="str">
            <v>CDC-6086</v>
          </cell>
          <cell r="AJ1712" t="e">
            <v>#N/A</v>
          </cell>
          <cell r="AK1712" t="str">
            <v>CDC-6086</v>
          </cell>
          <cell r="AL1712" t="str">
            <v>CDC6086</v>
          </cell>
        </row>
        <row r="1713">
          <cell r="N1713" t="str">
            <v>D.V.U.S.D.#97 - DIAMOND CANYON</v>
          </cell>
          <cell r="O1713" t="str">
            <v>40004 NORTH LIBERTY BELL WAY</v>
          </cell>
          <cell r="P1713" t="str">
            <v>barbara.ervin@dvusd.org</v>
          </cell>
          <cell r="Q1713" t="str">
            <v>CDC-12840</v>
          </cell>
          <cell r="AJ1713" t="e">
            <v>#N/A</v>
          </cell>
          <cell r="AK1713" t="str">
            <v>CDC-12840</v>
          </cell>
          <cell r="AL1713" t="str">
            <v>CDC12840</v>
          </cell>
        </row>
        <row r="1714">
          <cell r="N1714" t="str">
            <v>D.V.U.S.D.#97 - GAVILAN PEAK PRESCHOOL</v>
          </cell>
          <cell r="O1714" t="str">
            <v>2701 WEST MEMORIAL DRIVE</v>
          </cell>
          <cell r="P1714" t="str">
            <v>tammy.stevens@dvusd.org</v>
          </cell>
          <cell r="Q1714" t="str">
            <v>CDC-12854</v>
          </cell>
          <cell r="AJ1714" t="e">
            <v>#N/A</v>
          </cell>
          <cell r="AK1714" t="str">
            <v>CDC-12854</v>
          </cell>
          <cell r="AL1714" t="str">
            <v>CDC12854</v>
          </cell>
        </row>
        <row r="1715">
          <cell r="N1715" t="str">
            <v>D.V.U.S.D.#97 - GREENBRIER ELEMENTARY</v>
          </cell>
          <cell r="O1715" t="str">
            <v>6450 WEST GREENBRIER</v>
          </cell>
          <cell r="P1715" t="str">
            <v>janet.zeek@dvusd.org</v>
          </cell>
          <cell r="Q1715" t="str">
            <v>CDC-18753</v>
          </cell>
          <cell r="AJ1715" t="e">
            <v>#N/A</v>
          </cell>
          <cell r="AK1715" t="str">
            <v>CDC-18753</v>
          </cell>
          <cell r="AL1715" t="str">
            <v>CDC18753</v>
          </cell>
        </row>
        <row r="1716">
          <cell r="N1716" t="str">
            <v>D.V.U.S.D.#97 - GREENBRIER ELEMENTARY</v>
          </cell>
          <cell r="O1716" t="str">
            <v>6150 WEST GREENBRIAR DRIVE</v>
          </cell>
          <cell r="P1716" t="str">
            <v>barbara.ervin@dvusd.org</v>
          </cell>
          <cell r="Q1716" t="str">
            <v>CDC-6256</v>
          </cell>
          <cell r="AJ1716" t="e">
            <v>#N/A</v>
          </cell>
          <cell r="AK1716" t="str">
            <v>CDC-6256</v>
          </cell>
          <cell r="AL1716" t="str">
            <v>CDC6256</v>
          </cell>
        </row>
        <row r="1717">
          <cell r="N1717" t="str">
            <v>D.V.U.S.D.#97 - HEAD START I CONSTITUTION</v>
          </cell>
          <cell r="O1717" t="str">
            <v>18440 NORTH 15TH AVENUE</v>
          </cell>
          <cell r="P1717" t="str">
            <v>Janet.Zeek@DVUSD.org</v>
          </cell>
          <cell r="Q1717" t="str">
            <v>CDC-4134</v>
          </cell>
          <cell r="AJ1717" t="e">
            <v>#N/A</v>
          </cell>
          <cell r="AK1717" t="str">
            <v>CDC-4134</v>
          </cell>
          <cell r="AL1717" t="str">
            <v>CDC4134</v>
          </cell>
        </row>
        <row r="1718">
          <cell r="N1718" t="str">
            <v>D.V.U.S.D.#97 - HEAD START I I I ESPERANZA</v>
          </cell>
          <cell r="O1718" t="str">
            <v>251 WEST MOHAWK LANE</v>
          </cell>
          <cell r="P1718" t="str">
            <v>janet.zeek@dvusd.org</v>
          </cell>
          <cell r="Q1718" t="str">
            <v>CDC-4140</v>
          </cell>
          <cell r="AJ1718" t="e">
            <v>#N/A</v>
          </cell>
          <cell r="AK1718" t="str">
            <v>CDC-4140</v>
          </cell>
          <cell r="AL1718" t="str">
            <v>CDC4140</v>
          </cell>
        </row>
        <row r="1719">
          <cell r="N1719" t="str">
            <v>D.V.U.S.D.#97 - HEAD START I I VILLAGE MEADOWS</v>
          </cell>
          <cell r="O1719" t="str">
            <v>2020 WEST MORNINGSIDE DRIVE</v>
          </cell>
          <cell r="P1719" t="str">
            <v>janet.zeek@DVUSD.org</v>
          </cell>
          <cell r="Q1719" t="str">
            <v>CDC-4135</v>
          </cell>
          <cell r="AJ1719" t="e">
            <v>#N/A</v>
          </cell>
          <cell r="AK1719" t="str">
            <v>CDC-4135</v>
          </cell>
          <cell r="AL1719" t="str">
            <v>CDC4135</v>
          </cell>
        </row>
        <row r="1720">
          <cell r="N1720" t="str">
            <v>D.V.U.S.D.#97 - HIGHLAND LAKES</v>
          </cell>
          <cell r="O1720" t="str">
            <v>19000 NORTH 63RD AVENUE</v>
          </cell>
          <cell r="P1720" t="str">
            <v>barbara.ervin@dvusd.org</v>
          </cell>
          <cell r="Q1720" t="str">
            <v>CDC-15979</v>
          </cell>
          <cell r="AJ1720" t="e">
            <v>#N/A</v>
          </cell>
          <cell r="AK1720" t="str">
            <v>CDC-15979</v>
          </cell>
          <cell r="AL1720" t="str">
            <v>CDC15979</v>
          </cell>
        </row>
        <row r="1721">
          <cell r="N1721" t="str">
            <v>D.V.U.S.D.#97 - LAS BRISAS COMMUNITY SCHOOL PROGRA</v>
          </cell>
          <cell r="O1721" t="str">
            <v>5805 WEST ALAMEDA ROAD</v>
          </cell>
          <cell r="P1721" t="str">
            <v>jeanette.rauscher@dvusd.org</v>
          </cell>
          <cell r="Q1721" t="str">
            <v>CDC-6193</v>
          </cell>
          <cell r="AJ1721" t="e">
            <v>#N/A</v>
          </cell>
          <cell r="AK1721" t="str">
            <v>CDC-6193</v>
          </cell>
          <cell r="AL1721" t="str">
            <v>CDC6193</v>
          </cell>
        </row>
        <row r="1722">
          <cell r="N1722" t="str">
            <v>D.V.U.S.D.#97 - LEGEND SPRINGS ELEMENTARY</v>
          </cell>
          <cell r="O1722" t="str">
            <v>21150 NORTH ARROWHEAD LOOP ROAD</v>
          </cell>
          <cell r="P1722" t="str">
            <v>eva.harlow@dvusd.org</v>
          </cell>
          <cell r="Q1722" t="str">
            <v>CDC-9475</v>
          </cell>
          <cell r="AJ1722" t="e">
            <v>#N/A</v>
          </cell>
          <cell r="AK1722" t="str">
            <v>CDC-9475</v>
          </cell>
          <cell r="AL1722" t="str">
            <v>CDC9475</v>
          </cell>
        </row>
        <row r="1723">
          <cell r="N1723" t="str">
            <v>D.V.U.S.D.#97 - MIRAGE ELEMENTARY SCHOOL &amp; PRESCHOOL</v>
          </cell>
          <cell r="O1723" t="str">
            <v>3910 WEST GROVERS AVENUE</v>
          </cell>
          <cell r="P1723" t="str">
            <v>Eva.harlow@dvusd.org</v>
          </cell>
          <cell r="Q1723" t="str">
            <v>CDC-6319</v>
          </cell>
          <cell r="AJ1723" t="e">
            <v>#N/A</v>
          </cell>
          <cell r="AK1723" t="str">
            <v>CDC-6319</v>
          </cell>
          <cell r="AL1723" t="str">
            <v>CDC6319</v>
          </cell>
        </row>
        <row r="1724">
          <cell r="N1724" t="str">
            <v>D.V.U.S.D.#97 - MOUNTAIN RIDGE HIGH SCHOOL DAYCARE</v>
          </cell>
          <cell r="O1724" t="str">
            <v>22800 NORTH 67TH AVENUE</v>
          </cell>
          <cell r="P1724" t="str">
            <v>Christine.medel@dvusd.org</v>
          </cell>
          <cell r="Q1724" t="str">
            <v>CDC-7795</v>
          </cell>
          <cell r="AJ1724" t="e">
            <v>#N/A</v>
          </cell>
          <cell r="AK1724" t="str">
            <v>CDC-7795</v>
          </cell>
          <cell r="AL1724" t="str">
            <v>CDC7795</v>
          </cell>
        </row>
        <row r="1725">
          <cell r="N1725" t="str">
            <v>D.V.U.S.D.#97 - MOUNTAIN SHADOWS</v>
          </cell>
          <cell r="O1725" t="str">
            <v>19602 NORTH 45TH AVENUE</v>
          </cell>
          <cell r="P1725" t="str">
            <v>barbara.ervin@dvusd.org</v>
          </cell>
          <cell r="Q1725" t="str">
            <v>CDC-6148</v>
          </cell>
          <cell r="AJ1725" t="e">
            <v>#N/A</v>
          </cell>
          <cell r="AK1725" t="str">
            <v>CDC-6148</v>
          </cell>
          <cell r="AL1725" t="str">
            <v>CDC6148</v>
          </cell>
        </row>
        <row r="1726">
          <cell r="N1726" t="str">
            <v>D.V.U.S.D.#97 - NORTERRA CANYON</v>
          </cell>
          <cell r="O1726" t="str">
            <v>2200 WEST MAYA WAY</v>
          </cell>
          <cell r="P1726" t="str">
            <v>eve.harlow@dvusd.org</v>
          </cell>
          <cell r="Q1726" t="str">
            <v>CDC-14480</v>
          </cell>
          <cell r="AJ1726" t="e">
            <v>#N/A</v>
          </cell>
          <cell r="AK1726" t="str">
            <v>CDC-14480</v>
          </cell>
          <cell r="AL1726" t="str">
            <v>CDC14480</v>
          </cell>
        </row>
        <row r="1727">
          <cell r="N1727" t="str">
            <v>D.V.U.S.D.#97 - PARK MEADOWS ELEMENTARY</v>
          </cell>
          <cell r="O1727" t="str">
            <v>20012 NORTH 35TH AVENUE</v>
          </cell>
          <cell r="P1727" t="str">
            <v>debbie.craig@dvusd.org</v>
          </cell>
          <cell r="Q1727" t="str">
            <v>CDC-6150</v>
          </cell>
          <cell r="AJ1727" t="e">
            <v>#N/A</v>
          </cell>
          <cell r="AK1727" t="str">
            <v>CDC-6150</v>
          </cell>
          <cell r="AL1727" t="str">
            <v>CDC6150</v>
          </cell>
        </row>
        <row r="1728">
          <cell r="N1728" t="str">
            <v>D.V.U.S.D.#97 - PASEO HILLS ELEMENTARY RATTLER'S DEN</v>
          </cell>
          <cell r="O1728" t="str">
            <v>3302 WEST LOUISE DRIVE</v>
          </cell>
          <cell r="P1728" t="str">
            <v>barbara.ervin@dvusd.org</v>
          </cell>
          <cell r="Q1728" t="str">
            <v>CDC-7831</v>
          </cell>
          <cell r="AJ1728" t="e">
            <v>#N/A</v>
          </cell>
          <cell r="AK1728" t="str">
            <v>CDC-7831</v>
          </cell>
          <cell r="AL1728" t="str">
            <v>CDC7831</v>
          </cell>
        </row>
        <row r="1729">
          <cell r="N1729" t="str">
            <v>D.V.U.S.D.#97 - SANDRA DAY O'CONNOR HIGH SCHOOL - EAGLE NEST</v>
          </cell>
          <cell r="O1729" t="str">
            <v>25250 NORTH 35TH AVENUE</v>
          </cell>
          <cell r="P1729" t="str">
            <v>eva.harlow@dvusd.org</v>
          </cell>
          <cell r="Q1729" t="str">
            <v>CDC-13037</v>
          </cell>
          <cell r="AJ1729" t="e">
            <v>#N/A</v>
          </cell>
          <cell r="AK1729" t="str">
            <v>CDC-13037</v>
          </cell>
          <cell r="AL1729" t="str">
            <v>CDC13037</v>
          </cell>
        </row>
        <row r="1730">
          <cell r="N1730" t="str">
            <v>D.V.U.S.D.#97 - SIERRA VERDE ELEMENTARY</v>
          </cell>
          <cell r="O1730" t="str">
            <v>7241 WEST ROSE GARDEN LANE</v>
          </cell>
          <cell r="P1730" t="str">
            <v>eva.harlow@dvusd.org</v>
          </cell>
          <cell r="Q1730" t="str">
            <v>CDC-9516</v>
          </cell>
          <cell r="AJ1730" t="e">
            <v>#N/A</v>
          </cell>
          <cell r="AK1730" t="str">
            <v>CDC-9516</v>
          </cell>
          <cell r="AL1730" t="str">
            <v>CDC9516</v>
          </cell>
        </row>
        <row r="1731">
          <cell r="N1731" t="str">
            <v>D.V.U.S.D.#97 - SONORAN FOOTHILLS</v>
          </cell>
          <cell r="O1731" t="str">
            <v>32150 NORTH FOOTHILLS DRIVE</v>
          </cell>
          <cell r="P1731" t="str">
            <v>barbara.evin@dvusd.org</v>
          </cell>
          <cell r="Q1731" t="str">
            <v>CDC-17386</v>
          </cell>
          <cell r="AJ1731" t="e">
            <v>#N/A</v>
          </cell>
          <cell r="AK1731" t="str">
            <v>CDC-17386</v>
          </cell>
          <cell r="AL1731" t="str">
            <v>CDC17386</v>
          </cell>
        </row>
        <row r="1732">
          <cell r="N1732" t="str">
            <v>D.V.U.S.D.#97 - STETSON HILLS ELEMENTARY</v>
          </cell>
          <cell r="O1732" t="str">
            <v>25475 NORTH STETSON HILLS LOOP</v>
          </cell>
          <cell r="P1732" t="str">
            <v>eva.harlow@dvusd.org</v>
          </cell>
          <cell r="Q1732" t="str">
            <v>CDC-10087</v>
          </cell>
          <cell r="AJ1732" t="e">
            <v>#N/A</v>
          </cell>
          <cell r="AK1732" t="str">
            <v>CDC-10087</v>
          </cell>
          <cell r="AL1732" t="str">
            <v>CDC10087</v>
          </cell>
        </row>
        <row r="1733">
          <cell r="N1733" t="str">
            <v>D.V.U.S.D.#97 - SUNRISE ELEMENTARY</v>
          </cell>
          <cell r="O1733" t="str">
            <v>17624 NORTH 31ST AVENUE</v>
          </cell>
          <cell r="P1733" t="str">
            <v>barbara.ervin@dvusd.org</v>
          </cell>
          <cell r="Q1733" t="str">
            <v>CDC-6425</v>
          </cell>
          <cell r="AJ1733" t="e">
            <v>#N/A</v>
          </cell>
          <cell r="AK1733" t="str">
            <v>CDC-6425</v>
          </cell>
          <cell r="AL1733" t="str">
            <v>CDC6425</v>
          </cell>
        </row>
        <row r="1734">
          <cell r="N1734" t="str">
            <v>D.V.U.S.D.#97 - SUNSET RIDGE ELEMENTARY</v>
          </cell>
          <cell r="O1734" t="str">
            <v>35707 NORTH 33RD LANE</v>
          </cell>
          <cell r="P1734" t="str">
            <v>barbara.ervin@dvusd.org</v>
          </cell>
          <cell r="Q1734" t="str">
            <v>CDC-12963</v>
          </cell>
          <cell r="AJ1734" t="e">
            <v>#N/A</v>
          </cell>
          <cell r="AK1734" t="str">
            <v>CDC-12963</v>
          </cell>
          <cell r="AL1734" t="str">
            <v>CDC12963</v>
          </cell>
        </row>
        <row r="1735">
          <cell r="N1735" t="str">
            <v>D.V.U.S.D.#97 - TERRAMAR ELEMENTARY</v>
          </cell>
          <cell r="O1735" t="str">
            <v>7000 WEST HAPPY VALLEY ROAD</v>
          </cell>
          <cell r="P1735" t="str">
            <v>barbara.ervin@dvusd.org</v>
          </cell>
          <cell r="Q1735" t="str">
            <v>CDC-12879</v>
          </cell>
          <cell r="AJ1735" t="e">
            <v>#N/A</v>
          </cell>
          <cell r="AK1735" t="str">
            <v>CDC-12879</v>
          </cell>
          <cell r="AL1735" t="str">
            <v>CDC12879</v>
          </cell>
        </row>
        <row r="1736">
          <cell r="N1736" t="str">
            <v>D.V.U.S.D.#97 - UNION PARK SCHOOL</v>
          </cell>
          <cell r="O1736" t="str">
            <v>25700 NORTH 21ST AVENUE</v>
          </cell>
          <cell r="P1736" t="str">
            <v>janet.zeek@dvusd.org</v>
          </cell>
          <cell r="Q1736" t="str">
            <v>CDC-18895</v>
          </cell>
          <cell r="AJ1736" t="e">
            <v>#N/A</v>
          </cell>
          <cell r="AK1736" t="str">
            <v>CDC-18895</v>
          </cell>
          <cell r="AL1736" t="str">
            <v>CDC18895</v>
          </cell>
        </row>
        <row r="1737">
          <cell r="N1737" t="str">
            <v>D.V.U.S.D.#97 - WEST WING SCHOOL</v>
          </cell>
          <cell r="O1737" t="str">
            <v>26716 NORTH HIGH DESERT DRIVE</v>
          </cell>
          <cell r="P1737" t="str">
            <v>eva.harlow@dvusd.org</v>
          </cell>
          <cell r="Q1737" t="str">
            <v>CDC-12797</v>
          </cell>
          <cell r="AJ1737" t="e">
            <v>#N/A</v>
          </cell>
          <cell r="AK1737" t="str">
            <v>CDC-12797</v>
          </cell>
          <cell r="AL1737" t="str">
            <v>CDC12797</v>
          </cell>
        </row>
        <row r="1738">
          <cell r="N1738" t="str">
            <v>F.E.S.D.#45 - FOWLER HEAD START</v>
          </cell>
          <cell r="O1738" t="str">
            <v>6707 WEST VAN BUREN</v>
          </cell>
          <cell r="P1738" t="str">
            <v>vmedina@fesd.org</v>
          </cell>
          <cell r="Q1738" t="str">
            <v>CDC-13634</v>
          </cell>
          <cell r="AJ1738" t="e">
            <v>#N/A</v>
          </cell>
          <cell r="AK1738" t="str">
            <v>CDC-13634</v>
          </cell>
          <cell r="AL1738" t="str">
            <v>CDC13634</v>
          </cell>
        </row>
        <row r="1739">
          <cell r="N1739" t="str">
            <v>F.E.S.D.#45 - FOWLER HEAD START/ WESTERN VALLEY CHILD CARE CENTER</v>
          </cell>
          <cell r="O1739" t="str">
            <v>6250 WEST DURANGO STREET</v>
          </cell>
          <cell r="P1739" t="str">
            <v>ecamu@fesd.org, vmedina@fesd.org</v>
          </cell>
          <cell r="Q1739" t="str">
            <v>CDC-14433</v>
          </cell>
          <cell r="AJ1739" t="e">
            <v>#N/A</v>
          </cell>
          <cell r="AK1739" t="str">
            <v>CDC-14433</v>
          </cell>
          <cell r="AL1739" t="str">
            <v>CDC14433</v>
          </cell>
        </row>
        <row r="1740">
          <cell r="N1740" t="str">
            <v>F.E.S.D.#45 - HEAD START AT FOWLER ELEMENTARY SCHOOL</v>
          </cell>
          <cell r="O1740" t="str">
            <v>6707 WEST VAN BUREN STREET</v>
          </cell>
          <cell r="P1740" t="str">
            <v>ecamu@fesd.org</v>
          </cell>
          <cell r="Q1740" t="str">
            <v>CDC-15330</v>
          </cell>
          <cell r="AJ1740" t="e">
            <v>#N/A</v>
          </cell>
          <cell r="AK1740" t="str">
            <v>CDC-15330</v>
          </cell>
          <cell r="AL1740" t="str">
            <v>CDC15330</v>
          </cell>
        </row>
        <row r="1741">
          <cell r="N1741" t="str">
            <v>F.E.S.D.#45 - HEAD START AT SUNRIDGE ELEMENTARY SCHOOL</v>
          </cell>
          <cell r="O1741" t="str">
            <v>6244 WEST ROOSEVELT STREET</v>
          </cell>
          <cell r="P1741" t="str">
            <v>vmedina@fesd.org</v>
          </cell>
          <cell r="Q1741" t="str">
            <v>CDC-12294</v>
          </cell>
          <cell r="AJ1741" t="e">
            <v>#N/A</v>
          </cell>
          <cell r="AK1741" t="str">
            <v>CDC-12294</v>
          </cell>
          <cell r="AL1741" t="str">
            <v>CDC12294</v>
          </cell>
        </row>
        <row r="1742">
          <cell r="N1742" t="str">
            <v>F.E.S.D.#45 - PRESCHOOL DEVELOPMENT PROGRAM AT WESTERN VALLEY ELEMENTARY SCHOOL</v>
          </cell>
          <cell r="O1742" t="str">
            <v>6250 WEST DURANGO STREET</v>
          </cell>
          <cell r="P1742" t="str">
            <v>vmedina@fesd.org</v>
          </cell>
          <cell r="Q1742" t="str">
            <v>CDC-17372</v>
          </cell>
          <cell r="AJ1742" t="e">
            <v>#N/A</v>
          </cell>
          <cell r="AK1742" t="str">
            <v>CDC-17372</v>
          </cell>
          <cell r="AL1742" t="str">
            <v>CDC17372</v>
          </cell>
        </row>
        <row r="1743">
          <cell r="N1743" t="str">
            <v>F.E.S.D.#45 - SUN CANYON PRESCHOOL</v>
          </cell>
          <cell r="O1743" t="str">
            <v>8150 WEST DURANGO STREET</v>
          </cell>
          <cell r="P1743" t="str">
            <v>vmedina@fesd.org</v>
          </cell>
          <cell r="Q1743" t="str">
            <v>CDC-17370</v>
          </cell>
          <cell r="AJ1743" t="e">
            <v>#N/A</v>
          </cell>
          <cell r="AK1743" t="str">
            <v>CDC-17370</v>
          </cell>
          <cell r="AL1743" t="str">
            <v>CDC17370</v>
          </cell>
        </row>
        <row r="1744">
          <cell r="N1744" t="str">
            <v>F.E.S.D.#45 - TUSCANO PRESCHOOL</v>
          </cell>
          <cell r="O1744" t="str">
            <v>3850 SOUTH 79TH AVENUE</v>
          </cell>
          <cell r="P1744" t="str">
            <v>vmedina@fesd.org</v>
          </cell>
          <cell r="Q1744" t="str">
            <v>CDC-17371</v>
          </cell>
          <cell r="AJ1744" t="e">
            <v>#N/A</v>
          </cell>
          <cell r="AK1744" t="str">
            <v>CDC-17371</v>
          </cell>
          <cell r="AL1744" t="str">
            <v>CDC17371</v>
          </cell>
        </row>
        <row r="1745">
          <cell r="N1745" t="str">
            <v>F.E.S.D.#45 - WESTERN VALLEY CHILD CARE CENTER</v>
          </cell>
          <cell r="O1745" t="str">
            <v>6250 WEST DURANGO STREET</v>
          </cell>
          <cell r="P1745" t="str">
            <v>ecamu@fesd.org/vmedina@fesd.org</v>
          </cell>
          <cell r="Q1745" t="str">
            <v>CDC-14053</v>
          </cell>
          <cell r="AJ1745" t="e">
            <v>#N/A</v>
          </cell>
          <cell r="AK1745" t="str">
            <v>CDC-14053</v>
          </cell>
          <cell r="AL1745" t="str">
            <v>CDC14053</v>
          </cell>
        </row>
        <row r="1746">
          <cell r="N1746" t="str">
            <v>F.E.S.D.#45 - WESTERN VALLEY CHILD CARE CENTER PRESCHOOL</v>
          </cell>
          <cell r="O1746" t="str">
            <v>6250 WEST DURANGO STREET</v>
          </cell>
          <cell r="P1746" t="str">
            <v>kstewart@fesd.org</v>
          </cell>
          <cell r="Q1746" t="str">
            <v>CDC-14435</v>
          </cell>
          <cell r="AJ1746" t="e">
            <v>#N/A</v>
          </cell>
          <cell r="AK1746" t="str">
            <v>CDC-14435</v>
          </cell>
          <cell r="AL1746" t="str">
            <v>CDC14435</v>
          </cell>
        </row>
        <row r="1747">
          <cell r="N1747" t="str">
            <v>F.E.S.D.#45 - WESTERN VALLEY EXTENDED DAY</v>
          </cell>
          <cell r="O1747" t="str">
            <v>6250 WEST DURANGO STREET</v>
          </cell>
          <cell r="P1747" t="str">
            <v>Vincentmedina@fesd.org</v>
          </cell>
          <cell r="Q1747" t="str">
            <v>CDC-11253</v>
          </cell>
          <cell r="AJ1747" t="e">
            <v>#N/A</v>
          </cell>
          <cell r="AK1747" t="str">
            <v>CDC-11253</v>
          </cell>
          <cell r="AL1747" t="str">
            <v>CDC11253</v>
          </cell>
        </row>
        <row r="1748">
          <cell r="N1748" t="str">
            <v>F.H.U.S.D.#98 - MCDOWELL MOUNTAIN PRE SCHOOL</v>
          </cell>
          <cell r="O1748" t="str">
            <v>14825 NORTH FAYETTE DRIVE</v>
          </cell>
          <cell r="P1748" t="str">
            <v>lcartagine@thacademics.org</v>
          </cell>
          <cell r="Q1748" t="str">
            <v>CDC-6217</v>
          </cell>
          <cell r="AJ1748" t="e">
            <v>#N/A</v>
          </cell>
          <cell r="AK1748" t="str">
            <v>CDC-6217</v>
          </cell>
          <cell r="AL1748" t="str">
            <v>CDC6217</v>
          </cell>
        </row>
        <row r="1749">
          <cell r="N1749" t="str">
            <v>F.U.S.D.#1 - BUILDING BLOCKS</v>
          </cell>
          <cell r="O1749" t="str">
            <v>29895 NORTH DESERT WILLOW BLVD</v>
          </cell>
          <cell r="P1749" t="str">
            <v>hfrazier@fusdaz.org</v>
          </cell>
          <cell r="Q1749" t="str">
            <v>CDC-17366</v>
          </cell>
          <cell r="AJ1749" t="e">
            <v>#N/A</v>
          </cell>
          <cell r="AK1749" t="str">
            <v>CDC-17366</v>
          </cell>
          <cell r="AL1749" t="str">
            <v>CDC17366</v>
          </cell>
        </row>
        <row r="1750">
          <cell r="N1750" t="str">
            <v>F.U.S.D.#1 - BUILDING BLOCKS - FLORENCE</v>
          </cell>
          <cell r="O1750" t="str">
            <v>301 EAST BRADY STREET</v>
          </cell>
          <cell r="P1750" t="str">
            <v>apadilla@fusdaz.org</v>
          </cell>
          <cell r="Q1750" t="str">
            <v>CDC-18928</v>
          </cell>
          <cell r="AJ1750" t="e">
            <v>#N/A</v>
          </cell>
          <cell r="AK1750" t="str">
            <v>CDC-18928</v>
          </cell>
          <cell r="AL1750" t="str">
            <v>CDC18928</v>
          </cell>
        </row>
        <row r="1751">
          <cell r="N1751" t="str">
            <v>F.U.S.D.#1 - CROMER FACTS PROGRAM</v>
          </cell>
          <cell r="O1751" t="str">
            <v>7150 EAST SILVER SADDLE ROAD</v>
          </cell>
          <cell r="P1751" t="str">
            <v>Tdrake@fusd1.org</v>
          </cell>
          <cell r="Q1751" t="str">
            <v>CDC-6424</v>
          </cell>
          <cell r="AJ1751" t="e">
            <v>#N/A</v>
          </cell>
          <cell r="AK1751" t="str">
            <v>CDC-6424</v>
          </cell>
          <cell r="AL1751" t="str">
            <v>CDC6424</v>
          </cell>
        </row>
        <row r="1752">
          <cell r="N1752" t="str">
            <v>F.U.S.D.#1 - DEMIGUEL FACTS</v>
          </cell>
          <cell r="O1752" t="str">
            <v>3500 SOUTH GILLENWATER</v>
          </cell>
          <cell r="P1752" t="str">
            <v>tdrake@fusd1.org</v>
          </cell>
          <cell r="Q1752" t="str">
            <v>CDC-6423</v>
          </cell>
          <cell r="AJ1752" t="e">
            <v>#N/A</v>
          </cell>
          <cell r="AK1752" t="str">
            <v>CDC-6423</v>
          </cell>
          <cell r="AL1752" t="str">
            <v>CDC6423</v>
          </cell>
        </row>
        <row r="1753">
          <cell r="N1753" t="str">
            <v>F.U.S.D.#1 - DINE FAMILY LEARNING CENTER/LEUPP</v>
          </cell>
          <cell r="O1753" t="str">
            <v>40 MILES E OF FLAGSTAFF</v>
          </cell>
          <cell r="P1753" t="str">
            <v>rstaires@fusd1.org</v>
          </cell>
          <cell r="Q1753" t="str">
            <v>CDC-6417</v>
          </cell>
          <cell r="AJ1753" t="e">
            <v>#N/A</v>
          </cell>
          <cell r="AK1753" t="str">
            <v>CDC-6417</v>
          </cell>
          <cell r="AL1753" t="str">
            <v>CDC6417</v>
          </cell>
        </row>
        <row r="1754">
          <cell r="N1754" t="str">
            <v>F.U.S.D.#1 - EAGLES CREST CHILD ENRICHMENT CENTER</v>
          </cell>
          <cell r="O1754" t="str">
            <v>400 WEST ELM AVENUE</v>
          </cell>
          <cell r="P1754" t="str">
            <v>dking@fusd1.org</v>
          </cell>
          <cell r="Q1754" t="str">
            <v>CDC-6240</v>
          </cell>
          <cell r="AJ1754" t="e">
            <v>#N/A</v>
          </cell>
          <cell r="AK1754" t="str">
            <v>CDC-6240</v>
          </cell>
          <cell r="AL1754" t="str">
            <v>CDC6240</v>
          </cell>
        </row>
        <row r="1755">
          <cell r="N1755" t="str">
            <v>F.U.S.D.#1 - KILLIP FACTS FAM.LIT. CTR/P</v>
          </cell>
          <cell r="O1755" t="str">
            <v>2300 EAST 6TH AVENUE</v>
          </cell>
          <cell r="P1755" t="str">
            <v>astapley@fusd1.org</v>
          </cell>
          <cell r="Q1755" t="str">
            <v>CDC-6415</v>
          </cell>
          <cell r="AJ1755" t="e">
            <v>#N/A</v>
          </cell>
          <cell r="AK1755" t="str">
            <v>CDC-6415</v>
          </cell>
          <cell r="AL1755" t="str">
            <v>CDC6415</v>
          </cell>
        </row>
        <row r="1756">
          <cell r="N1756" t="str">
            <v>F.U.S.D.#1 - KINSEY FACTS PROGRAM</v>
          </cell>
          <cell r="O1756" t="str">
            <v>1601 SOUTH LONE TREE</v>
          </cell>
          <cell r="P1756" t="str">
            <v>ademarco@fusd1.org</v>
          </cell>
          <cell r="Q1756" t="str">
            <v>CDC-6422</v>
          </cell>
          <cell r="AJ1756" t="e">
            <v>#N/A</v>
          </cell>
          <cell r="AK1756" t="str">
            <v>CDC-6422</v>
          </cell>
          <cell r="AL1756" t="str">
            <v>CDC6422</v>
          </cell>
        </row>
        <row r="1757">
          <cell r="N1757" t="str">
            <v>F.U.S.D.#1 - KNOLES FACTS PROGRAM</v>
          </cell>
          <cell r="O1757" t="str">
            <v>4005 EAST BUTLER AVENUE</v>
          </cell>
          <cell r="P1757" t="str">
            <v>tdrake@fusd1.org</v>
          </cell>
          <cell r="Q1757" t="str">
            <v>CDC-6421</v>
          </cell>
          <cell r="AJ1757" t="e">
            <v>#N/A</v>
          </cell>
          <cell r="AK1757" t="str">
            <v>CDC-6421</v>
          </cell>
          <cell r="AL1757" t="str">
            <v>CDC6421</v>
          </cell>
        </row>
        <row r="1758">
          <cell r="N1758" t="str">
            <v>F.U.S.D.#1 - LITTLE ROPERS CENTER/PUENTA DE HOZHO</v>
          </cell>
          <cell r="O1758" t="str">
            <v>3950 EAST BUTLER AVENUE</v>
          </cell>
          <cell r="P1758" t="str">
            <v>littleropers@fusd1.org</v>
          </cell>
          <cell r="Q1758" t="str">
            <v>CDC-8397</v>
          </cell>
          <cell r="AJ1758" t="e">
            <v>#N/A</v>
          </cell>
          <cell r="AK1758" t="str">
            <v>CDC-8397</v>
          </cell>
          <cell r="AL1758" t="str">
            <v>CDC8397</v>
          </cell>
        </row>
        <row r="1759">
          <cell r="N1759" t="str">
            <v>F.U.S.D.#1 - MARSHALL F.A.C.T.S.</v>
          </cell>
          <cell r="O1759" t="str">
            <v>850 NORTH BONITO</v>
          </cell>
          <cell r="P1759" t="str">
            <v>astapley@fusd1.org</v>
          </cell>
          <cell r="Q1759" t="str">
            <v>CDC-6416</v>
          </cell>
          <cell r="AJ1759" t="e">
            <v>#N/A</v>
          </cell>
          <cell r="AK1759" t="str">
            <v>CDC-6416</v>
          </cell>
          <cell r="AL1759" t="str">
            <v>CDC6416</v>
          </cell>
        </row>
        <row r="1760">
          <cell r="N1760" t="str">
            <v>F.U.S.D.#1 - SECHRIST FACTS PROGRAM/INTEGRATED PRE</v>
          </cell>
          <cell r="O1760" t="str">
            <v>2230 NORTH FORT VALLEY ROAD</v>
          </cell>
          <cell r="P1760" t="str">
            <v>astapley@fusd1.org</v>
          </cell>
          <cell r="Q1760" t="str">
            <v>CDC-6420</v>
          </cell>
          <cell r="AJ1760" t="e">
            <v>#N/A</v>
          </cell>
          <cell r="AK1760" t="str">
            <v>CDC-6420</v>
          </cell>
          <cell r="AL1760" t="str">
            <v>CDC6420</v>
          </cell>
        </row>
        <row r="1761">
          <cell r="N1761" t="str">
            <v>F.U.S.D.#1 - THOMAS FACTS PROGRAM</v>
          </cell>
          <cell r="O1761" t="str">
            <v>3330 EAST LOCKETT ROAD</v>
          </cell>
          <cell r="P1761" t="str">
            <v>tdrake1@fusd1.org</v>
          </cell>
          <cell r="Q1761" t="str">
            <v>CDC-6418</v>
          </cell>
          <cell r="AJ1761" t="e">
            <v>#N/A</v>
          </cell>
          <cell r="AK1761" t="str">
            <v>CDC-6418</v>
          </cell>
          <cell r="AL1761" t="str">
            <v>CDC6418</v>
          </cell>
        </row>
        <row r="1762">
          <cell r="N1762" t="str">
            <v>F.U.S.D.#1 - WEITZEL FACTS/PUENTE DE HOZHO</v>
          </cell>
          <cell r="O1762" t="str">
            <v>3401 NORTH 4TH STREET</v>
          </cell>
          <cell r="P1762" t="str">
            <v>tdrake@fusd1.org</v>
          </cell>
          <cell r="Q1762" t="str">
            <v>CDC-6419</v>
          </cell>
          <cell r="AJ1762" t="e">
            <v>#N/A</v>
          </cell>
          <cell r="AK1762" t="str">
            <v>CDC-6419</v>
          </cell>
          <cell r="AL1762" t="str">
            <v>CDC6419</v>
          </cell>
        </row>
        <row r="1763">
          <cell r="N1763" t="str">
            <v>F.W.U.S.D.#8 - EMILY MESCHTER EARLY LEARNING CENTER</v>
          </cell>
          <cell r="O1763" t="str">
            <v>4605 NORTH LA CHOLLA</v>
          </cell>
          <cell r="P1763" t="str">
            <v>susan.olson-shinn@fwusd.org</v>
          </cell>
          <cell r="Q1763" t="str">
            <v>CDC-15380</v>
          </cell>
          <cell r="AJ1763">
            <v>79249</v>
          </cell>
          <cell r="AK1763" t="str">
            <v>CDC-15380</v>
          </cell>
          <cell r="AL1763" t="str">
            <v>CDC15380</v>
          </cell>
        </row>
        <row r="1764">
          <cell r="N1764" t="str">
            <v>G.B.S.D.#24 - GILA BEND SCHOOL DISTRICT PRESCHOOL</v>
          </cell>
          <cell r="O1764" t="str">
            <v>308 NORTH MARTIN AVENUE</v>
          </cell>
          <cell r="P1764" t="str">
            <v>richardm@gbusd.org</v>
          </cell>
          <cell r="Q1764" t="str">
            <v>CDC-12323</v>
          </cell>
          <cell r="AJ1764" t="e">
            <v>#N/A</v>
          </cell>
          <cell r="AK1764" t="str">
            <v>CDC-12323</v>
          </cell>
          <cell r="AL1764" t="str">
            <v>CDC12323</v>
          </cell>
        </row>
        <row r="1765">
          <cell r="N1765" t="str">
            <v>G.C.U.S.D.#4 - GRAND CANYON PRESCHOOL</v>
          </cell>
          <cell r="O1765" t="str">
            <v>100 BOULDER STREET</v>
          </cell>
          <cell r="P1765" t="str">
            <v>klehman@grandcanyonschool.org</v>
          </cell>
          <cell r="Q1765" t="str">
            <v>CDC-18779</v>
          </cell>
          <cell r="AJ1765" t="e">
            <v>#N/A</v>
          </cell>
          <cell r="AK1765" t="str">
            <v>CDC-18779</v>
          </cell>
          <cell r="AL1765" t="str">
            <v>CDC18779</v>
          </cell>
        </row>
        <row r="1766">
          <cell r="N1766" t="str">
            <v>G.E.S.D.#32 - SAN LUIS PRESCHOOL</v>
          </cell>
          <cell r="O1766" t="str">
            <v>1055 NORTH MAIN STREET</v>
          </cell>
          <cell r="P1766" t="str">
            <v>tgalvan@gesd32.org</v>
          </cell>
          <cell r="Q1766" t="str">
            <v>CDC-6931</v>
          </cell>
          <cell r="AJ1766" t="e">
            <v>#N/A</v>
          </cell>
          <cell r="AK1766" t="str">
            <v>CDC-6931</v>
          </cell>
          <cell r="AL1766" t="str">
            <v>CDC6931</v>
          </cell>
        </row>
        <row r="1767">
          <cell r="N1767" t="str">
            <v>G.E.S.D.#40 - BICENTENNIAL SOUTH COMMUNITY ED/ EXTENDED DAY</v>
          </cell>
          <cell r="O1767" t="str">
            <v>7240 WEST COLTER STREET</v>
          </cell>
          <cell r="P1767" t="str">
            <v>Jhecht@gesd40.org, lmiele@gesd40.org</v>
          </cell>
          <cell r="Q1767" t="str">
            <v>CDC-7181</v>
          </cell>
          <cell r="AJ1767" t="e">
            <v>#N/A</v>
          </cell>
          <cell r="AK1767" t="str">
            <v>CDC-7181</v>
          </cell>
          <cell r="AL1767" t="str">
            <v>CDC7181</v>
          </cell>
        </row>
        <row r="1768">
          <cell r="N1768" t="str">
            <v>G.E.S.D.#40 - COYOTE RIDGE EXTENDED DAY</v>
          </cell>
          <cell r="O1768" t="str">
            <v>7677 WEST BETHANY HOME ROAD</v>
          </cell>
          <cell r="P1768" t="str">
            <v>imiele@gesd40.org</v>
          </cell>
          <cell r="Q1768" t="str">
            <v>CDC-17767</v>
          </cell>
          <cell r="AJ1768" t="e">
            <v>#N/A</v>
          </cell>
          <cell r="AK1768" t="str">
            <v>CDC-17767</v>
          </cell>
          <cell r="AL1768" t="str">
            <v>CDC17767</v>
          </cell>
        </row>
        <row r="1769">
          <cell r="N1769" t="str">
            <v>G.E.S.D.#40 - DESERT GARDEN COMMUNITY ED PRESCHOOL</v>
          </cell>
          <cell r="O1769" t="str">
            <v>7020 WEST OCOTILLO ROAD</v>
          </cell>
          <cell r="P1769" t="str">
            <v>jhecht@gesd40.org</v>
          </cell>
          <cell r="Q1769" t="str">
            <v>CDC-7180</v>
          </cell>
          <cell r="AJ1769" t="e">
            <v>#N/A</v>
          </cell>
          <cell r="AK1769" t="str">
            <v>CDC-7180</v>
          </cell>
          <cell r="AL1769" t="str">
            <v>CDC7180</v>
          </cell>
        </row>
        <row r="1770">
          <cell r="N1770" t="str">
            <v>G.E.S.D.#40 - GLENDALE AMERICAN SCHOOL COMMUNITY ED. / EXTENDED DAY</v>
          </cell>
          <cell r="O1770" t="str">
            <v>8530 NORTH 55TH AVENUE</v>
          </cell>
          <cell r="P1770" t="str">
            <v>jhecht@gesd40.org, lmiele@gesd40.org</v>
          </cell>
          <cell r="Q1770" t="str">
            <v>CDC-6355</v>
          </cell>
          <cell r="AJ1770" t="e">
            <v>#N/A</v>
          </cell>
          <cell r="AK1770" t="str">
            <v>CDC-6355</v>
          </cell>
          <cell r="AL1770" t="str">
            <v>CDC6355</v>
          </cell>
        </row>
        <row r="1771">
          <cell r="N1771" t="str">
            <v>G.E.S.D.#40 - HORIZON EXTENDED DAY</v>
          </cell>
          <cell r="O1771" t="str">
            <v>8520 NORTH 47TH AVENUE</v>
          </cell>
          <cell r="P1771" t="str">
            <v>lmiele@gesd40.org</v>
          </cell>
          <cell r="Q1771" t="str">
            <v>CDC-6621</v>
          </cell>
          <cell r="AJ1771" t="e">
            <v>#N/A</v>
          </cell>
          <cell r="AK1771" t="str">
            <v>CDC-6621</v>
          </cell>
          <cell r="AL1771" t="str">
            <v>CDC6621</v>
          </cell>
        </row>
        <row r="1772">
          <cell r="N1772" t="str">
            <v>G.E.S.D.#40 - ISAAC E. IMES PRESCHOOL</v>
          </cell>
          <cell r="O1772" t="str">
            <v>6625 NORTH 56TH  AVENUE</v>
          </cell>
          <cell r="P1772" t="str">
            <v>jhecht@gesd40.org, zperez@gesd40.org</v>
          </cell>
          <cell r="Q1772" t="str">
            <v>CDC-7179</v>
          </cell>
          <cell r="AJ1772" t="e">
            <v>#N/A</v>
          </cell>
          <cell r="AK1772" t="str">
            <v>CDC-7179</v>
          </cell>
          <cell r="AL1772" t="str">
            <v>CDC7179</v>
          </cell>
        </row>
        <row r="1773">
          <cell r="N1773" t="str">
            <v>G.E.S.D.#40 - SINE COMMUNITY EDUCATION PRESCHOOL</v>
          </cell>
          <cell r="O1773" t="str">
            <v>4932 WEST MYRTLE AVENUE</v>
          </cell>
          <cell r="P1773" t="str">
            <v>jhecht@gesd40.org</v>
          </cell>
          <cell r="Q1773" t="str">
            <v>CDC-6221</v>
          </cell>
          <cell r="AJ1773" t="e">
            <v>#N/A</v>
          </cell>
          <cell r="AK1773" t="str">
            <v>CDC-6221</v>
          </cell>
          <cell r="AL1773" t="str">
            <v>CDC6221</v>
          </cell>
        </row>
        <row r="1774">
          <cell r="N1774" t="str">
            <v>G.E.S.D.#40 - SUNSET VISTA COMMUNITY ED. / EXTENDED DAY</v>
          </cell>
          <cell r="O1774" t="str">
            <v>7775 WEST ORANGEWOOD AVENUE</v>
          </cell>
          <cell r="P1774" t="str">
            <v>lmiele@gesd40.org</v>
          </cell>
          <cell r="Q1774" t="str">
            <v>CDC-15108</v>
          </cell>
          <cell r="AJ1774" t="e">
            <v>#N/A</v>
          </cell>
          <cell r="AK1774" t="str">
            <v>CDC-15108</v>
          </cell>
          <cell r="AL1774" t="str">
            <v>CDC15108</v>
          </cell>
        </row>
        <row r="1775">
          <cell r="N1775" t="str">
            <v>G.P.S. - ASHLAND RANCH ELEMENTARY</v>
          </cell>
          <cell r="O1775" t="str">
            <v>1945 SOUTH ASHLAND RANCH ROAD</v>
          </cell>
          <cell r="P1775" t="str">
            <v>eric.dactyl@gilbertschools.net</v>
          </cell>
          <cell r="Q1775" t="str">
            <v>CDC-9583</v>
          </cell>
          <cell r="AJ1775" t="e">
            <v>#N/A</v>
          </cell>
          <cell r="AK1775" t="str">
            <v>CDC-9583</v>
          </cell>
          <cell r="AL1775" t="str">
            <v>CDC9583</v>
          </cell>
        </row>
        <row r="1776">
          <cell r="N1776" t="str">
            <v>G.P.S. - AUGUSTA RANCH ELEMENTARY</v>
          </cell>
          <cell r="O1776" t="str">
            <v>9430 EAST NEVILLE AVENUE</v>
          </cell>
          <cell r="P1776" t="str">
            <v>jack.barnes@gilbertschools.net</v>
          </cell>
          <cell r="Q1776" t="str">
            <v>CDC-9594</v>
          </cell>
          <cell r="AJ1776" t="e">
            <v>#N/A</v>
          </cell>
          <cell r="AK1776" t="str">
            <v>CDC-9594</v>
          </cell>
          <cell r="AL1776" t="str">
            <v>CDC9594</v>
          </cell>
        </row>
        <row r="1777">
          <cell r="N1777" t="str">
            <v>G.P.S. - BOULDER CREEK ELEMENTARY</v>
          </cell>
          <cell r="O1777" t="str">
            <v>8045 EAST PORTOBELLO AVENUE</v>
          </cell>
          <cell r="P1777" t="str">
            <v>cindy.Delrosa@gilbertschools.net</v>
          </cell>
          <cell r="Q1777" t="str">
            <v>CDC-9545</v>
          </cell>
          <cell r="AJ1777" t="e">
            <v>#N/A</v>
          </cell>
          <cell r="AK1777" t="str">
            <v>CDC-9545</v>
          </cell>
          <cell r="AL1777" t="str">
            <v>CDC9545</v>
          </cell>
        </row>
        <row r="1778">
          <cell r="N1778" t="str">
            <v>G.P.S. - BURK ELEMENTARY</v>
          </cell>
          <cell r="O1778" t="str">
            <v>545 NORTH BURK STREET</v>
          </cell>
          <cell r="P1778" t="str">
            <v>Blake.conrad@gilbertschools.net</v>
          </cell>
          <cell r="Q1778" t="str">
            <v>CDC-15629</v>
          </cell>
          <cell r="AJ1778" t="e">
            <v>#N/A</v>
          </cell>
          <cell r="AK1778" t="str">
            <v>CDC-15629</v>
          </cell>
          <cell r="AL1778" t="str">
            <v>CDC15629</v>
          </cell>
        </row>
        <row r="1779">
          <cell r="N1779" t="str">
            <v>G.P.S. - CAMPO VERDE HIGH SCHOOL- TOYBOX</v>
          </cell>
          <cell r="O1779" t="str">
            <v>3870 SOUTH QUARTZ STREET</v>
          </cell>
          <cell r="P1779" t="str">
            <v>heidi.resh@gilbertschools.net</v>
          </cell>
          <cell r="Q1779" t="str">
            <v>CDC-14953</v>
          </cell>
          <cell r="AJ1779" t="e">
            <v>#N/A</v>
          </cell>
          <cell r="AK1779" t="str">
            <v>CDC-14953</v>
          </cell>
          <cell r="AL1779" t="str">
            <v>CDC14953</v>
          </cell>
        </row>
        <row r="1780">
          <cell r="N1780" t="str">
            <v>G.P.S. - CANYON RIM ELEMENTARY</v>
          </cell>
          <cell r="O1780" t="str">
            <v>3045 SOUTH CANYON RIM ROAD</v>
          </cell>
          <cell r="P1780" t="str">
            <v>kristenstolzmann@gilbertschools.net</v>
          </cell>
          <cell r="Q1780" t="str">
            <v>CDC-10078</v>
          </cell>
          <cell r="AJ1780" t="e">
            <v>#N/A</v>
          </cell>
          <cell r="AK1780" t="str">
            <v>CDC-10078</v>
          </cell>
          <cell r="AL1780" t="str">
            <v>CDC10078</v>
          </cell>
        </row>
        <row r="1781">
          <cell r="N1781" t="str">
            <v>G.P.S. - CAROL RAE RANCH ELEMENTARY</v>
          </cell>
          <cell r="O1781" t="str">
            <v>3777 EAST HOUSTON AVENUE</v>
          </cell>
          <cell r="P1781" t="str">
            <v>kristinstoltzmann@gilbertschools.net</v>
          </cell>
          <cell r="Q1781" t="str">
            <v>CDC-10173</v>
          </cell>
          <cell r="AJ1781" t="e">
            <v>#N/A</v>
          </cell>
          <cell r="AK1781" t="str">
            <v>CDC-10173</v>
          </cell>
          <cell r="AL1781" t="str">
            <v>CDC10173</v>
          </cell>
        </row>
        <row r="1782">
          <cell r="N1782" t="str">
            <v>G.P.S. - DESERT RIDGE HIGH TOY BOX PRESCHOOL</v>
          </cell>
          <cell r="O1782" t="str">
            <v>10045 EAST MADERO AVENUE</v>
          </cell>
          <cell r="P1782" t="str">
            <v>jasey.capron@gilbertschools.net</v>
          </cell>
          <cell r="Q1782" t="str">
            <v>CDC-14800</v>
          </cell>
          <cell r="AJ1782" t="e">
            <v>#N/A</v>
          </cell>
          <cell r="AK1782" t="str">
            <v>CDC-14800</v>
          </cell>
          <cell r="AL1782" t="str">
            <v>CDC14800</v>
          </cell>
        </row>
        <row r="1783">
          <cell r="N1783" t="str">
            <v>G.P.S. - FINLEY FARMS ELEMENTARY</v>
          </cell>
          <cell r="O1783" t="str">
            <v>375 SOUTH COLUMBUS DRIVE</v>
          </cell>
          <cell r="P1783" t="str">
            <v>eric.dactyl@gilbertschools.net</v>
          </cell>
          <cell r="Q1783" t="str">
            <v>CDC-9544</v>
          </cell>
          <cell r="AJ1783" t="e">
            <v>#N/A</v>
          </cell>
          <cell r="AK1783" t="str">
            <v>CDC-9544</v>
          </cell>
          <cell r="AL1783" t="str">
            <v>CDC9544</v>
          </cell>
        </row>
        <row r="1784">
          <cell r="N1784" t="str">
            <v>G.P.S. - GILBERT ELEMENTARY</v>
          </cell>
          <cell r="O1784" t="str">
            <v>175 WEST ELLIOT ROAD</v>
          </cell>
          <cell r="P1784" t="str">
            <v>jack.barnes@gilbertschools.net</v>
          </cell>
          <cell r="Q1784" t="str">
            <v>CDC-15947</v>
          </cell>
          <cell r="AJ1784" t="e">
            <v>#N/A</v>
          </cell>
          <cell r="AK1784" t="str">
            <v>CDC-15947</v>
          </cell>
          <cell r="AL1784" t="str">
            <v>CDC15947</v>
          </cell>
        </row>
        <row r="1785">
          <cell r="N1785" t="str">
            <v>G.P.S. - GILBERT HIGH SCHOOL TOYBOX</v>
          </cell>
          <cell r="O1785" t="str">
            <v>1101 EAST ELLIOT ROAD</v>
          </cell>
          <cell r="P1785" t="str">
            <v>connie.rowley@gilbertschools.net</v>
          </cell>
          <cell r="Q1785" t="str">
            <v>CDC-6063</v>
          </cell>
          <cell r="AJ1785" t="e">
            <v>#N/A</v>
          </cell>
          <cell r="AK1785" t="str">
            <v>CDC-6063</v>
          </cell>
          <cell r="AL1785" t="str">
            <v>CDC6063</v>
          </cell>
        </row>
        <row r="1786">
          <cell r="N1786" t="str">
            <v>G.P.S. - GREENFIELD ELEMENTARY</v>
          </cell>
          <cell r="O1786" t="str">
            <v>2550 EAST ELLIOT ROAD</v>
          </cell>
          <cell r="P1786" t="str">
            <v>kristin.stoltzmann@gilbertschools.net</v>
          </cell>
          <cell r="Q1786" t="str">
            <v>CDC-10260</v>
          </cell>
          <cell r="AJ1786" t="e">
            <v>#N/A</v>
          </cell>
          <cell r="AK1786" t="str">
            <v>CDC-10260</v>
          </cell>
          <cell r="AL1786" t="str">
            <v>CDC10260</v>
          </cell>
        </row>
        <row r="1787">
          <cell r="N1787" t="str">
            <v>G.P.S. - HIGHLAND HIGH SCHOOL - TOYBOX</v>
          </cell>
          <cell r="O1787" t="str">
            <v>4301 EAST GUADALUPE ROAD</v>
          </cell>
          <cell r="P1787" t="str">
            <v>gloria.roberts@gilbertschools.net</v>
          </cell>
          <cell r="Q1787" t="str">
            <v>CDC-6243</v>
          </cell>
          <cell r="AJ1787" t="e">
            <v>#N/A</v>
          </cell>
          <cell r="AK1787" t="str">
            <v>CDC-6243</v>
          </cell>
          <cell r="AL1787" t="str">
            <v>CDC6243</v>
          </cell>
        </row>
        <row r="1788">
          <cell r="N1788" t="str">
            <v>G.P.S. - HIGHLAND PARK ELEMENTARY</v>
          </cell>
          <cell r="O1788" t="str">
            <v>230 NORTH COLE DRIVE</v>
          </cell>
          <cell r="P1788" t="str">
            <v>annette.watt@gilbertschools.net</v>
          </cell>
          <cell r="Q1788" t="str">
            <v>CDC-12833</v>
          </cell>
          <cell r="AJ1788" t="e">
            <v>#N/A</v>
          </cell>
          <cell r="AK1788" t="str">
            <v>CDC-12833</v>
          </cell>
          <cell r="AL1788" t="str">
            <v>CDC12833</v>
          </cell>
        </row>
        <row r="1789">
          <cell r="N1789" t="str">
            <v>G.P.S. - HOUSTON ELEMENTARY</v>
          </cell>
          <cell r="O1789" t="str">
            <v>500 EAST HOUSTON AVENUE</v>
          </cell>
          <cell r="P1789" t="str">
            <v>kristin.stoltzmann@gilbertschools.net</v>
          </cell>
          <cell r="Q1789" t="str">
            <v>CDC-9582</v>
          </cell>
          <cell r="AJ1789" t="e">
            <v>#N/A</v>
          </cell>
          <cell r="AK1789" t="str">
            <v>CDC-9582</v>
          </cell>
          <cell r="AL1789" t="str">
            <v>CDC9582</v>
          </cell>
        </row>
        <row r="1790">
          <cell r="N1790" t="str">
            <v>G.P.S. - ISLANDS ELEMENTARY</v>
          </cell>
          <cell r="O1790" t="str">
            <v>245 SOUTH MCQUEEN ROAD</v>
          </cell>
          <cell r="P1790" t="str">
            <v>eric.dactyl@gilbertschools.net</v>
          </cell>
          <cell r="Q1790" t="str">
            <v>CDC-10080</v>
          </cell>
          <cell r="AJ1790" t="e">
            <v>#N/A</v>
          </cell>
          <cell r="AK1790" t="str">
            <v>CDC-10080</v>
          </cell>
          <cell r="AL1790" t="str">
            <v>CDC10080</v>
          </cell>
        </row>
        <row r="1791">
          <cell r="N1791" t="str">
            <v>G.P.S. - MERIDIAN ELEMENTARY - COMMUNITY EDUCATION</v>
          </cell>
          <cell r="O1791" t="str">
            <v>3900 SOUTH MOUNTAIN ROAD</v>
          </cell>
          <cell r="P1791" t="str">
            <v>cindy.delrosal@gilbertschools.net</v>
          </cell>
          <cell r="Q1791" t="str">
            <v>CDC-12303</v>
          </cell>
          <cell r="AJ1791" t="e">
            <v>#N/A</v>
          </cell>
          <cell r="AK1791" t="str">
            <v>CDC-12303</v>
          </cell>
          <cell r="AL1791" t="str">
            <v>CDC12303</v>
          </cell>
        </row>
        <row r="1792">
          <cell r="N1792" t="str">
            <v>G.P.S. - MESQUITE ELEMENTARY</v>
          </cell>
          <cell r="O1792" t="str">
            <v>1000 EAST MESQUITE STREET</v>
          </cell>
          <cell r="P1792" t="str">
            <v>Jack.barnes@gilbertschools.net</v>
          </cell>
          <cell r="Q1792" t="str">
            <v>CDC-9547</v>
          </cell>
          <cell r="AJ1792" t="e">
            <v>#N/A</v>
          </cell>
          <cell r="AK1792" t="str">
            <v>CDC-9547</v>
          </cell>
          <cell r="AL1792" t="str">
            <v>CDC9547</v>
          </cell>
        </row>
        <row r="1793">
          <cell r="N1793" t="str">
            <v>G.P.S. - MESQUITE HIGH SCHOOL TOYBOX</v>
          </cell>
          <cell r="O1793" t="str">
            <v>500 SOUTH MCQUEEN ROAD</v>
          </cell>
          <cell r="P1793" t="str">
            <v>stephanie.higgins@gilbertschools.net</v>
          </cell>
          <cell r="Q1793" t="str">
            <v>CDC-8182</v>
          </cell>
          <cell r="AJ1793" t="e">
            <v>#N/A</v>
          </cell>
          <cell r="AK1793" t="str">
            <v>CDC-8182</v>
          </cell>
          <cell r="AL1793" t="str">
            <v>CDC8182</v>
          </cell>
        </row>
        <row r="1794">
          <cell r="N1794" t="str">
            <v>G.P.S. - NEELY TRADITIONAL ACADEMY</v>
          </cell>
          <cell r="O1794" t="str">
            <v>321 WEST JUNIPER AVENUE</v>
          </cell>
          <cell r="P1794" t="str">
            <v>kristin.stoltzmann@gilbertschools.net</v>
          </cell>
          <cell r="Q1794" t="str">
            <v>CDC-9586</v>
          </cell>
          <cell r="AJ1794" t="e">
            <v>#N/A</v>
          </cell>
          <cell r="AK1794" t="str">
            <v>CDC-9586</v>
          </cell>
          <cell r="AL1794" t="str">
            <v>CDC9586</v>
          </cell>
        </row>
        <row r="1795">
          <cell r="N1795" t="str">
            <v>G.P.S. - OAK TREE ELEMENTARY</v>
          </cell>
          <cell r="O1795" t="str">
            <v>505 WEST HOUSTON AVENUE</v>
          </cell>
          <cell r="P1795" t="str">
            <v>kristin.stoltzmann@gilbertschool.net</v>
          </cell>
          <cell r="Q1795" t="str">
            <v>CDC-9548</v>
          </cell>
          <cell r="AJ1795" t="e">
            <v>#N/A</v>
          </cell>
          <cell r="AK1795" t="str">
            <v>CDC-9548</v>
          </cell>
          <cell r="AL1795" t="str">
            <v>CDC9548</v>
          </cell>
        </row>
        <row r="1796">
          <cell r="N1796" t="str">
            <v>G.P.S. - PATTERSON ELEMENTARY SCHOOL</v>
          </cell>
          <cell r="O1796" t="str">
            <v>1211 EAST GUADALUPE ROAD</v>
          </cell>
          <cell r="P1796" t="str">
            <v>blake.conrad@gilbertschool.net</v>
          </cell>
          <cell r="Q1796" t="str">
            <v>CDC-8958</v>
          </cell>
          <cell r="AJ1796" t="e">
            <v>#N/A</v>
          </cell>
          <cell r="AK1796" t="str">
            <v>CDC-8958</v>
          </cell>
          <cell r="AL1796" t="str">
            <v>CDC8958</v>
          </cell>
        </row>
        <row r="1797">
          <cell r="N1797" t="str">
            <v>G.P.S. - PIONEER ELEMENTARY</v>
          </cell>
          <cell r="O1797" t="str">
            <v>1535 NORTH GREENFIELD ROAD</v>
          </cell>
          <cell r="P1797" t="str">
            <v>annette.watt@gilbertschools.net</v>
          </cell>
          <cell r="Q1797" t="str">
            <v>CDC-9584</v>
          </cell>
          <cell r="AJ1797" t="e">
            <v>#N/A</v>
          </cell>
          <cell r="AK1797" t="str">
            <v>CDC-9584</v>
          </cell>
          <cell r="AL1797" t="str">
            <v>CDC9584</v>
          </cell>
        </row>
        <row r="1798">
          <cell r="N1798" t="str">
            <v>G.P.S. - PLAYA DEL REY ELEMENTARY</v>
          </cell>
          <cell r="O1798" t="str">
            <v>550 NORTH HORNE STREET</v>
          </cell>
          <cell r="P1798" t="str">
            <v>kristinstoltzman@gilbertschools.net</v>
          </cell>
          <cell r="Q1798" t="str">
            <v>CDC-9546</v>
          </cell>
          <cell r="AJ1798" t="e">
            <v>#N/A</v>
          </cell>
          <cell r="AK1798" t="str">
            <v>CDC-9546</v>
          </cell>
          <cell r="AL1798" t="str">
            <v>CDC9546</v>
          </cell>
        </row>
        <row r="1799">
          <cell r="N1799" t="str">
            <v>G.P.S. - QUARTZ HILL ELEMENTARY</v>
          </cell>
          <cell r="O1799" t="str">
            <v>3680 SOUTH QUARTZ HILL</v>
          </cell>
          <cell r="P1799" t="str">
            <v>pattyglover@gilbertschool.net</v>
          </cell>
          <cell r="Q1799" t="str">
            <v>CDC-13670</v>
          </cell>
          <cell r="AJ1799" t="e">
            <v>#N/A</v>
          </cell>
          <cell r="AK1799" t="str">
            <v>CDC-13670</v>
          </cell>
          <cell r="AL1799" t="str">
            <v>CDC13670</v>
          </cell>
        </row>
        <row r="1800">
          <cell r="N1800" t="str">
            <v>G.P.S. - SETTLER'S POINT ELEMENTARY</v>
          </cell>
          <cell r="O1800" t="str">
            <v>423 EAST SETTLERS POINT DRIVE</v>
          </cell>
          <cell r="P1800" t="str">
            <v>julie.stockton@gilbertschools.net</v>
          </cell>
          <cell r="Q1800" t="str">
            <v>CDC-9551</v>
          </cell>
          <cell r="AJ1800" t="e">
            <v>#N/A</v>
          </cell>
          <cell r="AK1800" t="str">
            <v>CDC-9551</v>
          </cell>
          <cell r="AL1800" t="str">
            <v>CDC9551</v>
          </cell>
        </row>
        <row r="1801">
          <cell r="N1801" t="str">
            <v>G.P.S. - SONOMA RANCH ELEMENTARY</v>
          </cell>
          <cell r="O1801" t="str">
            <v>601 NORTH KEY BISCAYNE DRIVE</v>
          </cell>
          <cell r="P1801" t="str">
            <v>kristinstoltzman@gilbertschools.net</v>
          </cell>
          <cell r="Q1801" t="str">
            <v>CDC-9550</v>
          </cell>
          <cell r="AJ1801" t="e">
            <v>#N/A</v>
          </cell>
          <cell r="AK1801" t="str">
            <v>CDC-9550</v>
          </cell>
          <cell r="AL1801" t="str">
            <v>CDC9550</v>
          </cell>
        </row>
        <row r="1802">
          <cell r="N1802" t="str">
            <v>G.P.S. - SPECTRUM ELEMENTARY SCHOOL</v>
          </cell>
          <cell r="O1802" t="str">
            <v>2846 SOUTH SPECTRUM WAY</v>
          </cell>
          <cell r="P1802" t="str">
            <v>julie.stockton@gilbertschools.net</v>
          </cell>
          <cell r="Q1802" t="str">
            <v>CDC-10747</v>
          </cell>
          <cell r="AJ1802" t="e">
            <v>#N/A</v>
          </cell>
          <cell r="AK1802" t="str">
            <v>CDC-10747</v>
          </cell>
          <cell r="AL1802" t="str">
            <v>CDC10747</v>
          </cell>
        </row>
        <row r="1803">
          <cell r="N1803" t="str">
            <v>G.P.S. - SUPERSTITION SPRINGS ELEMENTARY</v>
          </cell>
          <cell r="O1803" t="str">
            <v>7125 EAST MONTEREY AVENUE</v>
          </cell>
          <cell r="P1803" t="str">
            <v>viksuperspring@gilbertschools.net</v>
          </cell>
          <cell r="Q1803" t="str">
            <v>CDC-16320</v>
          </cell>
          <cell r="AJ1803" t="e">
            <v>#N/A</v>
          </cell>
          <cell r="AK1803" t="str">
            <v>CDC-16320</v>
          </cell>
          <cell r="AL1803" t="str">
            <v>CDC16320</v>
          </cell>
        </row>
        <row r="1804">
          <cell r="N1804" t="str">
            <v>G.P.S. - TOWNE MEADOWS ELEMENTARY</v>
          </cell>
          <cell r="O1804" t="str">
            <v>1101 NORTH RECKER ROAD</v>
          </cell>
          <cell r="P1804" t="str">
            <v>cindydelrosa@gilbertschools.net</v>
          </cell>
          <cell r="Q1804" t="str">
            <v>CDC-9595</v>
          </cell>
          <cell r="AJ1804" t="e">
            <v>#N/A</v>
          </cell>
          <cell r="AK1804" t="str">
            <v>CDC-9595</v>
          </cell>
          <cell r="AL1804" t="str">
            <v>CDC9595</v>
          </cell>
        </row>
        <row r="1805">
          <cell r="N1805" t="str">
            <v>G.P.S. - VAL VISTA LAKES ELEMENTARY</v>
          </cell>
          <cell r="O1805" t="str">
            <v>1030 NORTH BLUE GROTTO DRIVE</v>
          </cell>
          <cell r="P1805" t="str">
            <v>kristin.stolzman@gilbertschools.net</v>
          </cell>
          <cell r="Q1805" t="str">
            <v>CDC-9590</v>
          </cell>
          <cell r="AJ1805" t="e">
            <v>#N/A</v>
          </cell>
          <cell r="AK1805" t="str">
            <v>CDC-9590</v>
          </cell>
          <cell r="AL1805" t="str">
            <v>CDC9590</v>
          </cell>
        </row>
        <row r="1806">
          <cell r="N1806" t="str">
            <v>G.U.H.S.D.#205 - APOLLO PRESCHOOL COOP</v>
          </cell>
          <cell r="O1806" t="str">
            <v>8045 NORTH 47TH AVENUE</v>
          </cell>
          <cell r="P1806" t="str">
            <v>beverly.ducey@guhsdaz.org</v>
          </cell>
          <cell r="Q1806" t="str">
            <v>CDC-18791</v>
          </cell>
          <cell r="AJ1806" t="e">
            <v>#N/A</v>
          </cell>
          <cell r="AK1806" t="str">
            <v>CDC-18791</v>
          </cell>
          <cell r="AL1806" t="str">
            <v>CDC18791</v>
          </cell>
        </row>
        <row r="1807">
          <cell r="N1807" t="str">
            <v>G.U.H.S.D.#205 - MOON VALLEY HIGH SCHOOL C.O.O.P.</v>
          </cell>
          <cell r="O1807" t="str">
            <v>3625 WEST CACTUS ROAD</v>
          </cell>
          <cell r="P1807" t="str">
            <v>brandi.jans@guhsdaz.org</v>
          </cell>
          <cell r="Q1807" t="str">
            <v>CDC-16381</v>
          </cell>
          <cell r="AJ1807" t="e">
            <v>#N/A</v>
          </cell>
          <cell r="AK1807" t="str">
            <v>CDC-16381</v>
          </cell>
          <cell r="AL1807" t="str">
            <v>CDC16381</v>
          </cell>
        </row>
        <row r="1808">
          <cell r="N1808" t="str">
            <v>G.U.H.S.D.#205 - WASHINGTON HIGH SCHOOL COOP PRESCHOOL</v>
          </cell>
          <cell r="O1808" t="str">
            <v>2217 WEST GLENDALE AVENUE</v>
          </cell>
          <cell r="P1808" t="str">
            <v>jenice.blair@guhsdaz.org</v>
          </cell>
          <cell r="Q1808" t="str">
            <v>CDC-13587</v>
          </cell>
          <cell r="AJ1808" t="e">
            <v>#N/A</v>
          </cell>
          <cell r="AK1808" t="str">
            <v>CDC-13587</v>
          </cell>
          <cell r="AL1808" t="str">
            <v>CDC13587</v>
          </cell>
        </row>
        <row r="1809">
          <cell r="N1809" t="str">
            <v>G.U.S.D.#1 - COPPER RIM ELEMENTARY SCHOOL</v>
          </cell>
          <cell r="O1809" t="str">
            <v>1600 EAST MESQUITE</v>
          </cell>
          <cell r="P1809" t="str">
            <v>misti.harmon@globeschools.org</v>
          </cell>
          <cell r="Q1809" t="str">
            <v>CDC-14056</v>
          </cell>
          <cell r="AJ1809" t="e">
            <v>#N/A</v>
          </cell>
          <cell r="AK1809" t="str">
            <v>CDC-14056</v>
          </cell>
          <cell r="AL1809" t="str">
            <v>CDC14056</v>
          </cell>
        </row>
        <row r="1810">
          <cell r="N1810" t="str">
            <v>G.U.S.D.#20 - GANADO PRE-K ACADEMY</v>
          </cell>
          <cell r="O1810" t="str">
            <v>JCT 264 AND 191 MAIN STREET</v>
          </cell>
          <cell r="P1810" t="str">
            <v>jolena.burns@ganado.k12.az.us</v>
          </cell>
          <cell r="Q1810" t="str">
            <v>CDC-16869</v>
          </cell>
          <cell r="AJ1810" t="e">
            <v>#N/A</v>
          </cell>
          <cell r="AK1810" t="str">
            <v>CDC-16869</v>
          </cell>
          <cell r="AL1810" t="str">
            <v>CDC16869</v>
          </cell>
        </row>
        <row r="1811">
          <cell r="N1811" t="str">
            <v>H.O.U.S.D.#6 - MOUNTAIN MEADOWS PRIMARY SCHOOL</v>
          </cell>
          <cell r="O1811" t="str">
            <v>2181 WEST COUNTRY CLUB DRIVE</v>
          </cell>
          <cell r="P1811" t="str">
            <v>jim.maner@h-oschools.org</v>
          </cell>
          <cell r="Q1811" t="str">
            <v>CDC-18851</v>
          </cell>
          <cell r="AJ1811" t="e">
            <v>#N/A</v>
          </cell>
          <cell r="AK1811" t="str">
            <v>CDC-18851</v>
          </cell>
          <cell r="AL1811" t="str">
            <v>CDC18851</v>
          </cell>
        </row>
        <row r="1812">
          <cell r="N1812" t="str">
            <v>H.U.S.D.#22 - BRIGHT FUTURES PRESCHOOL</v>
          </cell>
          <cell r="O1812" t="str">
            <v>6411 NORTH ROBERT ROAD #403</v>
          </cell>
          <cell r="P1812" t="str">
            <v>stephanie.rowe@humboldtunified.com</v>
          </cell>
          <cell r="Q1812" t="str">
            <v>CDC-18135</v>
          </cell>
          <cell r="AJ1812" t="e">
            <v>#N/A</v>
          </cell>
          <cell r="AK1812" t="str">
            <v>CDC-18135</v>
          </cell>
          <cell r="AL1812" t="str">
            <v>CDC18135</v>
          </cell>
        </row>
        <row r="1813">
          <cell r="N1813" t="str">
            <v>H.U.S.D.#22 - COYOTE SPRINGS ELEMENTARY SCHOOL</v>
          </cell>
          <cell r="O1813" t="str">
            <v>6625 NORTH CATTLETRACK</v>
          </cell>
          <cell r="P1813" t="str">
            <v>terese.krucek@humboldtunified.com</v>
          </cell>
          <cell r="Q1813" t="str">
            <v>CDC-14613</v>
          </cell>
          <cell r="AJ1813" t="e">
            <v>#N/A</v>
          </cell>
          <cell r="AK1813" t="str">
            <v>CDC-14613</v>
          </cell>
          <cell r="AL1813" t="str">
            <v>CDC14613</v>
          </cell>
        </row>
        <row r="1814">
          <cell r="N1814" t="str">
            <v>H.U.S.D.#22 - GRANVILLE ELEMENTARY SCHOOL</v>
          </cell>
          <cell r="O1814" t="str">
            <v>5250 STOVER DRIVE</v>
          </cell>
          <cell r="P1814" t="str">
            <v>terese.krucek@humboldtunified.com</v>
          </cell>
          <cell r="Q1814" t="str">
            <v>CDC-14614</v>
          </cell>
          <cell r="AJ1814" t="e">
            <v>#N/A</v>
          </cell>
          <cell r="AK1814" t="str">
            <v>CDC-14614</v>
          </cell>
          <cell r="AL1814" t="str">
            <v>CDC14614</v>
          </cell>
        </row>
        <row r="1815">
          <cell r="N1815" t="str">
            <v>H.U.S.D.#3 - INDIAN WELLS PRE-SCHOOL</v>
          </cell>
          <cell r="O1815" t="str">
            <v>JUNCTION OF STATE ROUTE 77/15</v>
          </cell>
          <cell r="P1815" t="str">
            <v>jmeeks@holbrook.k12.az.us</v>
          </cell>
          <cell r="Q1815" t="str">
            <v>CDC-14500</v>
          </cell>
          <cell r="AJ1815" t="e">
            <v>#N/A</v>
          </cell>
          <cell r="AK1815" t="str">
            <v>CDC-14500</v>
          </cell>
          <cell r="AL1815" t="str">
            <v>CDC14500</v>
          </cell>
        </row>
        <row r="1816">
          <cell r="N1816" t="str">
            <v>H.U.S.D.#3 - SCHOOL HOUSE P A L S</v>
          </cell>
          <cell r="O1816" t="str">
            <v>600 WEST  BUFFALO</v>
          </cell>
          <cell r="P1816" t="str">
            <v>koerp@holbrook.k12.az.us</v>
          </cell>
          <cell r="Q1816" t="str">
            <v>CDC-11292</v>
          </cell>
          <cell r="AJ1816" t="e">
            <v>#N/A</v>
          </cell>
          <cell r="AK1816" t="str">
            <v>CDC-11292</v>
          </cell>
          <cell r="AL1816" t="str">
            <v>CDC11292</v>
          </cell>
        </row>
        <row r="1817">
          <cell r="N1817" t="str">
            <v>H.U.S.D.#60 - BRIDGES ELEMENTARY SCHOOL</v>
          </cell>
          <cell r="O1817" t="str">
            <v>5205 SOUTH SOBOBA STREET</v>
          </cell>
          <cell r="P1817" t="str">
            <v>jennifer.kaiser@husd.org</v>
          </cell>
          <cell r="Q1817" t="str">
            <v>CDC-17663</v>
          </cell>
          <cell r="AJ1817" t="e">
            <v>#N/A</v>
          </cell>
          <cell r="AK1817" t="str">
            <v>CDC-17663</v>
          </cell>
          <cell r="AL1817" t="str">
            <v>CDC17663</v>
          </cell>
        </row>
        <row r="1818">
          <cell r="N1818" t="str">
            <v>H.U.S.D.#60 - CENTENNIAL ELEMENTARY</v>
          </cell>
          <cell r="O1818" t="str">
            <v>3507 SOUTH RANCH HOUSE PARKWAY</v>
          </cell>
          <cell r="P1818" t="str">
            <v>Jennifer.Kaiser@husd.org</v>
          </cell>
          <cell r="Q1818" t="str">
            <v>CDC-14935</v>
          </cell>
          <cell r="AJ1818" t="e">
            <v>#N/A</v>
          </cell>
          <cell r="AK1818" t="str">
            <v>CDC-14935</v>
          </cell>
          <cell r="AL1818" t="str">
            <v>CDC14935</v>
          </cell>
        </row>
        <row r="1819">
          <cell r="N1819" t="str">
            <v>H.U.S.D.#60 - CHAPARRAL ELEMENTARY</v>
          </cell>
          <cell r="O1819" t="str">
            <v>3380 EAST FRYE ROAD</v>
          </cell>
          <cell r="P1819" t="str">
            <v>jennifer.kaiser@husd.org</v>
          </cell>
          <cell r="Q1819" t="str">
            <v>CDC-13677</v>
          </cell>
          <cell r="AJ1819" t="e">
            <v>#N/A</v>
          </cell>
          <cell r="AK1819" t="str">
            <v>CDC-13677</v>
          </cell>
          <cell r="AL1819" t="str">
            <v>CDC13677</v>
          </cell>
        </row>
        <row r="1820">
          <cell r="N1820" t="str">
            <v>H.U.S.D.#60 - CORONADO ELEMENTARY SCHOOL</v>
          </cell>
          <cell r="O1820" t="str">
            <v>1100 SOUTH RECKER ROAD</v>
          </cell>
          <cell r="P1820" t="str">
            <v>Jennifer.Kaiser@husd.org</v>
          </cell>
          <cell r="Q1820" t="str">
            <v>CDC-10730</v>
          </cell>
          <cell r="AJ1820" t="e">
            <v>#N/A</v>
          </cell>
          <cell r="AK1820" t="str">
            <v>CDC-10730</v>
          </cell>
          <cell r="AL1820" t="str">
            <v>CDC10730</v>
          </cell>
        </row>
        <row r="1821">
          <cell r="N1821" t="str">
            <v>H.U.S.D.#60 - CORTINA ELEMENTARY SCHOOL</v>
          </cell>
          <cell r="O1821" t="str">
            <v>19680 SOUTH 188TH STREET</v>
          </cell>
          <cell r="P1821" t="str">
            <v>jennifer.kaiser@husd.org</v>
          </cell>
          <cell r="Q1821" t="str">
            <v>CDC-12914</v>
          </cell>
          <cell r="AJ1821" t="e">
            <v>#N/A</v>
          </cell>
          <cell r="AK1821" t="str">
            <v>CDC-12914</v>
          </cell>
          <cell r="AL1821" t="str">
            <v>CDC12914</v>
          </cell>
        </row>
        <row r="1822">
          <cell r="N1822" t="str">
            <v>H.U.S.D.#60 - ELONA P. COOLEY EARLY CHILDHOOD DEV. CENTER/COOLEY MIDDLE SCHOOL</v>
          </cell>
          <cell r="O1822" t="str">
            <v>1100 SOUTH RECKER ROAD</v>
          </cell>
          <cell r="P1822" t="str">
            <v>patricia.gleason@husd.org</v>
          </cell>
          <cell r="Q1822" t="str">
            <v>CDC-16617</v>
          </cell>
          <cell r="AJ1822" t="e">
            <v>#N/A</v>
          </cell>
          <cell r="AK1822" t="str">
            <v>CDC-16617</v>
          </cell>
          <cell r="AL1822" t="str">
            <v>CDC16617</v>
          </cell>
        </row>
        <row r="1823">
          <cell r="N1823" t="str">
            <v>H.U.S.D.#60 - GATEWAY POINTE ELEMENTARY / KIDS CLUB</v>
          </cell>
          <cell r="O1823" t="str">
            <v>2069 SOUTH DE LA TORRE</v>
          </cell>
          <cell r="P1823" t="str">
            <v>jennifer.kaiser@husd.org</v>
          </cell>
          <cell r="Q1823" t="str">
            <v>CDC-14486</v>
          </cell>
          <cell r="AJ1823" t="e">
            <v>#N/A</v>
          </cell>
          <cell r="AK1823" t="str">
            <v>CDC-14486</v>
          </cell>
          <cell r="AL1823" t="str">
            <v>CDC14486</v>
          </cell>
        </row>
        <row r="1824">
          <cell r="N1824" t="str">
            <v>H.U.S.D.#60 - HIGLEY TRADITIONAL ACADEMY</v>
          </cell>
          <cell r="O1824" t="str">
            <v>3391 EAST VEST AVENUE</v>
          </cell>
          <cell r="P1824" t="str">
            <v>Jennifer.Kaiser@husd.org</v>
          </cell>
          <cell r="Q1824" t="str">
            <v>CDC-14718</v>
          </cell>
          <cell r="AJ1824" t="e">
            <v>#N/A</v>
          </cell>
          <cell r="AK1824" t="str">
            <v>CDC-14718</v>
          </cell>
          <cell r="AL1824" t="str">
            <v>CDC14718</v>
          </cell>
        </row>
        <row r="1825">
          <cell r="N1825" t="str">
            <v>H.U.S.D.#60 - POWER RANCH ELEMENTARY SCHOOL</v>
          </cell>
          <cell r="O1825" t="str">
            <v>4351 SOUTH RANCH HOUSE PARKWAY</v>
          </cell>
          <cell r="P1825" t="str">
            <v>jennifer.kaiser@husd.org</v>
          </cell>
          <cell r="Q1825" t="str">
            <v>CDC-10729</v>
          </cell>
          <cell r="AJ1825" t="e">
            <v>#N/A</v>
          </cell>
          <cell r="AK1825" t="str">
            <v>CDC-10729</v>
          </cell>
          <cell r="AL1825" t="str">
            <v>CDC10729</v>
          </cell>
        </row>
        <row r="1826">
          <cell r="N1826" t="str">
            <v>H.U.S.D.#60 - SAN TAN ELEMENTARY SCHOOL</v>
          </cell>
          <cell r="O1826" t="str">
            <v>3443 EAST CALISTOGA DRIVE</v>
          </cell>
          <cell r="P1826" t="str">
            <v>jennifer.kaiser@husd.org</v>
          </cell>
          <cell r="Q1826" t="str">
            <v>CDC-9386</v>
          </cell>
          <cell r="AJ1826" t="e">
            <v>#N/A</v>
          </cell>
          <cell r="AK1826" t="str">
            <v>CDC-9386</v>
          </cell>
          <cell r="AL1826" t="str">
            <v>CDC9386</v>
          </cell>
        </row>
        <row r="1827">
          <cell r="N1827" t="str">
            <v>H.U.S.D.#60 SUE SOSSAMAN EARLY CHILDHOOD DEVELOPMENT CENTER/ SOSSAMAN MIDDLE SCH</v>
          </cell>
          <cell r="O1827" t="str">
            <v>18655 EAST JACARANDA BOULEVARD</v>
          </cell>
          <cell r="P1827" t="str">
            <v>patricia.gleason@husd.org</v>
          </cell>
          <cell r="Q1827" t="str">
            <v>CDC-16618</v>
          </cell>
          <cell r="AJ1827" t="e">
            <v>#N/A</v>
          </cell>
          <cell r="AK1827" t="str">
            <v>CDC-16618</v>
          </cell>
          <cell r="AL1827" t="str">
            <v>CDC16618</v>
          </cell>
        </row>
        <row r="1828">
          <cell r="N1828" t="str">
            <v>H.W.U.S.D.#41 - LOBITOS PRE-SCHOOL</v>
          </cell>
          <cell r="O1828" t="str">
            <v>824 THORNE AVENUE</v>
          </cell>
          <cell r="P1828" t="str">
            <v>gregoricha@hwusd.org</v>
          </cell>
          <cell r="Q1828" t="str">
            <v>CDC-7069</v>
          </cell>
          <cell r="AJ1828" t="e">
            <v>#N/A</v>
          </cell>
          <cell r="AK1828" t="str">
            <v>CDC-7069</v>
          </cell>
          <cell r="AL1828" t="str">
            <v>CDC7069</v>
          </cell>
        </row>
        <row r="1829">
          <cell r="N1829" t="str">
            <v>I.E.S.D.#5 - ISAAC PRESCHOOL CAMPUS</v>
          </cell>
          <cell r="O1829" t="str">
            <v>3101 WEST MCDOWELL ROAD</v>
          </cell>
          <cell r="P1829" t="str">
            <v>rlee@isaacschools.org</v>
          </cell>
          <cell r="Q1829" t="str">
            <v>CDC-6461</v>
          </cell>
          <cell r="AJ1829" t="e">
            <v>#N/A</v>
          </cell>
          <cell r="AK1829" t="str">
            <v>CDC-6461</v>
          </cell>
          <cell r="AL1829" t="str">
            <v>CDC6461</v>
          </cell>
        </row>
        <row r="1830">
          <cell r="N1830" t="str">
            <v>J.C.U.S.D.#2 - JOSEPH CITY PRESCHOOL</v>
          </cell>
          <cell r="O1830" t="str">
            <v>8176 WESTOVER AVENUE</v>
          </cell>
          <cell r="P1830" t="str">
            <v>danielh@jcusd.org</v>
          </cell>
          <cell r="Q1830" t="str">
            <v>CDC-17457</v>
          </cell>
          <cell r="AJ1830" t="e">
            <v>#N/A</v>
          </cell>
          <cell r="AK1830" t="str">
            <v>CDC-17457</v>
          </cell>
          <cell r="AL1830" t="str">
            <v>CDC17457</v>
          </cell>
        </row>
        <row r="1831">
          <cell r="N1831" t="str">
            <v>J.O.C.U.S.D.#44 - COMBS KIDZ AT HARMON ELEMENTARY SCHOOL</v>
          </cell>
          <cell r="O1831" t="str">
            <v>39315 NORTH CORTONA DRIVE</v>
          </cell>
          <cell r="P1831" t="str">
            <v>tcarley@jocombs.org</v>
          </cell>
          <cell r="Q1831" t="str">
            <v>CDC-15040</v>
          </cell>
          <cell r="AJ1831" t="e">
            <v>#N/A</v>
          </cell>
          <cell r="AK1831" t="str">
            <v>CDC-15040</v>
          </cell>
          <cell r="AL1831" t="str">
            <v>CDC15040</v>
          </cell>
        </row>
        <row r="1832">
          <cell r="N1832" t="str">
            <v>J.O.C.U.S.D.#44 - ELLSWORTH ELEMENTARY SCHOOL</v>
          </cell>
          <cell r="O1832" t="str">
            <v>38454 NORTH CAROLINA AVENUE</v>
          </cell>
          <cell r="P1832" t="str">
            <v>Tcarley@jocombs.org</v>
          </cell>
          <cell r="Q1832" t="str">
            <v>CDC-13415</v>
          </cell>
          <cell r="AJ1832" t="e">
            <v>#N/A</v>
          </cell>
          <cell r="AK1832" t="str">
            <v>CDC-13415</v>
          </cell>
          <cell r="AL1832" t="str">
            <v>CDC13415</v>
          </cell>
        </row>
        <row r="1833">
          <cell r="N1833" t="str">
            <v>J.O.C.U.S.D.#44 - RANCH ELEMENTARY SCHOOL</v>
          </cell>
          <cell r="O1833" t="str">
            <v>43521 NORTH KENWORTHY ROAD</v>
          </cell>
          <cell r="P1833" t="str">
            <v>tcarley@jocombs.org</v>
          </cell>
          <cell r="Q1833" t="str">
            <v>CDC-14469</v>
          </cell>
          <cell r="AJ1833" t="e">
            <v>#N/A</v>
          </cell>
          <cell r="AK1833" t="str">
            <v>CDC-14469</v>
          </cell>
          <cell r="AL1833" t="str">
            <v>CDC14469</v>
          </cell>
        </row>
        <row r="1834">
          <cell r="N1834" t="str">
            <v>K.E.S.D.#28 -  DE LA ESPERANZA  ELEMENTARY</v>
          </cell>
          <cell r="O1834" t="str">
            <v>14841 SOUTH 41ST PLACE</v>
          </cell>
          <cell r="P1834" t="str">
            <v>jwetzel@kyrene.org</v>
          </cell>
          <cell r="Q1834" t="str">
            <v>CDC-11523</v>
          </cell>
          <cell r="AJ1834" t="e">
            <v>#N/A</v>
          </cell>
          <cell r="AK1834" t="str">
            <v>CDC-11523</v>
          </cell>
          <cell r="AL1834" t="str">
            <v>CDC11523</v>
          </cell>
        </row>
        <row r="1835">
          <cell r="N1835" t="str">
            <v>K.E.S.D.#28 - BRISAS ELEMENTARY</v>
          </cell>
          <cell r="O1835" t="str">
            <v>777 NORTH DESERT BREEZE BOULEVARD</v>
          </cell>
          <cell r="P1835" t="str">
            <v>jglider@kyrene.org</v>
          </cell>
          <cell r="Q1835" t="str">
            <v>CDC-6299</v>
          </cell>
          <cell r="AJ1835" t="e">
            <v>#N/A</v>
          </cell>
          <cell r="AK1835" t="str">
            <v>CDC-6299</v>
          </cell>
          <cell r="AL1835" t="str">
            <v>CDC6299</v>
          </cell>
        </row>
        <row r="1836">
          <cell r="N1836" t="str">
            <v>K.E.S.D.#28 - C.I. WAGGONER ELEMENTARY</v>
          </cell>
          <cell r="O1836" t="str">
            <v>1050 EAST CARVER ROAD</v>
          </cell>
          <cell r="P1836" t="str">
            <v>jbiddison@kyrene.org</v>
          </cell>
          <cell r="Q1836" t="str">
            <v>CDC-17592</v>
          </cell>
          <cell r="AJ1836" t="e">
            <v>#N/A</v>
          </cell>
          <cell r="AK1836" t="str">
            <v>CDC-17592</v>
          </cell>
          <cell r="AL1836" t="str">
            <v>CDC17592</v>
          </cell>
        </row>
        <row r="1837">
          <cell r="N1837" t="str">
            <v>K.E.S.D.#28 - CERRITOS ELEMENTARY SCHOOL</v>
          </cell>
          <cell r="O1837" t="str">
            <v>14620 DESERT HILLS PARKWAY</v>
          </cell>
          <cell r="P1837" t="str">
            <v>riggins@kyrene.org</v>
          </cell>
          <cell r="Q1837" t="str">
            <v>CDC-6298</v>
          </cell>
          <cell r="AJ1837" t="e">
            <v>#N/A</v>
          </cell>
          <cell r="AK1837" t="str">
            <v>CDC-6298</v>
          </cell>
          <cell r="AL1837" t="str">
            <v>CDC6298</v>
          </cell>
        </row>
        <row r="1838">
          <cell r="N1838" t="str">
            <v>K.E.S.D.#28 - CIELO ELEMENTARY</v>
          </cell>
          <cell r="O1838" t="str">
            <v>1350 NORTH LAKESHORE DRIVE</v>
          </cell>
          <cell r="P1838" t="str">
            <v>eferris@kyrene.org</v>
          </cell>
          <cell r="Q1838" t="str">
            <v>CDC-6309</v>
          </cell>
          <cell r="AJ1838" t="e">
            <v>#N/A</v>
          </cell>
          <cell r="AK1838" t="str">
            <v>CDC-6309</v>
          </cell>
          <cell r="AL1838" t="str">
            <v>CDC6309</v>
          </cell>
        </row>
        <row r="1839">
          <cell r="N1839" t="str">
            <v>K.E.S.D.#28 - KYRENE DE LA COLINA</v>
          </cell>
          <cell r="O1839" t="str">
            <v>13612 SOUTH 36TH STREET</v>
          </cell>
          <cell r="P1839" t="str">
            <v>jbiddison@kyrene.org</v>
          </cell>
          <cell r="Q1839" t="str">
            <v>CDC-18355</v>
          </cell>
          <cell r="AJ1839" t="e">
            <v>#N/A</v>
          </cell>
          <cell r="AK1839" t="str">
            <v>CDC-18355</v>
          </cell>
          <cell r="AL1839" t="str">
            <v>CDC18355</v>
          </cell>
        </row>
        <row r="1840">
          <cell r="N1840" t="str">
            <v>K.E.S.D.#28 - KYRENE DE LA ESTRELLA</v>
          </cell>
          <cell r="O1840" t="str">
            <v>2620 EAST LIBERTY LANE</v>
          </cell>
          <cell r="P1840" t="str">
            <v>stully@kyrene.org</v>
          </cell>
          <cell r="Q1840" t="str">
            <v>CDC-8774</v>
          </cell>
          <cell r="AJ1840" t="e">
            <v>#N/A</v>
          </cell>
          <cell r="AK1840" t="str">
            <v>CDC-8774</v>
          </cell>
          <cell r="AL1840" t="str">
            <v>CDC8774</v>
          </cell>
        </row>
        <row r="1841">
          <cell r="N1841" t="str">
            <v>K.E.S.D.#28 - KYRENE DE LA MARIPOSA</v>
          </cell>
          <cell r="O1841" t="str">
            <v>50 EAST KNOX ROAD</v>
          </cell>
          <cell r="P1841" t="str">
            <v>jbiddison@kyrene.org</v>
          </cell>
          <cell r="Q1841" t="str">
            <v>CDC-18004</v>
          </cell>
          <cell r="AJ1841" t="e">
            <v>#N/A</v>
          </cell>
          <cell r="AK1841" t="str">
            <v>CDC-18004</v>
          </cell>
          <cell r="AL1841" t="str">
            <v>CDC18004</v>
          </cell>
        </row>
        <row r="1842">
          <cell r="N1842" t="str">
            <v>K.E.S.D.#28 - KYRENE DE LAS MANITAS</v>
          </cell>
          <cell r="O1842" t="str">
            <v>1201 WEST COURTNEY LANE</v>
          </cell>
          <cell r="P1842" t="str">
            <v>jwetzel@kyrene.org, lconroy@kyrene.org</v>
          </cell>
          <cell r="Q1842" t="str">
            <v>CDC-6606</v>
          </cell>
          <cell r="AJ1842" t="e">
            <v>#N/A</v>
          </cell>
          <cell r="AK1842" t="str">
            <v>CDC-6606</v>
          </cell>
          <cell r="AL1842" t="str">
            <v>CDC6606</v>
          </cell>
        </row>
        <row r="1843">
          <cell r="N1843" t="str">
            <v>K.E.S.D.#28 - KYRENE DE LOS LAGOS ELEMENTARY</v>
          </cell>
          <cell r="O1843" t="str">
            <v>17001 SOUTH 34TH WAY</v>
          </cell>
          <cell r="P1843" t="str">
            <v>eharlow@kyrene.org</v>
          </cell>
          <cell r="Q1843" t="str">
            <v>CDC-9531</v>
          </cell>
          <cell r="AJ1843" t="e">
            <v>#N/A</v>
          </cell>
          <cell r="AK1843" t="str">
            <v>CDC-9531</v>
          </cell>
          <cell r="AL1843" t="str">
            <v>CDC9531</v>
          </cell>
        </row>
        <row r="1844">
          <cell r="N1844" t="str">
            <v>K.E.S.D.#28 - KYRENE KIDS CLUB - MILENIO</v>
          </cell>
          <cell r="O1844" t="str">
            <v>4630 EAST FRYE ROAD</v>
          </cell>
          <cell r="P1844" t="str">
            <v>jwetzel@kyrene.org</v>
          </cell>
          <cell r="Q1844" t="str">
            <v>CDC-9022</v>
          </cell>
          <cell r="AJ1844" t="e">
            <v>#N/A</v>
          </cell>
          <cell r="AK1844" t="str">
            <v>CDC-9022</v>
          </cell>
          <cell r="AL1844" t="str">
            <v>CDC9022</v>
          </cell>
        </row>
        <row r="1845">
          <cell r="N1845" t="str">
            <v>K.E.S.D.#28 - KYRENE KIDS CLUB - NINOS</v>
          </cell>
          <cell r="O1845" t="str">
            <v>1330 EAST DAVA DRIVE</v>
          </cell>
          <cell r="P1845" t="str">
            <v>jwetzel@kusd.org</v>
          </cell>
          <cell r="Q1845" t="str">
            <v>CDC-6304</v>
          </cell>
          <cell r="AJ1845" t="e">
            <v>#N/A</v>
          </cell>
          <cell r="AK1845" t="str">
            <v>CDC-6304</v>
          </cell>
          <cell r="AL1845" t="str">
            <v>CDC6304</v>
          </cell>
        </row>
        <row r="1846">
          <cell r="N1846" t="str">
            <v>K.E.S.D.#28 - KYRENE KIDS CLUB - SIERRA</v>
          </cell>
          <cell r="O1846" t="str">
            <v>1122 EAST LIBERTY LANE</v>
          </cell>
          <cell r="P1846" t="str">
            <v>jmetzel@kyrene.org</v>
          </cell>
          <cell r="Q1846" t="str">
            <v>CDC-13653</v>
          </cell>
          <cell r="AJ1846" t="e">
            <v>#N/A</v>
          </cell>
          <cell r="AK1846" t="str">
            <v>CDC-13653</v>
          </cell>
          <cell r="AL1846" t="str">
            <v>CDC13653</v>
          </cell>
        </row>
        <row r="1847">
          <cell r="N1847" t="str">
            <v>K.E.S.D.#28 - LOMAS ELEMENTARY</v>
          </cell>
          <cell r="O1847" t="str">
            <v>11820 SOUTH WARNER ELLIOT LOOP</v>
          </cell>
          <cell r="P1847" t="str">
            <v>jwetzel@kyrene.org</v>
          </cell>
          <cell r="Q1847" t="str">
            <v>CDC-9540</v>
          </cell>
          <cell r="AJ1847" t="e">
            <v>#N/A</v>
          </cell>
          <cell r="AK1847" t="str">
            <v>CDC-9540</v>
          </cell>
          <cell r="AL1847" t="str">
            <v>CDC9540</v>
          </cell>
        </row>
        <row r="1848">
          <cell r="N1848" t="str">
            <v>K.E.S.D.#28 - MIRADA ELEMENTARY</v>
          </cell>
          <cell r="O1848" t="str">
            <v>5500 WEST GALVESTON STREET</v>
          </cell>
          <cell r="P1848" t="str">
            <v>jwetzel@kyrene.org</v>
          </cell>
          <cell r="Q1848" t="str">
            <v>CDC-6307</v>
          </cell>
          <cell r="AJ1848" t="e">
            <v>#N/A</v>
          </cell>
          <cell r="AK1848" t="str">
            <v>CDC-6307</v>
          </cell>
          <cell r="AL1848" t="str">
            <v>CDC6307</v>
          </cell>
        </row>
        <row r="1849">
          <cell r="N1849" t="str">
            <v>K.E.S.D.#28 - MONTE VISTA ELEMENTARY</v>
          </cell>
          <cell r="O1849" t="str">
            <v>15221 SOUTH RAY ROAD</v>
          </cell>
          <cell r="P1849" t="str">
            <v>nnigh@kyrene.org</v>
          </cell>
          <cell r="Q1849" t="str">
            <v>CDC-10031</v>
          </cell>
          <cell r="AJ1849" t="e">
            <v>#N/A</v>
          </cell>
          <cell r="AK1849" t="str">
            <v>CDC-10031</v>
          </cell>
          <cell r="AL1849" t="str">
            <v>CDC10031</v>
          </cell>
        </row>
        <row r="1850">
          <cell r="N1850" t="str">
            <v>K.E.S.D.#28 - NORTE ELEMETARY</v>
          </cell>
          <cell r="O1850" t="str">
            <v>1331 EAST REDFIELD ROAD</v>
          </cell>
          <cell r="P1850" t="str">
            <v>mhumphries@kyrene.org</v>
          </cell>
          <cell r="Q1850" t="str">
            <v>CDC-16715</v>
          </cell>
          <cell r="AJ1850" t="e">
            <v>#N/A</v>
          </cell>
          <cell r="AK1850" t="str">
            <v>CDC-16715</v>
          </cell>
          <cell r="AL1850" t="str">
            <v>CDC16715</v>
          </cell>
        </row>
        <row r="1851">
          <cell r="N1851" t="str">
            <v>K.E.S.D.#28 - PALOMA ELEMENTARY</v>
          </cell>
          <cell r="O1851" t="str">
            <v>5000 WEST WHITTEN STREET</v>
          </cell>
          <cell r="P1851" t="str">
            <v>jwetzel@kyrene.org, lconroy@kyrene.org, reschar@kyrene.org</v>
          </cell>
          <cell r="Q1851" t="str">
            <v>CDC-6308</v>
          </cell>
          <cell r="AJ1851" t="e">
            <v>#N/A</v>
          </cell>
          <cell r="AK1851" t="str">
            <v>CDC-6308</v>
          </cell>
          <cell r="AL1851" t="str">
            <v>CDC6308</v>
          </cell>
        </row>
        <row r="1852">
          <cell r="N1852" t="str">
            <v>K.E.S.D.#28 - SURENO ELEMENTARY</v>
          </cell>
          <cell r="O1852" t="str">
            <v>3375 WEST GALVESTON STREET</v>
          </cell>
          <cell r="P1852" t="str">
            <v>jbiddison@kyrene.org</v>
          </cell>
          <cell r="Q1852" t="str">
            <v>CDC-6306</v>
          </cell>
          <cell r="AJ1852" t="e">
            <v>#N/A</v>
          </cell>
          <cell r="AK1852" t="str">
            <v>CDC-6306</v>
          </cell>
          <cell r="AL1852" t="str">
            <v>CDC6306</v>
          </cell>
        </row>
        <row r="1853">
          <cell r="N1853" t="str">
            <v>K.U.S.D.#20 - LITTLE EXPLORERS EARLY LEARNING CENTER</v>
          </cell>
          <cell r="O1853" t="str">
            <v>3175 GORDON DRIVE</v>
          </cell>
          <cell r="P1853" t="str">
            <v>jbeyer@KUSD.org</v>
          </cell>
          <cell r="Q1853" t="str">
            <v>CDC-16678</v>
          </cell>
          <cell r="AJ1853" t="e">
            <v>#N/A</v>
          </cell>
          <cell r="AK1853" t="str">
            <v>CDC-16678</v>
          </cell>
          <cell r="AL1853" t="str">
            <v>CDC16678</v>
          </cell>
        </row>
        <row r="1854">
          <cell r="N1854" t="str">
            <v>K.U.S.D.#20 - LITTLE EXPLORERS PRESCHOOL AT MT. TIPTON</v>
          </cell>
          <cell r="O1854" t="str">
            <v>16500 PIERCE FERRY ROAD</v>
          </cell>
          <cell r="P1854" t="str">
            <v>jbeyer@KUSD.org</v>
          </cell>
          <cell r="Q1854" t="str">
            <v>CDC-14513</v>
          </cell>
          <cell r="AJ1854" t="e">
            <v>#N/A</v>
          </cell>
          <cell r="AK1854" t="str">
            <v>CDC-14513</v>
          </cell>
          <cell r="AL1854" t="str">
            <v>CDC14513</v>
          </cell>
        </row>
        <row r="1855">
          <cell r="N1855" t="str">
            <v>K.U.S.D.#27 - A B C PRESCHOOL</v>
          </cell>
          <cell r="O1855" t="str">
            <v>400 MESA VIEW DRIVE</v>
          </cell>
          <cell r="P1855" t="str">
            <v>lemual.adson@kayenta.k12.az.us</v>
          </cell>
          <cell r="Q1855" t="str">
            <v>CDC-16318</v>
          </cell>
          <cell r="AJ1855" t="e">
            <v>#N/A</v>
          </cell>
          <cell r="AK1855" t="str">
            <v>CDC-16318</v>
          </cell>
          <cell r="AL1855" t="str">
            <v>CDC16318</v>
          </cell>
        </row>
        <row r="1856">
          <cell r="N1856" t="str">
            <v>K.U.S.D.#27 - C.O.P.E.</v>
          </cell>
          <cell r="O1856" t="str">
            <v>NORTH HIGHWAY 163</v>
          </cell>
          <cell r="P1856" t="str">
            <v>hclits@kayenta.K12.az.us</v>
          </cell>
          <cell r="Q1856" t="str">
            <v>CDC-7481</v>
          </cell>
          <cell r="AJ1856" t="e">
            <v>#N/A</v>
          </cell>
          <cell r="AK1856" t="str">
            <v>CDC-7481</v>
          </cell>
          <cell r="AL1856" t="str">
            <v>CDC7481</v>
          </cell>
        </row>
        <row r="1857">
          <cell r="N1857" t="str">
            <v>L.E.S.D.#25 - ESTRELLA MOUNTAIN ELEMENTARY SCHOOL</v>
          </cell>
          <cell r="O1857" t="str">
            <v>10301 SOUTH SAN MIGUEL</v>
          </cell>
          <cell r="P1857" t="str">
            <v>racuna@liberty25.org</v>
          </cell>
          <cell r="Q1857" t="str">
            <v>CDC-11589</v>
          </cell>
          <cell r="AJ1857" t="e">
            <v>#N/A</v>
          </cell>
          <cell r="AK1857" t="str">
            <v>CDC-11589</v>
          </cell>
          <cell r="AL1857" t="str">
            <v>CDC11589</v>
          </cell>
        </row>
        <row r="1858">
          <cell r="N1858" t="str">
            <v>L.E.S.D.#25 - FREEDOM ELEMENTARY</v>
          </cell>
          <cell r="O1858" t="str">
            <v>22150 WEST SUNDANCE PARKWAY SOUTH</v>
          </cell>
          <cell r="P1858" t="str">
            <v>racuna@liberty25.org</v>
          </cell>
          <cell r="Q1858" t="str">
            <v>CDC-18669</v>
          </cell>
          <cell r="AJ1858" t="e">
            <v>#N/A</v>
          </cell>
          <cell r="AK1858" t="str">
            <v>CDC-18669</v>
          </cell>
          <cell r="AL1858" t="str">
            <v>CDC18669</v>
          </cell>
        </row>
        <row r="1859">
          <cell r="N1859" t="str">
            <v>L.E.S.D.#25 - LAS BRISAS ACADEMY</v>
          </cell>
          <cell r="O1859" t="str">
            <v>18211 WEST LAS BRISAS DRIVE</v>
          </cell>
          <cell r="P1859" t="str">
            <v>racuna@libery25.org</v>
          </cell>
          <cell r="Q1859" t="str">
            <v>CDC-17285</v>
          </cell>
          <cell r="AJ1859" t="e">
            <v>#N/A</v>
          </cell>
          <cell r="AK1859" t="str">
            <v>CDC-17285</v>
          </cell>
          <cell r="AL1859" t="str">
            <v>CDC17285</v>
          </cell>
        </row>
        <row r="1860">
          <cell r="N1860" t="str">
            <v>L.E.S.D.#25 - WESTAR ELEMENTARY SCHOOL</v>
          </cell>
          <cell r="O1860" t="str">
            <v>17777 WEST WESTAR DRIVE</v>
          </cell>
          <cell r="P1860" t="str">
            <v>racuna@liberty25.org</v>
          </cell>
          <cell r="Q1860" t="str">
            <v>CDC-11588</v>
          </cell>
          <cell r="AJ1860" t="e">
            <v>#N/A</v>
          </cell>
          <cell r="AK1860" t="str">
            <v>CDC-11588</v>
          </cell>
          <cell r="AL1860" t="str">
            <v>CDC11588</v>
          </cell>
        </row>
        <row r="1861">
          <cell r="N1861" t="str">
            <v>L.E.S.D.#59 - CHEATHAM KIDS CLUB</v>
          </cell>
          <cell r="O1861" t="str">
            <v>4725 WEST SOUTH MOUNTAIN ROAD</v>
          </cell>
          <cell r="P1861" t="str">
            <v>KTeer@laveeneld.org</v>
          </cell>
          <cell r="Q1861" t="str">
            <v>CDC-14335</v>
          </cell>
          <cell r="AJ1861" t="e">
            <v>#N/A</v>
          </cell>
          <cell r="AK1861" t="str">
            <v>CDC-14335</v>
          </cell>
          <cell r="AL1861" t="str">
            <v>CDC14335</v>
          </cell>
        </row>
        <row r="1862">
          <cell r="N1862" t="str">
            <v>L.E.S.D.#59 - DESERT MEADOWS KIDS CLUB</v>
          </cell>
          <cell r="O1862" t="str">
            <v>6855 WEST MEADOW LOOP EAST</v>
          </cell>
          <cell r="P1862" t="str">
            <v>kteer@laveeneld.org</v>
          </cell>
          <cell r="Q1862" t="str">
            <v>CDC-14334</v>
          </cell>
          <cell r="AJ1862" t="e">
            <v>#N/A</v>
          </cell>
          <cell r="AK1862" t="str">
            <v>CDC-14334</v>
          </cell>
          <cell r="AL1862" t="str">
            <v>CDC14334</v>
          </cell>
        </row>
        <row r="1863">
          <cell r="N1863" t="str">
            <v>L.E.S.D.#59 - LAVEEN KIDS CLUB</v>
          </cell>
          <cell r="O1863" t="str">
            <v>4141 WEST MCNEIL STREET</v>
          </cell>
          <cell r="P1863" t="str">
            <v>kteer@laveeneld.org</v>
          </cell>
          <cell r="Q1863" t="str">
            <v>CDC-15885</v>
          </cell>
          <cell r="AJ1863" t="e">
            <v>#N/A</v>
          </cell>
          <cell r="AK1863" t="str">
            <v>CDC-15885</v>
          </cell>
          <cell r="AL1863" t="str">
            <v>CDC15885</v>
          </cell>
        </row>
        <row r="1864">
          <cell r="N1864" t="str">
            <v>L.E.S.D.#59 - M.C.CASH KIDS CLUB</v>
          </cell>
          <cell r="O1864" t="str">
            <v>3851 WEST ROESER ROAD</v>
          </cell>
          <cell r="P1864" t="str">
            <v>Kteer@laveeneld.org</v>
          </cell>
          <cell r="Q1864" t="str">
            <v>CDC-16710</v>
          </cell>
          <cell r="AJ1864" t="e">
            <v>#N/A</v>
          </cell>
          <cell r="AK1864" t="str">
            <v>CDC-16710</v>
          </cell>
          <cell r="AL1864" t="str">
            <v>CDC16710</v>
          </cell>
        </row>
        <row r="1865">
          <cell r="N1865" t="str">
            <v>L.E.S.D.#59 - PASEO POINT KIDS CLUB</v>
          </cell>
          <cell r="O1865" t="str">
            <v>8800 SOUTH 55TH AVENUE</v>
          </cell>
          <cell r="P1865" t="str">
            <v>kteer@laveeneld.org</v>
          </cell>
          <cell r="Q1865" t="str">
            <v>CDC-17719</v>
          </cell>
          <cell r="AJ1865" t="e">
            <v>#N/A</v>
          </cell>
          <cell r="AK1865" t="str">
            <v>CDC-17719</v>
          </cell>
          <cell r="AL1865" t="str">
            <v>CDC17719</v>
          </cell>
        </row>
        <row r="1866">
          <cell r="N1866" t="str">
            <v>L.E.S.D.#59 - ROGERS RANCH KIDS CLUB</v>
          </cell>
          <cell r="O1866" t="str">
            <v>6735 SOUTH 47TH AVENUE</v>
          </cell>
          <cell r="P1866" t="str">
            <v>kteer@laveeneld.org</v>
          </cell>
          <cell r="Q1866" t="str">
            <v>CDC-16328</v>
          </cell>
          <cell r="AJ1866" t="e">
            <v>#N/A</v>
          </cell>
          <cell r="AK1866" t="str">
            <v>CDC-16328</v>
          </cell>
          <cell r="AL1866" t="str">
            <v>CDC16328</v>
          </cell>
        </row>
        <row r="1867">
          <cell r="N1867" t="str">
            <v>L.E.S.D.#59 - TRAILSIDE POINT KIDS CLUB</v>
          </cell>
          <cell r="O1867" t="str">
            <v>7275 WEST VINEYARD ROAD</v>
          </cell>
          <cell r="P1867" t="str">
            <v>lteer@laveen.eld.org</v>
          </cell>
          <cell r="Q1867" t="str">
            <v>CDC-13497</v>
          </cell>
          <cell r="AJ1867" t="e">
            <v>#N/A</v>
          </cell>
          <cell r="AK1867" t="str">
            <v>CDC-13497</v>
          </cell>
          <cell r="AL1867" t="str">
            <v>CDC13497</v>
          </cell>
        </row>
        <row r="1868">
          <cell r="N1868" t="str">
            <v>L.E.S.D.#59 - VISTA DEL SUR KIDS CLUB</v>
          </cell>
          <cell r="O1868" t="str">
            <v>3908 WEST SOUTH MOUNTAIN ROAD</v>
          </cell>
          <cell r="P1868" t="str">
            <v>kteer@laveeneld.org</v>
          </cell>
          <cell r="Q1868" t="str">
            <v>CDC-13499</v>
          </cell>
          <cell r="AJ1868" t="e">
            <v>#N/A</v>
          </cell>
          <cell r="AK1868" t="str">
            <v>CDC-13499</v>
          </cell>
          <cell r="AL1868" t="str">
            <v>CDC13499</v>
          </cell>
        </row>
        <row r="1869">
          <cell r="N1869" t="str">
            <v>L.E.S.D.#65 - LITTLETON ELEMENTARY SCHOOL PRESCHOOL</v>
          </cell>
          <cell r="O1869" t="str">
            <v>1252 SOUTH AVONDALE BOULEVARD</v>
          </cell>
          <cell r="P1869" t="str">
            <v>hines.sharon@littletonaz.org</v>
          </cell>
          <cell r="Q1869" t="str">
            <v>CDC-7516</v>
          </cell>
          <cell r="AJ1869" t="e">
            <v>#N/A</v>
          </cell>
          <cell r="AK1869" t="str">
            <v>CDC-7516</v>
          </cell>
          <cell r="AL1869" t="str">
            <v>CDC7516</v>
          </cell>
        </row>
        <row r="1870">
          <cell r="N1870" t="str">
            <v>L.E.S.D.#79 - BARBARA B. ROBEY ELEMENTARY SCHOOL</v>
          </cell>
          <cell r="O1870" t="str">
            <v>5340 NORTH WIGWAM CREEK BLVD</v>
          </cell>
          <cell r="P1870" t="str">
            <v>sterr.r@lesd.k12.az.us</v>
          </cell>
          <cell r="Q1870" t="str">
            <v>CDC-12392</v>
          </cell>
          <cell r="AJ1870" t="e">
            <v>#N/A</v>
          </cell>
          <cell r="AK1870" t="str">
            <v>CDC-12392</v>
          </cell>
          <cell r="AL1870" t="str">
            <v>CDC12392</v>
          </cell>
        </row>
        <row r="1871">
          <cell r="N1871" t="str">
            <v>L.E.S.D.#79 - BELEN SOTO ELEMENTARY SCHOOL</v>
          </cell>
          <cell r="O1871" t="str">
            <v>18601 WEST CAMPBELL AVENUE</v>
          </cell>
          <cell r="P1871" t="str">
            <v>blockwitz@lesd.k12.az.us</v>
          </cell>
          <cell r="Q1871" t="str">
            <v>CDC-18591</v>
          </cell>
          <cell r="AJ1871" t="e">
            <v>#N/A</v>
          </cell>
          <cell r="AK1871" t="str">
            <v>CDC-18591</v>
          </cell>
          <cell r="AL1871" t="str">
            <v>CDC18591</v>
          </cell>
        </row>
        <row r="1872">
          <cell r="N1872" t="str">
            <v>L.E.S.D.#79 - CORTE SIERRA ELEMENTARY SCHOOL</v>
          </cell>
          <cell r="O1872" t="str">
            <v>3300 NORTH SANTA FE TRAIL</v>
          </cell>
          <cell r="P1872" t="str">
            <v>bryant@lesd.k12.az.us</v>
          </cell>
          <cell r="Q1872" t="str">
            <v>CDC-9874</v>
          </cell>
          <cell r="AJ1872" t="e">
            <v>#N/A</v>
          </cell>
          <cell r="AK1872" t="str">
            <v>CDC-9874</v>
          </cell>
          <cell r="AL1872" t="str">
            <v>CDC9874</v>
          </cell>
        </row>
        <row r="1873">
          <cell r="N1873" t="str">
            <v>L.E.S.D.#79 - DREAMING SUMMIT ELEMENTARY SCHOOL</v>
          </cell>
          <cell r="O1873" t="str">
            <v>13335 WEST MISSOURI AVENUE</v>
          </cell>
          <cell r="P1873" t="str">
            <v>bryant@lesd.k12.az.us</v>
          </cell>
          <cell r="Q1873" t="str">
            <v>CDC-11627</v>
          </cell>
          <cell r="AJ1873" t="e">
            <v>#N/A</v>
          </cell>
          <cell r="AK1873" t="str">
            <v>CDC-11627</v>
          </cell>
          <cell r="AL1873" t="str">
            <v>CDC11627</v>
          </cell>
        </row>
        <row r="1874">
          <cell r="N1874" t="str">
            <v>L.E.S.D.#79 - LITCHFIELD EARLY CHILDHOOD EDUCATION</v>
          </cell>
          <cell r="O1874" t="str">
            <v>255 EAST WIGWAM BOULEVARD</v>
          </cell>
          <cell r="P1874" t="str">
            <v>akers@lesd.k12.az.us</v>
          </cell>
          <cell r="Q1874" t="str">
            <v>CDC-7078</v>
          </cell>
          <cell r="AJ1874" t="e">
            <v>#N/A</v>
          </cell>
          <cell r="AK1874" t="str">
            <v>CDC-7078</v>
          </cell>
          <cell r="AL1874" t="str">
            <v>CDC7078</v>
          </cell>
        </row>
        <row r="1875">
          <cell r="N1875" t="str">
            <v>L.E.S.D.#79 - MABEL PADGETT ELEMENTARY</v>
          </cell>
          <cell r="O1875" t="str">
            <v>15430 WEST TURNEY</v>
          </cell>
          <cell r="P1875" t="str">
            <v>mpe-extday@lesd.k12.az.us</v>
          </cell>
          <cell r="Q1875" t="str">
            <v>CDC-15413</v>
          </cell>
          <cell r="AJ1875" t="e">
            <v>#N/A</v>
          </cell>
          <cell r="AK1875" t="str">
            <v>CDC-15413</v>
          </cell>
          <cell r="AL1875" t="str">
            <v>CDC15413</v>
          </cell>
        </row>
        <row r="1876">
          <cell r="N1876" t="str">
            <v>L.E.S.D.#79 - PALM VALLEY ELEMENTARY SCHOOL</v>
          </cell>
          <cell r="O1876" t="str">
            <v>2801 NORTH 135TH AVENUE</v>
          </cell>
          <cell r="P1876" t="str">
            <v>Pve-extday@lesd.K12.AZ.us</v>
          </cell>
          <cell r="Q1876" t="str">
            <v>CDC-7079</v>
          </cell>
          <cell r="AJ1876" t="e">
            <v>#N/A</v>
          </cell>
          <cell r="AK1876" t="str">
            <v>CDC-7079</v>
          </cell>
          <cell r="AL1876" t="str">
            <v>CDC7079</v>
          </cell>
        </row>
        <row r="1877">
          <cell r="N1877" t="str">
            <v>L.E.S.D.#79 - RANCHO SANTA FE ELEMENTARY SCHOOL</v>
          </cell>
          <cell r="O1877" t="str">
            <v>2150 NORTH RANCHO SANTA FE BOULEVARD</v>
          </cell>
          <cell r="P1877" t="str">
            <v>sterr.r@lesd.k12.az.us</v>
          </cell>
          <cell r="Q1877" t="str">
            <v>CDC-9048</v>
          </cell>
          <cell r="AJ1877" t="e">
            <v>#N/A</v>
          </cell>
          <cell r="AK1877" t="str">
            <v>CDC-9048</v>
          </cell>
          <cell r="AL1877" t="str">
            <v>CDC9048</v>
          </cell>
        </row>
        <row r="1878">
          <cell r="N1878" t="str">
            <v>L.E.S.D.#79 - SCOTT LIBBY - EARLY CHILD EDUCATION</v>
          </cell>
          <cell r="O1878" t="str">
            <v>18701 WEST THOMAS ROAD</v>
          </cell>
          <cell r="P1878" t="str">
            <v>bryant@lesd.k12.az.us</v>
          </cell>
          <cell r="Q1878" t="str">
            <v>CDC-6249</v>
          </cell>
          <cell r="AJ1878" t="e">
            <v>#N/A</v>
          </cell>
          <cell r="AK1878" t="str">
            <v>CDC-6249</v>
          </cell>
          <cell r="AL1878" t="str">
            <v>CDC6249</v>
          </cell>
        </row>
        <row r="1879">
          <cell r="N1879" t="str">
            <v>L.E.S.D.#79 - VERRADO ELEMENTARY SCHOOL</v>
          </cell>
          <cell r="O1879" t="str">
            <v>20873 WEST SUNRISE LANE</v>
          </cell>
          <cell r="P1879" t="str">
            <v>ves-extday@lesd.k12AZ.us</v>
          </cell>
          <cell r="Q1879" t="str">
            <v>CDC-12799</v>
          </cell>
          <cell r="AJ1879" t="e">
            <v>#N/A</v>
          </cell>
          <cell r="AK1879" t="str">
            <v>CDC-12799</v>
          </cell>
          <cell r="AL1879" t="str">
            <v>CDC12799</v>
          </cell>
        </row>
        <row r="1880">
          <cell r="N1880" t="str">
            <v>L.E.S.D.#79 - VERRADO HERITAGE ELEMENTARY SCHOOL</v>
          </cell>
          <cell r="O1880" t="str">
            <v>20895 WEST HAMILTON STREET</v>
          </cell>
          <cell r="P1880" t="str">
            <v>blockwitz@lesd.k12.az.us</v>
          </cell>
          <cell r="Q1880" t="str">
            <v>CDC-17257</v>
          </cell>
          <cell r="AJ1880" t="e">
            <v>#N/A</v>
          </cell>
          <cell r="AK1880" t="str">
            <v>CDC-17257</v>
          </cell>
          <cell r="AL1880" t="str">
            <v>CDC17257</v>
          </cell>
        </row>
        <row r="1881">
          <cell r="N1881" t="str">
            <v>L.H.U.S.D.#1 - DEVELOPMENTAL PRESCHOOL</v>
          </cell>
          <cell r="O1881" t="str">
            <v>2395 SMOKETREE AVENUE</v>
          </cell>
          <cell r="P1881" t="str">
            <v>calexander@havasuk12.az.us</v>
          </cell>
          <cell r="Q1881" t="str">
            <v>CDC-8885</v>
          </cell>
          <cell r="AJ1881" t="e">
            <v>#N/A</v>
          </cell>
          <cell r="AK1881" t="str">
            <v>CDC-8885</v>
          </cell>
          <cell r="AL1881" t="str">
            <v>CDC8885</v>
          </cell>
        </row>
        <row r="1882">
          <cell r="N1882" t="str">
            <v>L.H.U.S.D.#1 - LITTLE KNIGHTS PRESCHOOL</v>
          </cell>
          <cell r="O1882" t="str">
            <v>2675 SOUTH PALO VERDE BLV</v>
          </cell>
          <cell r="P1882" t="str">
            <v>mhendry@havasu.k12.az.us</v>
          </cell>
          <cell r="Q1882" t="str">
            <v>CDC-6637</v>
          </cell>
          <cell r="AJ1882" t="e">
            <v>#N/A</v>
          </cell>
          <cell r="AK1882" t="str">
            <v>CDC-6637</v>
          </cell>
          <cell r="AL1882" t="str">
            <v>CDC6637</v>
          </cell>
        </row>
        <row r="1883">
          <cell r="N1883" t="str">
            <v>L.U.S.D.#9 - BEAVER DAM ELEMENTARY SCHOOL</v>
          </cell>
          <cell r="O1883" t="str">
            <v>3436 EAST RIO VIRGIN ROAD</v>
          </cell>
          <cell r="P1883" t="str">
            <v>sgonzales@lusd9.com</v>
          </cell>
          <cell r="Q1883" t="str">
            <v>CDC-16105</v>
          </cell>
          <cell r="AJ1883" t="e">
            <v>#N/A</v>
          </cell>
          <cell r="AK1883" t="str">
            <v>CDC-16105</v>
          </cell>
          <cell r="AL1883" t="str">
            <v>CDC16105</v>
          </cell>
        </row>
        <row r="1884">
          <cell r="N1884" t="str">
            <v>M.C.S.D.#10 - MAINE CONSOLIDATED SCHOOL DISTRICT #10</v>
          </cell>
          <cell r="O1884" t="str">
            <v>10 NORTH VALLEY ROAD</v>
          </cell>
          <cell r="P1884" t="str">
            <v>trodriguez@mcsd10.org</v>
          </cell>
          <cell r="Q1884" t="str">
            <v>CDC-17583</v>
          </cell>
          <cell r="AJ1884" t="e">
            <v>#N/A</v>
          </cell>
          <cell r="AK1884" t="str">
            <v>CDC-17583</v>
          </cell>
          <cell r="AL1884" t="str">
            <v>CDC17583</v>
          </cell>
        </row>
        <row r="1885">
          <cell r="N1885" t="str">
            <v>M.E.S.D.#38 - CAMELVIEW- E C P / M A C</v>
          </cell>
          <cell r="O1885" t="str">
            <v>2002 EAST CAMPBELL AVENUE</v>
          </cell>
          <cell r="P1885" t="str">
            <v>dsegoviano@madisoned.org</v>
          </cell>
          <cell r="Q1885" t="str">
            <v>CDC-6237</v>
          </cell>
          <cell r="AJ1885" t="e">
            <v>#N/A</v>
          </cell>
          <cell r="AK1885" t="str">
            <v>CDC-6237</v>
          </cell>
          <cell r="AL1885" t="str">
            <v>CDC6237</v>
          </cell>
        </row>
        <row r="1886">
          <cell r="N1886" t="str">
            <v>M.E.S.D.#38 - HEIGHTS E C P / M A C</v>
          </cell>
          <cell r="O1886" t="str">
            <v>7150 NORTH 22ND STREET</v>
          </cell>
          <cell r="P1886" t="str">
            <v>apierson@madisched.org</v>
          </cell>
          <cell r="Q1886" t="str">
            <v>CDC-6238</v>
          </cell>
          <cell r="AJ1886" t="e">
            <v>#N/A</v>
          </cell>
          <cell r="AK1886" t="str">
            <v>CDC-6238</v>
          </cell>
          <cell r="AL1886" t="str">
            <v>CDC6238</v>
          </cell>
        </row>
        <row r="1887">
          <cell r="N1887" t="str">
            <v>M.E.S.D.#38 - MADISON #1 M A C</v>
          </cell>
          <cell r="O1887" t="str">
            <v>5525 NORTH 16TH STREET</v>
          </cell>
          <cell r="P1887" t="str">
            <v>lmautz@madison.org</v>
          </cell>
          <cell r="Q1887" t="str">
            <v>CDC-6239</v>
          </cell>
          <cell r="AJ1887" t="e">
            <v>#N/A</v>
          </cell>
          <cell r="AK1887" t="str">
            <v>CDC-6239</v>
          </cell>
          <cell r="AL1887" t="str">
            <v>CDC6239</v>
          </cell>
        </row>
        <row r="1888">
          <cell r="N1888" t="str">
            <v>M.E.S.D.#38 - MADISON TRADITIONAL ACADEMY</v>
          </cell>
          <cell r="O1888" t="str">
            <v>925 EAST MARYLAND AVENUE</v>
          </cell>
          <cell r="P1888" t="str">
            <v>qryan@msd38.org</v>
          </cell>
          <cell r="Q1888" t="str">
            <v>CDC-15900</v>
          </cell>
          <cell r="AJ1888" t="e">
            <v>#N/A</v>
          </cell>
          <cell r="AK1888" t="str">
            <v>CDC-15900</v>
          </cell>
          <cell r="AL1888" t="str">
            <v>CDC15900</v>
          </cell>
        </row>
        <row r="1889">
          <cell r="N1889" t="str">
            <v>M.E.S.D.#38 - MEADOWS M A C</v>
          </cell>
          <cell r="O1889" t="str">
            <v>225 WEST OCOTILLO ROAD</v>
          </cell>
          <cell r="P1889" t="str">
            <v>awest@madisoned.org</v>
          </cell>
          <cell r="Q1889" t="str">
            <v>CDC-6246</v>
          </cell>
          <cell r="AJ1889" t="e">
            <v>#N/A</v>
          </cell>
          <cell r="AK1889" t="str">
            <v>CDC-6246</v>
          </cell>
          <cell r="AL1889" t="str">
            <v>CDC6246</v>
          </cell>
        </row>
        <row r="1890">
          <cell r="N1890" t="str">
            <v>M.E.S.D.#38 - PARK M A C / E C P</v>
          </cell>
          <cell r="O1890" t="str">
            <v>1431 EAST CAMPBELL AVENUE</v>
          </cell>
          <cell r="P1890" t="str">
            <v>rmaceyko@madisoned.org</v>
          </cell>
          <cell r="Q1890" t="str">
            <v>CDC-6247</v>
          </cell>
          <cell r="AJ1890" t="e">
            <v>#N/A</v>
          </cell>
          <cell r="AK1890" t="str">
            <v>CDC-6247</v>
          </cell>
          <cell r="AL1890" t="str">
            <v>CDC6247</v>
          </cell>
        </row>
        <row r="1891">
          <cell r="N1891" t="str">
            <v>M.E.S.D.#38 - ROSE LANE M A C / E C P</v>
          </cell>
          <cell r="O1891" t="str">
            <v>1155 EAST ROSE LANE</v>
          </cell>
          <cell r="P1891" t="str">
            <v>newman@madison.org</v>
          </cell>
          <cell r="Q1891" t="str">
            <v>CDC-6236</v>
          </cell>
          <cell r="AJ1891" t="e">
            <v>#N/A</v>
          </cell>
          <cell r="AK1891" t="str">
            <v>CDC-6236</v>
          </cell>
          <cell r="AL1891" t="str">
            <v>CDC6236</v>
          </cell>
        </row>
        <row r="1892">
          <cell r="N1892" t="str">
            <v>M.E.S.D.#38 - SIMIS E C P / M A C</v>
          </cell>
          <cell r="O1892" t="str">
            <v>7302 NORTH 10TH STREET</v>
          </cell>
          <cell r="P1892" t="str">
            <v>qryan@madisoned.org</v>
          </cell>
          <cell r="Q1892" t="str">
            <v>CDC-6241</v>
          </cell>
          <cell r="AJ1892" t="e">
            <v>#N/A</v>
          </cell>
          <cell r="AK1892" t="str">
            <v>CDC-6241</v>
          </cell>
          <cell r="AL1892" t="str">
            <v>CDC6241</v>
          </cell>
        </row>
        <row r="1893">
          <cell r="N1893" t="str">
            <v>M.S.D.#18 - FAIRBANKS LEARNING CONNECTIONS PRESCHOOL</v>
          </cell>
          <cell r="O1893" t="str">
            <v>79 COPPER ROAD</v>
          </cell>
          <cell r="P1893" t="str">
            <v>rchristenson@morenci.org</v>
          </cell>
          <cell r="Q1893" t="str">
            <v>CDC-7806</v>
          </cell>
          <cell r="AJ1893" t="e">
            <v>#N/A</v>
          </cell>
          <cell r="AK1893" t="str">
            <v>CDC-7806</v>
          </cell>
          <cell r="AL1893" t="str">
            <v>CDC7806</v>
          </cell>
        </row>
        <row r="1894">
          <cell r="N1894" t="str">
            <v>M.S.D.#18 - WILDKITTEN DEN</v>
          </cell>
          <cell r="O1894" t="str">
            <v>301 PLAZA DRIVE</v>
          </cell>
          <cell r="P1894" t="str">
            <v>cbenavidez@morenci.org</v>
          </cell>
          <cell r="Q1894" t="str">
            <v>CDC-17551</v>
          </cell>
          <cell r="AJ1894" t="e">
            <v>#N/A</v>
          </cell>
          <cell r="AK1894" t="str">
            <v>CDC-17551</v>
          </cell>
          <cell r="AL1894" t="str">
            <v>CDC17551</v>
          </cell>
        </row>
        <row r="1895">
          <cell r="N1895" t="str">
            <v>M.S.D.#21 - ARTHUR M. HAMILTON - MURPHY HEAD START</v>
          </cell>
          <cell r="O1895" t="str">
            <v>2020 WEST DURANGO STREET</v>
          </cell>
          <cell r="P1895" t="str">
            <v>djiron@smdaz.org</v>
          </cell>
          <cell r="Q1895" t="str">
            <v>CDC-1229</v>
          </cell>
          <cell r="AJ1895" t="e">
            <v>#N/A</v>
          </cell>
          <cell r="AK1895" t="str">
            <v>CDC-1229</v>
          </cell>
          <cell r="AL1895" t="str">
            <v>CDC1229</v>
          </cell>
        </row>
        <row r="1896">
          <cell r="N1896" t="str">
            <v>M.S.D.#21 - JACK L. KUBAN HEAD START</v>
          </cell>
          <cell r="O1896" t="str">
            <v>3201 WEST SHERMAN STREET</v>
          </cell>
          <cell r="P1896" t="str">
            <v>egonzalez@msdaz.org</v>
          </cell>
          <cell r="Q1896" t="str">
            <v>CDC-1770</v>
          </cell>
          <cell r="AJ1896" t="e">
            <v>#N/A</v>
          </cell>
          <cell r="AK1896" t="str">
            <v>CDC-1770</v>
          </cell>
          <cell r="AL1896" t="str">
            <v>CDC1770</v>
          </cell>
        </row>
        <row r="1897">
          <cell r="N1897" t="str">
            <v>M.S.D.#21 - W.R. SULLIVAN SCHOOL HEAD START</v>
          </cell>
          <cell r="O1897" t="str">
            <v>2 NORTH 31ST AVENUE</v>
          </cell>
          <cell r="P1897" t="str">
            <v>mhricas@msdaz.org</v>
          </cell>
          <cell r="Q1897" t="str">
            <v>CDC-11529</v>
          </cell>
          <cell r="AJ1897" t="e">
            <v>#N/A</v>
          </cell>
          <cell r="AK1897" t="str">
            <v>CDC-11529</v>
          </cell>
          <cell r="AL1897" t="str">
            <v>CDC11529</v>
          </cell>
        </row>
        <row r="1898">
          <cell r="N1898" t="str">
            <v>M.S.D.#75 - MORRISTOWN SCHOOL DISTRICT #75</v>
          </cell>
          <cell r="O1898" t="str">
            <v>25950 ROCKAWAY HILLS ROAD</v>
          </cell>
          <cell r="P1898" t="str">
            <v>gsackos@morristowneld75.org</v>
          </cell>
          <cell r="Q1898" t="str">
            <v>CDC-12488</v>
          </cell>
          <cell r="AJ1898" t="e">
            <v>#N/A</v>
          </cell>
          <cell r="AK1898" t="str">
            <v>CDC-12488</v>
          </cell>
          <cell r="AL1898" t="str">
            <v>CDC12488</v>
          </cell>
        </row>
        <row r="1899">
          <cell r="N1899" t="str">
            <v>M.S.M.U.S.D.#8 - MAMMOTH - SAN MANUEL PRESCHOOL</v>
          </cell>
          <cell r="O1899" t="str">
            <v>711 MCNAB PARKWAY</v>
          </cell>
          <cell r="P1899" t="str">
            <v>scottj@msmusd.org</v>
          </cell>
          <cell r="Q1899" t="str">
            <v>CDC-18373</v>
          </cell>
          <cell r="AJ1899" t="e">
            <v>#N/A</v>
          </cell>
          <cell r="AK1899" t="str">
            <v>CDC-18373</v>
          </cell>
          <cell r="AL1899" t="str">
            <v>CDC18373</v>
          </cell>
        </row>
        <row r="1900">
          <cell r="N1900" t="str">
            <v>M.U.S.D.#20 - SADDLEBACK ELEMENTARY SCHOOL</v>
          </cell>
          <cell r="O1900" t="str">
            <v>18600 NORTH PORTER ROAD</v>
          </cell>
          <cell r="P1900" t="str">
            <v>joakley@musd20.org</v>
          </cell>
          <cell r="Q1900" t="str">
            <v>CDC-16294</v>
          </cell>
          <cell r="AJ1900" t="e">
            <v>#N/A</v>
          </cell>
          <cell r="AK1900" t="str">
            <v>CDC-16294</v>
          </cell>
          <cell r="AL1900" t="str">
            <v>CDC16294</v>
          </cell>
        </row>
        <row r="1901">
          <cell r="N1901" t="str">
            <v>M.U.S.D.#20 - SANTA CRUZ ELEMENTARY</v>
          </cell>
          <cell r="O1901" t="str">
            <v>19845 NORTH COSTA DEL SOL BOULEVARD</v>
          </cell>
          <cell r="P1901" t="str">
            <v>tmanoguerrera@musd20.org</v>
          </cell>
          <cell r="Q1901" t="str">
            <v>CDC-18519</v>
          </cell>
          <cell r="AJ1901" t="e">
            <v>#N/A</v>
          </cell>
          <cell r="AK1901" t="str">
            <v>CDC-18519</v>
          </cell>
          <cell r="AL1901" t="str">
            <v>CDC18519</v>
          </cell>
        </row>
        <row r="1902">
          <cell r="N1902" t="str">
            <v>M.U.S.D.#20 - SANTA ROSA ELEMENTARY</v>
          </cell>
          <cell r="O1902" t="str">
            <v>21400 NORTH SANTA ROSA DRIVE</v>
          </cell>
          <cell r="P1902" t="str">
            <v>tmanoguerrera@musd20.org</v>
          </cell>
          <cell r="Q1902" t="str">
            <v>CDC-18521</v>
          </cell>
          <cell r="AJ1902" t="e">
            <v>#N/A</v>
          </cell>
          <cell r="AK1902" t="str">
            <v>CDC-18521</v>
          </cell>
          <cell r="AL1902" t="str">
            <v>CDC18521</v>
          </cell>
        </row>
        <row r="1903">
          <cell r="N1903" t="str">
            <v>M.U.S.D.#4 - ADAMS KINDERU</v>
          </cell>
          <cell r="O1903" t="str">
            <v>738 SOUTH LONGMORE</v>
          </cell>
          <cell r="P1903" t="str">
            <v>kafreeha@mpsaz.org</v>
          </cell>
          <cell r="Q1903" t="str">
            <v>CDC-6435</v>
          </cell>
          <cell r="AJ1903" t="e">
            <v>#N/A</v>
          </cell>
          <cell r="AK1903" t="str">
            <v>CDC-6435</v>
          </cell>
          <cell r="AL1903" t="str">
            <v>CDC6435</v>
          </cell>
        </row>
        <row r="1904">
          <cell r="N1904" t="str">
            <v>M.U.S.D.#4 - COYOTE KIDS CHILD DEVELOPMENT CENTER</v>
          </cell>
          <cell r="O1904" t="str">
            <v>845 SOUTH CRISMON ROAD</v>
          </cell>
          <cell r="P1904" t="str">
            <v>Vlhuntsinwinter@mpsaz.org</v>
          </cell>
          <cell r="Q1904" t="str">
            <v>CDC-11436</v>
          </cell>
          <cell r="AJ1904" t="e">
            <v>#N/A</v>
          </cell>
          <cell r="AK1904" t="str">
            <v>CDC-11436</v>
          </cell>
          <cell r="AL1904" t="str">
            <v>CDC11436</v>
          </cell>
        </row>
        <row r="1905">
          <cell r="N1905" t="str">
            <v>M.U.S.D.#4 - DOBSON HIGH MINI MUSTANGS</v>
          </cell>
          <cell r="O1905" t="str">
            <v>1501 WEST GUADALUPE ROAD</v>
          </cell>
          <cell r="P1905" t="str">
            <v xml:space="preserve"> jdwarren@mpsaz.org</v>
          </cell>
          <cell r="Q1905" t="str">
            <v>CDC-7565</v>
          </cell>
          <cell r="AJ1905" t="e">
            <v>#N/A</v>
          </cell>
          <cell r="AK1905" t="str">
            <v>CDC-7565</v>
          </cell>
          <cell r="AL1905" t="str">
            <v>CDC7565</v>
          </cell>
        </row>
        <row r="1906">
          <cell r="N1906" t="str">
            <v>M.U.S.D.#4 - EDISON KINDERU</v>
          </cell>
          <cell r="O1906" t="str">
            <v>545 NORTH HORNE</v>
          </cell>
          <cell r="P1906" t="str">
            <v>Smmeschke@mpsaz.org</v>
          </cell>
          <cell r="Q1906" t="str">
            <v>CDC-18648</v>
          </cell>
          <cell r="AJ1906" t="e">
            <v>#N/A</v>
          </cell>
          <cell r="AK1906" t="str">
            <v>CDC-18648</v>
          </cell>
          <cell r="AL1906" t="str">
            <v>CDC18648</v>
          </cell>
        </row>
        <row r="1907">
          <cell r="N1907" t="str">
            <v>M.U.S.D.#4 - EISENHOWER KINDERU</v>
          </cell>
          <cell r="O1907" t="str">
            <v>848 NORTH MESA DRIVE</v>
          </cell>
          <cell r="P1907" t="str">
            <v>kafreehan@mpsaz.org</v>
          </cell>
          <cell r="Q1907" t="str">
            <v>CDC-17912</v>
          </cell>
          <cell r="AJ1907" t="e">
            <v>#N/A</v>
          </cell>
          <cell r="AK1907" t="str">
            <v>CDC-17912</v>
          </cell>
          <cell r="AL1907" t="str">
            <v>CDC17912</v>
          </cell>
        </row>
        <row r="1908">
          <cell r="N1908" t="str">
            <v>M.U.S.D.#4 - EMERSON KINDERU</v>
          </cell>
          <cell r="O1908" t="str">
            <v>415 NORTH WESTWOOD</v>
          </cell>
          <cell r="P1908" t="str">
            <v>kafreehan@mpsaz.org</v>
          </cell>
          <cell r="Q1908" t="str">
            <v>CDC-18647</v>
          </cell>
          <cell r="AJ1908" t="e">
            <v>#N/A</v>
          </cell>
          <cell r="AK1908" t="str">
            <v>CDC-18647</v>
          </cell>
          <cell r="AL1908" t="str">
            <v>CDC18647</v>
          </cell>
        </row>
        <row r="1909">
          <cell r="N1909" t="str">
            <v>M.U.S.D.#4 - FALCON HILL - KINDERU</v>
          </cell>
          <cell r="O1909" t="str">
            <v>1645 NORTH STERLING</v>
          </cell>
          <cell r="P1909" t="str">
            <v>kafreehan@mpsaz.org</v>
          </cell>
          <cell r="Q1909" t="str">
            <v>CDC-7216</v>
          </cell>
          <cell r="AJ1909" t="e">
            <v>#N/A</v>
          </cell>
          <cell r="AK1909" t="str">
            <v>CDC-7216</v>
          </cell>
          <cell r="AL1909" t="str">
            <v>CDC7216</v>
          </cell>
        </row>
        <row r="1910">
          <cell r="N1910" t="str">
            <v>M.U.S.D.#4 - FRANKLIN AT BRIMHALL KINDERU</v>
          </cell>
          <cell r="O1910" t="str">
            <v>5005 EAST SOUTHERN AVENUE</v>
          </cell>
          <cell r="P1910" t="str">
            <v>kfreehan@mpsaz.org</v>
          </cell>
          <cell r="Q1910" t="str">
            <v>CDC-17392</v>
          </cell>
          <cell r="AJ1910" t="e">
            <v>#N/A</v>
          </cell>
          <cell r="AK1910" t="str">
            <v>CDC-17392</v>
          </cell>
          <cell r="AL1910" t="str">
            <v>CDC17392</v>
          </cell>
        </row>
        <row r="1911">
          <cell r="N1911" t="str">
            <v>M.U.S.D.#4 - GUERRERO KINDERU</v>
          </cell>
          <cell r="O1911" t="str">
            <v>463 SOUTH ALMA SCHOOL ROAD</v>
          </cell>
          <cell r="P1911" t="str">
            <v>Kafreehan@mpsaz.org</v>
          </cell>
          <cell r="Q1911" t="str">
            <v>CDC-18646</v>
          </cell>
          <cell r="AJ1911" t="e">
            <v>#N/A</v>
          </cell>
          <cell r="AK1911" t="str">
            <v>CDC-18646</v>
          </cell>
          <cell r="AL1911" t="str">
            <v>CDC18646</v>
          </cell>
        </row>
        <row r="1912">
          <cell r="N1912" t="str">
            <v>M.U.S.D.#4 - HERMOSA VISTA KINDERU</v>
          </cell>
          <cell r="O1912" t="str">
            <v>2626 NORTH 24TH STREET</v>
          </cell>
          <cell r="P1912" t="str">
            <v>Kafreehan@mpsaz.org</v>
          </cell>
          <cell r="Q1912" t="str">
            <v>CDC-6377</v>
          </cell>
          <cell r="AJ1912" t="e">
            <v>#N/A</v>
          </cell>
          <cell r="AK1912" t="str">
            <v>CDC-6377</v>
          </cell>
          <cell r="AL1912" t="str">
            <v>CDC6377</v>
          </cell>
        </row>
        <row r="1913">
          <cell r="N1913" t="str">
            <v>M.U.S.D.#4 - HOLMES KINDERU</v>
          </cell>
          <cell r="O1913" t="str">
            <v>948 SOUTH HORNE</v>
          </cell>
          <cell r="P1913" t="str">
            <v>Kafreehan@mpsaz.org</v>
          </cell>
          <cell r="Q1913" t="str">
            <v>CDC-18649</v>
          </cell>
          <cell r="AJ1913" t="e">
            <v>#N/A</v>
          </cell>
          <cell r="AK1913" t="str">
            <v>CDC-18649</v>
          </cell>
          <cell r="AL1913" t="str">
            <v>CDC18649</v>
          </cell>
        </row>
        <row r="1914">
          <cell r="N1914" t="str">
            <v>M.U.S.D.#4 - HUGHES KINDERU</v>
          </cell>
          <cell r="O1914" t="str">
            <v>630 NORTH HUNT DRIVE</v>
          </cell>
          <cell r="P1914" t="str">
            <v>tlwyman@mpsaz.org</v>
          </cell>
          <cell r="Q1914" t="str">
            <v>CDC-6434</v>
          </cell>
          <cell r="AJ1914" t="e">
            <v>#N/A</v>
          </cell>
          <cell r="AK1914" t="str">
            <v>CDC-6434</v>
          </cell>
          <cell r="AL1914" t="str">
            <v>CDC6434</v>
          </cell>
        </row>
        <row r="1915">
          <cell r="N1915" t="str">
            <v>M.U.S.D.#4 - IRVING - KINDERU</v>
          </cell>
          <cell r="O1915" t="str">
            <v>3220 EAST PUEBLO AVENUE</v>
          </cell>
          <cell r="P1915" t="str">
            <v>cselkins@mpsaz.org</v>
          </cell>
          <cell r="Q1915" t="str">
            <v>CDC-6373</v>
          </cell>
          <cell r="AJ1915" t="e">
            <v>#N/A</v>
          </cell>
          <cell r="AK1915" t="str">
            <v>CDC-6373</v>
          </cell>
          <cell r="AL1915" t="str">
            <v>CDC6373</v>
          </cell>
        </row>
        <row r="1916">
          <cell r="N1916" t="str">
            <v>M.U.S.D.#4 - JEFFERSON KINDERU</v>
          </cell>
          <cell r="O1916" t="str">
            <v>120 SOUTH JEFFERSON</v>
          </cell>
          <cell r="P1916" t="str">
            <v>Kafreehan@mpsaz.org</v>
          </cell>
          <cell r="Q1916" t="str">
            <v>CDC-18663</v>
          </cell>
          <cell r="AJ1916" t="e">
            <v>#N/A</v>
          </cell>
          <cell r="AK1916" t="str">
            <v>CDC-18663</v>
          </cell>
          <cell r="AL1916" t="str">
            <v>CDC18663</v>
          </cell>
        </row>
        <row r="1917">
          <cell r="N1917" t="str">
            <v>M.U.S.D.#4 - LEHI KINDERU</v>
          </cell>
          <cell r="O1917" t="str">
            <v>2555 NORTH STAPLEY DRIVE</v>
          </cell>
          <cell r="P1917" t="str">
            <v>Kafreehan@mpsaz.org</v>
          </cell>
          <cell r="Q1917" t="str">
            <v>CDC-18645</v>
          </cell>
          <cell r="AJ1917" t="e">
            <v>#N/A</v>
          </cell>
          <cell r="AK1917" t="str">
            <v>CDC-18645</v>
          </cell>
          <cell r="AL1917" t="str">
            <v>CDC18645</v>
          </cell>
        </row>
        <row r="1918">
          <cell r="N1918" t="str">
            <v>M.U.S.D.#4 - LINCOLN KINDERU</v>
          </cell>
          <cell r="O1918" t="str">
            <v>930 SOUTH SIRRINE</v>
          </cell>
          <cell r="P1918" t="str">
            <v>Dmscott@mpsaz.org</v>
          </cell>
          <cell r="Q1918" t="str">
            <v>CDC-6441</v>
          </cell>
          <cell r="AJ1918" t="e">
            <v>#N/A</v>
          </cell>
          <cell r="AK1918" t="str">
            <v>CDC-6441</v>
          </cell>
          <cell r="AL1918" t="str">
            <v>CDC6441</v>
          </cell>
        </row>
        <row r="1919">
          <cell r="N1919" t="str">
            <v>M.U.S.D.#4 - LINDBERGH KINDERU</v>
          </cell>
          <cell r="O1919" t="str">
            <v>930 SOUTH LAZONA</v>
          </cell>
          <cell r="P1919" t="str">
            <v>Kafreehan@mpsaz.org</v>
          </cell>
          <cell r="Q1919" t="str">
            <v>CDC-18644</v>
          </cell>
          <cell r="AJ1919" t="e">
            <v>#N/A</v>
          </cell>
          <cell r="AK1919" t="str">
            <v>CDC-18644</v>
          </cell>
          <cell r="AL1919" t="str">
            <v>CDC18644</v>
          </cell>
        </row>
        <row r="1920">
          <cell r="N1920" t="str">
            <v>M.U.S.D.#4 - LONGFELLOW KINDERU</v>
          </cell>
          <cell r="O1920" t="str">
            <v>345 SOUTH HALL STREET</v>
          </cell>
          <cell r="P1920" t="str">
            <v>bbwallace@mpsaz.org</v>
          </cell>
          <cell r="Q1920" t="str">
            <v>CDC-6440</v>
          </cell>
          <cell r="AJ1920" t="e">
            <v>#N/A</v>
          </cell>
          <cell r="AK1920" t="str">
            <v>CDC-6440</v>
          </cell>
          <cell r="AL1920" t="str">
            <v>CDC6440</v>
          </cell>
        </row>
        <row r="1921">
          <cell r="N1921" t="str">
            <v>M.U.S.D.#4 - MESA EDUCATION CENTER</v>
          </cell>
          <cell r="O1921" t="str">
            <v>855 WEST 8TH AVENUE</v>
          </cell>
          <cell r="P1921" t="str">
            <v>kafreeha@mpsaz.org</v>
          </cell>
          <cell r="Q1921" t="str">
            <v>CDC-15437</v>
          </cell>
          <cell r="AJ1921" t="e">
            <v>#N/A</v>
          </cell>
          <cell r="AK1921" t="str">
            <v>CDC-15437</v>
          </cell>
          <cell r="AL1921" t="str">
            <v>CDC15437</v>
          </cell>
        </row>
        <row r="1922">
          <cell r="N1922" t="str">
            <v>M.U.S.D.#4 - MESA HIGH PRESCHOOL LAB</v>
          </cell>
          <cell r="O1922" t="str">
            <v>1630 EAST SOUTHERN AVENUE</v>
          </cell>
          <cell r="P1922" t="str">
            <v>bbwallace@mpsaz.org</v>
          </cell>
          <cell r="Q1922" t="str">
            <v>CDC-12429</v>
          </cell>
          <cell r="AJ1922" t="e">
            <v>#N/A</v>
          </cell>
          <cell r="AK1922" t="str">
            <v>CDC-12429</v>
          </cell>
          <cell r="AL1922" t="str">
            <v>CDC12429</v>
          </cell>
        </row>
        <row r="1923">
          <cell r="N1923" t="str">
            <v>M.U.S.D.#4 - O'CONNOR - KINDERU</v>
          </cell>
          <cell r="O1923" t="str">
            <v>4840 EAST ADOBE STREET</v>
          </cell>
          <cell r="P1923" t="str">
            <v>mkslama@mpsaz.org</v>
          </cell>
          <cell r="Q1923" t="str">
            <v>CDC-6372</v>
          </cell>
          <cell r="AJ1923" t="e">
            <v>#N/A</v>
          </cell>
          <cell r="AK1923" t="str">
            <v>CDC-6372</v>
          </cell>
          <cell r="AL1923" t="str">
            <v>CDC6372</v>
          </cell>
        </row>
        <row r="1924">
          <cell r="N1924" t="str">
            <v>M.U.S.D.#4 - PATTERSON KINDERU</v>
          </cell>
          <cell r="O1924" t="str">
            <v>615 SOUTH CHESHIRE</v>
          </cell>
          <cell r="P1924" t="str">
            <v>Kafreehan@mpsaz.org</v>
          </cell>
          <cell r="Q1924" t="str">
            <v>CDC-18651</v>
          </cell>
          <cell r="AJ1924" t="e">
            <v>#N/A</v>
          </cell>
          <cell r="AK1924" t="str">
            <v>CDC-18651</v>
          </cell>
          <cell r="AL1924" t="str">
            <v>CDC18651</v>
          </cell>
        </row>
        <row r="1925">
          <cell r="N1925" t="str">
            <v>M.U.S.D.#4 - POMEROY KINDERU</v>
          </cell>
          <cell r="O1925" t="str">
            <v>1507 WEST SHAWNEE DRIVE</v>
          </cell>
          <cell r="P1925" t="str">
            <v>slfalk@mpsaz.org</v>
          </cell>
          <cell r="Q1925" t="str">
            <v>CDC-18650</v>
          </cell>
          <cell r="AJ1925" t="e">
            <v>#N/A</v>
          </cell>
          <cell r="AK1925" t="str">
            <v>CDC-18650</v>
          </cell>
          <cell r="AL1925" t="str">
            <v>CDC18650</v>
          </cell>
        </row>
        <row r="1926">
          <cell r="N1926" t="str">
            <v>M.U.S.D.#4 - PORTER KINDERU</v>
          </cell>
          <cell r="O1926" t="str">
            <v>1350 SOUTH LINDSAY ROAD</v>
          </cell>
          <cell r="P1926" t="str">
            <v>abjohnson@mpsaz.org</v>
          </cell>
          <cell r="Q1926" t="str">
            <v>CDC-7224</v>
          </cell>
          <cell r="AJ1926" t="e">
            <v>#N/A</v>
          </cell>
          <cell r="AK1926" t="str">
            <v>CDC-7224</v>
          </cell>
          <cell r="AL1926" t="str">
            <v>CDC7224</v>
          </cell>
        </row>
        <row r="1927">
          <cell r="N1927" t="str">
            <v>M.U.S.D.#4 - RED MOUNTAIN CHILD DEVELOPMENT LAB</v>
          </cell>
          <cell r="O1927" t="str">
            <v>7301 EAST BROWN ROAD</v>
          </cell>
          <cell r="P1927" t="str">
            <v>saclaycom@mpsaz.org</v>
          </cell>
          <cell r="Q1927" t="str">
            <v>CDC-7564</v>
          </cell>
          <cell r="AJ1927" t="e">
            <v>#N/A</v>
          </cell>
          <cell r="AK1927" t="str">
            <v>CDC-7564</v>
          </cell>
          <cell r="AL1927" t="str">
            <v>CDC7564</v>
          </cell>
        </row>
        <row r="1928">
          <cell r="N1928" t="str">
            <v>M.U.S.D.#4 - RED MOUNTAIN RANCH KINDERU</v>
          </cell>
          <cell r="O1928" t="str">
            <v>6650 EAST RAFTRIVER STREET</v>
          </cell>
          <cell r="P1928" t="str">
            <v>kafreehan@mpsaz.org</v>
          </cell>
          <cell r="Q1928" t="str">
            <v>CDC-6371</v>
          </cell>
          <cell r="AJ1928" t="e">
            <v>#N/A</v>
          </cell>
          <cell r="AK1928" t="str">
            <v>CDC-6371</v>
          </cell>
          <cell r="AL1928" t="str">
            <v>CDC6371</v>
          </cell>
        </row>
        <row r="1929">
          <cell r="N1929" t="str">
            <v>M.U.S.D.#4 - SALK - KINDERU</v>
          </cell>
          <cell r="O1929" t="str">
            <v>7029 EAST BROWN ROAD</v>
          </cell>
          <cell r="P1929" t="str">
            <v>kafreehan@mpsaz.org</v>
          </cell>
          <cell r="Q1929" t="str">
            <v>CDC-18404</v>
          </cell>
          <cell r="AJ1929" t="e">
            <v>#N/A</v>
          </cell>
          <cell r="AK1929" t="str">
            <v>CDC-18404</v>
          </cell>
          <cell r="AL1929" t="str">
            <v>CDC18404</v>
          </cell>
        </row>
        <row r="1930">
          <cell r="N1930" t="str">
            <v>M.U.S.D.#4 - STEVENSON KINDERU</v>
          </cell>
          <cell r="O1930" t="str">
            <v>638 SOUTH 96TH STREET</v>
          </cell>
          <cell r="P1930" t="str">
            <v>kfreehan@mpsaz.org</v>
          </cell>
          <cell r="Q1930" t="str">
            <v>CDC-8661</v>
          </cell>
          <cell r="AJ1930" t="e">
            <v>#N/A</v>
          </cell>
          <cell r="AK1930" t="str">
            <v>CDC-8661</v>
          </cell>
          <cell r="AL1930" t="str">
            <v>CDC8661</v>
          </cell>
        </row>
        <row r="1931">
          <cell r="N1931" t="str">
            <v>M.U.S.D.#4 - SUMMIT KINDERU</v>
          </cell>
          <cell r="O1931" t="str">
            <v>1560 WEST SUMMIT PLACE</v>
          </cell>
          <cell r="P1931" t="str">
            <v>Kafreehan@mpsaz.org</v>
          </cell>
          <cell r="Q1931" t="str">
            <v>CDC-18643</v>
          </cell>
          <cell r="AJ1931" t="e">
            <v>#N/A</v>
          </cell>
          <cell r="AK1931" t="str">
            <v>CDC-18643</v>
          </cell>
          <cell r="AL1931" t="str">
            <v>CDC18643</v>
          </cell>
        </row>
        <row r="1932">
          <cell r="N1932" t="str">
            <v>M.U.S.D.#4 - TAFT - KINDERU</v>
          </cell>
          <cell r="O1932" t="str">
            <v>9800 EAST QUARTERLINE ROAD</v>
          </cell>
          <cell r="P1932" t="str">
            <v>samoore@mpsaz.org</v>
          </cell>
          <cell r="Q1932" t="str">
            <v>CDC-6437</v>
          </cell>
          <cell r="AJ1932" t="e">
            <v>#N/A</v>
          </cell>
          <cell r="AK1932" t="str">
            <v>CDC-6437</v>
          </cell>
          <cell r="AL1932" t="str">
            <v>CDC6437</v>
          </cell>
        </row>
        <row r="1933">
          <cell r="N1933" t="str">
            <v>M.U.S.D.#4 - WEBSTER KINDERU</v>
          </cell>
          <cell r="O1933" t="str">
            <v>202 NORTH SYCAMORE</v>
          </cell>
          <cell r="P1933" t="str">
            <v>Kafreehan@mpsaz.org</v>
          </cell>
          <cell r="Q1933" t="str">
            <v>CDC-18653</v>
          </cell>
          <cell r="AJ1933" t="e">
            <v>#N/A</v>
          </cell>
          <cell r="AK1933" t="str">
            <v>CDC-18653</v>
          </cell>
          <cell r="AL1933" t="str">
            <v>CDC18653</v>
          </cell>
        </row>
        <row r="1934">
          <cell r="N1934" t="str">
            <v>M.U.S.D.#4 - WHITMAN KINDERU</v>
          </cell>
          <cell r="O1934" t="str">
            <v>1829 NORTH GRAND</v>
          </cell>
          <cell r="P1934" t="str">
            <v>avdunning@mpsaz.org</v>
          </cell>
          <cell r="Q1934" t="str">
            <v>CDC-16096</v>
          </cell>
          <cell r="AJ1934" t="e">
            <v>#N/A</v>
          </cell>
          <cell r="AK1934" t="str">
            <v>CDC-16096</v>
          </cell>
          <cell r="AL1934" t="str">
            <v>CDC16096</v>
          </cell>
        </row>
        <row r="1935">
          <cell r="N1935" t="str">
            <v>M.U.S.D.#4 - WHITTIER - KINDERU</v>
          </cell>
          <cell r="O1935" t="str">
            <v>733 NORTH LONGMORE</v>
          </cell>
          <cell r="P1935" t="str">
            <v>mecheccettini@mpsaz.org</v>
          </cell>
          <cell r="Q1935" t="str">
            <v>CDC-13450</v>
          </cell>
          <cell r="AJ1935" t="e">
            <v>#N/A</v>
          </cell>
          <cell r="AK1935" t="str">
            <v>CDC-13450</v>
          </cell>
          <cell r="AL1935" t="str">
            <v>CDC13450</v>
          </cell>
        </row>
        <row r="1936">
          <cell r="N1936" t="str">
            <v>M.U.S.D.#4 - ZAHARIS KINDERU</v>
          </cell>
          <cell r="O1936" t="str">
            <v>9410 EAST MCKELLIPS</v>
          </cell>
          <cell r="P1936" t="str">
            <v>Kafreehan@mpsaz.org</v>
          </cell>
          <cell r="Q1936" t="str">
            <v>CDC-18652</v>
          </cell>
          <cell r="AJ1936" t="e">
            <v>#N/A</v>
          </cell>
          <cell r="AK1936" t="str">
            <v>CDC-18652</v>
          </cell>
          <cell r="AL1936" t="str">
            <v>CDC18652</v>
          </cell>
        </row>
        <row r="1937">
          <cell r="N1937" t="str">
            <v>M.U.S.D.#40 - LITTLE VANDAL PRESCHOOL</v>
          </cell>
          <cell r="O1937" t="str">
            <v>4635 B EAST RAGUS ROAD</v>
          </cell>
          <cell r="P1937" t="str">
            <v>sdorathy@miamiusd40.org</v>
          </cell>
          <cell r="Q1937" t="str">
            <v>CDC-11043</v>
          </cell>
          <cell r="AJ1937">
            <v>89583</v>
          </cell>
          <cell r="AK1937" t="str">
            <v>CDC-11043</v>
          </cell>
          <cell r="AL1937" t="str">
            <v>CDC11043</v>
          </cell>
        </row>
        <row r="1938">
          <cell r="N1938" t="str">
            <v>M.U.S.D.#6 - BUTTERFIELD - L.E.A.P.</v>
          </cell>
          <cell r="O1938" t="str">
            <v>3400 WEST MASSINGALE ROAD</v>
          </cell>
          <cell r="P1938" t="str">
            <v>BE-BILLl@maranausd.org</v>
          </cell>
          <cell r="Q1938" t="str">
            <v>CDC-7862</v>
          </cell>
          <cell r="AJ1938" t="e">
            <v>#N/A</v>
          </cell>
          <cell r="AK1938" t="str">
            <v>CDC-7862</v>
          </cell>
          <cell r="AL1938" t="str">
            <v>CDC7862</v>
          </cell>
        </row>
        <row r="1939">
          <cell r="N1939" t="str">
            <v>M.U.S.D.#6 - COYOTE TRAIL L.E.A.P./ PRESCHOOL</v>
          </cell>
          <cell r="O1939" t="str">
            <v>8000 NORTH SILVERBELL ROAD</v>
          </cell>
          <cell r="P1939" t="str">
            <v>l.w.ludeke@maranausd.org</v>
          </cell>
          <cell r="Q1939" t="str">
            <v>CDC-10155</v>
          </cell>
          <cell r="AJ1939" t="e">
            <v>#N/A</v>
          </cell>
          <cell r="AK1939" t="str">
            <v>CDC-10155</v>
          </cell>
          <cell r="AL1939" t="str">
            <v>CDC10155</v>
          </cell>
        </row>
        <row r="1940">
          <cell r="N1940" t="str">
            <v>M.U.S.D.#6 - DE GRAZIA L.E.A.P.</v>
          </cell>
          <cell r="O1940" t="str">
            <v>5051 WEST OVERTON ROAD</v>
          </cell>
          <cell r="P1940" t="str">
            <v>DG-BILL@maranausd.org</v>
          </cell>
          <cell r="Q1940" t="str">
            <v>CDC-7863</v>
          </cell>
          <cell r="AJ1940" t="e">
            <v>#N/A</v>
          </cell>
          <cell r="AK1940" t="str">
            <v>CDC-7863</v>
          </cell>
          <cell r="AL1940" t="str">
            <v>CDC7863</v>
          </cell>
        </row>
        <row r="1941">
          <cell r="N1941" t="str">
            <v>M.U.S.D.#6 - DOVE MOUNTAIN C - S.T.E.M. K - 8 E.C.E. &amp; L.E.A.P.</v>
          </cell>
          <cell r="O1941" t="str">
            <v>5650 WEST MOORE ROAD</v>
          </cell>
          <cell r="P1941" t="str">
            <v>l.w.ludeke@maranausd.org</v>
          </cell>
          <cell r="Q1941" t="str">
            <v>CDC-18624</v>
          </cell>
          <cell r="AJ1941" t="e">
            <v>#N/A</v>
          </cell>
          <cell r="AK1941" t="str">
            <v>CDC-18624</v>
          </cell>
          <cell r="AL1941" t="str">
            <v>CDC18624</v>
          </cell>
        </row>
        <row r="1942">
          <cell r="N1942" t="str">
            <v>M.U.S.D.#6 - DR. MARIANNA VALDEZ P.A.L. PRESCHOOL PROGRAM</v>
          </cell>
          <cell r="O1942" t="str">
            <v>7651 NORTH OLDFATHER ROAD</v>
          </cell>
          <cell r="P1942" t="str">
            <v>W.G.WALSH@MARANAUSD.ORG</v>
          </cell>
          <cell r="Q1942" t="str">
            <v>CDC-18726</v>
          </cell>
          <cell r="AJ1942" t="e">
            <v>#N/A</v>
          </cell>
          <cell r="AK1942" t="str">
            <v>CDC-18726</v>
          </cell>
          <cell r="AL1942" t="str">
            <v>CDC18726</v>
          </cell>
        </row>
        <row r="1943">
          <cell r="N1943" t="str">
            <v>M.U.S.D.#6 - EARLY LEARNING AND RESOURCE CENTER PRESCHOOL</v>
          </cell>
          <cell r="O1943" t="str">
            <v>7651 NORTH OLDFATHER ROAD</v>
          </cell>
          <cell r="P1943" t="str">
            <v>s.a.settles@maranausd.org</v>
          </cell>
          <cell r="Q1943" t="str">
            <v>CDC-7646</v>
          </cell>
          <cell r="AJ1943" t="e">
            <v>#N/A</v>
          </cell>
          <cell r="AK1943" t="str">
            <v>CDC-7646</v>
          </cell>
          <cell r="AL1943" t="str">
            <v>CDC7646</v>
          </cell>
        </row>
        <row r="1944">
          <cell r="N1944" t="str">
            <v>M.U.S.D.#6 - ESTES L.E.A.P./ PRESCHOOL</v>
          </cell>
          <cell r="O1944" t="str">
            <v>11279 WEST GRIER ROAD #121</v>
          </cell>
          <cell r="P1944" t="str">
            <v>EE-BILL@maranausd.org</v>
          </cell>
          <cell r="Q1944" t="str">
            <v>CDC-12922</v>
          </cell>
          <cell r="AJ1944" t="e">
            <v>#N/A</v>
          </cell>
          <cell r="AK1944" t="str">
            <v>CDC-12922</v>
          </cell>
          <cell r="AL1944" t="str">
            <v>CDC12922</v>
          </cell>
        </row>
        <row r="1945">
          <cell r="N1945" t="str">
            <v>M.U.S.D.#6 - GLADDEN FARMS L.E.A.P./ PRESCHOOL</v>
          </cell>
          <cell r="O1945" t="str">
            <v>11745 WEST GLADDEN FARMS DRIVE</v>
          </cell>
          <cell r="P1945" t="str">
            <v>GF-BILL@maranausd.org</v>
          </cell>
          <cell r="Q1945" t="str">
            <v>CDC-17706</v>
          </cell>
          <cell r="AJ1945" t="e">
            <v>#N/A</v>
          </cell>
          <cell r="AK1945" t="str">
            <v>CDC-17706</v>
          </cell>
          <cell r="AL1945" t="str">
            <v>CDC17706</v>
          </cell>
        </row>
        <row r="1946">
          <cell r="N1946" t="str">
            <v>M.U.S.D.#6 - IRONWOOD L.E.A.P.</v>
          </cell>
          <cell r="O1946" t="str">
            <v>3300 WEST FREER DRIVE</v>
          </cell>
          <cell r="P1946" t="str">
            <v>IW-BILL@maranausd.com</v>
          </cell>
          <cell r="Q1946" t="str">
            <v>CDC-7869</v>
          </cell>
          <cell r="AJ1946" t="e">
            <v>#N/A</v>
          </cell>
          <cell r="AK1946" t="str">
            <v>CDC-7869</v>
          </cell>
          <cell r="AL1946" t="str">
            <v>CDC7869</v>
          </cell>
        </row>
        <row r="1947">
          <cell r="N1947" t="str">
            <v>M.U.S.D.#6 - PICTURE ROCKS L.E.A.P./ PRESCHOOL</v>
          </cell>
          <cell r="O1947" t="str">
            <v>5875 NORTH SANDERS ROAD</v>
          </cell>
          <cell r="P1947" t="str">
            <v>s.a.settles@maranausd.org</v>
          </cell>
          <cell r="Q1947" t="str">
            <v>CDC-18733</v>
          </cell>
          <cell r="AJ1947" t="e">
            <v>#N/A</v>
          </cell>
          <cell r="AK1947" t="str">
            <v>CDC-18733</v>
          </cell>
          <cell r="AL1947" t="str">
            <v>CDC18733</v>
          </cell>
        </row>
        <row r="1948">
          <cell r="N1948" t="str">
            <v>M.U.S.D.#6 - QUAIL RUN L.E.A.P./ PRESCHOOL</v>
          </cell>
          <cell r="O1948" t="str">
            <v>4600 WEST CORTARO FARMS RD</v>
          </cell>
          <cell r="P1948" t="str">
            <v>QR-BILL@maranausd.org</v>
          </cell>
          <cell r="Q1948" t="str">
            <v>CDC-7864</v>
          </cell>
          <cell r="AJ1948" t="e">
            <v>#N/A</v>
          </cell>
          <cell r="AK1948" t="str">
            <v>CDC-7864</v>
          </cell>
          <cell r="AL1948" t="str">
            <v>CDC7864</v>
          </cell>
        </row>
        <row r="1949">
          <cell r="N1949" t="str">
            <v>M.U.S.D.#6 - RATTLESNAKE RIDGE L.E.A.P./ PRESCHOOL</v>
          </cell>
          <cell r="O1949" t="str">
            <v>8500 CONTINENTAL RESERVE LOOP</v>
          </cell>
          <cell r="P1949" t="str">
            <v>RR-BILL@maranausd.org</v>
          </cell>
          <cell r="Q1949" t="str">
            <v>CDC-13611</v>
          </cell>
          <cell r="AJ1949" t="e">
            <v>#N/A</v>
          </cell>
          <cell r="AK1949" t="str">
            <v>CDC-13611</v>
          </cell>
          <cell r="AL1949" t="str">
            <v>CDC13611</v>
          </cell>
        </row>
        <row r="1950">
          <cell r="N1950" t="str">
            <v>M.U.S.D.#6 - ROADRUNNER L.E.A.P./ PRESCHOOL</v>
          </cell>
          <cell r="O1950" t="str">
            <v>16651 WEST CALLE CARMELA</v>
          </cell>
          <cell r="P1950" t="str">
            <v>RE-PBIL@maranausd.org</v>
          </cell>
          <cell r="Q1950" t="str">
            <v>CDC-7983</v>
          </cell>
          <cell r="AJ1950" t="e">
            <v>#N/A</v>
          </cell>
          <cell r="AK1950" t="str">
            <v>CDC-7983</v>
          </cell>
          <cell r="AL1950" t="str">
            <v>CDC7983</v>
          </cell>
        </row>
        <row r="1951">
          <cell r="N1951" t="str">
            <v>M.U.S.D.#6 - TIGER CUB LEARNING CENTER</v>
          </cell>
          <cell r="O1951" t="str">
            <v>12000 WEST EMIGH ROAD</v>
          </cell>
          <cell r="P1951" t="str">
            <v>m.m.figueroa@maranausd.org</v>
          </cell>
          <cell r="Q1951" t="str">
            <v>CDC-6486</v>
          </cell>
          <cell r="AJ1951" t="e">
            <v>#N/A</v>
          </cell>
          <cell r="AK1951" t="str">
            <v>CDC-6486</v>
          </cell>
          <cell r="AL1951" t="str">
            <v>CDC6486</v>
          </cell>
        </row>
        <row r="1952">
          <cell r="N1952" t="str">
            <v>M.U.S.D.#6 - TWIN PEAKS L.E.A.P.</v>
          </cell>
          <cell r="O1952" t="str">
            <v>7995 WEST TWIN PEAKS ROAD</v>
          </cell>
          <cell r="P1952" t="str">
            <v>TP-BILL@maranausd.org</v>
          </cell>
          <cell r="Q1952" t="str">
            <v>CDC-9627</v>
          </cell>
          <cell r="AJ1952" t="e">
            <v>#N/A</v>
          </cell>
          <cell r="AK1952" t="str">
            <v>CDC-9627</v>
          </cell>
          <cell r="AL1952" t="str">
            <v>CDC9627</v>
          </cell>
        </row>
        <row r="1953">
          <cell r="N1953" t="str">
            <v>M.V.S.D.#16 - FORT MOHAVE ELEMENTARY</v>
          </cell>
          <cell r="O1953" t="str">
            <v>1760 JOY LANE</v>
          </cell>
          <cell r="P1953" t="str">
            <v>waxlerm@mvdistrict.net</v>
          </cell>
          <cell r="Q1953" t="str">
            <v>CDC-17360</v>
          </cell>
          <cell r="AJ1953" t="e">
            <v>#N/A</v>
          </cell>
          <cell r="AK1953" t="str">
            <v>CDC-17360</v>
          </cell>
          <cell r="AL1953" t="str">
            <v>CDC17360</v>
          </cell>
        </row>
        <row r="1954">
          <cell r="N1954" t="str">
            <v>N.U.S.D.#81 - DESERT OASIS ELEMENTARY SCHOOL</v>
          </cell>
          <cell r="O1954" t="str">
            <v>17161 WEST BAJADA ROAD</v>
          </cell>
          <cell r="P1954" t="str">
            <v>bstaten@nadaburgsd.org</v>
          </cell>
          <cell r="Q1954" t="str">
            <v>CDC-16625</v>
          </cell>
          <cell r="AJ1954" t="e">
            <v>#N/A</v>
          </cell>
          <cell r="AK1954" t="str">
            <v>CDC-16625</v>
          </cell>
          <cell r="AL1954" t="str">
            <v>CDC16625</v>
          </cell>
        </row>
        <row r="1955">
          <cell r="N1955" t="str">
            <v>N.U.S.D.#81 - NADABURG PRESCHOOL</v>
          </cell>
          <cell r="O1955" t="str">
            <v>21419 WEST DOVE VALLEY ROAD</v>
          </cell>
          <cell r="P1955" t="str">
            <v>msoto@nadaburgsd.org</v>
          </cell>
          <cell r="Q1955" t="str">
            <v>CDC-16021</v>
          </cell>
          <cell r="AJ1955" t="e">
            <v>#N/A</v>
          </cell>
          <cell r="AK1955" t="str">
            <v>CDC-16021</v>
          </cell>
          <cell r="AL1955" t="str">
            <v>CDC16021</v>
          </cell>
        </row>
        <row r="1956">
          <cell r="N1956" t="str">
            <v>O.E.S.D.#8 - ENCANTO ELEMENTARY SCHOOL</v>
          </cell>
          <cell r="O1956" t="str">
            <v>1420 WEST OSBORN ROAD</v>
          </cell>
          <cell r="P1956" t="str">
            <v>rflores@osbornsd.org</v>
          </cell>
          <cell r="Q1956" t="str">
            <v>CDC-18614</v>
          </cell>
          <cell r="AJ1956" t="e">
            <v>#N/A</v>
          </cell>
          <cell r="AK1956" t="str">
            <v>CDC-18614</v>
          </cell>
          <cell r="AL1956" t="str">
            <v>CDC18614</v>
          </cell>
        </row>
        <row r="1957">
          <cell r="N1957" t="str">
            <v>O.E.S.D.#8 - LONGVIEW ELEMENTARY SCHOOL</v>
          </cell>
          <cell r="O1957" t="str">
            <v>1209 EAST INDIAN SCHOOL ROAD</v>
          </cell>
          <cell r="P1957" t="str">
            <v>rflores@osbornsd.org</v>
          </cell>
          <cell r="Q1957" t="str">
            <v>CDC-17483</v>
          </cell>
          <cell r="AJ1957" t="e">
            <v>#N/A</v>
          </cell>
          <cell r="AK1957" t="str">
            <v>CDC-17483</v>
          </cell>
          <cell r="AL1957" t="str">
            <v>CDC17483</v>
          </cell>
        </row>
        <row r="1958">
          <cell r="N1958" t="str">
            <v>O.E.S.D.#8 - MONTECITO COMMUNITY SCHOOL</v>
          </cell>
          <cell r="O1958" t="str">
            <v>715 EAST MONTECITO AVENUE</v>
          </cell>
          <cell r="P1958" t="str">
            <v>rflores@osbornsd.org</v>
          </cell>
          <cell r="Q1958" t="str">
            <v>CDC-18873</v>
          </cell>
          <cell r="AJ1958" t="e">
            <v>#N/A</v>
          </cell>
          <cell r="AK1958" t="str">
            <v>CDC-18873</v>
          </cell>
          <cell r="AL1958" t="str">
            <v>CDC18873</v>
          </cell>
        </row>
        <row r="1959">
          <cell r="N1959" t="str">
            <v>O.E.S.D.#8 - SOLANO ELEMENTARY SCHOOL</v>
          </cell>
          <cell r="O1959" t="str">
            <v>1526 WEST MISSOURI AVENUE</v>
          </cell>
          <cell r="P1959" t="str">
            <v>vshuss@osbornsd.org</v>
          </cell>
          <cell r="Q1959" t="str">
            <v>CDC-17485</v>
          </cell>
          <cell r="AJ1959" t="e">
            <v>#N/A</v>
          </cell>
          <cell r="AK1959" t="str">
            <v>CDC-17485</v>
          </cell>
          <cell r="AL1959" t="str">
            <v>CDC17485</v>
          </cell>
        </row>
        <row r="1960">
          <cell r="N1960" t="str">
            <v>O.S.D.#2 - MOUNTAIN VISTA KINDERGARTEN PREP</v>
          </cell>
          <cell r="O1960" t="str">
            <v>2618 EL PASEO</v>
          </cell>
          <cell r="P1960" t="str">
            <v>cnehrmeyer@osd2.org</v>
          </cell>
          <cell r="Q1960" t="str">
            <v>CDC-17031</v>
          </cell>
          <cell r="AJ1960" t="e">
            <v>#N/A</v>
          </cell>
          <cell r="AK1960" t="str">
            <v>CDC-17031</v>
          </cell>
          <cell r="AL1960" t="str">
            <v>CDC17031</v>
          </cell>
        </row>
        <row r="1961">
          <cell r="N1961" t="str">
            <v>P.E.D.#49 - VALLEY VIEW PRESCHOOL</v>
          </cell>
          <cell r="O1961" t="str">
            <v>6849 EAST HIGHWAY 92</v>
          </cell>
          <cell r="P1961" t="str">
            <v>thompsond@psd49.net</v>
          </cell>
          <cell r="Q1961" t="str">
            <v>CDC-17922</v>
          </cell>
          <cell r="AJ1961" t="e">
            <v>#N/A</v>
          </cell>
          <cell r="AK1961" t="str">
            <v>CDC-17922</v>
          </cell>
          <cell r="AL1961" t="str">
            <v>CDC17922</v>
          </cell>
        </row>
        <row r="1962">
          <cell r="N1962" t="str">
            <v>P.E.S.D.#1 - BETHUNE ELEMENTARY SCHOOL</v>
          </cell>
          <cell r="O1962" t="str">
            <v>1310 SOUTH 15TH AVENUE</v>
          </cell>
          <cell r="P1962" t="str">
            <v>curtis.johnson@phxschools.org</v>
          </cell>
          <cell r="Q1962" t="str">
            <v>CDC-6333</v>
          </cell>
          <cell r="AJ1962" t="e">
            <v>#N/A</v>
          </cell>
          <cell r="AK1962" t="str">
            <v>CDC-6333</v>
          </cell>
          <cell r="AL1962" t="str">
            <v>CDC6333</v>
          </cell>
        </row>
        <row r="1963">
          <cell r="N1963" t="str">
            <v>P.E.S.D.#1 - CAPITOL  ELEMENTARY SCHOOL</v>
          </cell>
          <cell r="O1963" t="str">
            <v>333 NORTH 16TH AVENUE</v>
          </cell>
          <cell r="P1963" t="str">
            <v>curtis.johnson@phxschools.org</v>
          </cell>
          <cell r="Q1963" t="str">
            <v>CDC-6332</v>
          </cell>
          <cell r="AJ1963" t="e">
            <v>#N/A</v>
          </cell>
          <cell r="AK1963" t="str">
            <v>CDC-6332</v>
          </cell>
          <cell r="AL1963" t="str">
            <v>CDC6332</v>
          </cell>
        </row>
        <row r="1964">
          <cell r="N1964" t="str">
            <v>P.E.S.D.#1 - DUNBAR ELEMENTARY SCHOOL</v>
          </cell>
          <cell r="O1964" t="str">
            <v>707 WEST GRANT STREET</v>
          </cell>
          <cell r="P1964" t="str">
            <v>curtis.johnson@phxschools.org</v>
          </cell>
          <cell r="Q1964" t="str">
            <v>CDC-12397</v>
          </cell>
          <cell r="AJ1964" t="e">
            <v>#N/A</v>
          </cell>
          <cell r="AK1964" t="str">
            <v>CDC-12397</v>
          </cell>
          <cell r="AL1964" t="str">
            <v>CDC12397</v>
          </cell>
        </row>
        <row r="1965">
          <cell r="N1965" t="str">
            <v>P.E.S.D.#1 - EDISON ELEMENTARY SCHOOL</v>
          </cell>
          <cell r="O1965" t="str">
            <v>804 NORTH 18TH STREET</v>
          </cell>
          <cell r="P1965" t="str">
            <v>curtis.johnson@phxschools.org</v>
          </cell>
          <cell r="Q1965" t="str">
            <v>CDC-6331</v>
          </cell>
          <cell r="AJ1965" t="e">
            <v>#N/A</v>
          </cell>
          <cell r="AK1965" t="str">
            <v>CDC-6331</v>
          </cell>
          <cell r="AL1965" t="str">
            <v>CDC6331</v>
          </cell>
        </row>
        <row r="1966">
          <cell r="N1966" t="str">
            <v>P.E.S.D.#1 - EMERSON ELEMENTARY SCHOOL</v>
          </cell>
          <cell r="O1966" t="str">
            <v>915 EAST PALM LANE</v>
          </cell>
          <cell r="P1966" t="str">
            <v>curtis.johnson@phxschools.org</v>
          </cell>
          <cell r="Q1966" t="str">
            <v>CDC-6330</v>
          </cell>
          <cell r="AJ1966" t="e">
            <v>#N/A</v>
          </cell>
          <cell r="AK1966" t="str">
            <v>CDC-6330</v>
          </cell>
          <cell r="AL1966" t="str">
            <v>CDC6330</v>
          </cell>
        </row>
        <row r="1967">
          <cell r="N1967" t="str">
            <v>P.E.S.D.#1 - FAITH NORTH SCHOOL</v>
          </cell>
          <cell r="O1967" t="str">
            <v>910 EAST WASHINGTON STREET</v>
          </cell>
          <cell r="P1967" t="str">
            <v>diane.salazar@phxschools.org</v>
          </cell>
          <cell r="Q1967" t="str">
            <v>CDC-10466</v>
          </cell>
          <cell r="AJ1967" t="e">
            <v>#N/A</v>
          </cell>
          <cell r="AK1967" t="str">
            <v>CDC-10466</v>
          </cell>
          <cell r="AL1967" t="str">
            <v>CDC10466</v>
          </cell>
        </row>
        <row r="1968">
          <cell r="N1968" t="str">
            <v>P.E.S.D.#1 - GARFIELD ELEMENTARY SCHOOL</v>
          </cell>
          <cell r="O1968" t="str">
            <v>811 NORTH 13TH STREET</v>
          </cell>
          <cell r="P1968" t="str">
            <v>curtis.johnson@phxschools.org</v>
          </cell>
          <cell r="Q1968" t="str">
            <v>CDC-6312</v>
          </cell>
          <cell r="AJ1968" t="e">
            <v>#N/A</v>
          </cell>
          <cell r="AK1968" t="str">
            <v>CDC-6312</v>
          </cell>
          <cell r="AL1968" t="str">
            <v>CDC6312</v>
          </cell>
        </row>
        <row r="1969">
          <cell r="N1969" t="str">
            <v>P.E.S.D.#1 - HEARD ELEMENTARY SCHOOL</v>
          </cell>
          <cell r="O1969" t="str">
            <v>2301 WEST THOMAS ROAD</v>
          </cell>
          <cell r="P1969" t="str">
            <v>Curtis.johnson@phxschools.org</v>
          </cell>
          <cell r="Q1969" t="str">
            <v>CDC-6329</v>
          </cell>
          <cell r="AJ1969" t="e">
            <v>#N/A</v>
          </cell>
          <cell r="AK1969" t="str">
            <v>CDC-6329</v>
          </cell>
          <cell r="AL1969" t="str">
            <v>CDC6329</v>
          </cell>
        </row>
        <row r="1970">
          <cell r="N1970" t="str">
            <v>P.E.S.D.#1 - HERRERA ELEMENTARY SCHOOL</v>
          </cell>
          <cell r="O1970" t="str">
            <v>1350 SOUTH 11TH STREET</v>
          </cell>
          <cell r="P1970" t="str">
            <v>curtis.johnson@phxschools.org</v>
          </cell>
          <cell r="Q1970" t="str">
            <v>CDC-6328</v>
          </cell>
          <cell r="AJ1970" t="e">
            <v>#N/A</v>
          </cell>
          <cell r="AK1970" t="str">
            <v>CDC-6328</v>
          </cell>
          <cell r="AL1970" t="str">
            <v>CDC6328</v>
          </cell>
        </row>
        <row r="1971">
          <cell r="N1971" t="str">
            <v>P.E.S.D.#1 - KENILWORTH ELEMENTARY SCHOOL</v>
          </cell>
          <cell r="O1971" t="str">
            <v>1210 NORTH 5TH AVENUE</v>
          </cell>
          <cell r="P1971" t="str">
            <v>curtis.johnson@phxschools.org</v>
          </cell>
          <cell r="Q1971" t="str">
            <v>CDC-6326</v>
          </cell>
          <cell r="AJ1971" t="e">
            <v>#N/A</v>
          </cell>
          <cell r="AK1971" t="str">
            <v>CDC-6326</v>
          </cell>
          <cell r="AL1971" t="str">
            <v>CDC6326</v>
          </cell>
        </row>
        <row r="1972">
          <cell r="N1972" t="str">
            <v>P.E.S.D.#1 - LOWELL ELEMENTARY SCHOOL</v>
          </cell>
          <cell r="O1972" t="str">
            <v>1121 SOUTH 3RD AVENUE</v>
          </cell>
          <cell r="P1972" t="str">
            <v>curtis.johnson@phxschools.org</v>
          </cell>
          <cell r="Q1972" t="str">
            <v>CDC-6324</v>
          </cell>
          <cell r="AJ1972" t="e">
            <v>#N/A</v>
          </cell>
          <cell r="AK1972" t="str">
            <v>CDC-6324</v>
          </cell>
          <cell r="AL1972" t="str">
            <v>CDC6324</v>
          </cell>
        </row>
        <row r="1973">
          <cell r="N1973" t="str">
            <v>P.E.S.D.#1 - MAGNET TRADITIONAL SCHOOL</v>
          </cell>
          <cell r="O1973" t="str">
            <v>2602 NORTH 23RD AVENUE</v>
          </cell>
          <cell r="P1973" t="str">
            <v>curtis.johnson@phxschools.org</v>
          </cell>
          <cell r="Q1973" t="str">
            <v>CDC-6323</v>
          </cell>
          <cell r="AJ1973" t="e">
            <v>#N/A</v>
          </cell>
          <cell r="AK1973" t="str">
            <v>CDC-6323</v>
          </cell>
          <cell r="AL1973" t="str">
            <v>CDC6323</v>
          </cell>
        </row>
        <row r="1974">
          <cell r="N1974" t="str">
            <v>P.E.S.D.#1 - SHAW MONTESSORI SCHOOL</v>
          </cell>
          <cell r="O1974" t="str">
            <v>123 NORTH 13TH STREET</v>
          </cell>
          <cell r="P1974" t="str">
            <v>curtis.johnson@phxschools.org</v>
          </cell>
          <cell r="Q1974" t="str">
            <v>CDC-6322</v>
          </cell>
          <cell r="AJ1974" t="e">
            <v>#N/A</v>
          </cell>
          <cell r="AK1974" t="str">
            <v>CDC-6322</v>
          </cell>
          <cell r="AL1974" t="str">
            <v>CDC6322</v>
          </cell>
        </row>
        <row r="1975">
          <cell r="N1975" t="str">
            <v>P.E.S.D.#1 - WHITTIER ELEMENTARY SCHOOL</v>
          </cell>
          <cell r="O1975" t="str">
            <v>2000 NORTH 16TH STREET</v>
          </cell>
          <cell r="P1975" t="str">
            <v>curtis.johnson@phxschools.org</v>
          </cell>
          <cell r="Q1975" t="str">
            <v>CDC-6321</v>
          </cell>
          <cell r="AJ1975" t="e">
            <v>#N/A</v>
          </cell>
          <cell r="AK1975" t="str">
            <v>CDC-6321</v>
          </cell>
          <cell r="AL1975" t="str">
            <v>CDC6321</v>
          </cell>
        </row>
        <row r="1976">
          <cell r="N1976" t="str">
            <v>P.E.S.D.#92 -  VILLA DE PAZ SCHOOL</v>
          </cell>
          <cell r="O1976" t="str">
            <v>4940 NORTH 103RD AVENUE</v>
          </cell>
          <cell r="P1976" t="str">
            <v>acraven@pesd92.org</v>
          </cell>
          <cell r="Q1976" t="str">
            <v>CDC-9484</v>
          </cell>
          <cell r="AJ1976" t="e">
            <v>#N/A</v>
          </cell>
          <cell r="AK1976" t="str">
            <v>CDC-9484</v>
          </cell>
          <cell r="AL1976" t="str">
            <v>CDC9484</v>
          </cell>
        </row>
        <row r="1977">
          <cell r="N1977" t="str">
            <v>P.E.S.D.#92 - CANYON BREEZE ELEMENTARY SCHOOL</v>
          </cell>
          <cell r="O1977" t="str">
            <v>11675 WEST ENCANTO BLVD</v>
          </cell>
          <cell r="P1977" t="str">
            <v>coliverossosa@pesd92.org</v>
          </cell>
          <cell r="Q1977" t="str">
            <v>CDC-17030</v>
          </cell>
          <cell r="AJ1977" t="e">
            <v>#N/A</v>
          </cell>
          <cell r="AK1977" t="str">
            <v>CDC-17030</v>
          </cell>
          <cell r="AL1977" t="str">
            <v>CDC17030</v>
          </cell>
        </row>
        <row r="1978">
          <cell r="N1978" t="str">
            <v>P.E.S.D.#92 - DESERT MIRAGE</v>
          </cell>
          <cell r="O1978" t="str">
            <v>8605 WEST MARYLAND AVENUE</v>
          </cell>
          <cell r="P1978" t="str">
            <v>acraven@pesd92.org</v>
          </cell>
          <cell r="Q1978" t="str">
            <v>CDC-6728</v>
          </cell>
          <cell r="AJ1978" t="e">
            <v>#N/A</v>
          </cell>
          <cell r="AK1978" t="str">
            <v>CDC-6728</v>
          </cell>
          <cell r="AL1978" t="str">
            <v>CDC6728</v>
          </cell>
        </row>
        <row r="1979">
          <cell r="N1979" t="str">
            <v>P.E.S.D.#92 - GARDEN LAKES ELEMENTARY SCHOOL</v>
          </cell>
          <cell r="O1979" t="str">
            <v>10825 WEST GARDEN LAKES PKWY</v>
          </cell>
          <cell r="P1979" t="str">
            <v>coliverossosa@pesd92.org</v>
          </cell>
          <cell r="Q1979" t="str">
            <v>CDC-17027</v>
          </cell>
          <cell r="AJ1979" t="e">
            <v>#N/A</v>
          </cell>
          <cell r="AK1979" t="str">
            <v>CDC-17027</v>
          </cell>
          <cell r="AL1979" t="str">
            <v>CDC17027</v>
          </cell>
        </row>
        <row r="1980">
          <cell r="N1980" t="str">
            <v>P.E.S.D.#92 - RIO VISTA ELEMENTARY SCHOOL</v>
          </cell>
          <cell r="O1980" t="str">
            <v>10237 WEST ENCANTO BLVD</v>
          </cell>
          <cell r="P1980" t="str">
            <v>coliverossosa@pesd92.org</v>
          </cell>
          <cell r="Q1980" t="str">
            <v>CDC-17025</v>
          </cell>
          <cell r="AJ1980" t="e">
            <v>#N/A</v>
          </cell>
          <cell r="AK1980" t="str">
            <v>CDC-17025</v>
          </cell>
          <cell r="AL1980" t="str">
            <v>CDC17025</v>
          </cell>
        </row>
        <row r="1981">
          <cell r="N1981" t="str">
            <v>P.E.S.D.#92 - SONORAN SKY ELEMENTARY SCHOOL</v>
          </cell>
          <cell r="O1981" t="str">
            <v>10150 WEST MISSOURI AVENUE</v>
          </cell>
          <cell r="P1981" t="str">
            <v>acraven@pesd92.org</v>
          </cell>
          <cell r="Q1981" t="str">
            <v>CDC-17026</v>
          </cell>
          <cell r="AJ1981" t="e">
            <v>#N/A</v>
          </cell>
          <cell r="AK1981" t="str">
            <v>CDC-17026</v>
          </cell>
          <cell r="AL1981" t="str">
            <v>CDC17026</v>
          </cell>
        </row>
        <row r="1982">
          <cell r="N1982" t="str">
            <v>P.E.S.D.#92 - SUNSET RIDGE ELEMENTARY SCHOOL</v>
          </cell>
          <cell r="O1982" t="str">
            <v>8490 WEST MISSOURI AVENUE</v>
          </cell>
          <cell r="P1982" t="str">
            <v>coliverossosa@pesd92.org</v>
          </cell>
          <cell r="Q1982" t="str">
            <v>CDC-17024</v>
          </cell>
          <cell r="AJ1982" t="e">
            <v>#N/A</v>
          </cell>
          <cell r="AK1982" t="str">
            <v>CDC-17024</v>
          </cell>
          <cell r="AL1982" t="str">
            <v>CDC17024</v>
          </cell>
        </row>
        <row r="1983">
          <cell r="N1983" t="str">
            <v>P.E.S.D.#94 - PALOMA PRESCHOOL</v>
          </cell>
          <cell r="O1983" t="str">
            <v>38739 W I -8</v>
          </cell>
          <cell r="P1983" t="str">
            <v>kturner@palomaesd.org</v>
          </cell>
          <cell r="Q1983" t="str">
            <v>CDC-16002</v>
          </cell>
          <cell r="AJ1983" t="e">
            <v>#N/A</v>
          </cell>
          <cell r="AK1983" t="str">
            <v>CDC-16002</v>
          </cell>
          <cell r="AL1983" t="str">
            <v>CDC16002</v>
          </cell>
        </row>
        <row r="1984">
          <cell r="N1984" t="str">
            <v>P.S.S.D.#12 - PINE STRAWBERRY PRESCHOOL/EXTENDED DAY</v>
          </cell>
          <cell r="O1984" t="str">
            <v>RANDALL DRIVE &amp; HWY. 87</v>
          </cell>
          <cell r="P1984" t="str">
            <v>mrunzo@pineesd.org</v>
          </cell>
          <cell r="Q1984" t="str">
            <v>CDC-6214</v>
          </cell>
          <cell r="AJ1984" t="e">
            <v>#N/A</v>
          </cell>
          <cell r="AK1984" t="str">
            <v>CDC-6214</v>
          </cell>
          <cell r="AL1984" t="str">
            <v>CDC6214</v>
          </cell>
        </row>
        <row r="1985">
          <cell r="N1985" t="str">
            <v>P.U.H.S.D.#210 - FAIRFAX KIDDIE COLLEGE</v>
          </cell>
          <cell r="O1985" t="str">
            <v>8225 SOUTH 59TH AVENUE</v>
          </cell>
          <cell r="P1985" t="str">
            <v>jlittleton@phoenixunion.org</v>
          </cell>
          <cell r="Q1985" t="str">
            <v>CDC-15257</v>
          </cell>
          <cell r="AJ1985" t="e">
            <v>#N/A</v>
          </cell>
          <cell r="AK1985" t="str">
            <v>CDC-15257</v>
          </cell>
          <cell r="AL1985" t="str">
            <v>CDC15257</v>
          </cell>
        </row>
        <row r="1986">
          <cell r="N1986" t="str">
            <v>P.U.H.S.D.#210 - METRO TECH CHILD CARE</v>
          </cell>
          <cell r="O1986" t="str">
            <v>1900 WEST THOMAS ROAD</v>
          </cell>
          <cell r="P1986" t="str">
            <v>jsanchez1@phoenixunion.org</v>
          </cell>
          <cell r="Q1986" t="str">
            <v>CDC-1542</v>
          </cell>
          <cell r="AJ1986" t="e">
            <v>#N/A</v>
          </cell>
          <cell r="AK1986" t="str">
            <v>CDC-1542</v>
          </cell>
          <cell r="AL1986" t="str">
            <v>CDC1542</v>
          </cell>
        </row>
        <row r="1987">
          <cell r="N1987" t="str">
            <v>P.U.S.D. #1 - DISCOVERY GARDENS - LINCOLN ELEMENTARY</v>
          </cell>
          <cell r="O1987" t="str">
            <v>201 PARK AVENUE</v>
          </cell>
          <cell r="P1987" t="str">
            <v>stacy.williams@prescottschools.com</v>
          </cell>
          <cell r="Q1987" t="str">
            <v>CDC-18363</v>
          </cell>
          <cell r="AJ1987" t="e">
            <v>#N/A</v>
          </cell>
          <cell r="AK1987" t="str">
            <v>CDC-18363</v>
          </cell>
          <cell r="AL1987" t="str">
            <v>CDC18363</v>
          </cell>
        </row>
        <row r="1988">
          <cell r="N1988" t="str">
            <v>P.U.S.D.#1 - DISCOVERY GARDEN EARLY CHILDHOOD CENTER</v>
          </cell>
          <cell r="O1988" t="str">
            <v>300 EAST GURLEY STREET</v>
          </cell>
          <cell r="P1988" t="str">
            <v>Stacy.williams@prescottschools.com</v>
          </cell>
          <cell r="Q1988" t="str">
            <v>CDC-17350</v>
          </cell>
          <cell r="AJ1988" t="e">
            <v>#N/A</v>
          </cell>
          <cell r="AK1988" t="str">
            <v>CDC-17350</v>
          </cell>
          <cell r="AL1988" t="str">
            <v>CDC17350</v>
          </cell>
        </row>
        <row r="1989">
          <cell r="N1989" t="str">
            <v>P.U.S.D.#1 - DISCOVERY GARDENS AT ABIA JUDD</v>
          </cell>
          <cell r="O1989" t="str">
            <v>1749 WILLIAMSON VALLEY ROAD</v>
          </cell>
          <cell r="P1989" t="str">
            <v>stacy.williams@prescottschools.com</v>
          </cell>
          <cell r="Q1989" t="str">
            <v>CDC-18575</v>
          </cell>
          <cell r="AJ1989" t="e">
            <v>#N/A</v>
          </cell>
          <cell r="AK1989" t="str">
            <v>CDC-18575</v>
          </cell>
          <cell r="AL1989" t="str">
            <v>CDC18575</v>
          </cell>
        </row>
        <row r="1990">
          <cell r="N1990" t="str">
            <v>P.U.S.D.#1 - DISCOVERY GARDENS EARLY CHILDHOOD CENTER - TAYLOR HICKS</v>
          </cell>
          <cell r="O1990" t="str">
            <v>1845 CAMPBELL AVENUE</v>
          </cell>
          <cell r="P1990" t="str">
            <v>stacy.williams@prescottschools.com</v>
          </cell>
          <cell r="Q1990" t="str">
            <v>CDC-18148</v>
          </cell>
          <cell r="AJ1990" t="e">
            <v>#N/A</v>
          </cell>
          <cell r="AK1990" t="str">
            <v>CDC-18148</v>
          </cell>
          <cell r="AL1990" t="str">
            <v>CDC18148</v>
          </cell>
        </row>
        <row r="1991">
          <cell r="N1991" t="str">
            <v>P.U.S.D.#11 - ALTA LOMA ECCEL</v>
          </cell>
          <cell r="O1991" t="str">
            <v>9750 NORTH 87TH AVENUE</v>
          </cell>
          <cell r="P1991" t="str">
            <v>dpischke@pusd11.net</v>
          </cell>
          <cell r="Q1991" t="str">
            <v>CDC-6675</v>
          </cell>
          <cell r="AJ1991" t="e">
            <v>#N/A</v>
          </cell>
          <cell r="AK1991" t="str">
            <v>CDC-6675</v>
          </cell>
          <cell r="AL1991" t="str">
            <v>CDC6675</v>
          </cell>
        </row>
        <row r="1992">
          <cell r="N1992" t="str">
            <v>P.U.S.D.#11 - CACTUS COOP</v>
          </cell>
          <cell r="O1992" t="str">
            <v>6330 WEST GREENWAY ROAD</v>
          </cell>
          <cell r="P1992" t="str">
            <v>dpischke@peoriaud.k12.az.us</v>
          </cell>
          <cell r="Q1992" t="str">
            <v>CDC-6269</v>
          </cell>
          <cell r="AJ1992" t="e">
            <v>#N/A</v>
          </cell>
          <cell r="AK1992" t="str">
            <v>CDC-6269</v>
          </cell>
          <cell r="AL1992" t="str">
            <v>CDC6269</v>
          </cell>
        </row>
        <row r="1993">
          <cell r="N1993" t="str">
            <v>P.U.S.D.#11 - CANYON ECCEL</v>
          </cell>
          <cell r="O1993" t="str">
            <v>5490 WEST PARADISE LANE</v>
          </cell>
          <cell r="P1993" t="str">
            <v>dpischke@pusd11.net</v>
          </cell>
          <cell r="Q1993" t="str">
            <v>CDC-17431</v>
          </cell>
          <cell r="AJ1993" t="e">
            <v>#N/A</v>
          </cell>
          <cell r="AK1993" t="str">
            <v>CDC-17431</v>
          </cell>
          <cell r="AL1993" t="str">
            <v>CDC17431</v>
          </cell>
        </row>
        <row r="1994">
          <cell r="N1994" t="str">
            <v>P.U.S.D.#11 - CENTENNIAL COOP</v>
          </cell>
          <cell r="O1994" t="str">
            <v>14388 NORTH 79TH AVENUE</v>
          </cell>
          <cell r="P1994" t="str">
            <v>dpischke@pusd11.net</v>
          </cell>
          <cell r="Q1994" t="str">
            <v>CDC-6267</v>
          </cell>
          <cell r="AJ1994" t="e">
            <v>#N/A</v>
          </cell>
          <cell r="AK1994" t="str">
            <v>CDC-6267</v>
          </cell>
          <cell r="AL1994" t="str">
            <v>CDC6267</v>
          </cell>
        </row>
        <row r="1995">
          <cell r="N1995" t="str">
            <v>P.U.S.D.#11 - COPPERWOOD KIDZONE</v>
          </cell>
          <cell r="O1995" t="str">
            <v>11232 NORTH 65TH AVENUE</v>
          </cell>
          <cell r="P1995" t="str">
            <v>dpischke@pusd11.net</v>
          </cell>
          <cell r="Q1995" t="str">
            <v>CDC-17276</v>
          </cell>
          <cell r="AJ1995" t="e">
            <v>#N/A</v>
          </cell>
          <cell r="AK1995" t="str">
            <v>CDC-17276</v>
          </cell>
          <cell r="AL1995" t="str">
            <v>CDC17276</v>
          </cell>
        </row>
        <row r="1996">
          <cell r="N1996" t="str">
            <v>P.U.S.D.#11 - COUNTRY MEADOWS ECCEL</v>
          </cell>
          <cell r="O1996" t="str">
            <v>8409 NORTH 111TH AVENUE</v>
          </cell>
          <cell r="P1996" t="str">
            <v>dpischke@pusd11.net</v>
          </cell>
          <cell r="Q1996" t="str">
            <v>CDC-8970</v>
          </cell>
          <cell r="AJ1996" t="e">
            <v>#N/A</v>
          </cell>
          <cell r="AK1996" t="str">
            <v>CDC-8970</v>
          </cell>
          <cell r="AL1996" t="str">
            <v>CDC8970</v>
          </cell>
        </row>
        <row r="1997">
          <cell r="N1997" t="str">
            <v>P.U.S.D.#11 - DESERT HARBOR ECCEL</v>
          </cell>
          <cell r="O1997" t="str">
            <v>15585 NORTH 91ST AVENUE</v>
          </cell>
          <cell r="P1997" t="str">
            <v>dpischke@pusd11.net</v>
          </cell>
          <cell r="Q1997" t="str">
            <v>CDC-13671</v>
          </cell>
          <cell r="AJ1997" t="e">
            <v>#N/A</v>
          </cell>
          <cell r="AK1997" t="str">
            <v>CDC-13671</v>
          </cell>
          <cell r="AL1997" t="str">
            <v>CDC13671</v>
          </cell>
        </row>
        <row r="1998">
          <cell r="N1998" t="str">
            <v>P.U.S.D.#11 - DESERT PALMS ECCEL</v>
          </cell>
          <cell r="O1998" t="str">
            <v>11441 NORTH 55TH AVENUE</v>
          </cell>
          <cell r="P1998" t="str">
            <v>dpischke@pusd11.net</v>
          </cell>
          <cell r="Q1998" t="str">
            <v>CDC-9652</v>
          </cell>
          <cell r="AJ1998" t="e">
            <v>#N/A</v>
          </cell>
          <cell r="AK1998" t="str">
            <v>CDC-9652</v>
          </cell>
          <cell r="AL1998" t="str">
            <v>CDC9652</v>
          </cell>
        </row>
        <row r="1999">
          <cell r="N1999" t="str">
            <v>P.U.S.D.#11 - DESERT VALLEY ECCEL</v>
          </cell>
          <cell r="O1999" t="str">
            <v>12901 NORTH 63RD AVENUE</v>
          </cell>
          <cell r="P1999" t="str">
            <v>dpischke@pusd11.net</v>
          </cell>
          <cell r="Q1999" t="str">
            <v>CDC-16941</v>
          </cell>
          <cell r="AJ1999" t="e">
            <v>#N/A</v>
          </cell>
          <cell r="AK1999" t="str">
            <v>CDC-16941</v>
          </cell>
          <cell r="AL1999" t="str">
            <v>CDC16941</v>
          </cell>
        </row>
        <row r="2000">
          <cell r="N2000" t="str">
            <v>P.U.S.D.#11 - FOOTHILLS ECCEL</v>
          </cell>
          <cell r="O2000" t="str">
            <v>15808 NORTH 63RD AVENUE</v>
          </cell>
          <cell r="P2000" t="str">
            <v>aowens@pusd11.net</v>
          </cell>
          <cell r="Q2000" t="str">
            <v>CDC-6679</v>
          </cell>
          <cell r="AJ2000" t="e">
            <v>#N/A</v>
          </cell>
          <cell r="AK2000" t="str">
            <v>CDC-6679</v>
          </cell>
          <cell r="AL2000" t="str">
            <v>CDC6679</v>
          </cell>
        </row>
        <row r="2001">
          <cell r="N2001" t="str">
            <v>P.U.S.D.#11 - FRONTIER ECCEL</v>
          </cell>
          <cell r="O2001" t="str">
            <v>21258 NORTH 81ST AVENUE</v>
          </cell>
          <cell r="P2001" t="str">
            <v>dpischke@pusd11.com</v>
          </cell>
          <cell r="Q2001" t="str">
            <v>CDC-13672</v>
          </cell>
          <cell r="AJ2001" t="e">
            <v>#N/A</v>
          </cell>
          <cell r="AK2001" t="str">
            <v>CDC-13672</v>
          </cell>
          <cell r="AL2001" t="str">
            <v>CDC13672</v>
          </cell>
        </row>
        <row r="2002">
          <cell r="N2002" t="str">
            <v>P.U.S.D.#11 - GLENDALE COMMUNITY COLLEGE  ECCEL PRESCHOOL</v>
          </cell>
          <cell r="O2002" t="str">
            <v>6000 WEST OLIVE AVENUE</v>
          </cell>
          <cell r="P2002" t="str">
            <v>dpischke@pusd11.net</v>
          </cell>
          <cell r="Q2002" t="str">
            <v>CDC-18588</v>
          </cell>
          <cell r="AJ2002" t="e">
            <v>#N/A</v>
          </cell>
          <cell r="AK2002" t="str">
            <v>CDC-18588</v>
          </cell>
          <cell r="AL2002" t="str">
            <v>CDC18588</v>
          </cell>
        </row>
        <row r="2003">
          <cell r="N2003" t="str">
            <v>P.U.S.D.#11 - HERITAGE ECCEL</v>
          </cell>
          <cell r="O2003" t="str">
            <v>5312 WEST MOUNTAIN VIEW ROAD</v>
          </cell>
          <cell r="P2003" t="str">
            <v>dpischke@peoriaud.k12.az.us</v>
          </cell>
          <cell r="Q2003" t="str">
            <v>CDC-17297</v>
          </cell>
          <cell r="AJ2003" t="e">
            <v>#N/A</v>
          </cell>
          <cell r="AK2003" t="str">
            <v>CDC-17297</v>
          </cell>
          <cell r="AL2003" t="str">
            <v>CDC17297</v>
          </cell>
        </row>
        <row r="2004">
          <cell r="N2004" t="str">
            <v>P.U.S.D.#11 - IRA A. MURPHY ECCEL</v>
          </cell>
          <cell r="O2004" t="str">
            <v>7231 WEST NORTH LANE</v>
          </cell>
          <cell r="P2004" t="str">
            <v>dpischke@pusd11.net</v>
          </cell>
          <cell r="Q2004" t="str">
            <v>CDC-16211</v>
          </cell>
          <cell r="AJ2004" t="e">
            <v>#N/A</v>
          </cell>
          <cell r="AK2004" t="str">
            <v>CDC-16211</v>
          </cell>
          <cell r="AL2004" t="str">
            <v>CDC16211</v>
          </cell>
        </row>
        <row r="2005">
          <cell r="N2005" t="str">
            <v>P.U.S.D.#11 - IRONWOOD COOP</v>
          </cell>
          <cell r="O2005" t="str">
            <v>6051 WEST SWEETWATER AVENUE</v>
          </cell>
          <cell r="P2005" t="str">
            <v>dpischke@pusd11.net</v>
          </cell>
          <cell r="Q2005" t="str">
            <v>CDC-6266</v>
          </cell>
          <cell r="AJ2005" t="e">
            <v>#N/A</v>
          </cell>
          <cell r="AK2005" t="str">
            <v>CDC-6266</v>
          </cell>
          <cell r="AL2005" t="str">
            <v>CDC6266</v>
          </cell>
        </row>
        <row r="2006">
          <cell r="N2006" t="str">
            <v>P.U.S.D.#11 - LAKE PLEASANT ECCEL</v>
          </cell>
          <cell r="O2006" t="str">
            <v>31501 NORTH WESTLAND ROAD</v>
          </cell>
          <cell r="P2006" t="str">
            <v>dpischke@pusd11.net</v>
          </cell>
          <cell r="Q2006" t="str">
            <v>CDC-14927</v>
          </cell>
          <cell r="AJ2006" t="e">
            <v>#N/A</v>
          </cell>
          <cell r="AK2006" t="str">
            <v>CDC-14927</v>
          </cell>
          <cell r="AL2006" t="str">
            <v>CDC14927</v>
          </cell>
        </row>
        <row r="2007">
          <cell r="N2007" t="str">
            <v>P.U.S.D.#11 - LIBERTY HIGH SCHOOL C.O.O.P.</v>
          </cell>
          <cell r="O2007" t="str">
            <v>9621 WEST SPECKLED GECKO DRIVE</v>
          </cell>
          <cell r="P2007" t="str">
            <v>dpischke@pusd11.net</v>
          </cell>
          <cell r="Q2007" t="str">
            <v>CDC-16236</v>
          </cell>
          <cell r="AJ2007" t="e">
            <v>#N/A</v>
          </cell>
          <cell r="AK2007" t="str">
            <v>CDC-16236</v>
          </cell>
          <cell r="AL2007" t="str">
            <v>CDC16236</v>
          </cell>
        </row>
        <row r="2008">
          <cell r="N2008" t="str">
            <v>P.U.S.D.#11 - MARSHALL RANCH KIDZONE</v>
          </cell>
          <cell r="O2008" t="str">
            <v>12995 NORTH MARSHALL RANCH DRIVE</v>
          </cell>
          <cell r="P2008" t="str">
            <v>dpischke@pusd11.net</v>
          </cell>
          <cell r="Q2008" t="str">
            <v>CDC-13674</v>
          </cell>
          <cell r="AJ2008" t="e">
            <v>#N/A</v>
          </cell>
          <cell r="AK2008" t="str">
            <v>CDC-13674</v>
          </cell>
          <cell r="AL2008" t="str">
            <v>CDC13674</v>
          </cell>
        </row>
        <row r="2009">
          <cell r="N2009" t="str">
            <v>P.U.S.D.#11 - OASIS ECCEL</v>
          </cell>
          <cell r="O2009" t="str">
            <v>7841 WEST SWEETWATER</v>
          </cell>
          <cell r="P2009" t="str">
            <v>dpischke@pusd11.net</v>
          </cell>
          <cell r="Q2009" t="str">
            <v>CDC-7960</v>
          </cell>
          <cell r="AJ2009" t="e">
            <v>#N/A</v>
          </cell>
          <cell r="AK2009" t="str">
            <v>CDC-7960</v>
          </cell>
          <cell r="AL2009" t="str">
            <v>CDC7960</v>
          </cell>
        </row>
        <row r="2010">
          <cell r="N2010" t="str">
            <v>P.U.S.D.#11 - PARKRIDGE ECCEL</v>
          </cell>
          <cell r="O2010" t="str">
            <v>9970 WEST BEARDSLEY ROAD</v>
          </cell>
          <cell r="P2010" t="str">
            <v>dpischke@pusd11.net</v>
          </cell>
          <cell r="Q2010" t="str">
            <v>CDC-17254</v>
          </cell>
          <cell r="AJ2010" t="e">
            <v>#N/A</v>
          </cell>
          <cell r="AK2010" t="str">
            <v>CDC-17254</v>
          </cell>
          <cell r="AL2010" t="str">
            <v>CDC17254</v>
          </cell>
        </row>
        <row r="2011">
          <cell r="N2011" t="str">
            <v>P.U.S.D.#11 - PEORIA COOP</v>
          </cell>
          <cell r="O2011" t="str">
            <v>11200 NORTH 83RD AVENUE</v>
          </cell>
          <cell r="P2011" t="str">
            <v>dpischke@pusd11.net</v>
          </cell>
          <cell r="Q2011" t="str">
            <v>CDC-6268</v>
          </cell>
          <cell r="AJ2011" t="e">
            <v>#N/A</v>
          </cell>
          <cell r="AK2011" t="str">
            <v>CDC-6268</v>
          </cell>
          <cell r="AL2011" t="str">
            <v>CDC6268</v>
          </cell>
        </row>
        <row r="2012">
          <cell r="N2012" t="str">
            <v>P.U.S.D.#11 - PEORIA ELEMENTARY ECCEL</v>
          </cell>
          <cell r="O2012" t="str">
            <v>11501 NORTH 79TH AVENUE</v>
          </cell>
          <cell r="P2012" t="str">
            <v>dpischke@pusd11.net</v>
          </cell>
          <cell r="Q2012" t="str">
            <v>CDC-6676</v>
          </cell>
          <cell r="AJ2012" t="e">
            <v>#N/A</v>
          </cell>
          <cell r="AK2012" t="str">
            <v>CDC-6676</v>
          </cell>
          <cell r="AL2012" t="str">
            <v>CDC6676</v>
          </cell>
        </row>
        <row r="2013">
          <cell r="N2013" t="str">
            <v>P.U.S.D.#11 - PIONEER ECCEL</v>
          </cell>
          <cell r="O2013" t="str">
            <v>6315 WEST PORT AU PRINCE LANE</v>
          </cell>
          <cell r="P2013" t="str">
            <v>dpischke@pusd11.net</v>
          </cell>
          <cell r="Q2013" t="str">
            <v>CDC-17639</v>
          </cell>
          <cell r="AJ2013" t="e">
            <v>#N/A</v>
          </cell>
          <cell r="AK2013" t="str">
            <v>CDC-17639</v>
          </cell>
          <cell r="AL2013" t="str">
            <v>CDC17639</v>
          </cell>
        </row>
        <row r="2014">
          <cell r="N2014" t="str">
            <v>P.U.S.D.#11 - SAHUARO RANCH KIDZONE</v>
          </cell>
          <cell r="O2014" t="str">
            <v>10401 NORTH 63RD AVENUE</v>
          </cell>
          <cell r="P2014" t="str">
            <v>dpischke@pusd11.net</v>
          </cell>
          <cell r="Q2014" t="str">
            <v>CDC-17640</v>
          </cell>
          <cell r="AJ2014" t="e">
            <v>#N/A</v>
          </cell>
          <cell r="AK2014" t="str">
            <v>CDC-17640</v>
          </cell>
          <cell r="AL2014" t="str">
            <v>CDC17640</v>
          </cell>
        </row>
        <row r="2015">
          <cell r="N2015" t="str">
            <v>P.U.S.D.#11 - SKY VIEW ECCEL</v>
          </cell>
          <cell r="O2015" t="str">
            <v>8624 WEST SWEETWATER AVENUE</v>
          </cell>
          <cell r="P2015" t="str">
            <v>dpischke@pusd11.net</v>
          </cell>
          <cell r="Q2015" t="str">
            <v>CDC-17253</v>
          </cell>
          <cell r="AJ2015" t="e">
            <v>#N/A</v>
          </cell>
          <cell r="AK2015" t="str">
            <v>CDC-17253</v>
          </cell>
          <cell r="AL2015" t="str">
            <v>CDC17253</v>
          </cell>
        </row>
        <row r="2016">
          <cell r="N2016" t="str">
            <v>P.U.S.D.#11 - SUNDANCE ECCEL</v>
          </cell>
          <cell r="O2016" t="str">
            <v>7051 WEST CHOLLA STREET</v>
          </cell>
          <cell r="P2016" t="str">
            <v>dpischke@pusd11.net</v>
          </cell>
          <cell r="Q2016" t="str">
            <v>CDC-8161</v>
          </cell>
          <cell r="AJ2016" t="e">
            <v>#N/A</v>
          </cell>
          <cell r="AK2016" t="str">
            <v>CDC-8161</v>
          </cell>
          <cell r="AL2016" t="str">
            <v>CDC8161</v>
          </cell>
        </row>
        <row r="2017">
          <cell r="N2017" t="str">
            <v>P.U.S.D.#11 - SUNRISE MOUNTAIN COOP</v>
          </cell>
          <cell r="O2017" t="str">
            <v>21200 NORTH 83RD AVENUE</v>
          </cell>
          <cell r="P2017" t="str">
            <v>dpischke@peoriaud.k12.az.us</v>
          </cell>
          <cell r="Q2017" t="str">
            <v>CDC-8399</v>
          </cell>
          <cell r="AJ2017" t="e">
            <v>#N/A</v>
          </cell>
          <cell r="AK2017" t="str">
            <v>CDC-8399</v>
          </cell>
          <cell r="AL2017" t="str">
            <v>CDC8399</v>
          </cell>
        </row>
        <row r="2018">
          <cell r="N2018" t="str">
            <v>P.U.S.D.#11 - VISTANCIA ECCEL</v>
          </cell>
          <cell r="O2018" t="str">
            <v>30009 NORTH SUNRISE POINT</v>
          </cell>
          <cell r="P2018" t="str">
            <v>dpischke@pusd11.net</v>
          </cell>
          <cell r="Q2018" t="str">
            <v>CDC-12880</v>
          </cell>
          <cell r="AJ2018" t="e">
            <v>#N/A</v>
          </cell>
          <cell r="AK2018" t="str">
            <v>CDC-12880</v>
          </cell>
          <cell r="AL2018" t="str">
            <v>CDC12880</v>
          </cell>
        </row>
        <row r="2019">
          <cell r="N2019" t="str">
            <v>P.U.S.D.#4 - PINON ELEMENTARY SCHOOL</v>
          </cell>
          <cell r="O2019" t="str">
            <v>1 MILE NORTH ROUTE BIA-41</v>
          </cell>
          <cell r="P2019" t="str">
            <v>lhubbell@pusdatsa.org</v>
          </cell>
          <cell r="Q2019" t="str">
            <v>CDC-16238</v>
          </cell>
          <cell r="AJ2019" t="e">
            <v>#N/A</v>
          </cell>
          <cell r="AK2019" t="str">
            <v>CDC-16238</v>
          </cell>
          <cell r="AL2019" t="str">
            <v>CDC16238</v>
          </cell>
        </row>
        <row r="2020">
          <cell r="N2020" t="str">
            <v>P.U.S.D.#8 - LAKE VIEW ELEMENTARY</v>
          </cell>
          <cell r="O2020" t="str">
            <v>1801 NORTH NAVAJO</v>
          </cell>
          <cell r="P2020" t="str">
            <v>candrew@pageud.org</v>
          </cell>
          <cell r="Q2020" t="str">
            <v>CDC-16233</v>
          </cell>
          <cell r="AJ2020" t="e">
            <v>#N/A</v>
          </cell>
          <cell r="AK2020" t="str">
            <v>CDC-16233</v>
          </cell>
          <cell r="AL2020" t="str">
            <v>CDC16233</v>
          </cell>
        </row>
        <row r="2021">
          <cell r="N2021" t="str">
            <v>P.U.S.D.#8 - PAGE UNIFIED PRESCHOOLL</v>
          </cell>
          <cell r="O2021" t="str">
            <v>450  SOUTH NAVAJO DRIVE</v>
          </cell>
          <cell r="P2021" t="str">
            <v>Pcase@pusd.org</v>
          </cell>
          <cell r="Q2021" t="str">
            <v>CDC-7536</v>
          </cell>
          <cell r="AJ2021" t="e">
            <v>#N/A</v>
          </cell>
          <cell r="AK2021" t="str">
            <v>CDC-7536</v>
          </cell>
          <cell r="AL2021" t="str">
            <v>CDC7536</v>
          </cell>
        </row>
        <row r="2022">
          <cell r="N2022" t="str">
            <v>P.V.U.S.D.#69 - AIRE LIBRE ELEMENTARY SCHOOL</v>
          </cell>
          <cell r="O2022" t="str">
            <v>16428 NORTH 21ST STREET</v>
          </cell>
          <cell r="P2022" t="str">
            <v>kamoe@pvschools.net</v>
          </cell>
          <cell r="Q2022" t="str">
            <v>CDC-18595</v>
          </cell>
          <cell r="AJ2022" t="e">
            <v>#N/A</v>
          </cell>
          <cell r="AK2022" t="str">
            <v>CDC-18595</v>
          </cell>
          <cell r="AL2022" t="str">
            <v>CDC18595</v>
          </cell>
        </row>
        <row r="2023">
          <cell r="N2023" t="str">
            <v>P.V.U.S.D.#69 - BOULDER CREEK ELEMENTARY</v>
          </cell>
          <cell r="O2023" t="str">
            <v>22801 NORTH 22ND STREET</v>
          </cell>
          <cell r="P2023" t="str">
            <v>kamoe@pvschools.net</v>
          </cell>
          <cell r="Q2023" t="str">
            <v>CDC-6874</v>
          </cell>
          <cell r="AJ2023" t="e">
            <v>#N/A</v>
          </cell>
          <cell r="AK2023" t="str">
            <v>CDC-6874</v>
          </cell>
          <cell r="AL2023" t="str">
            <v>CDC6874</v>
          </cell>
        </row>
        <row r="2024">
          <cell r="N2024" t="str">
            <v>P.V.U.S.D.#69 - CACTUS VIEW ELEMENTARY SCHOOL</v>
          </cell>
          <cell r="O2024" t="str">
            <v>17602 NORTH CENTRAL AVENUE</v>
          </cell>
          <cell r="P2024" t="str">
            <v>kamoe@pvschools.net</v>
          </cell>
          <cell r="Q2024" t="str">
            <v>CDC-7435</v>
          </cell>
          <cell r="AJ2024" t="e">
            <v>#N/A</v>
          </cell>
          <cell r="AK2024" t="str">
            <v>CDC-7435</v>
          </cell>
          <cell r="AL2024" t="str">
            <v>CDC7435</v>
          </cell>
        </row>
        <row r="2025">
          <cell r="N2025" t="str">
            <v>P.V.U.S.D.#69 - CHILD DEVELOPMENT CENTERS AT JAMES P. LEE CENTER</v>
          </cell>
          <cell r="O2025" t="str">
            <v>3820 EAST NISBET ROAD</v>
          </cell>
          <cell r="P2025" t="str">
            <v>kamoe@pvschools.net</v>
          </cell>
          <cell r="Q2025" t="str">
            <v>CDC-7138</v>
          </cell>
          <cell r="AJ2025" t="e">
            <v>#N/A</v>
          </cell>
          <cell r="AK2025" t="str">
            <v>CDC-7138</v>
          </cell>
          <cell r="AL2025" t="str">
            <v>CDC7138</v>
          </cell>
        </row>
        <row r="2026">
          <cell r="N2026" t="str">
            <v>P.V.U.S.D.#69 - COPPER CANYON ELEMENTARY SCHOOL</v>
          </cell>
          <cell r="O2026" t="str">
            <v>17650 NORTH 54TH STREET</v>
          </cell>
          <cell r="P2026" t="str">
            <v>kamoe@pvschools.net</v>
          </cell>
          <cell r="Q2026" t="str">
            <v>CDC-7139</v>
          </cell>
          <cell r="AJ2026" t="e">
            <v>#N/A</v>
          </cell>
          <cell r="AK2026" t="str">
            <v>CDC-7139</v>
          </cell>
          <cell r="AL2026" t="str">
            <v>CDC7139</v>
          </cell>
        </row>
        <row r="2027">
          <cell r="N2027" t="str">
            <v>P.V.U.S.D.#69 - DESERT COVE ELEMENTARY SCHOOL</v>
          </cell>
          <cell r="O2027" t="str">
            <v>11020 NORTH 28TH STREET</v>
          </cell>
          <cell r="P2027" t="str">
            <v>kamoe@pvschools.net</v>
          </cell>
          <cell r="Q2027" t="str">
            <v>CDC-6880</v>
          </cell>
          <cell r="AJ2027" t="e">
            <v>#N/A</v>
          </cell>
          <cell r="AK2027" t="str">
            <v>CDC-6880</v>
          </cell>
          <cell r="AL2027" t="str">
            <v>CDC6880</v>
          </cell>
        </row>
        <row r="2028">
          <cell r="N2028" t="str">
            <v>P.V.U.S.D.#69 - DESERT SHADOWS ELEMENTARY SCHOOL</v>
          </cell>
          <cell r="O2028" t="str">
            <v>5902 EAST SWEETWATER AVENUE</v>
          </cell>
          <cell r="P2028" t="str">
            <v>kamoe@pvschools.net</v>
          </cell>
          <cell r="Q2028" t="str">
            <v>CDC-6961</v>
          </cell>
          <cell r="AJ2028" t="e">
            <v>#N/A</v>
          </cell>
          <cell r="AK2028" t="str">
            <v>CDC-6961</v>
          </cell>
          <cell r="AL2028" t="str">
            <v>CDC6961</v>
          </cell>
        </row>
        <row r="2029">
          <cell r="N2029" t="str">
            <v>P.V.U.S.D.#69 - DESERT SPRINGS ELEMENTARY SCHOOL</v>
          </cell>
          <cell r="O2029" t="str">
            <v>6010 EAST ACOMA DRIVE</v>
          </cell>
          <cell r="P2029" t="str">
            <v>kamoe@pvschools.net</v>
          </cell>
          <cell r="Q2029" t="str">
            <v>CDC-6960</v>
          </cell>
          <cell r="AJ2029" t="e">
            <v>#N/A</v>
          </cell>
          <cell r="AK2029" t="str">
            <v>CDC-6960</v>
          </cell>
          <cell r="AL2029" t="str">
            <v>CDC6960</v>
          </cell>
        </row>
        <row r="2030">
          <cell r="N2030" t="str">
            <v>P.V.U.S.D.#69 - DESERT TRAILS ELEMENTARY SCHOOL</v>
          </cell>
          <cell r="O2030" t="str">
            <v>4315 EAST CASHMAN DRIVE</v>
          </cell>
          <cell r="P2030" t="str">
            <v>kamoe@pvschools.net</v>
          </cell>
          <cell r="Q2030" t="str">
            <v>CDC-7437</v>
          </cell>
          <cell r="AJ2030" t="e">
            <v>#N/A</v>
          </cell>
          <cell r="AK2030" t="str">
            <v>CDC-7437</v>
          </cell>
          <cell r="AL2030" t="str">
            <v>CDC7437</v>
          </cell>
        </row>
        <row r="2031">
          <cell r="N2031" t="str">
            <v>P.V.U.S.D.#69 - ECHO MOUNTAIN ELEMENTARY SCHOOL</v>
          </cell>
          <cell r="O2031" t="str">
            <v>1811 EAST MICHIGAN AVENUE</v>
          </cell>
          <cell r="P2031" t="str">
            <v>kamoe@pvschools.net</v>
          </cell>
          <cell r="Q2031" t="str">
            <v>CDC-6964</v>
          </cell>
          <cell r="AJ2031" t="e">
            <v>#N/A</v>
          </cell>
          <cell r="AK2031" t="str">
            <v>CDC-6964</v>
          </cell>
          <cell r="AL2031" t="str">
            <v>CDC6964</v>
          </cell>
        </row>
        <row r="2032">
          <cell r="N2032" t="str">
            <v>P.V.U.S.D.#69 - FIRESIDE ELEMENTARY SCHOOL</v>
          </cell>
          <cell r="O2032" t="str">
            <v>3725 EAST LONE CACTUS DRIVE</v>
          </cell>
          <cell r="P2032" t="str">
            <v>kamoe@pvschools.net</v>
          </cell>
          <cell r="Q2032" t="str">
            <v>CDC-16347</v>
          </cell>
          <cell r="AJ2032" t="e">
            <v>#N/A</v>
          </cell>
          <cell r="AK2032" t="str">
            <v>CDC-16347</v>
          </cell>
          <cell r="AL2032" t="str">
            <v>CDC16347</v>
          </cell>
        </row>
        <row r="2033">
          <cell r="N2033" t="str">
            <v>P.V.U.S.D.#69 - GRAYHAWK ELEMENTARY SCHOOL</v>
          </cell>
          <cell r="O2033" t="str">
            <v>7525 EAST GRAYHAWK</v>
          </cell>
          <cell r="P2033" t="str">
            <v>kamoe@pvschools.net</v>
          </cell>
          <cell r="Q2033" t="str">
            <v>CDC-17052</v>
          </cell>
          <cell r="AJ2033" t="e">
            <v>#N/A</v>
          </cell>
          <cell r="AK2033" t="str">
            <v>CDC-17052</v>
          </cell>
          <cell r="AL2033" t="str">
            <v>CDC17052</v>
          </cell>
        </row>
        <row r="2034">
          <cell r="N2034" t="str">
            <v>P.V.U.S.D.#69 - HIDDEN HILLS ELEMENTARY SCHOOL</v>
          </cell>
          <cell r="O2034" t="str">
            <v>1919 EAST SHARON DRIVE</v>
          </cell>
          <cell r="P2034" t="str">
            <v>kamoe@pvschools.net</v>
          </cell>
          <cell r="Q2034" t="str">
            <v>CDC-6959</v>
          </cell>
          <cell r="AJ2034" t="e">
            <v>#N/A</v>
          </cell>
          <cell r="AK2034" t="str">
            <v>CDC-6959</v>
          </cell>
          <cell r="AL2034" t="str">
            <v>CDC6959</v>
          </cell>
        </row>
        <row r="2035">
          <cell r="N2035" t="str">
            <v>P.V.U.S.D.#69 - INDIAN BEND ELEMENTARY SCHOOL</v>
          </cell>
          <cell r="O2035" t="str">
            <v>3633 EAST THUNDERBIRD ROAD</v>
          </cell>
          <cell r="P2035" t="str">
            <v>rlewis@pvschools.net</v>
          </cell>
          <cell r="Q2035" t="str">
            <v>CDC-7426</v>
          </cell>
          <cell r="AJ2035" t="e">
            <v>#N/A</v>
          </cell>
          <cell r="AK2035" t="str">
            <v>CDC-7426</v>
          </cell>
          <cell r="AL2035" t="str">
            <v>CDC7426</v>
          </cell>
        </row>
        <row r="2036">
          <cell r="N2036" t="str">
            <v>P.V.U.S.D.#69 - LIBERTY ELEMENTARY</v>
          </cell>
          <cell r="O2036" t="str">
            <v>5125 EAST MARILYN ROAD</v>
          </cell>
          <cell r="P2036" t="str">
            <v>kamoe@pvschools.net</v>
          </cell>
          <cell r="Q2036" t="str">
            <v>CDC-9995</v>
          </cell>
          <cell r="AJ2036" t="e">
            <v>#N/A</v>
          </cell>
          <cell r="AK2036" t="str">
            <v>CDC-9995</v>
          </cell>
          <cell r="AL2036" t="str">
            <v>CDC9995</v>
          </cell>
        </row>
        <row r="2037">
          <cell r="N2037" t="str">
            <v>P.V.U.S.D.#69 - MERCURY MINE ELEMENTARY</v>
          </cell>
          <cell r="O2037" t="str">
            <v>9640 NORTH 28TH STREET</v>
          </cell>
          <cell r="P2037" t="str">
            <v>kamoe@pvschools.net</v>
          </cell>
          <cell r="Q2037" t="str">
            <v>CDC-6877</v>
          </cell>
          <cell r="AJ2037" t="e">
            <v>#N/A</v>
          </cell>
          <cell r="AK2037" t="str">
            <v>CDC-6877</v>
          </cell>
          <cell r="AL2037" t="str">
            <v>CDC6877</v>
          </cell>
        </row>
        <row r="2038">
          <cell r="N2038" t="str">
            <v>P.V.U.S.D.#69 - NORTH CANYON HIGH SCHOOL</v>
          </cell>
          <cell r="O2038" t="str">
            <v>1700 EAST UNION HILLS DRIVE</v>
          </cell>
          <cell r="P2038" t="str">
            <v>karenmoe@pvschools.net</v>
          </cell>
          <cell r="Q2038" t="str">
            <v>CDC-8270</v>
          </cell>
          <cell r="AJ2038" t="e">
            <v>#N/A</v>
          </cell>
          <cell r="AK2038" t="str">
            <v>CDC-8270</v>
          </cell>
          <cell r="AL2038" t="str">
            <v>CDC8270</v>
          </cell>
        </row>
        <row r="2039">
          <cell r="N2039" t="str">
            <v>P.V.U.S.D.#69 - NORTH RANCH ELEMENTARY SCHOOL</v>
          </cell>
          <cell r="O2039" t="str">
            <v>16406 NORTH 61ST PLACE</v>
          </cell>
          <cell r="P2039" t="str">
            <v>kamoe@pvschools.net</v>
          </cell>
          <cell r="Q2039" t="str">
            <v>CDC-6878</v>
          </cell>
          <cell r="AJ2039" t="e">
            <v>#N/A</v>
          </cell>
          <cell r="AK2039" t="str">
            <v>CDC-6878</v>
          </cell>
          <cell r="AL2039" t="str">
            <v>CDC6878</v>
          </cell>
        </row>
        <row r="2040">
          <cell r="N2040" t="str">
            <v>P.V.U.S.D.#69 - PALOMINO ELEMENTARY</v>
          </cell>
          <cell r="O2040" t="str">
            <v>15833 NORTH 29TH STREET</v>
          </cell>
          <cell r="P2040" t="str">
            <v>kamoe@pvschools.net</v>
          </cell>
          <cell r="Q2040" t="str">
            <v>CDC-14681</v>
          </cell>
          <cell r="AJ2040" t="e">
            <v>#N/A</v>
          </cell>
          <cell r="AK2040" t="str">
            <v>CDC-14681</v>
          </cell>
          <cell r="AL2040" t="str">
            <v>CDC14681</v>
          </cell>
        </row>
        <row r="2041">
          <cell r="N2041" t="str">
            <v>P.V.U.S.D.#69 - PARADISE VALLEY HIGH SCHOOL</v>
          </cell>
          <cell r="O2041" t="str">
            <v>3950 EAST BELL ROAD</v>
          </cell>
          <cell r="P2041" t="str">
            <v>kamoe@pvschools.net</v>
          </cell>
          <cell r="Q2041" t="str">
            <v>CDC-8269</v>
          </cell>
          <cell r="AJ2041" t="e">
            <v>#N/A</v>
          </cell>
          <cell r="AK2041" t="str">
            <v>CDC-8269</v>
          </cell>
          <cell r="AL2041" t="str">
            <v>CDC8269</v>
          </cell>
        </row>
        <row r="2042">
          <cell r="N2042" t="str">
            <v>P.V.U.S.D.#69 - PINNACLE HIGH SCHOOL</v>
          </cell>
          <cell r="O2042" t="str">
            <v>3535 EAST MAYO BOULEVARD</v>
          </cell>
          <cell r="P2042" t="str">
            <v>kamoe@pvschools.net</v>
          </cell>
          <cell r="Q2042" t="str">
            <v>CDC-8873</v>
          </cell>
          <cell r="AJ2042" t="e">
            <v>#N/A</v>
          </cell>
          <cell r="AK2042" t="str">
            <v>CDC-8873</v>
          </cell>
          <cell r="AL2042" t="str">
            <v>CDC8873</v>
          </cell>
        </row>
        <row r="2043">
          <cell r="N2043" t="str">
            <v>P.V.U.S.D.#69 - PINNACLE PEAK ELEMENTARY SCHOOL</v>
          </cell>
          <cell r="O2043" t="str">
            <v>7690 EAST WILLIAMS DRIVE</v>
          </cell>
          <cell r="P2043" t="str">
            <v>kamoe@pvschools.net</v>
          </cell>
          <cell r="Q2043" t="str">
            <v>CDC-15523</v>
          </cell>
          <cell r="AJ2043" t="e">
            <v>#N/A</v>
          </cell>
          <cell r="AK2043" t="str">
            <v>CDC-15523</v>
          </cell>
          <cell r="AL2043" t="str">
            <v>CDC15523</v>
          </cell>
        </row>
        <row r="2044">
          <cell r="N2044" t="str">
            <v>P.V.U.S.D.#69 - QUAIL RUN ELEMENTARY SCHOOL</v>
          </cell>
          <cell r="O2044" t="str">
            <v>3303 EAST UTOPIA ROAD</v>
          </cell>
          <cell r="P2044" t="str">
            <v>kmoe@pvschools.net</v>
          </cell>
          <cell r="Q2044" t="str">
            <v>CDC-6881</v>
          </cell>
          <cell r="AJ2044" t="e">
            <v>#N/A</v>
          </cell>
          <cell r="AK2044" t="str">
            <v>CDC-6881</v>
          </cell>
          <cell r="AL2044" t="str">
            <v>CDC6881</v>
          </cell>
        </row>
        <row r="2045">
          <cell r="N2045" t="str">
            <v>P.V.U.S.D.#69 - SANDPIPER ELEMENTARY SCHOOL</v>
          </cell>
          <cell r="O2045" t="str">
            <v>6724 EAST HEARN ROAD</v>
          </cell>
          <cell r="P2045" t="str">
            <v>kamoe@pvschools.net</v>
          </cell>
          <cell r="Q2045" t="str">
            <v>CDC-6957</v>
          </cell>
          <cell r="AJ2045" t="e">
            <v>#N/A</v>
          </cell>
          <cell r="AK2045" t="str">
            <v>CDC-6957</v>
          </cell>
          <cell r="AL2045" t="str">
            <v>CDC6957</v>
          </cell>
        </row>
        <row r="2046">
          <cell r="N2046" t="str">
            <v>P.V.U.S.D.#69 - SONORAN SKY ELEMENTARY SCHOOL</v>
          </cell>
          <cell r="O2046" t="str">
            <v>12990 NORTH 75TH STREET</v>
          </cell>
          <cell r="P2046" t="str">
            <v>kamoe@pvschools.net</v>
          </cell>
          <cell r="Q2046" t="str">
            <v>CDC-6958</v>
          </cell>
          <cell r="AJ2046" t="e">
            <v>#N/A</v>
          </cell>
          <cell r="AK2046" t="str">
            <v>CDC-6958</v>
          </cell>
          <cell r="AL2046" t="str">
            <v>CDC6958</v>
          </cell>
        </row>
        <row r="2047">
          <cell r="N2047" t="str">
            <v>P.V.U.S.D.#69 - SUNSET CANYON ELEMENTARY SCHOOL</v>
          </cell>
          <cell r="O2047" t="str">
            <v>2727 EAST SIESTA LANE</v>
          </cell>
          <cell r="P2047" t="str">
            <v>kamoe@pvschools.net</v>
          </cell>
          <cell r="Q2047" t="str">
            <v>CDC-8553</v>
          </cell>
          <cell r="AJ2047" t="e">
            <v>#N/A</v>
          </cell>
          <cell r="AK2047" t="str">
            <v>CDC-8553</v>
          </cell>
          <cell r="AL2047" t="str">
            <v>CDC8553</v>
          </cell>
        </row>
        <row r="2048">
          <cell r="N2048" t="str">
            <v>P.V.U.S.D.#69 - WHISPERING WIND ELEMENTARY SCHOOL</v>
          </cell>
          <cell r="O2048" t="str">
            <v>15844 NORTH 43RD STREET</v>
          </cell>
          <cell r="P2048" t="str">
            <v>kamoe@pvschools.net</v>
          </cell>
          <cell r="Q2048" t="str">
            <v>CDC-6883</v>
          </cell>
          <cell r="AJ2048" t="e">
            <v>#N/A</v>
          </cell>
          <cell r="AK2048" t="str">
            <v>CDC-6883</v>
          </cell>
          <cell r="AL2048" t="str">
            <v>CDC6883</v>
          </cell>
        </row>
        <row r="2049">
          <cell r="N2049" t="str">
            <v>P.V.U.S.D.#69 - WILDFIRE ELEMENTARY SCHOOL</v>
          </cell>
          <cell r="O2049" t="str">
            <v>3997 EAST LOCKWOOD DRIVE</v>
          </cell>
          <cell r="P2049" t="str">
            <v>kamoe@pvschools.net</v>
          </cell>
          <cell r="Q2049" t="str">
            <v>CDC-12731</v>
          </cell>
          <cell r="AJ2049" t="e">
            <v>#N/A</v>
          </cell>
          <cell r="AK2049" t="str">
            <v>CDC-12731</v>
          </cell>
          <cell r="AL2049" t="str">
            <v>CDC12731</v>
          </cell>
        </row>
        <row r="2050">
          <cell r="N2050" t="str">
            <v>Q.C.U.S.D.#95 - DESERT MOUNTAIN ELEMENTARY</v>
          </cell>
          <cell r="O2050" t="str">
            <v>22301 SOUTH HAWES ROAD</v>
          </cell>
          <cell r="P2050" t="str">
            <v>sbarnett@qcusd.org</v>
          </cell>
          <cell r="Q2050" t="str">
            <v>CDC-18875</v>
          </cell>
          <cell r="AJ2050" t="e">
            <v>#N/A</v>
          </cell>
          <cell r="AK2050" t="str">
            <v>CDC-18875</v>
          </cell>
          <cell r="AL2050" t="str">
            <v>CDC18875</v>
          </cell>
        </row>
        <row r="2051">
          <cell r="N2051" t="str">
            <v>Q.C.U.S.D.#95 - FAITH MATHER SOSSAMAN ELEMENTARY</v>
          </cell>
          <cell r="O2051" t="str">
            <v>22801 EAST VIA DEL JARDIN</v>
          </cell>
          <cell r="P2051" t="str">
            <v>sray2@qcusd.org</v>
          </cell>
          <cell r="Q2051" t="str">
            <v>CDC-18288</v>
          </cell>
          <cell r="AJ2051" t="e">
            <v>#N/A</v>
          </cell>
          <cell r="AK2051" t="str">
            <v>CDC-18288</v>
          </cell>
          <cell r="AL2051" t="str">
            <v>CDC18288</v>
          </cell>
        </row>
        <row r="2052">
          <cell r="N2052" t="str">
            <v>Q.C.U.S.D.#95 - FRANCES BRANDON-PICKETT ELEMENTARY</v>
          </cell>
          <cell r="O2052" t="str">
            <v>22076 EAST VILLAGE LOOP</v>
          </cell>
          <cell r="P2052" t="str">
            <v>sbarnett@qcusd.org</v>
          </cell>
          <cell r="Q2052" t="str">
            <v>CDC-18876</v>
          </cell>
          <cell r="AJ2052" t="e">
            <v>#N/A</v>
          </cell>
          <cell r="AK2052" t="str">
            <v>CDC-18876</v>
          </cell>
          <cell r="AL2052" t="str">
            <v>CDC18876</v>
          </cell>
        </row>
        <row r="2053">
          <cell r="N2053" t="str">
            <v>Q.C.U.S.D.#95 - GATEWAY POLYTECHNIC ACADEMY</v>
          </cell>
          <cell r="O2053" t="str">
            <v>5149 SOUTH SIGNAL BUTTE ROAD</v>
          </cell>
          <cell r="P2053" t="str">
            <v>Sringle@qcusd.org</v>
          </cell>
          <cell r="Q2053" t="str">
            <v>CDC-17351</v>
          </cell>
          <cell r="AJ2053" t="e">
            <v>#N/A</v>
          </cell>
          <cell r="AK2053" t="str">
            <v>CDC-17351</v>
          </cell>
          <cell r="AL2053" t="str">
            <v>CDC17351</v>
          </cell>
        </row>
        <row r="2054">
          <cell r="N2054" t="str">
            <v>Q.C.U.S.D.#95 - JACK BARNES ELEMENTARY SCHOOL</v>
          </cell>
          <cell r="O2054" t="str">
            <v>20750 SOUTH 214TH STREET</v>
          </cell>
          <cell r="P2054" t="str">
            <v>rneish@qeusd.org</v>
          </cell>
          <cell r="Q2054" t="str">
            <v>CDC-18666</v>
          </cell>
          <cell r="AJ2054" t="e">
            <v>#N/A</v>
          </cell>
          <cell r="AK2054" t="str">
            <v>CDC-18666</v>
          </cell>
          <cell r="AL2054" t="str">
            <v>CDC18666</v>
          </cell>
        </row>
        <row r="2055">
          <cell r="N2055" t="str">
            <v>Q.C.U.S.D.#95 - KATHERINE MECHAM BARNEY ELEMENTARY SCHOOL</v>
          </cell>
          <cell r="O2055" t="str">
            <v>19684 SOUTH 225TH PLACE</v>
          </cell>
          <cell r="P2055" t="str">
            <v>aruhser@qcusd.org</v>
          </cell>
          <cell r="Q2055" t="str">
            <v>CDC-18838</v>
          </cell>
          <cell r="AJ2055" t="e">
            <v>#N/A</v>
          </cell>
          <cell r="AK2055" t="str">
            <v>CDC-18838</v>
          </cell>
          <cell r="AL2055" t="str">
            <v>CDC18838</v>
          </cell>
        </row>
        <row r="2056">
          <cell r="N2056" t="str">
            <v>Q.C.U.S.D.#95 - QUEEN CREEK ELEMENTARY SCHOOL</v>
          </cell>
          <cell r="O2056" t="str">
            <v>23636 SOUTH 204TH STREET</v>
          </cell>
          <cell r="P2056" t="str">
            <v>sray2@qcusd.org</v>
          </cell>
          <cell r="Q2056" t="str">
            <v>CDC-14755</v>
          </cell>
          <cell r="AJ2056" t="e">
            <v>#N/A</v>
          </cell>
          <cell r="AK2056" t="str">
            <v>CDC-14755</v>
          </cell>
          <cell r="AL2056" t="str">
            <v>CDC14755</v>
          </cell>
        </row>
        <row r="2057">
          <cell r="N2057" t="str">
            <v>Q.C.U.S.D.#95 - QUEEN CREEK TOY BOX</v>
          </cell>
          <cell r="O2057" t="str">
            <v>22149 EAST OCOTILLO ROAD</v>
          </cell>
          <cell r="P2057" t="str">
            <v>dayala@qcusd.org</v>
          </cell>
          <cell r="Q2057" t="str">
            <v>CDC-10752</v>
          </cell>
          <cell r="AJ2057" t="e">
            <v>#N/A</v>
          </cell>
          <cell r="AK2057" t="str">
            <v>CDC-10752</v>
          </cell>
          <cell r="AL2057" t="str">
            <v>CDC10752</v>
          </cell>
        </row>
        <row r="2058">
          <cell r="N2058" t="str">
            <v>Q.C.U.S.D.#95 - SILVER VALLEY ELEMENTARY SCHOOL</v>
          </cell>
          <cell r="O2058" t="str">
            <v>9737 EAST TOLEDO AVENUE</v>
          </cell>
          <cell r="P2058" t="str">
            <v>scruztorres@qcusd.org, Llynde@qcusd.org</v>
          </cell>
          <cell r="Q2058" t="str">
            <v>CDC-18667</v>
          </cell>
          <cell r="AJ2058" t="e">
            <v>#N/A</v>
          </cell>
          <cell r="AK2058" t="str">
            <v>CDC-18667</v>
          </cell>
          <cell r="AL2058" t="str">
            <v>CDC18667</v>
          </cell>
        </row>
        <row r="2059">
          <cell r="N2059" t="str">
            <v>R.E.S.D.#2 - RIVERSIDE ELEMENTARY SCHOOL</v>
          </cell>
          <cell r="O2059" t="str">
            <v>1414 SOUTH 51ST AVENUE</v>
          </cell>
          <cell r="P2059" t="str">
            <v>mpina@riverside.k12.az.us</v>
          </cell>
          <cell r="Q2059" t="str">
            <v>CDC-17697</v>
          </cell>
          <cell r="AJ2059" t="e">
            <v>#N/A</v>
          </cell>
          <cell r="AK2059" t="str">
            <v>CDC-17697</v>
          </cell>
          <cell r="AL2059" t="str">
            <v>CDC17697</v>
          </cell>
        </row>
        <row r="2060">
          <cell r="N2060" t="str">
            <v>R.E.S.D.#66 - BERNARD BLACK SCHOOL</v>
          </cell>
          <cell r="O2060" t="str">
            <v>6550 SOUTH 27TH AVENUE</v>
          </cell>
          <cell r="P2060" t="str">
            <v>latrisha.centers@rsd.k12.az.us</v>
          </cell>
          <cell r="Q2060" t="str">
            <v>CDC-12279</v>
          </cell>
          <cell r="AJ2060" t="e">
            <v>#N/A</v>
          </cell>
          <cell r="AK2060" t="str">
            <v>CDC-12279</v>
          </cell>
          <cell r="AL2060" t="str">
            <v>CDC12279</v>
          </cell>
        </row>
        <row r="2061">
          <cell r="N2061" t="str">
            <v>R.E.S.D.#66 - BUSH HEAD START</v>
          </cell>
          <cell r="O2061" t="str">
            <v>602 EAST SIESTA DRIVE</v>
          </cell>
          <cell r="P2061" t="str">
            <v>ceronica.zavala@rsd.k12.az.us</v>
          </cell>
          <cell r="Q2061" t="str">
            <v>CDC-5026</v>
          </cell>
          <cell r="AJ2061" t="e">
            <v>#N/A</v>
          </cell>
          <cell r="AK2061" t="str">
            <v>CDC-5026</v>
          </cell>
          <cell r="AL2061" t="str">
            <v>CDC5026</v>
          </cell>
        </row>
        <row r="2062">
          <cell r="N2062" t="str">
            <v>R.E.S.D.#66 - CAMPBELL SCHOOL</v>
          </cell>
          <cell r="O2062" t="str">
            <v>2624 EAST SOUTH MOUNTAIN</v>
          </cell>
          <cell r="P2062" t="str">
            <v>jack.day@rsdk12.az.us</v>
          </cell>
          <cell r="Q2062" t="str">
            <v>CDC-18315</v>
          </cell>
          <cell r="AJ2062" t="e">
            <v>#N/A</v>
          </cell>
          <cell r="AK2062" t="str">
            <v>CDC-18315</v>
          </cell>
          <cell r="AL2062" t="str">
            <v>CDC18315</v>
          </cell>
        </row>
        <row r="2063">
          <cell r="N2063" t="str">
            <v>R.E.S.D.#66 - CESAR CHAVEZ HEAD START</v>
          </cell>
          <cell r="O2063" t="str">
            <v>4001 SOUTH 3RD STREET</v>
          </cell>
          <cell r="P2063" t="str">
            <v>sdbitsui@asu.edu</v>
          </cell>
          <cell r="Q2063" t="str">
            <v>CDC-1167</v>
          </cell>
          <cell r="AJ2063" t="e">
            <v>#N/A</v>
          </cell>
          <cell r="AK2063" t="str">
            <v>CDC-1167</v>
          </cell>
          <cell r="AL2063" t="str">
            <v>CDC1167</v>
          </cell>
        </row>
        <row r="2064">
          <cell r="N2064" t="str">
            <v>R.E.S.D.#66 - DAVIS HEAD START</v>
          </cell>
          <cell r="O2064" t="str">
            <v>6209 SOUTH 15TH AVENUE</v>
          </cell>
          <cell r="P2064" t="str">
            <v>diane.alleyne@rsd.k12.az.us</v>
          </cell>
          <cell r="Q2064" t="str">
            <v>CDC-5025</v>
          </cell>
          <cell r="AJ2064" t="e">
            <v>#N/A</v>
          </cell>
          <cell r="AK2064" t="str">
            <v>CDC-5025</v>
          </cell>
          <cell r="AL2064" t="str">
            <v>CDC5025</v>
          </cell>
        </row>
        <row r="2065">
          <cell r="N2065" t="str">
            <v>R.E.S.D.#66 - ED PASTOR SCHOOL</v>
          </cell>
          <cell r="O2065" t="str">
            <v>2101 WEST ALTA VISTA</v>
          </cell>
          <cell r="P2065" t="str">
            <v>latrisha.centers@rsd.k12.az.us</v>
          </cell>
          <cell r="Q2065" t="str">
            <v>CDC-18316</v>
          </cell>
          <cell r="AJ2065" t="e">
            <v>#N/A</v>
          </cell>
          <cell r="AK2065" t="str">
            <v>CDC-18316</v>
          </cell>
          <cell r="AL2065" t="str">
            <v>CDC18316</v>
          </cell>
        </row>
        <row r="2066">
          <cell r="N2066" t="str">
            <v>R.E.S.D.#66 - I. CONCHOS</v>
          </cell>
          <cell r="O2066" t="str">
            <v>1718 WEST VINEYARD</v>
          </cell>
          <cell r="P2066" t="str">
            <v>latrisha.centers@rsd.k12.az.us</v>
          </cell>
          <cell r="Q2066" t="str">
            <v>CDC-18280</v>
          </cell>
          <cell r="AJ2066" t="e">
            <v>#N/A</v>
          </cell>
          <cell r="AK2066" t="str">
            <v>CDC-18280</v>
          </cell>
          <cell r="AL2066" t="str">
            <v>CDC18280</v>
          </cell>
        </row>
        <row r="2067">
          <cell r="N2067" t="str">
            <v>R.E.S.D.#66 - KENNEDY HEAD START</v>
          </cell>
          <cell r="O2067" t="str">
            <v>6825 SOUTH 10TH STREET</v>
          </cell>
          <cell r="P2067" t="str">
            <v>dione.alleyn@rds.k12.az.us</v>
          </cell>
          <cell r="Q2067" t="str">
            <v>CDC-9883</v>
          </cell>
          <cell r="AJ2067" t="e">
            <v>#N/A</v>
          </cell>
          <cell r="AK2067" t="str">
            <v>CDC-9883</v>
          </cell>
          <cell r="AL2067" t="str">
            <v>CDC9883</v>
          </cell>
        </row>
        <row r="2068">
          <cell r="N2068" t="str">
            <v>R.E.S.D.#66 - M L KING HEAD START</v>
          </cell>
          <cell r="O2068" t="str">
            <v>4615 SOUTH 22ND STREET</v>
          </cell>
          <cell r="P2068" t="str">
            <v>anna.marrero@rsd.k12.az.us</v>
          </cell>
          <cell r="Q2068" t="str">
            <v>CDC-1174</v>
          </cell>
          <cell r="AJ2068" t="e">
            <v>#N/A</v>
          </cell>
          <cell r="AK2068" t="str">
            <v>CDC-1174</v>
          </cell>
          <cell r="AL2068" t="str">
            <v>CDC1174</v>
          </cell>
        </row>
        <row r="2069">
          <cell r="N2069" t="str">
            <v>R.E.S.D.#66 - SOUTHWEST HEAD START</v>
          </cell>
          <cell r="O2069" t="str">
            <v>1111 WEST DOBBINS</v>
          </cell>
          <cell r="P2069" t="str">
            <v>latrisha.centers@rsd.k12.az.us</v>
          </cell>
          <cell r="Q2069" t="str">
            <v>CDC-18019</v>
          </cell>
          <cell r="AJ2069" t="e">
            <v>#N/A</v>
          </cell>
          <cell r="AK2069" t="str">
            <v>CDC-18019</v>
          </cell>
          <cell r="AL2069" t="str">
            <v>CDC18019</v>
          </cell>
        </row>
        <row r="2070">
          <cell r="N2070" t="str">
            <v>R.E.S.D.#66 - T. G.  BARR HEAD START</v>
          </cell>
          <cell r="O2070" t="str">
            <v>2041 EAST VINEYARD ROAD</v>
          </cell>
          <cell r="P2070" t="str">
            <v>marthaftorres@rsd.k12.az.us</v>
          </cell>
          <cell r="Q2070" t="str">
            <v>CDC-1172</v>
          </cell>
          <cell r="AJ2070" t="e">
            <v>#N/A</v>
          </cell>
          <cell r="AK2070" t="str">
            <v>CDC-1172</v>
          </cell>
          <cell r="AL2070" t="str">
            <v>CDC1172</v>
          </cell>
        </row>
        <row r="2071">
          <cell r="N2071" t="str">
            <v>R.M.U.S.D.#27 - PRESCHOOL PROGRAM</v>
          </cell>
          <cell r="O2071" t="str">
            <v>HC 61 BOX 40 MILE MARKER 448</v>
          </cell>
          <cell r="P2071" t="str">
            <v>sstilson@rmusd.net</v>
          </cell>
          <cell r="Q2071" t="str">
            <v>CDC-17099</v>
          </cell>
          <cell r="AJ2071" t="e">
            <v>#N/A</v>
          </cell>
          <cell r="AK2071" t="str">
            <v>CDC-17099</v>
          </cell>
          <cell r="AL2071" t="str">
            <v>CDC17099</v>
          </cell>
        </row>
        <row r="2072">
          <cell r="N2072" t="str">
            <v>R.U.S.D.#3 - RAY PRESCHOOL PROGRAM</v>
          </cell>
          <cell r="O2072" t="str">
            <v>HIGHWAY 177</v>
          </cell>
          <cell r="P2072" t="str">
            <v>Rochelle_Pacheco@RAYUSD.org</v>
          </cell>
          <cell r="Q2072" t="str">
            <v>CDC-6481</v>
          </cell>
          <cell r="AJ2072" t="e">
            <v>#N/A</v>
          </cell>
          <cell r="AK2072" t="str">
            <v>CDC-6481</v>
          </cell>
          <cell r="AL2072" t="str">
            <v>CDC6481</v>
          </cell>
        </row>
        <row r="2073">
          <cell r="N2073" t="str">
            <v>R.V.U.S.D.#10 - ROUND VALLEY PRIMARY PRESCHOOL</v>
          </cell>
          <cell r="O2073" t="str">
            <v>940 B EAST MARICOPA STREET</v>
          </cell>
          <cell r="P2073" t="str">
            <v>blarson@elks.net</v>
          </cell>
          <cell r="Q2073" t="str">
            <v>CDC-17455</v>
          </cell>
          <cell r="AJ2073" t="e">
            <v>#N/A</v>
          </cell>
          <cell r="AK2073" t="str">
            <v>CDC-17455</v>
          </cell>
          <cell r="AL2073" t="str">
            <v>CDC17455</v>
          </cell>
        </row>
        <row r="2074">
          <cell r="N2074" t="str">
            <v>S.C.E.S.D.#30 - SALOME ELEMENTARY SCHOOL</v>
          </cell>
          <cell r="O2074" t="str">
            <v>38128 SAGUARO &amp; MAIN</v>
          </cell>
          <cell r="P2074" t="str">
            <v>gdean@salomek8.org</v>
          </cell>
          <cell r="Q2074" t="str">
            <v>CDC-16713</v>
          </cell>
          <cell r="AJ2074" t="e">
            <v>#N/A</v>
          </cell>
          <cell r="AK2074" t="str">
            <v>CDC-16713</v>
          </cell>
          <cell r="AL2074" t="str">
            <v>CDC16713</v>
          </cell>
        </row>
        <row r="2075">
          <cell r="N2075" t="str">
            <v>S.C.V.U.S.D.#35 - CALABASAS PRESCHOOL</v>
          </cell>
          <cell r="O2075" t="str">
            <v>131 CAMINO MARICOPA</v>
          </cell>
          <cell r="Q2075" t="str">
            <v>CDC-11478</v>
          </cell>
          <cell r="AJ2075" t="e">
            <v>#N/A</v>
          </cell>
          <cell r="AK2075" t="str">
            <v>CDC-11478</v>
          </cell>
          <cell r="AL2075" t="str">
            <v>CDC11478</v>
          </cell>
        </row>
        <row r="2076">
          <cell r="N2076" t="str">
            <v>S.E.S.D.#24 - STANFIELD ELEMENTARY SCHOOL</v>
          </cell>
          <cell r="O2076" t="str">
            <v>515 SOUTH STANFIELD ROAD</v>
          </cell>
          <cell r="P2076" t="str">
            <v>rmaciast@roadrunners24.net</v>
          </cell>
          <cell r="Q2076" t="str">
            <v>CDC-6080</v>
          </cell>
          <cell r="AJ2076" t="e">
            <v>#N/A</v>
          </cell>
          <cell r="AK2076" t="str">
            <v>CDC-6080</v>
          </cell>
          <cell r="AL2076" t="str">
            <v>CDC6080</v>
          </cell>
        </row>
        <row r="2077">
          <cell r="N2077" t="str">
            <v>S.L.U.S.D.#10 - SHOW LOW HIGH SCHOOL - THE CUBBIE HOLE</v>
          </cell>
          <cell r="O2077" t="str">
            <v>500 WEST OLD LINDEN ROAD</v>
          </cell>
          <cell r="P2077" t="str">
            <v>diana.abel@showlow.education</v>
          </cell>
          <cell r="Q2077" t="str">
            <v>CDC-17417</v>
          </cell>
          <cell r="AJ2077" t="e">
            <v>#N/A</v>
          </cell>
          <cell r="AK2077" t="str">
            <v>CDC-17417</v>
          </cell>
          <cell r="AL2077" t="str">
            <v>CDC17417</v>
          </cell>
        </row>
        <row r="2078">
          <cell r="N2078" t="str">
            <v>S.M.U.S.D.#90 - SADDLE MOUNTAIN PRESCHOOL</v>
          </cell>
          <cell r="O2078" t="str">
            <v>38201 WEST INDIAN SCHOOL ROAD</v>
          </cell>
          <cell r="P2078" t="str">
            <v>Deena.Arrowood@smusd90.org</v>
          </cell>
          <cell r="Q2078" t="str">
            <v>CDC-16428</v>
          </cell>
          <cell r="AJ2078" t="e">
            <v>#N/A</v>
          </cell>
          <cell r="AK2078" t="str">
            <v>CDC-16428</v>
          </cell>
          <cell r="AL2078" t="str">
            <v>CDC16428</v>
          </cell>
        </row>
        <row r="2079">
          <cell r="N2079" t="str">
            <v>S.O.C.U.S.D.#9 - SEDONA INTEGRATED PRESCHOOL</v>
          </cell>
          <cell r="O2079" t="str">
            <v>570 POSSE GROUND ROAD</v>
          </cell>
          <cell r="P2079" t="str">
            <v>coleman@sedonak12.org</v>
          </cell>
          <cell r="Q2079" t="str">
            <v>CDC-18353</v>
          </cell>
          <cell r="AJ2079" t="e">
            <v>#N/A</v>
          </cell>
          <cell r="AK2079" t="str">
            <v>CDC-18353</v>
          </cell>
          <cell r="AL2079" t="str">
            <v>CDC18353</v>
          </cell>
        </row>
        <row r="2080">
          <cell r="N2080" t="str">
            <v>S.S.D.#11 - DESERT SONORA ELEMENTARY SCHOOL</v>
          </cell>
          <cell r="O2080" t="str">
            <v>301 CARLISLE AVENUE</v>
          </cell>
          <cell r="P2080" t="str">
            <v>marmenta@ssd11.org</v>
          </cell>
          <cell r="Q2080" t="str">
            <v>CDC-17312</v>
          </cell>
          <cell r="AJ2080" t="e">
            <v>#N/A</v>
          </cell>
          <cell r="AK2080" t="str">
            <v>CDC-17312</v>
          </cell>
          <cell r="AL2080" t="str">
            <v>CDC17312</v>
          </cell>
        </row>
        <row r="2081">
          <cell r="N2081" t="str">
            <v>S.S.D.#11 - ORANGE GROVE ELEMENTARY SCHOOL</v>
          </cell>
          <cell r="O2081" t="str">
            <v>3525 W COUNTRY 16 1/2 ST</v>
          </cell>
          <cell r="P2081" t="str">
            <v>marmenta@ssd11.org</v>
          </cell>
          <cell r="Q2081" t="str">
            <v>CDC-17311</v>
          </cell>
          <cell r="AJ2081" t="e">
            <v>#N/A</v>
          </cell>
          <cell r="AK2081" t="str">
            <v>CDC-17311</v>
          </cell>
          <cell r="AL2081" t="str">
            <v>CDC17311</v>
          </cell>
        </row>
        <row r="2082">
          <cell r="N2082" t="str">
            <v>S.S.D.#11 - TIERRA DEL SOL ELEMENTARY SCHOOL</v>
          </cell>
          <cell r="O2082" t="str">
            <v>1002 NORTH SOMERTON AVENUE</v>
          </cell>
          <cell r="P2082" t="str">
            <v>marmenta@ssd11.org</v>
          </cell>
          <cell r="Q2082" t="str">
            <v>CDC-17310</v>
          </cell>
          <cell r="AJ2082" t="e">
            <v>#N/A</v>
          </cell>
          <cell r="AK2082" t="str">
            <v>CDC-17310</v>
          </cell>
          <cell r="AL2082" t="str">
            <v>CDC17310</v>
          </cell>
        </row>
        <row r="2083">
          <cell r="N2083" t="str">
            <v>S.S.D.#11 - VALLE DEL ENCANTO PRESCHOOL</v>
          </cell>
          <cell r="O2083" t="str">
            <v>400 NORTH CAESAR CHAVEZ AVENUE</v>
          </cell>
          <cell r="P2083" t="str">
            <v>marmenta@ssd11.org</v>
          </cell>
          <cell r="Q2083" t="str">
            <v>CDC-12461</v>
          </cell>
          <cell r="AJ2083" t="e">
            <v>#N/A</v>
          </cell>
          <cell r="AK2083" t="str">
            <v>CDC-12461</v>
          </cell>
          <cell r="AL2083" t="str">
            <v>CDC12461</v>
          </cell>
        </row>
        <row r="2084">
          <cell r="N2084" t="str">
            <v>S.U.S.D.#1 - BULLDOG BOULEVARD CHILD CARE CENTER</v>
          </cell>
          <cell r="O2084" t="str">
            <v>1400 WEST  11TH STREET</v>
          </cell>
          <cell r="P2084" t="str">
            <v>ogomez@saffordusd.com</v>
          </cell>
          <cell r="Q2084" t="str">
            <v>CDC-8292</v>
          </cell>
          <cell r="AJ2084" t="e">
            <v>#N/A</v>
          </cell>
          <cell r="AK2084" t="str">
            <v>CDC-8292</v>
          </cell>
          <cell r="AL2084" t="str">
            <v>CDC8292</v>
          </cell>
        </row>
        <row r="2085">
          <cell r="N2085" t="str">
            <v>S.U.S.D.#1 - MOUNT GRAHAM CHILD CARE &amp; GUIDANCE CE</v>
          </cell>
          <cell r="O2085" t="str">
            <v>300 WEST DISCOVERY PARK BLVD</v>
          </cell>
          <cell r="P2085" t="str">
            <v>gcurtis@saffordusd.k12.az.us, jclonts@saffordusd.com</v>
          </cell>
          <cell r="Q2085" t="str">
            <v>CDC-7591</v>
          </cell>
          <cell r="AJ2085" t="e">
            <v>#N/A</v>
          </cell>
          <cell r="AK2085" t="str">
            <v>CDC-7591</v>
          </cell>
          <cell r="AL2085" t="str">
            <v>CDC7591</v>
          </cell>
        </row>
        <row r="2086">
          <cell r="N2086" t="str">
            <v>S.U.S.D.#12 - OCOTILLO PRESCHOOL</v>
          </cell>
          <cell r="O2086" t="str">
            <v>5702 SOUTH CAMPBELL AVE</v>
          </cell>
          <cell r="P2086" t="str">
            <v>paulo@susd12.org</v>
          </cell>
          <cell r="Q2086" t="str">
            <v>CDC-6171</v>
          </cell>
          <cell r="AJ2086" t="e">
            <v>#N/A</v>
          </cell>
          <cell r="AK2086" t="str">
            <v>CDC-6171</v>
          </cell>
          <cell r="AL2086" t="str">
            <v>CDC6171</v>
          </cell>
        </row>
        <row r="2087">
          <cell r="N2087" t="str">
            <v>S.U.S.D.#12 - SUNNYSIDE INFANT CENTER</v>
          </cell>
          <cell r="O2087" t="str">
            <v>1725 EAST BILBY ROAD</v>
          </cell>
          <cell r="P2087" t="str">
            <v>marial@susd12.org</v>
          </cell>
          <cell r="Q2087" t="str">
            <v>CDC-6066</v>
          </cell>
          <cell r="AJ2087" t="e">
            <v>#N/A</v>
          </cell>
          <cell r="AK2087" t="str">
            <v>CDC-6066</v>
          </cell>
          <cell r="AL2087" t="str">
            <v>CDC6066</v>
          </cell>
        </row>
        <row r="2088">
          <cell r="N2088" t="str">
            <v>S.U.S.D.#15 - J. F. KENNEDY ELEMENTARY</v>
          </cell>
          <cell r="O2088" t="str">
            <v>1500 WEST PANTHER DRIVE</v>
          </cell>
          <cell r="P2088" t="str">
            <v>Kzavala@superiorusd.org</v>
          </cell>
          <cell r="Q2088" t="str">
            <v>CDC-8531</v>
          </cell>
          <cell r="AJ2088" t="e">
            <v>#N/A</v>
          </cell>
          <cell r="AK2088" t="str">
            <v>CDC-8531</v>
          </cell>
          <cell r="AL2088" t="str">
            <v>CDC8531</v>
          </cell>
        </row>
        <row r="2089">
          <cell r="N2089" t="str">
            <v>S.U.S.D.#18 - SANDERS ELEMENTARY SCHOOL PRESCHOOL</v>
          </cell>
          <cell r="O2089" t="str">
            <v>I-40 AND HIGHWAY 191 SOUTH</v>
          </cell>
          <cell r="P2089" t="str">
            <v>Lena.Thompson@sandersusd.net</v>
          </cell>
          <cell r="Q2089" t="str">
            <v>CDC-15345</v>
          </cell>
          <cell r="AJ2089" t="e">
            <v>#N/A</v>
          </cell>
          <cell r="AK2089" t="str">
            <v>CDC-15345</v>
          </cell>
          <cell r="AL2089" t="str">
            <v>CDC15345</v>
          </cell>
        </row>
        <row r="2090">
          <cell r="N2090" t="str">
            <v>S.U.S.D.#30 - ANZA LINK PROGRAM</v>
          </cell>
          <cell r="O2090" t="str">
            <v>15490 RANCHO SAHUARITA BLVD</v>
          </cell>
          <cell r="P2090" t="str">
            <v>agonzalez2@sahuarita.net</v>
          </cell>
          <cell r="Q2090" t="str">
            <v>CDC-13960</v>
          </cell>
          <cell r="AJ2090" t="e">
            <v>#N/A</v>
          </cell>
          <cell r="AK2090" t="str">
            <v>CDC-13960</v>
          </cell>
          <cell r="AL2090" t="str">
            <v>CDC13960</v>
          </cell>
        </row>
        <row r="2091">
          <cell r="N2091" t="str">
            <v>S.U.S.D.#30 - COPPER VIEW LINK</v>
          </cell>
          <cell r="O2091" t="str">
            <v>16200 S STARLIGHT VIEW LANE</v>
          </cell>
          <cell r="P2091" t="str">
            <v>alexis.balderrama@sahuarita.net</v>
          </cell>
          <cell r="Q2091" t="str">
            <v>CDC-16343</v>
          </cell>
          <cell r="AJ2091" t="e">
            <v>#N/A</v>
          </cell>
          <cell r="AK2091" t="str">
            <v>CDC-16343</v>
          </cell>
          <cell r="AL2091" t="str">
            <v>CDC16343</v>
          </cell>
        </row>
        <row r="2092">
          <cell r="N2092" t="str">
            <v>S.U.S.D.#30 - EARLY CHILDHOOD CENTER</v>
          </cell>
          <cell r="O2092" t="str">
            <v>16170 S STARLIGHT VIEW LANE</v>
          </cell>
          <cell r="P2092" t="str">
            <v>cmcglothlen@sahuarita.net</v>
          </cell>
          <cell r="Q2092" t="str">
            <v>CDC-16108</v>
          </cell>
          <cell r="AJ2092" t="e">
            <v>#N/A</v>
          </cell>
          <cell r="AK2092" t="str">
            <v>CDC-16108</v>
          </cell>
          <cell r="AL2092" t="str">
            <v>CDC16108</v>
          </cell>
        </row>
        <row r="2093">
          <cell r="N2093" t="str">
            <v>S.U.S.D.#30 - SAHUARITA  L I N K</v>
          </cell>
          <cell r="O2093" t="str">
            <v>350 SAHUARITA ROAD</v>
          </cell>
          <cell r="P2093" t="str">
            <v>agonzalez2@sahuarita.net</v>
          </cell>
          <cell r="Q2093" t="str">
            <v>CDC-8694</v>
          </cell>
          <cell r="AJ2093" t="e">
            <v>#N/A</v>
          </cell>
          <cell r="AK2093" t="str">
            <v>CDC-8694</v>
          </cell>
          <cell r="AL2093" t="str">
            <v>CDC8694</v>
          </cell>
        </row>
        <row r="2094">
          <cell r="N2094" t="str">
            <v>S.U.S.D.#30 - SOPORI ELEMENTARY SCHOOL</v>
          </cell>
          <cell r="O2094" t="str">
            <v>5000 W ARIVACA ROAD</v>
          </cell>
          <cell r="P2094" t="str">
            <v>gwilliams@sahuarita.net</v>
          </cell>
          <cell r="Q2094" t="str">
            <v>CDC-14487</v>
          </cell>
          <cell r="AJ2094" t="e">
            <v>#N/A</v>
          </cell>
          <cell r="AK2094" t="str">
            <v>CDC-14487</v>
          </cell>
          <cell r="AL2094" t="str">
            <v>CDC14487</v>
          </cell>
        </row>
        <row r="2095">
          <cell r="N2095" t="str">
            <v>S.U.S.D.#30 - WRIGHTSON RIDGE LINK</v>
          </cell>
          <cell r="O2095" t="str">
            <v>16325 SOUTH RANCHO SAHUARITA BLVD</v>
          </cell>
          <cell r="P2095" t="str">
            <v>akirby@sahuarita.net</v>
          </cell>
          <cell r="Q2095" t="str">
            <v>CDC-18491</v>
          </cell>
          <cell r="AJ2095" t="e">
            <v>#N/A</v>
          </cell>
          <cell r="AK2095" t="str">
            <v>CDC-18491</v>
          </cell>
          <cell r="AL2095" t="str">
            <v>CDC18491</v>
          </cell>
        </row>
        <row r="2096">
          <cell r="N2096" t="str">
            <v>S.U.S.D.#48 - ANASAZI ELEMENTARY SCHOOL</v>
          </cell>
          <cell r="O2096" t="str">
            <v>12121 NORTH 124TH STREET</v>
          </cell>
          <cell r="P2096" t="str">
            <v>lconti@susd.org</v>
          </cell>
          <cell r="Q2096" t="str">
            <v>CDC-13172</v>
          </cell>
          <cell r="AJ2096" t="e">
            <v>#N/A</v>
          </cell>
          <cell r="AK2096" t="str">
            <v>CDC-13172</v>
          </cell>
          <cell r="AL2096" t="str">
            <v>CDC13172</v>
          </cell>
        </row>
        <row r="2097">
          <cell r="N2097" t="str">
            <v>S.U.S.D.#48 - CHEROKEE ELEMENTARY PRESCHOOL- PANDA</v>
          </cell>
          <cell r="O2097" t="str">
            <v>8801 NORTH 56TH STREET</v>
          </cell>
          <cell r="P2097" t="str">
            <v>lconti@susd.org</v>
          </cell>
          <cell r="Q2097" t="str">
            <v>CDC-6775</v>
          </cell>
          <cell r="AJ2097" t="e">
            <v>#N/A</v>
          </cell>
          <cell r="AK2097" t="str">
            <v>CDC-6775</v>
          </cell>
          <cell r="AL2097" t="str">
            <v>CDC6775</v>
          </cell>
        </row>
        <row r="2098">
          <cell r="N2098" t="str">
            <v>S.U.S.D.#48 - CHEYENNE TRADITIONAL SCHOOL</v>
          </cell>
          <cell r="O2098" t="str">
            <v>13636 NORTH 100TH STREET</v>
          </cell>
          <cell r="P2098" t="str">
            <v>lconti@susd.org</v>
          </cell>
          <cell r="Q2098" t="str">
            <v>CDC-13650</v>
          </cell>
          <cell r="AJ2098" t="e">
            <v>#N/A</v>
          </cell>
          <cell r="AK2098" t="str">
            <v>CDC-13650</v>
          </cell>
          <cell r="AL2098" t="str">
            <v>CDC13650</v>
          </cell>
        </row>
        <row r="2099">
          <cell r="N2099" t="str">
            <v>S.U.S.D.#48 - COCHISE ELEMENTARY SCHOOL</v>
          </cell>
          <cell r="O2099" t="str">
            <v>9451 NORTH 84TH STREET</v>
          </cell>
          <cell r="P2099" t="str">
            <v>LConti@susd.org</v>
          </cell>
          <cell r="Q2099" t="str">
            <v>CDC-13173</v>
          </cell>
          <cell r="AJ2099" t="e">
            <v>#N/A</v>
          </cell>
          <cell r="AK2099" t="str">
            <v>CDC-13173</v>
          </cell>
          <cell r="AL2099" t="str">
            <v>CDC13173</v>
          </cell>
        </row>
        <row r="2100">
          <cell r="N2100" t="str">
            <v>S.U.S.D.#48 - COPPER RIDGE ELEMENTARY SCHOOL</v>
          </cell>
          <cell r="O2100" t="str">
            <v>10101 EAST THOMPSON PEAK PKWY</v>
          </cell>
          <cell r="P2100" t="str">
            <v>lconti@susd.org</v>
          </cell>
          <cell r="Q2100" t="str">
            <v>CDC-10329</v>
          </cell>
          <cell r="AJ2100" t="e">
            <v>#N/A</v>
          </cell>
          <cell r="AK2100" t="str">
            <v>CDC-10329</v>
          </cell>
          <cell r="AL2100" t="str">
            <v>CDC10329</v>
          </cell>
        </row>
        <row r="2101">
          <cell r="N2101" t="str">
            <v>S.U.S.D.#48 - DESERT CANYON ELEMENTARY SCHOOL</v>
          </cell>
          <cell r="O2101" t="str">
            <v>10203 EAST MCDOWELL MOUNTAIN RANCH ROAD</v>
          </cell>
          <cell r="P2101" t="str">
            <v>lconti@susd.org</v>
          </cell>
          <cell r="Q2101" t="str">
            <v>CDC-13171</v>
          </cell>
          <cell r="AJ2101" t="e">
            <v>#N/A</v>
          </cell>
          <cell r="AK2101" t="str">
            <v>CDC-13171</v>
          </cell>
          <cell r="AL2101" t="str">
            <v>CDC13171</v>
          </cell>
        </row>
        <row r="2102">
          <cell r="N2102" t="str">
            <v>S.U.S.D.#48 - ECHO CANYON</v>
          </cell>
          <cell r="O2102" t="str">
            <v>4330 NORTH 62ND STREET</v>
          </cell>
          <cell r="P2102" t="str">
            <v>lconti@susd.org</v>
          </cell>
          <cell r="Q2102" t="str">
            <v>CDC-10319</v>
          </cell>
          <cell r="AJ2102" t="e">
            <v>#N/A</v>
          </cell>
          <cell r="AK2102" t="str">
            <v>CDC-10319</v>
          </cell>
          <cell r="AL2102" t="str">
            <v>CDC10319</v>
          </cell>
        </row>
        <row r="2103">
          <cell r="N2103" t="str">
            <v>S.U.S.D.#48 - HOHOKAM TRADITIONAL SCHOOL</v>
          </cell>
          <cell r="O2103" t="str">
            <v>8451 EAST OAK STREET</v>
          </cell>
          <cell r="P2103" t="str">
            <v>lconti@susd.org</v>
          </cell>
          <cell r="Q2103" t="str">
            <v>CDC-11323</v>
          </cell>
          <cell r="AJ2103" t="e">
            <v>#N/A</v>
          </cell>
          <cell r="AK2103" t="str">
            <v>CDC-11323</v>
          </cell>
          <cell r="AL2103" t="str">
            <v>CDC11323</v>
          </cell>
        </row>
        <row r="2104">
          <cell r="N2104" t="str">
            <v>S.U.S.D.#48 - HOPI ELEMENTARY SCHOOL</v>
          </cell>
          <cell r="O2104" t="str">
            <v>5110 EAST LAFAYETTE BOULEVARD</v>
          </cell>
          <cell r="P2104" t="str">
            <v>lconti@susd.org</v>
          </cell>
          <cell r="Q2104" t="str">
            <v>CDC-11616</v>
          </cell>
          <cell r="AJ2104" t="e">
            <v>#N/A</v>
          </cell>
          <cell r="AK2104" t="str">
            <v>CDC-11616</v>
          </cell>
          <cell r="AL2104" t="str">
            <v>CDC11616</v>
          </cell>
        </row>
        <row r="2105">
          <cell r="N2105" t="str">
            <v>S.U.S.D.#48 - KIVA ELEMENTARY SCHOOL</v>
          </cell>
          <cell r="O2105" t="str">
            <v>6911 EAST MCDONALD DRIVE</v>
          </cell>
          <cell r="P2105" t="str">
            <v>lconti@susd.org</v>
          </cell>
          <cell r="Q2105" t="str">
            <v>CDC-10330</v>
          </cell>
          <cell r="AJ2105" t="e">
            <v>#N/A</v>
          </cell>
          <cell r="AK2105" t="str">
            <v>CDC-10330</v>
          </cell>
          <cell r="AL2105" t="str">
            <v>CDC10330</v>
          </cell>
        </row>
        <row r="2106">
          <cell r="N2106" t="str">
            <v>S.U.S.D.#48 - LAGUNA ELEMENTARY SCHOOL</v>
          </cell>
          <cell r="O2106" t="str">
            <v>10475 EAST LAKEVIEW DRIVE</v>
          </cell>
          <cell r="P2106" t="str">
            <v>lconti@susd.org</v>
          </cell>
          <cell r="Q2106" t="str">
            <v>CDC-6772</v>
          </cell>
          <cell r="AJ2106" t="e">
            <v>#N/A</v>
          </cell>
          <cell r="AK2106" t="str">
            <v>CDC-6772</v>
          </cell>
          <cell r="AL2106" t="str">
            <v>CDC6772</v>
          </cell>
        </row>
        <row r="2107">
          <cell r="N2107" t="str">
            <v>S.U.S.D.#48 - NAVAJO ELEMENTARY SCHOOL</v>
          </cell>
          <cell r="O2107" t="str">
            <v>4525 NORTH GRANITE REEF ROAD</v>
          </cell>
          <cell r="P2107" t="str">
            <v>lconti@susd.org</v>
          </cell>
          <cell r="Q2107" t="str">
            <v>CDC-6773</v>
          </cell>
          <cell r="AJ2107" t="e">
            <v>#N/A</v>
          </cell>
          <cell r="AK2107" t="str">
            <v>CDC-6773</v>
          </cell>
          <cell r="AL2107" t="str">
            <v>CDC6773</v>
          </cell>
        </row>
        <row r="2108">
          <cell r="N2108" t="str">
            <v>S.U.S.D.#48 - PIMA ELEMENTARY SCHOOL</v>
          </cell>
          <cell r="O2108" t="str">
            <v>8330 EAST OSBORN ROAD</v>
          </cell>
          <cell r="P2108" t="str">
            <v>lconti@susd.org</v>
          </cell>
          <cell r="Q2108" t="str">
            <v>CDC-10328</v>
          </cell>
          <cell r="AJ2108" t="e">
            <v>#N/A</v>
          </cell>
          <cell r="AK2108" t="str">
            <v>CDC-10328</v>
          </cell>
          <cell r="AL2108" t="str">
            <v>CDC10328</v>
          </cell>
        </row>
        <row r="2109">
          <cell r="N2109" t="str">
            <v>S.U.S.D.#48 - PUEBLO ELEMENTARY SCHOOL</v>
          </cell>
          <cell r="O2109" t="str">
            <v>6320 NORTH 82ND STREET</v>
          </cell>
          <cell r="P2109" t="str">
            <v>lconti@susd.org</v>
          </cell>
          <cell r="Q2109" t="str">
            <v>CDC-13174</v>
          </cell>
          <cell r="AJ2109" t="e">
            <v>#N/A</v>
          </cell>
          <cell r="AK2109" t="str">
            <v>CDC-13174</v>
          </cell>
          <cell r="AL2109" t="str">
            <v>CDC13174</v>
          </cell>
        </row>
        <row r="2110">
          <cell r="N2110" t="str">
            <v>S.U.S.D.#48 - REDFIELD ELEMENTARY SCHOOL</v>
          </cell>
          <cell r="O2110" t="str">
            <v>9181 EAST REDFIELD ROAD</v>
          </cell>
          <cell r="P2110" t="str">
            <v>lconti@susd.org</v>
          </cell>
          <cell r="Q2110" t="str">
            <v>CDC-11618</v>
          </cell>
          <cell r="AJ2110" t="e">
            <v>#N/A</v>
          </cell>
          <cell r="AK2110" t="str">
            <v>CDC-11618</v>
          </cell>
          <cell r="AL2110" t="str">
            <v>CDC11618</v>
          </cell>
        </row>
        <row r="2111">
          <cell r="N2111" t="str">
            <v>S.U.S.D.#48 - TAVAN ELEMENTARY SCHOOL</v>
          </cell>
          <cell r="O2111" t="str">
            <v>4610 EAST OSBORN ROAD</v>
          </cell>
          <cell r="P2111" t="str">
            <v>lconti@susd.org</v>
          </cell>
          <cell r="Q2111" t="str">
            <v>CDC-6777</v>
          </cell>
          <cell r="AJ2111" t="e">
            <v>#N/A</v>
          </cell>
          <cell r="AK2111" t="str">
            <v>CDC-6777</v>
          </cell>
          <cell r="AL2111" t="str">
            <v>CDC6777</v>
          </cell>
        </row>
        <row r="2112">
          <cell r="N2112" t="str">
            <v>S.U.S.D.#48 - YAVAPAI ELEMENTARY SCHOOL</v>
          </cell>
          <cell r="O2112" t="str">
            <v>701 NORTH MILLER ROAD</v>
          </cell>
          <cell r="P2112" t="str">
            <v>lconti@susd.org</v>
          </cell>
          <cell r="Q2112" t="str">
            <v>CDC-6776</v>
          </cell>
          <cell r="AJ2112" t="e">
            <v>#N/A</v>
          </cell>
          <cell r="AK2112" t="str">
            <v>CDC-6776</v>
          </cell>
          <cell r="AL2112" t="str">
            <v>CDC6776</v>
          </cell>
        </row>
        <row r="2113">
          <cell r="N2113" t="str">
            <v>S.V.U.S.D.#68 - TOWN AND COUNTRY ELEMENTARY SCHOOL</v>
          </cell>
          <cell r="O2113" t="str">
            <v>1313 SOUTH LENZNER</v>
          </cell>
          <cell r="P2113" t="str">
            <v>brenda.bland@svps.k12.az.us</v>
          </cell>
          <cell r="Q2113" t="str">
            <v>CDC-6287</v>
          </cell>
          <cell r="AJ2113" t="e">
            <v>#N/A</v>
          </cell>
          <cell r="AK2113" t="str">
            <v>CDC-6287</v>
          </cell>
          <cell r="AL2113" t="str">
            <v>CDC6287</v>
          </cell>
        </row>
        <row r="2114">
          <cell r="N2114" t="str">
            <v>T.B.E.S.D.#33 - TONTO BASIN EARLY CHILDHOOD EDUCATION PROGRAM</v>
          </cell>
          <cell r="O2114" t="str">
            <v>445 SOUTH OLD HIGHWAY 188</v>
          </cell>
          <cell r="P2114" t="str">
            <v>bwarren@tontobasinschool.org</v>
          </cell>
          <cell r="Q2114" t="str">
            <v>CDC-18038</v>
          </cell>
          <cell r="AJ2114" t="e">
            <v>#N/A</v>
          </cell>
          <cell r="AK2114" t="str">
            <v>CDC-18038</v>
          </cell>
          <cell r="AL2114" t="str">
            <v>CDC18038</v>
          </cell>
        </row>
        <row r="2115">
          <cell r="N2115" t="str">
            <v>T.C.U.S.D.#15 - TUBA CITY HIGH SCHOOL CHILD DEVELOPMENT LEARNING CENTER</v>
          </cell>
          <cell r="O2115" t="str">
            <v>1 WARRIOR DRIVE</v>
          </cell>
          <cell r="P2115" t="str">
            <v>cherbert@tcusd.org</v>
          </cell>
          <cell r="Q2115" t="str">
            <v>CDC-18715</v>
          </cell>
          <cell r="AJ2115" t="e">
            <v>#N/A</v>
          </cell>
          <cell r="AK2115" t="str">
            <v>CDC-18715</v>
          </cell>
          <cell r="AL2115" t="str">
            <v>CDC18715</v>
          </cell>
        </row>
        <row r="2116">
          <cell r="N2116" t="str">
            <v>T.E.S.D.#17 - ARIZONA DESERT ELEMENTARY SCHOOL</v>
          </cell>
          <cell r="O2116" t="str">
            <v>8803 WEST VAN BUREN STREET</v>
          </cell>
          <cell r="P2116" t="str">
            <v>wwilliams@tesd.k12.az.us</v>
          </cell>
          <cell r="Q2116" t="str">
            <v>CDC-17701</v>
          </cell>
          <cell r="AJ2116" t="e">
            <v>#N/A</v>
          </cell>
          <cell r="AK2116" t="str">
            <v>CDC-17701</v>
          </cell>
          <cell r="AL2116" t="str">
            <v>CDC17701</v>
          </cell>
        </row>
        <row r="2117">
          <cell r="N2117" t="str">
            <v>T.E.S.D.#17 - DESERT OASIS ELEMENTARY SCHOOL</v>
          </cell>
          <cell r="O2117" t="str">
            <v>8802 WEST MCDOWELL ROAD</v>
          </cell>
          <cell r="P2117" t="str">
            <v>wwilliams@tesd.k12.az.us</v>
          </cell>
          <cell r="Q2117" t="str">
            <v>CDC-15521</v>
          </cell>
          <cell r="AJ2117" t="e">
            <v>#N/A</v>
          </cell>
          <cell r="AK2117" t="str">
            <v>CDC-15521</v>
          </cell>
          <cell r="AL2117" t="str">
            <v>CDC15521</v>
          </cell>
        </row>
        <row r="2118">
          <cell r="N2118" t="str">
            <v>T.E.S.D.#17 - PORFIRIO H GONZALES</v>
          </cell>
          <cell r="O2118" t="str">
            <v>9401 WEST GARFIELD STREET</v>
          </cell>
          <cell r="P2118" t="str">
            <v>wwilliams@tesd.k12.az.us</v>
          </cell>
          <cell r="Q2118" t="str">
            <v>CDC-18191</v>
          </cell>
          <cell r="AJ2118" t="e">
            <v>#N/A</v>
          </cell>
          <cell r="AK2118" t="str">
            <v>CDC-18191</v>
          </cell>
          <cell r="AL2118" t="str">
            <v>CDC18191</v>
          </cell>
        </row>
        <row r="2119">
          <cell r="N2119" t="str">
            <v>T.E.S.D.#17 - SHEELY FARMS ELEMENTARY SCHOOL</v>
          </cell>
          <cell r="O2119" t="str">
            <v>9450 WEST ENCANTO BOULEVARD</v>
          </cell>
          <cell r="P2119" t="str">
            <v>wwilliams@tesd.k12.az.us</v>
          </cell>
          <cell r="Q2119" t="str">
            <v>CDC-15520</v>
          </cell>
          <cell r="AJ2119" t="e">
            <v>#N/A</v>
          </cell>
          <cell r="AK2119" t="str">
            <v>CDC-15520</v>
          </cell>
          <cell r="AL2119" t="str">
            <v>CDC15520</v>
          </cell>
        </row>
        <row r="2120">
          <cell r="N2120" t="str">
            <v>T.E.S.D.#3 - CARMINATI T.O.T.S. PRESCHOOL</v>
          </cell>
          <cell r="O2120" t="str">
            <v>4001 SOUTH MCALLISTER AVENUE</v>
          </cell>
          <cell r="P2120" t="str">
            <v>ghales@tempeschools.org</v>
          </cell>
          <cell r="Q2120" t="str">
            <v>CDC-14975</v>
          </cell>
          <cell r="AJ2120" t="e">
            <v>#N/A</v>
          </cell>
          <cell r="AK2120" t="str">
            <v>CDC-14975</v>
          </cell>
          <cell r="AL2120" t="str">
            <v>CDC14975</v>
          </cell>
        </row>
        <row r="2121">
          <cell r="N2121" t="str">
            <v>T.E.S.D.#3 - GETZ SCHOOL</v>
          </cell>
          <cell r="O2121" t="str">
            <v>625 WEST CORNELL DRIVE</v>
          </cell>
          <cell r="P2121" t="str">
            <v>lisa.south@tempeschools.org</v>
          </cell>
          <cell r="Q2121" t="str">
            <v>CDC-6823</v>
          </cell>
          <cell r="AJ2121" t="e">
            <v>#N/A</v>
          </cell>
          <cell r="AK2121" t="str">
            <v>CDC-6823</v>
          </cell>
          <cell r="AL2121" t="str">
            <v>CDC6823</v>
          </cell>
        </row>
        <row r="2122">
          <cell r="N2122" t="str">
            <v>T.E.S.D.#3 - HOLDEMAN T.O.T.S. PRESCHOOL</v>
          </cell>
          <cell r="O2122" t="str">
            <v>1326 WEST 18TH STREET</v>
          </cell>
          <cell r="P2122" t="str">
            <v>anna-wood@tempeschools.org</v>
          </cell>
          <cell r="Q2122" t="str">
            <v>CDC-12942</v>
          </cell>
          <cell r="AJ2122" t="e">
            <v>#N/A</v>
          </cell>
          <cell r="AK2122" t="str">
            <v>CDC-12942</v>
          </cell>
          <cell r="AL2122" t="str">
            <v>CDC12942</v>
          </cell>
        </row>
        <row r="2123">
          <cell r="N2123" t="str">
            <v>T.E.S.D.#3 - MEYER MONTESSORI</v>
          </cell>
          <cell r="O2123" t="str">
            <v>2615 SOUTH DORSEY LANE</v>
          </cell>
          <cell r="P2123" t="str">
            <v>jennifer.whittington@tempeschools.org</v>
          </cell>
          <cell r="Q2123" t="str">
            <v>CDC-17928</v>
          </cell>
          <cell r="AJ2123" t="e">
            <v>#N/A</v>
          </cell>
          <cell r="AK2123" t="str">
            <v>CDC-17928</v>
          </cell>
          <cell r="AL2123" t="str">
            <v>CDC17928</v>
          </cell>
        </row>
        <row r="2124">
          <cell r="N2124" t="str">
            <v>T.E.S.D.#3 - NEVITT T.O.T.S. PRESCHOOL</v>
          </cell>
          <cell r="O2124" t="str">
            <v>4525 EAST SAINT ANNE AVENUE</v>
          </cell>
          <cell r="P2124" t="str">
            <v>Lisa.South@tempeschools.org</v>
          </cell>
          <cell r="Q2124" t="str">
            <v>CDC-13100</v>
          </cell>
          <cell r="AJ2124" t="e">
            <v>#N/A</v>
          </cell>
          <cell r="AK2124" t="str">
            <v>CDC-13100</v>
          </cell>
          <cell r="AL2124" t="str">
            <v>CDC13100</v>
          </cell>
        </row>
        <row r="2125">
          <cell r="N2125" t="str">
            <v>T.E.S.D.#3 - ROVER ELEMENTARY SCHOOL / COT PRE</v>
          </cell>
          <cell r="O2125" t="str">
            <v>1300 EAST WATSON DRIVE</v>
          </cell>
          <cell r="P2125" t="str">
            <v>tracy.harvester@tempeschools.org</v>
          </cell>
          <cell r="Q2125" t="str">
            <v>CDC-18097</v>
          </cell>
          <cell r="AJ2125" t="e">
            <v>#N/A</v>
          </cell>
          <cell r="AK2125" t="str">
            <v>CDC-18097</v>
          </cell>
          <cell r="AL2125" t="str">
            <v>CDC18097</v>
          </cell>
        </row>
        <row r="2126">
          <cell r="N2126" t="str">
            <v>T.E.S.D.#3 - T.O.T.S. PRESCHOOL - FRANK ELEMENTARY</v>
          </cell>
          <cell r="O2126" t="str">
            <v>8409 SOUTH AVENIDA DEL YAQUI</v>
          </cell>
          <cell r="P2126" t="str">
            <v>gslhale@tempeschools.org</v>
          </cell>
          <cell r="Q2126" t="str">
            <v>CDC-6456</v>
          </cell>
          <cell r="AJ2126" t="e">
            <v>#N/A</v>
          </cell>
          <cell r="AK2126" t="str">
            <v>CDC-6456</v>
          </cell>
          <cell r="AL2126" t="str">
            <v>CDC6456</v>
          </cell>
        </row>
        <row r="2127">
          <cell r="N2127" t="str">
            <v>T.S.D.#12 - TOPOCK ELEMENTARY SCHOOL PRESCHOOL</v>
          </cell>
          <cell r="O2127" t="str">
            <v>5083 TULE DRIVE</v>
          </cell>
          <cell r="P2127" t="str">
            <v>pgulley@topockschool.com</v>
          </cell>
          <cell r="Q2127" t="str">
            <v>CDC-14508</v>
          </cell>
          <cell r="AJ2127" t="e">
            <v>#N/A</v>
          </cell>
          <cell r="AK2127" t="str">
            <v>CDC-14508</v>
          </cell>
          <cell r="AL2127" t="str">
            <v>CDC14508</v>
          </cell>
        </row>
        <row r="2128">
          <cell r="N2128" t="str">
            <v>T.U.H.S.D. #213 - COMPADRE ACADEMY</v>
          </cell>
          <cell r="O2128" t="str">
            <v>500 WEST GUADALUPE ROAD</v>
          </cell>
          <cell r="P2128" t="str">
            <v>acarmody@tempeunion.org</v>
          </cell>
          <cell r="Q2128" t="str">
            <v>CDC-16371</v>
          </cell>
          <cell r="AJ2128" t="e">
            <v>#N/A</v>
          </cell>
          <cell r="AK2128" t="str">
            <v>CDC-16371</v>
          </cell>
          <cell r="AL2128" t="str">
            <v>CDC16371</v>
          </cell>
        </row>
        <row r="2129">
          <cell r="N2129" t="str">
            <v>T.U.H.S.D.#213 - CORONA DEL SOL EARLY LEARNING CENTER</v>
          </cell>
          <cell r="O2129" t="str">
            <v>1001 EAST KNOX ROAD</v>
          </cell>
          <cell r="P2129" t="str">
            <v>tettinger@tempeunion.org</v>
          </cell>
          <cell r="Q2129" t="str">
            <v>CDC-6090</v>
          </cell>
          <cell r="AJ2129" t="e">
            <v>#N/A</v>
          </cell>
          <cell r="AK2129" t="str">
            <v>CDC-6090</v>
          </cell>
          <cell r="AL2129" t="str">
            <v>CDC6090</v>
          </cell>
        </row>
        <row r="2130">
          <cell r="N2130" t="str">
            <v>T.U.H.S.D.#213 - DESERT VISTA EARLY LEARNING CENTER</v>
          </cell>
          <cell r="O2130" t="str">
            <v>16440 SOUTH 32ND STREET</v>
          </cell>
          <cell r="P2130" t="str">
            <v>jcadwell@tempeunion.org</v>
          </cell>
          <cell r="Q2130" t="str">
            <v>CDC-7606</v>
          </cell>
          <cell r="AJ2130" t="e">
            <v>#N/A</v>
          </cell>
          <cell r="AK2130" t="str">
            <v>CDC-7606</v>
          </cell>
          <cell r="AL2130" t="str">
            <v>CDC7606</v>
          </cell>
        </row>
        <row r="2131">
          <cell r="N2131" t="str">
            <v>T.U.H.S.D.#213 - MARCOS DE NIZA EARLY LEARNING CENTER</v>
          </cell>
          <cell r="O2131" t="str">
            <v>6000 SOUTH LAKESHORE DRIVE</v>
          </cell>
          <cell r="P2131" t="str">
            <v>kcarr@tempeunion.org</v>
          </cell>
          <cell r="Q2131" t="str">
            <v>CDC-9570</v>
          </cell>
          <cell r="AJ2131" t="e">
            <v>#N/A</v>
          </cell>
          <cell r="AK2131" t="str">
            <v>CDC-9570</v>
          </cell>
          <cell r="AL2131" t="str">
            <v>CDC9570</v>
          </cell>
        </row>
        <row r="2132">
          <cell r="N2132" t="str">
            <v>T.U.H.S.D.#213 - MCCLINTOCK HIGH EARLY LEARNING CENTER</v>
          </cell>
          <cell r="O2132" t="str">
            <v>1830 EAST DEL RIO DRIVE</v>
          </cell>
          <cell r="P2132" t="str">
            <v>jjohnson@tuhsd.k12.az.us</v>
          </cell>
          <cell r="Q2132" t="str">
            <v>CDC-8887</v>
          </cell>
          <cell r="AJ2132" t="e">
            <v>#N/A</v>
          </cell>
          <cell r="AK2132" t="str">
            <v>CDC-8887</v>
          </cell>
          <cell r="AL2132" t="str">
            <v>CDC8887</v>
          </cell>
        </row>
        <row r="2133">
          <cell r="N2133" t="str">
            <v>T.U.H.S.D.#213 - MOUNTAIN POINTE EARLY LEARNING CENTER</v>
          </cell>
          <cell r="O2133" t="str">
            <v>4201 EAST KNOX ROAD</v>
          </cell>
          <cell r="P2133" t="str">
            <v>jibsen@tempeunion.org</v>
          </cell>
          <cell r="Q2133" t="str">
            <v>CDC-6126</v>
          </cell>
          <cell r="AJ2133" t="e">
            <v>#N/A</v>
          </cell>
          <cell r="AK2133" t="str">
            <v>CDC-6126</v>
          </cell>
          <cell r="AL2133" t="str">
            <v>CDC6126</v>
          </cell>
        </row>
        <row r="2134">
          <cell r="N2134" t="str">
            <v>T.U.S.D.#1 - BANKS PRESCHOOL PROGRAM</v>
          </cell>
          <cell r="O2134" t="str">
            <v>3200 SOUTH LEAD FLOWER AVENUE</v>
          </cell>
          <cell r="P2134" t="str">
            <v>celina.robles2@tusd1.org</v>
          </cell>
          <cell r="Q2134" t="str">
            <v>CDC-17708</v>
          </cell>
          <cell r="AJ2134" t="e">
            <v>#N/A</v>
          </cell>
          <cell r="AK2134" t="str">
            <v>CDC-17708</v>
          </cell>
          <cell r="AL2134" t="str">
            <v>CDC17708</v>
          </cell>
        </row>
        <row r="2135">
          <cell r="N2135" t="str">
            <v>T.U.S.D.#1 - BLENMAN PRESCHOOL PROGRAM</v>
          </cell>
          <cell r="O2135" t="str">
            <v>1695 NORTH COUNTRY CLUB</v>
          </cell>
          <cell r="P2135" t="str">
            <v>celina.robles2@tusd1.org</v>
          </cell>
          <cell r="Q2135" t="str">
            <v>CDC-17934</v>
          </cell>
          <cell r="AJ2135" t="e">
            <v>#N/A</v>
          </cell>
          <cell r="AK2135" t="str">
            <v>CDC-17934</v>
          </cell>
          <cell r="AL2135" t="str">
            <v>CDC17934</v>
          </cell>
        </row>
        <row r="2136">
          <cell r="N2136" t="str">
            <v>T.U.S.D.#1 - BLOOM PRESCHOOL PROGRAM</v>
          </cell>
          <cell r="O2136" t="str">
            <v>8310 EAST PIMA STREET</v>
          </cell>
          <cell r="P2136" t="str">
            <v>celina.robles2@tusd1.org</v>
          </cell>
          <cell r="Q2136" t="str">
            <v>CDC-17723</v>
          </cell>
          <cell r="AJ2136" t="e">
            <v>#N/A</v>
          </cell>
          <cell r="AK2136" t="str">
            <v>CDC-17723</v>
          </cell>
          <cell r="AL2136" t="str">
            <v>CDC17723</v>
          </cell>
        </row>
        <row r="2137">
          <cell r="N2137" t="str">
            <v>T.U.S.D.#1 - BRICHTA INFANT &amp; EARLY LEARNING CENTER</v>
          </cell>
          <cell r="O2137" t="str">
            <v>2110 WEST BRICHTA DRIVE</v>
          </cell>
          <cell r="Q2137" t="str">
            <v>CDC-16948</v>
          </cell>
          <cell r="AJ2137" t="e">
            <v>#N/A</v>
          </cell>
          <cell r="AK2137" t="str">
            <v>CDC-16948</v>
          </cell>
          <cell r="AL2137" t="str">
            <v>CDC16948</v>
          </cell>
        </row>
        <row r="2138">
          <cell r="N2138" t="str">
            <v>T.U.S.D.#1 - C. E. ROSE PRESCHOOL PROGRAM</v>
          </cell>
          <cell r="O2138" t="str">
            <v>710 WEST MICHIGAN DRIVE</v>
          </cell>
          <cell r="P2138" t="str">
            <v>celina.robles2@tusd1.org</v>
          </cell>
          <cell r="Q2138" t="str">
            <v>CDC-6387</v>
          </cell>
          <cell r="AJ2138" t="e">
            <v>#N/A</v>
          </cell>
          <cell r="AK2138" t="str">
            <v>CDC-6387</v>
          </cell>
          <cell r="AL2138" t="str">
            <v>CDC6387</v>
          </cell>
        </row>
        <row r="2139">
          <cell r="N2139" t="str">
            <v>T.U.S.D.#1 - COLLIER ELEMENTARY SCHOOL</v>
          </cell>
          <cell r="O2139" t="str">
            <v>3900 N BEAR CANYON RD</v>
          </cell>
          <cell r="P2139" t="str">
            <v>celina.robles2@tusd1.org</v>
          </cell>
          <cell r="Q2139" t="str">
            <v>CDC-15460</v>
          </cell>
          <cell r="AJ2139" t="e">
            <v>#N/A</v>
          </cell>
          <cell r="AK2139" t="str">
            <v>CDC-15460</v>
          </cell>
          <cell r="AL2139" t="str">
            <v>CDC15460</v>
          </cell>
        </row>
        <row r="2140">
          <cell r="N2140" t="str">
            <v>T.U.S.D.#1 - CRAGIN PRESCHOOL PROGRAM</v>
          </cell>
          <cell r="O2140" t="str">
            <v>2945 N TUCSON BLVD</v>
          </cell>
          <cell r="P2140" t="str">
            <v>celina.robles2@tusd1.org</v>
          </cell>
          <cell r="Q2140" t="str">
            <v>CDC-15429</v>
          </cell>
          <cell r="AJ2140" t="e">
            <v>#N/A</v>
          </cell>
          <cell r="AK2140" t="str">
            <v>CDC-15429</v>
          </cell>
          <cell r="AL2140" t="str">
            <v>CDC15429</v>
          </cell>
        </row>
        <row r="2141">
          <cell r="N2141" t="str">
            <v>T.U.S.D.#1 - DAVIDSON PRESCHOOL PROGRAM</v>
          </cell>
          <cell r="O2141" t="str">
            <v>3950 E PARADISE FALLS</v>
          </cell>
          <cell r="P2141" t="str">
            <v>marcia.aurand@tusd1.org</v>
          </cell>
          <cell r="Q2141" t="str">
            <v>CDC-16391</v>
          </cell>
          <cell r="AJ2141" t="e">
            <v>#N/A</v>
          </cell>
          <cell r="AK2141" t="str">
            <v>CDC-16391</v>
          </cell>
          <cell r="AL2141" t="str">
            <v>CDC16391</v>
          </cell>
        </row>
        <row r="2142">
          <cell r="N2142" t="str">
            <v>T.U.S.D.#1 - DUNHAM COMMUNITY SCHOOL - S.E.E.D.S.</v>
          </cell>
          <cell r="O2142" t="str">
            <v>9850 EAST 29TH STREET</v>
          </cell>
          <cell r="P2142" t="str">
            <v>celina.robles2@tusd1.org</v>
          </cell>
          <cell r="Q2142" t="str">
            <v>CDC-7691</v>
          </cell>
          <cell r="AJ2142" t="e">
            <v>#N/A</v>
          </cell>
          <cell r="AK2142" t="str">
            <v>CDC-7691</v>
          </cell>
          <cell r="AL2142" t="str">
            <v>CDC7691</v>
          </cell>
        </row>
        <row r="2143">
          <cell r="N2143" t="str">
            <v>T.U.S.D.#1 - ERICKSON PRESCHOOL PROGRAM</v>
          </cell>
          <cell r="O2143" t="str">
            <v>6750 EAST STELLA ROAD</v>
          </cell>
          <cell r="P2143" t="str">
            <v>celina.robles2@tusd1.org</v>
          </cell>
          <cell r="Q2143" t="str">
            <v>CDC-6363</v>
          </cell>
          <cell r="AJ2143" t="e">
            <v>#N/A</v>
          </cell>
          <cell r="AK2143" t="str">
            <v>CDC-6363</v>
          </cell>
          <cell r="AL2143" t="str">
            <v>CDC6363</v>
          </cell>
        </row>
        <row r="2144">
          <cell r="N2144" t="str">
            <v>T.U.S.D.#1 - FORD AFTER SCHOOL ENRICHMENT PROGRAM</v>
          </cell>
          <cell r="O2144" t="str">
            <v>8001 EAST STELLA ROAD</v>
          </cell>
          <cell r="P2144" t="str">
            <v>celina.robles2@tusd1.org</v>
          </cell>
          <cell r="Q2144" t="str">
            <v>CDC-18695</v>
          </cell>
          <cell r="AJ2144" t="e">
            <v>#N/A</v>
          </cell>
          <cell r="AK2144" t="str">
            <v>CDC-18695</v>
          </cell>
          <cell r="AL2144" t="str">
            <v>CDC18695</v>
          </cell>
        </row>
        <row r="2145">
          <cell r="N2145" t="str">
            <v>T.U.S.D.#1 - GALE AFTER SCHOOL AND PRESCHOOL PROGRAM</v>
          </cell>
          <cell r="O2145" t="str">
            <v>678 SOUTH GOLLOB ROAD</v>
          </cell>
          <cell r="P2145" t="str">
            <v>celina.robles2@tusd1.org</v>
          </cell>
          <cell r="Q2145" t="str">
            <v>CDC-6452</v>
          </cell>
          <cell r="AJ2145" t="e">
            <v>#N/A</v>
          </cell>
          <cell r="AK2145" t="str">
            <v>CDC-6452</v>
          </cell>
          <cell r="AL2145" t="str">
            <v>CDC6452</v>
          </cell>
        </row>
        <row r="2146">
          <cell r="N2146" t="str">
            <v>T.U.S.D.#1 - GRIJALVA PRESCHOOL PROGRAM &amp; COMMUNITY ED PRESCHOOL</v>
          </cell>
          <cell r="O2146" t="str">
            <v>1795 WEST DREXEL ROAD</v>
          </cell>
          <cell r="P2146" t="str">
            <v>celina.robles2@tusd1.org</v>
          </cell>
          <cell r="Q2146" t="str">
            <v>CDC-13739</v>
          </cell>
          <cell r="AJ2146" t="e">
            <v>#N/A</v>
          </cell>
          <cell r="AK2146" t="str">
            <v>CDC-13739</v>
          </cell>
          <cell r="AL2146" t="str">
            <v>CDC13739</v>
          </cell>
        </row>
        <row r="2147">
          <cell r="N2147" t="str">
            <v>T.U.S.D.#1 - HENRY COMMUNITY SCHOOL</v>
          </cell>
          <cell r="O2147" t="str">
            <v>650 NORTH IGO WAY</v>
          </cell>
          <cell r="P2147" t="str">
            <v>celina.robles2@tusd1.org</v>
          </cell>
          <cell r="Q2147" t="str">
            <v>CDC-16694</v>
          </cell>
          <cell r="AJ2147" t="e">
            <v>#N/A</v>
          </cell>
          <cell r="AK2147" t="str">
            <v>CDC-16694</v>
          </cell>
          <cell r="AL2147" t="str">
            <v>CDC16694</v>
          </cell>
        </row>
        <row r="2148">
          <cell r="N2148" t="str">
            <v>T.U.S.D.#1 - HOLLADAY PRESCHOOL PROGRAM</v>
          </cell>
          <cell r="O2148" t="str">
            <v>1110 EAST 33RD STREET</v>
          </cell>
          <cell r="P2148" t="str">
            <v>celina.robles2@tusd1.org</v>
          </cell>
          <cell r="Q2148" t="str">
            <v>CDC-17709</v>
          </cell>
          <cell r="AJ2148" t="e">
            <v>#N/A</v>
          </cell>
          <cell r="AK2148" t="str">
            <v>CDC-17709</v>
          </cell>
          <cell r="AL2148" t="str">
            <v>CDC17709</v>
          </cell>
        </row>
        <row r="2149">
          <cell r="N2149" t="str">
            <v>T.U.S.D.#1 - HOWELL PRESCHOOL PROGRAM</v>
          </cell>
          <cell r="O2149" t="str">
            <v>401 NORTH IRVING</v>
          </cell>
          <cell r="P2149" t="str">
            <v>celina.robles2@tusd1.org</v>
          </cell>
          <cell r="Q2149" t="str">
            <v>CDC-11964</v>
          </cell>
          <cell r="AJ2149" t="e">
            <v>#N/A</v>
          </cell>
          <cell r="AK2149" t="str">
            <v>CDC-11964</v>
          </cell>
          <cell r="AL2149" t="str">
            <v>CDC11964</v>
          </cell>
        </row>
        <row r="2150">
          <cell r="N2150" t="str">
            <v>T.U.S.D.#1 - HUACHUCA CITY ELEMENTARY SCHOOL</v>
          </cell>
          <cell r="O2150" t="str">
            <v>100 SCHOOL DRIVE</v>
          </cell>
          <cell r="P2150" t="str">
            <v>mscott@tombstone.k12.az.us</v>
          </cell>
          <cell r="Q2150" t="str">
            <v>CDC-16051</v>
          </cell>
          <cell r="AJ2150" t="e">
            <v>#N/A</v>
          </cell>
          <cell r="AK2150" t="str">
            <v>CDC-16051</v>
          </cell>
          <cell r="AL2150" t="str">
            <v>CDC16051</v>
          </cell>
        </row>
        <row r="2151">
          <cell r="N2151" t="str">
            <v>T.U.S.D.#1 - HUDLOW PRESCHOOL PROGRAM &amp; COMMUNITY SCHOOL</v>
          </cell>
          <cell r="O2151" t="str">
            <v>502 N CARIBE AVE</v>
          </cell>
          <cell r="P2151" t="str">
            <v>celina.robles2@tusd1.org</v>
          </cell>
          <cell r="Q2151" t="str">
            <v>CDC-16373</v>
          </cell>
          <cell r="AJ2151" t="e">
            <v>#N/A</v>
          </cell>
          <cell r="AK2151" t="str">
            <v>CDC-16373</v>
          </cell>
          <cell r="AL2151" t="str">
            <v>CDC16373</v>
          </cell>
        </row>
        <row r="2152">
          <cell r="N2152" t="str">
            <v>T.U.S.D.#1 - JOHNSON PRESCHOOL PROGRAM</v>
          </cell>
          <cell r="O2152" t="str">
            <v>6060 SOUTH JOSEPH AVE</v>
          </cell>
          <cell r="P2152" t="str">
            <v>celina.robles2@tusd1.org</v>
          </cell>
          <cell r="Q2152" t="str">
            <v>CDC-12451</v>
          </cell>
          <cell r="AJ2152" t="e">
            <v>#N/A</v>
          </cell>
          <cell r="AK2152" t="str">
            <v>CDC-12451</v>
          </cell>
          <cell r="AL2152" t="str">
            <v>CDC12451</v>
          </cell>
        </row>
        <row r="2153">
          <cell r="N2153" t="str">
            <v>T.U.S.D.#1 - KELLOND COMMUNITY SCHOOL</v>
          </cell>
          <cell r="O2153" t="str">
            <v>6606 EAST LEHIGH</v>
          </cell>
          <cell r="P2153" t="str">
            <v>kelly.washuta@tusd1.org</v>
          </cell>
          <cell r="Q2153" t="str">
            <v>CDC-6396</v>
          </cell>
          <cell r="AJ2153" t="e">
            <v>#N/A</v>
          </cell>
          <cell r="AK2153" t="str">
            <v>CDC-6396</v>
          </cell>
          <cell r="AL2153" t="str">
            <v>CDC6396</v>
          </cell>
        </row>
        <row r="2154">
          <cell r="N2154" t="str">
            <v>T.U.S.D.#1 - LINEWEAVER ELEMENTARY</v>
          </cell>
          <cell r="O2154" t="str">
            <v>461 SOUTH BRYANT AVENUE</v>
          </cell>
          <cell r="P2154" t="str">
            <v>celina.robles2@tusd1.org</v>
          </cell>
          <cell r="Q2154" t="str">
            <v>CDC-8914</v>
          </cell>
          <cell r="AJ2154" t="e">
            <v>#N/A</v>
          </cell>
          <cell r="AK2154" t="str">
            <v>CDC-8914</v>
          </cell>
          <cell r="AL2154" t="str">
            <v>CDC8914</v>
          </cell>
        </row>
        <row r="2155">
          <cell r="N2155" t="str">
            <v>T.U.S.D.#1 - LYNN/ URQUIDES PRESCHOOL PROGRAM &amp; COMMUNITY ED PRESCHOOL</v>
          </cell>
          <cell r="O2155" t="str">
            <v>1573 WEST AJO WAY</v>
          </cell>
          <cell r="P2155" t="str">
            <v>celina.robles2@tusd1.org</v>
          </cell>
          <cell r="Q2155" t="str">
            <v>CDC-16384</v>
          </cell>
          <cell r="AJ2155" t="e">
            <v>#N/A</v>
          </cell>
          <cell r="AK2155" t="str">
            <v>CDC-16384</v>
          </cell>
          <cell r="AL2155" t="str">
            <v>CDC16384</v>
          </cell>
        </row>
        <row r="2156">
          <cell r="N2156" t="str">
            <v>T.U.S.D.#1 - MALDONADO PRESCHOOL PROGRAM</v>
          </cell>
          <cell r="O2156" t="str">
            <v>3535 W MESSALA WAY</v>
          </cell>
          <cell r="P2156" t="str">
            <v>celina.robles2@tusd1.org</v>
          </cell>
          <cell r="Q2156" t="str">
            <v>CDC-15041</v>
          </cell>
          <cell r="AJ2156" t="e">
            <v>#N/A</v>
          </cell>
          <cell r="AK2156" t="str">
            <v>CDC-15041</v>
          </cell>
          <cell r="AL2156" t="str">
            <v>CDC15041</v>
          </cell>
        </row>
        <row r="2157">
          <cell r="N2157" t="str">
            <v>T.U.S.D.#1 - MANZO PRESCHOOL PROGRAM</v>
          </cell>
          <cell r="O2157" t="str">
            <v>855 NORTH MELROSE</v>
          </cell>
          <cell r="P2157" t="str">
            <v>celina.robles2@tusd1.org</v>
          </cell>
          <cell r="Q2157" t="str">
            <v>CDC-6402</v>
          </cell>
          <cell r="AJ2157" t="e">
            <v>#N/A</v>
          </cell>
          <cell r="AK2157" t="str">
            <v>CDC-6402</v>
          </cell>
          <cell r="AL2157" t="str">
            <v>CDC6402</v>
          </cell>
        </row>
        <row r="2158">
          <cell r="N2158" t="str">
            <v>T.U.S.D.#1 - MARSHALL ELEMENTARY SCHOOL &amp; PRESCHOOL PROGRAM</v>
          </cell>
          <cell r="O2158" t="str">
            <v>9066 E 29TH STREET</v>
          </cell>
          <cell r="P2158" t="str">
            <v>celina.robles2@tusd1.org</v>
          </cell>
          <cell r="Q2158" t="str">
            <v>CDC-12848</v>
          </cell>
          <cell r="AJ2158" t="e">
            <v>#N/A</v>
          </cell>
          <cell r="AK2158" t="str">
            <v>CDC-12848</v>
          </cell>
          <cell r="AL2158" t="str">
            <v>CDC12848</v>
          </cell>
        </row>
        <row r="2159">
          <cell r="N2159" t="str">
            <v>T.U.S.D.#1 - MARY BELLE MCCORKLE PRESCHOOL PROGRAM &amp; COMMUNITY PRESCHOOL</v>
          </cell>
          <cell r="O2159" t="str">
            <v>4455 SOUTH MISSION RD</v>
          </cell>
          <cell r="P2159" t="str">
            <v>celina.robles2@tusd1.org</v>
          </cell>
          <cell r="Q2159" t="str">
            <v>CDC-15890</v>
          </cell>
          <cell r="AJ2159" t="e">
            <v>#N/A</v>
          </cell>
          <cell r="AK2159" t="str">
            <v>CDC-15890</v>
          </cell>
          <cell r="AL2159" t="str">
            <v>CDC15890</v>
          </cell>
        </row>
        <row r="2160">
          <cell r="N2160" t="str">
            <v>T.U.S.D.#1 - MAXWELL PRESCHOOL PROGRAM</v>
          </cell>
          <cell r="O2160" t="str">
            <v>2802 WEST ANKLAM ROAD</v>
          </cell>
          <cell r="P2160" t="str">
            <v>celina.robles2@tusd1.org</v>
          </cell>
          <cell r="Q2160" t="str">
            <v>CDC-18689</v>
          </cell>
          <cell r="AJ2160" t="e">
            <v>#N/A</v>
          </cell>
          <cell r="AK2160" t="str">
            <v>CDC-18689</v>
          </cell>
          <cell r="AL2160" t="str">
            <v>CDC18689</v>
          </cell>
        </row>
        <row r="2161">
          <cell r="N2161" t="str">
            <v>T.U.S.D.#1 - MILES EXPLORATORY PRESCHOOL</v>
          </cell>
          <cell r="O2161" t="str">
            <v>1400 EAST BROADWAY</v>
          </cell>
          <cell r="P2161" t="str">
            <v>celina.robles2@tusd1.org</v>
          </cell>
          <cell r="Q2161" t="str">
            <v>CDC-6409</v>
          </cell>
          <cell r="AJ2161" t="e">
            <v>#N/A</v>
          </cell>
          <cell r="AK2161" t="str">
            <v>CDC-6409</v>
          </cell>
          <cell r="AL2161" t="str">
            <v>CDC6409</v>
          </cell>
        </row>
        <row r="2162">
          <cell r="N2162" t="str">
            <v>T.U.S.D.#1 - MILLER PRESCHOOL PROGRAM</v>
          </cell>
          <cell r="O2162" t="str">
            <v>6951 SOUTH CAMINO DE LA TIERRA</v>
          </cell>
          <cell r="P2162" t="str">
            <v>celina.robles2@tusd1.org</v>
          </cell>
          <cell r="Q2162" t="str">
            <v>CDC-17935</v>
          </cell>
          <cell r="AJ2162" t="e">
            <v>#N/A</v>
          </cell>
          <cell r="AK2162" t="str">
            <v>CDC-17935</v>
          </cell>
          <cell r="AL2162" t="str">
            <v>CDC17935</v>
          </cell>
        </row>
        <row r="2163">
          <cell r="N2163" t="str">
            <v>T.U.S.D.#1 - MISSION VIEW PRESCHOOL PROGRAM</v>
          </cell>
          <cell r="O2163" t="str">
            <v>2600 SOUTH 8TH AVENUE</v>
          </cell>
          <cell r="P2163" t="str">
            <v>celina.robles2@tusd1.org</v>
          </cell>
          <cell r="Q2163" t="str">
            <v>CDC-6406</v>
          </cell>
          <cell r="AJ2163" t="e">
            <v>#N/A</v>
          </cell>
          <cell r="AK2163" t="str">
            <v>CDC-6406</v>
          </cell>
          <cell r="AL2163" t="str">
            <v>CDC6406</v>
          </cell>
        </row>
        <row r="2164">
          <cell r="N2164" t="str">
            <v>T.U.S.D.#1 - MYERS/ GANOUNG PRESCHOOL PROGRAM</v>
          </cell>
          <cell r="O2164" t="str">
            <v>5000 EAST ANDREW</v>
          </cell>
          <cell r="P2164" t="str">
            <v>celina.robles2@tusd1.org</v>
          </cell>
          <cell r="Q2164" t="str">
            <v>CDC-6366</v>
          </cell>
          <cell r="AJ2164" t="e">
            <v>#N/A</v>
          </cell>
          <cell r="AK2164" t="str">
            <v>CDC-6366</v>
          </cell>
          <cell r="AL2164" t="str">
            <v>CDC6366</v>
          </cell>
        </row>
        <row r="2165">
          <cell r="N2165" t="str">
            <v>T.U.S.D.#1 - OCHOA PRESCHOOL PROGRAM</v>
          </cell>
          <cell r="O2165" t="str">
            <v>101 WEST 25TH STREET</v>
          </cell>
          <cell r="P2165" t="str">
            <v>celina.robles2@tusd1.org</v>
          </cell>
          <cell r="Q2165" t="str">
            <v>CDC-7154</v>
          </cell>
          <cell r="AJ2165" t="e">
            <v>#N/A</v>
          </cell>
          <cell r="AK2165" t="str">
            <v>CDC-7154</v>
          </cell>
          <cell r="AL2165" t="str">
            <v>CDC7154</v>
          </cell>
        </row>
        <row r="2166">
          <cell r="N2166" t="str">
            <v>T.U.S.D.#1 - OYAMA PRESCHOOL PROGRAM &amp; COMMUNITY ED. PRESCHOOL</v>
          </cell>
          <cell r="O2166" t="str">
            <v>2700 SOUTH LA CHOLLA BLVD</v>
          </cell>
          <cell r="P2166" t="str">
            <v>celina.robles2@tusd1.org</v>
          </cell>
          <cell r="Q2166" t="str">
            <v>CDC-17326</v>
          </cell>
          <cell r="AJ2166" t="e">
            <v>#N/A</v>
          </cell>
          <cell r="AK2166" t="str">
            <v>CDC-17326</v>
          </cell>
          <cell r="AL2166" t="str">
            <v>CDC17326</v>
          </cell>
        </row>
        <row r="2167">
          <cell r="N2167" t="str">
            <v>T.U.S.D.#1 - PUEBLO GARDENS PRESCHOOL PROGRAM</v>
          </cell>
          <cell r="O2167" t="str">
            <v>2210 EAST 33RD STREET</v>
          </cell>
          <cell r="P2167" t="str">
            <v>celina.robles2@tusd1.org</v>
          </cell>
          <cell r="Q2167" t="str">
            <v>CDC-6388</v>
          </cell>
          <cell r="AJ2167" t="e">
            <v>#N/A</v>
          </cell>
          <cell r="AK2167" t="str">
            <v>CDC-6388</v>
          </cell>
          <cell r="AL2167" t="str">
            <v>CDC6388</v>
          </cell>
        </row>
        <row r="2168">
          <cell r="N2168" t="str">
            <v>T.U.S.D.#1 - ROBISON PRESCHOOL PROGRAM</v>
          </cell>
          <cell r="O2168" t="str">
            <v>2745 EAST 18TH STREET</v>
          </cell>
          <cell r="P2168" t="str">
            <v>annette.martin@tusd1.org</v>
          </cell>
          <cell r="Q2168" t="str">
            <v>CDC-18690</v>
          </cell>
          <cell r="AJ2168" t="e">
            <v>#N/A</v>
          </cell>
          <cell r="AK2168" t="str">
            <v>CDC-18690</v>
          </cell>
          <cell r="AL2168" t="str">
            <v>CDC18690</v>
          </cell>
        </row>
        <row r="2169">
          <cell r="N2169" t="str">
            <v>T.U.S.D.#1 - SCHUMAKER INFANT &amp; EARLY LEARNING CENTER</v>
          </cell>
          <cell r="O2169" t="str">
            <v>501 NORTH MAGUIRE AVENUE</v>
          </cell>
          <cell r="P2169" t="str">
            <v>celina.robles2@tusd1.org</v>
          </cell>
          <cell r="Q2169" t="str">
            <v>CDC-16949</v>
          </cell>
          <cell r="AJ2169" t="e">
            <v>#N/A</v>
          </cell>
          <cell r="AK2169" t="str">
            <v>CDC-16949</v>
          </cell>
          <cell r="AL2169" t="str">
            <v>CDC16949</v>
          </cell>
        </row>
        <row r="2170">
          <cell r="N2170" t="str">
            <v>T.U.S.D.#1 - SEWELL ELEMENTARY</v>
          </cell>
          <cell r="O2170" t="str">
            <v>425 N SAHUARA AVE</v>
          </cell>
          <cell r="P2170" t="str">
            <v>celina.robles2@tusd1.org</v>
          </cell>
          <cell r="Q2170" t="str">
            <v>CDC-15474</v>
          </cell>
          <cell r="AJ2170" t="e">
            <v>#N/A</v>
          </cell>
          <cell r="AK2170" t="str">
            <v>CDC-15474</v>
          </cell>
          <cell r="AL2170" t="str">
            <v>CDC15474</v>
          </cell>
        </row>
        <row r="2171">
          <cell r="N2171" t="str">
            <v>T.U.S.D.#1 - SOLENG TOM ENRICHMENT PROGRAM</v>
          </cell>
          <cell r="O2171" t="str">
            <v>10520 EAST CAMINO QUINCE</v>
          </cell>
          <cell r="P2171" t="str">
            <v>celina.robles2@tusd1.org</v>
          </cell>
          <cell r="Q2171" t="str">
            <v>CDC-6540</v>
          </cell>
          <cell r="AJ2171" t="e">
            <v>#N/A</v>
          </cell>
          <cell r="AK2171" t="str">
            <v>CDC-6540</v>
          </cell>
          <cell r="AL2171" t="str">
            <v>CDC6540</v>
          </cell>
        </row>
        <row r="2172">
          <cell r="N2172" t="str">
            <v>T.U.S.D.#1 - STEELE  PRESCHOOL PROGRAM</v>
          </cell>
          <cell r="O2172" t="str">
            <v>700 S SARNOFF DR</v>
          </cell>
          <cell r="P2172" t="str">
            <v>celina.robles2@tusd1.org</v>
          </cell>
          <cell r="Q2172" t="str">
            <v>CDC-16474</v>
          </cell>
          <cell r="AJ2172" t="e">
            <v>#N/A</v>
          </cell>
          <cell r="AK2172" t="str">
            <v>CDC-16474</v>
          </cell>
          <cell r="AL2172" t="str">
            <v>CDC16474</v>
          </cell>
        </row>
        <row r="2173">
          <cell r="N2173" t="str">
            <v>T.U.S.D.#1 - TOLSON PRESCHOOL PROGRAM</v>
          </cell>
          <cell r="O2173" t="str">
            <v>1000 SOUTH GREASEWOOD</v>
          </cell>
          <cell r="P2173" t="str">
            <v>celina.robles2@tusd1.org</v>
          </cell>
          <cell r="Q2173" t="str">
            <v>CDC-17933</v>
          </cell>
          <cell r="AJ2173" t="e">
            <v>#N/A</v>
          </cell>
          <cell r="AK2173" t="str">
            <v>CDC-17933</v>
          </cell>
          <cell r="AL2173" t="str">
            <v>CDC17933</v>
          </cell>
        </row>
        <row r="2174">
          <cell r="N2174" t="str">
            <v>T.U.S.D.#1 - TULLY PRESCHOOL PROGRAM</v>
          </cell>
          <cell r="O2174" t="str">
            <v>1701 WEST EL RIO DRIVE</v>
          </cell>
          <cell r="P2174" t="str">
            <v>celina.robles2@tusd1.org</v>
          </cell>
          <cell r="Q2174" t="str">
            <v>CDC-6405</v>
          </cell>
          <cell r="AJ2174" t="e">
            <v>#N/A</v>
          </cell>
          <cell r="AK2174" t="str">
            <v>CDC-6405</v>
          </cell>
          <cell r="AL2174" t="str">
            <v>CDC6405</v>
          </cell>
        </row>
        <row r="2175">
          <cell r="N2175" t="str">
            <v>T.U.S.D.#1 - VAN BUSKIRK PRESCHOOL PROGRAM</v>
          </cell>
          <cell r="O2175" t="str">
            <v>725 EAST FAIR STREET</v>
          </cell>
          <cell r="P2175" t="str">
            <v>celina.robles2@tusd1.org</v>
          </cell>
          <cell r="Q2175" t="str">
            <v>CDC-6392</v>
          </cell>
          <cell r="AJ2175" t="e">
            <v>#N/A</v>
          </cell>
          <cell r="AK2175" t="str">
            <v>CDC-6392</v>
          </cell>
          <cell r="AL2175" t="str">
            <v>CDC6392</v>
          </cell>
        </row>
        <row r="2176">
          <cell r="N2176" t="str">
            <v>T.U.S.D.#1 - VESEY PRESCHOOL PROGRAM</v>
          </cell>
          <cell r="O2176" t="str">
            <v>5005 SOUTH BUTTS ROAD</v>
          </cell>
          <cell r="P2176" t="str">
            <v>celina.robles2@tusd1.org</v>
          </cell>
          <cell r="Q2176" t="str">
            <v>CDC-18381</v>
          </cell>
          <cell r="AJ2176" t="e">
            <v>#N/A</v>
          </cell>
          <cell r="AK2176" t="str">
            <v>CDC-18381</v>
          </cell>
          <cell r="AL2176" t="str">
            <v>CDC18381</v>
          </cell>
        </row>
        <row r="2177">
          <cell r="N2177" t="str">
            <v>T.U.S.D.#1 - WARREN PRESCHOOL PROGRAM</v>
          </cell>
          <cell r="O2177" t="str">
            <v>3505 W MILTON RD</v>
          </cell>
          <cell r="P2177" t="str">
            <v>celina.robles2@tusd1.org</v>
          </cell>
          <cell r="Q2177" t="str">
            <v>CDC-15889</v>
          </cell>
          <cell r="AJ2177" t="e">
            <v>#N/A</v>
          </cell>
          <cell r="AK2177" t="str">
            <v>CDC-15889</v>
          </cell>
          <cell r="AL2177" t="str">
            <v>CDC15889</v>
          </cell>
        </row>
        <row r="2178">
          <cell r="N2178" t="str">
            <v>T.U.S.D.#1 - WHEELER PRESCHOOL PROGRAM</v>
          </cell>
          <cell r="O2178" t="str">
            <v>1818 AVENIDA DE SOL</v>
          </cell>
          <cell r="P2178" t="str">
            <v>penni.natvig@tusd1.org</v>
          </cell>
          <cell r="Q2178" t="str">
            <v>CDC-16392</v>
          </cell>
          <cell r="AJ2178" t="e">
            <v>#N/A</v>
          </cell>
          <cell r="AK2178" t="str">
            <v>CDC-16392</v>
          </cell>
          <cell r="AL2178" t="str">
            <v>CDC16392</v>
          </cell>
        </row>
        <row r="2179">
          <cell r="N2179" t="str">
            <v>T.U.S.D.#1 - WHITE AFTER SCHOOL PROGRAM &amp; PRESCHOOL PROGRAM</v>
          </cell>
          <cell r="O2179" t="str">
            <v>2315 WEST CANADA ST</v>
          </cell>
          <cell r="P2179" t="str">
            <v>celina.robles2@tusd1.org</v>
          </cell>
          <cell r="Q2179" t="str">
            <v>CDC-12580</v>
          </cell>
          <cell r="AJ2179" t="e">
            <v>#N/A</v>
          </cell>
          <cell r="AK2179" t="str">
            <v>CDC-12580</v>
          </cell>
          <cell r="AL2179" t="str">
            <v>CDC12580</v>
          </cell>
        </row>
        <row r="2180">
          <cell r="N2180" t="str">
            <v>T.U.S.D.#1 - WHITMORE PRESCHOOL PROGRAM</v>
          </cell>
          <cell r="O2180" t="str">
            <v>5330 EAST GLENN STREET</v>
          </cell>
          <cell r="P2180" t="str">
            <v>celina.robles2@tusd1.org</v>
          </cell>
          <cell r="Q2180" t="str">
            <v>CDC-17440</v>
          </cell>
          <cell r="AJ2180" t="e">
            <v>#N/A</v>
          </cell>
          <cell r="AK2180" t="str">
            <v>CDC-17440</v>
          </cell>
          <cell r="AL2180" t="str">
            <v>CDC17440</v>
          </cell>
        </row>
        <row r="2181">
          <cell r="N2181" t="str">
            <v>T.U.S.D.#1 - WRIGHT PRESCHOOL PROGRAM</v>
          </cell>
          <cell r="O2181" t="str">
            <v>4311 EAST LINDEN</v>
          </cell>
          <cell r="P2181" t="str">
            <v>celina.robles2@tusd1.org</v>
          </cell>
          <cell r="Q2181" t="str">
            <v>CDC-9663</v>
          </cell>
          <cell r="AJ2181" t="e">
            <v>#N/A</v>
          </cell>
          <cell r="AK2181" t="str">
            <v>CDC-9663</v>
          </cell>
          <cell r="AL2181" t="str">
            <v>CDC9663</v>
          </cell>
        </row>
        <row r="2182">
          <cell r="N2182" t="str">
            <v>T.V.U.S.D.#13 -  TANQUE VERDE COMMUNITY PRESCHOOL</v>
          </cell>
          <cell r="O2182" t="str">
            <v>2600 NORTH FENNIMORE</v>
          </cell>
          <cell r="P2182" t="str">
            <v>kkvaran@tanq.org</v>
          </cell>
          <cell r="Q2182" t="str">
            <v>CDC-18676</v>
          </cell>
          <cell r="AJ2182" t="e">
            <v>#N/A</v>
          </cell>
          <cell r="AK2182" t="str">
            <v>CDC-18676</v>
          </cell>
          <cell r="AL2182" t="str">
            <v>CDC18676</v>
          </cell>
        </row>
        <row r="2183">
          <cell r="N2183" t="str">
            <v>V.E.S.D.#9 - VERNON ELEMENTARY SCHOOL</v>
          </cell>
          <cell r="O2183" t="str">
            <v>90 CRN 3139</v>
          </cell>
          <cell r="P2183" t="str">
            <v>korton@vernon.k12.az.us</v>
          </cell>
          <cell r="Q2183" t="str">
            <v>CDC-18541</v>
          </cell>
          <cell r="AJ2183" t="e">
            <v>#N/A</v>
          </cell>
          <cell r="AK2183" t="str">
            <v>CDC-18541</v>
          </cell>
          <cell r="AL2183" t="str">
            <v>CDC18541</v>
          </cell>
        </row>
        <row r="2184">
          <cell r="N2184" t="str">
            <v>V.U.S.D.#20 - COPPER RIDGE ENRICHMENT PROGRAM</v>
          </cell>
          <cell r="O2184" t="str">
            <v>17650 SOUTH CANYON RIDGE TRAIL</v>
          </cell>
          <cell r="P2184" t="str">
            <v>lakel@vailschooldistrict.org</v>
          </cell>
          <cell r="Q2184" t="str">
            <v>CDC-17625</v>
          </cell>
          <cell r="AJ2184" t="e">
            <v>#N/A</v>
          </cell>
          <cell r="AK2184" t="str">
            <v>CDC-17625</v>
          </cell>
          <cell r="AL2184" t="str">
            <v>CDC17625</v>
          </cell>
        </row>
        <row r="2185">
          <cell r="N2185" t="str">
            <v>V.U.S.D.#20 - COTTONWOOD EARLY CHILDHOOD AND SCHOOL AGE ENRICHMENT PROGRAM</v>
          </cell>
          <cell r="O2185" t="str">
            <v>9950 REES LOOP</v>
          </cell>
          <cell r="P2185" t="str">
            <v>jonesl@vail.k12.az.us</v>
          </cell>
          <cell r="Q2185" t="str">
            <v>CDC-9525</v>
          </cell>
          <cell r="AJ2185" t="e">
            <v>#N/A</v>
          </cell>
          <cell r="AK2185" t="str">
            <v>CDC-9525</v>
          </cell>
          <cell r="AL2185" t="str">
            <v>CDC9525</v>
          </cell>
        </row>
        <row r="2186">
          <cell r="N2186" t="str">
            <v>V.U.S.D.#20 - DESERT WILLOW EARLY CHILDHOOD AND SCHOOL AGE ENRICHMENT PROGRAM</v>
          </cell>
          <cell r="O2186" t="str">
            <v>9400 EAST ESMOND LOOP</v>
          </cell>
          <cell r="P2186" t="str">
            <v>lopezvelazquezm@vailschooldistrict.org</v>
          </cell>
          <cell r="Q2186" t="str">
            <v>CDC-6483</v>
          </cell>
          <cell r="AJ2186" t="e">
            <v>#N/A</v>
          </cell>
          <cell r="AK2186" t="str">
            <v>CDC-6483</v>
          </cell>
          <cell r="AL2186" t="str">
            <v>CDC6483</v>
          </cell>
        </row>
        <row r="2187">
          <cell r="N2187" t="str">
            <v>V.U.S.D.#20 - ESMOND STATIONS ENRICHMENT PROGRAM</v>
          </cell>
          <cell r="O2187" t="str">
            <v>9400 SOUTH  ATTERBURY WASH WAY</v>
          </cell>
          <cell r="P2187" t="str">
            <v>kubiakl@vailschooldistrict.org</v>
          </cell>
          <cell r="Q2187" t="str">
            <v>CDC-17011</v>
          </cell>
          <cell r="AJ2187" t="e">
            <v>#N/A</v>
          </cell>
          <cell r="AK2187" t="str">
            <v>CDC-17011</v>
          </cell>
          <cell r="AL2187" t="str">
            <v>CDC17011</v>
          </cell>
        </row>
        <row r="2188">
          <cell r="N2188" t="str">
            <v>V.U.S.D.#20 - MESQUITE EARLY CHILDHOOD AND SCHOOL AGE ENRICHMENT PROGRAM</v>
          </cell>
          <cell r="O2188" t="str">
            <v>9455 EAST RITA ROAD</v>
          </cell>
          <cell r="P2188" t="str">
            <v>zataraindecortinam@vailschooldistrict.org</v>
          </cell>
          <cell r="Q2188" t="str">
            <v>CDC-8345</v>
          </cell>
          <cell r="AJ2188" t="e">
            <v>#N/A</v>
          </cell>
          <cell r="AK2188" t="str">
            <v>CDC-8345</v>
          </cell>
          <cell r="AL2188" t="str">
            <v>CDC8345</v>
          </cell>
        </row>
        <row r="2189">
          <cell r="N2189" t="str">
            <v>V.U.S.D.#20 - MICA MOUNTAIN INCLUSIVE PRESCHOOL</v>
          </cell>
          <cell r="O2189" t="str">
            <v>10800 EAST VALENCIA ROAD</v>
          </cell>
          <cell r="P2189" t="str">
            <v>hardnocks@vailschooldistrict.org</v>
          </cell>
          <cell r="Q2189" t="str">
            <v>CDC-18905</v>
          </cell>
          <cell r="AJ2189" t="e">
            <v>#N/A</v>
          </cell>
          <cell r="AK2189" t="str">
            <v>CDC-18905</v>
          </cell>
          <cell r="AL2189" t="str">
            <v>CDC18905</v>
          </cell>
        </row>
        <row r="2190">
          <cell r="N2190" t="str">
            <v>V.U.S.D.#20 - OCOTILLO RIDGE EARLY CHILDHOOD AND SCHOOL AGE ENRICHMENT PROGRAM</v>
          </cell>
          <cell r="O2190" t="str">
            <v>10170 S WHITE LIGHTNING LANE</v>
          </cell>
          <cell r="P2190" t="str">
            <v>kubiakl@vailschooldistrict.org</v>
          </cell>
          <cell r="Q2190" t="str">
            <v>CDC-13184</v>
          </cell>
          <cell r="AJ2190" t="e">
            <v>#N/A</v>
          </cell>
          <cell r="AK2190" t="str">
            <v>CDC-13184</v>
          </cell>
          <cell r="AL2190" t="str">
            <v>CDC13184</v>
          </cell>
        </row>
        <row r="2191">
          <cell r="N2191" t="str">
            <v>V.U.S.D.#20 - SENITA VALLEY EARLY CHILDHOOD AND SCHOOL AGE ENRICHMENT PROGRAM</v>
          </cell>
          <cell r="O2191" t="str">
            <v>10750 E BILBY ROAD</v>
          </cell>
          <cell r="P2191" t="str">
            <v>romerop@vailschooldistrict.org</v>
          </cell>
          <cell r="Q2191" t="str">
            <v>CDC-14236</v>
          </cell>
          <cell r="AJ2191" t="e">
            <v>#N/A</v>
          </cell>
          <cell r="AK2191" t="str">
            <v>CDC-14236</v>
          </cell>
          <cell r="AL2191" t="str">
            <v>CDC14236</v>
          </cell>
        </row>
        <row r="2192">
          <cell r="N2192" t="str">
            <v>V.U.S.D.#20 - SYCAMORE EARLY CHILDHOOD AND SCHOOL AGE ENRICHMENT PROGRAM</v>
          </cell>
          <cell r="O2192" t="str">
            <v>16701 SOUTH HOUGHTON ROAD</v>
          </cell>
          <cell r="P2192" t="str">
            <v>kubiakl@vailschooldistrict.org</v>
          </cell>
          <cell r="Q2192" t="str">
            <v>CDC-10844</v>
          </cell>
          <cell r="AJ2192" t="e">
            <v>#N/A</v>
          </cell>
          <cell r="AK2192" t="str">
            <v>CDC-10844</v>
          </cell>
          <cell r="AL2192" t="str">
            <v>CDC10844</v>
          </cell>
        </row>
        <row r="2193">
          <cell r="N2193" t="str">
            <v>V.U.S.D.#20 - VAIL INCLUSIVE PRE-KINDERGARTEN</v>
          </cell>
          <cell r="O2193" t="str">
            <v>12775 E MARY ANN CLEVELAND ST B</v>
          </cell>
          <cell r="P2193" t="str">
            <v>jonesl@vail.k12.az.us</v>
          </cell>
          <cell r="Q2193" t="str">
            <v>CDC-16424</v>
          </cell>
          <cell r="AJ2193" t="e">
            <v>#N/A</v>
          </cell>
          <cell r="AK2193" t="str">
            <v>CDC-16424</v>
          </cell>
          <cell r="AL2193" t="str">
            <v>CDC16424</v>
          </cell>
        </row>
        <row r="2194">
          <cell r="N2194" t="str">
            <v>V.U.S.D.#20 - VAIL INCLUSIVE PRESCHOOL AT CIENEGA</v>
          </cell>
          <cell r="O2194" t="str">
            <v>12775 E MARY ANN CLEVELAND WAY</v>
          </cell>
          <cell r="P2194" t="str">
            <v>nordbrockh@vail.k12.az.us</v>
          </cell>
          <cell r="Q2194" t="str">
            <v>CDC-14546</v>
          </cell>
          <cell r="AJ2194" t="e">
            <v>#N/A</v>
          </cell>
          <cell r="AK2194" t="str">
            <v>CDC-14546</v>
          </cell>
          <cell r="AL2194" t="str">
            <v>CDC14546</v>
          </cell>
        </row>
        <row r="2195">
          <cell r="N2195" t="str">
            <v>W.E.S.D.#19 - WENDEN ELEMENTARY SCHOOL</v>
          </cell>
          <cell r="O2195" t="str">
            <v>71001 EAST SANTA FE AVENUE</v>
          </cell>
          <cell r="P2195" t="str">
            <v>LLard@wendenk8.org</v>
          </cell>
          <cell r="Q2195" t="str">
            <v>CDC-8806</v>
          </cell>
          <cell r="AJ2195" t="e">
            <v>#N/A</v>
          </cell>
          <cell r="AK2195" t="str">
            <v>CDC-8806</v>
          </cell>
          <cell r="AL2195" t="str">
            <v>CDC8806</v>
          </cell>
        </row>
        <row r="2196">
          <cell r="N2196" t="str">
            <v>W.E.S.D.#6 - ABRAHAM LINCOLN TRADITIONAL SCHOOL</v>
          </cell>
          <cell r="O2196" t="str">
            <v>10444 NORTH 39TH AVENUE</v>
          </cell>
          <cell r="P2196" t="str">
            <v>keri.moore@wesdschools.org</v>
          </cell>
          <cell r="Q2196" t="str">
            <v>CDC-7313</v>
          </cell>
          <cell r="AJ2196" t="e">
            <v>#N/A</v>
          </cell>
          <cell r="AK2196" t="str">
            <v>CDC-7313</v>
          </cell>
          <cell r="AL2196" t="str">
            <v>CDC7313</v>
          </cell>
        </row>
        <row r="2197">
          <cell r="N2197" t="str">
            <v>W.E.S.D.#6 - ACACIA SCHOOL</v>
          </cell>
          <cell r="O2197" t="str">
            <v>3021 WEST EVANS DRIVE</v>
          </cell>
          <cell r="P2197" t="str">
            <v>michaele.pilsbury@wesdschools.org</v>
          </cell>
          <cell r="Q2197" t="str">
            <v>CDC-6529</v>
          </cell>
          <cell r="AJ2197" t="e">
            <v>#N/A</v>
          </cell>
          <cell r="AK2197" t="str">
            <v>CDC-6529</v>
          </cell>
          <cell r="AL2197" t="str">
            <v>CDC6529</v>
          </cell>
        </row>
        <row r="2198">
          <cell r="N2198" t="str">
            <v>W.E.S.D.#6 - ALTA VISTA EXTENDED DAY</v>
          </cell>
          <cell r="O2198" t="str">
            <v>8710 NORTH 31ST AVENUE</v>
          </cell>
          <cell r="P2198" t="str">
            <v>keri.moore@wesdschools.org</v>
          </cell>
          <cell r="Q2198" t="str">
            <v>CDC-6541</v>
          </cell>
          <cell r="AJ2198" t="e">
            <v>#N/A</v>
          </cell>
          <cell r="AK2198" t="str">
            <v>CDC-6541</v>
          </cell>
          <cell r="AL2198" t="str">
            <v>CDC6541</v>
          </cell>
        </row>
        <row r="2199">
          <cell r="N2199" t="str">
            <v>W.E.S.D.#6 - ARROYO ELEMENTARY SCHOOL</v>
          </cell>
          <cell r="O2199" t="str">
            <v>4535 WEST CHOLLA STREET</v>
          </cell>
          <cell r="P2199" t="str">
            <v>keri.moore@wesdschools.org</v>
          </cell>
          <cell r="Q2199" t="str">
            <v>CDC-6542</v>
          </cell>
          <cell r="AJ2199" t="e">
            <v>#N/A</v>
          </cell>
          <cell r="AK2199" t="str">
            <v>CDC-6542</v>
          </cell>
          <cell r="AL2199" t="str">
            <v>CDC6542</v>
          </cell>
        </row>
        <row r="2200">
          <cell r="N2200" t="str">
            <v>W.E.S.D.#6 - CACTUS WREN ELEMENTARY SCHOOL</v>
          </cell>
          <cell r="O2200" t="str">
            <v>9650 NORTH 39TH AVENUE</v>
          </cell>
          <cell r="P2200" t="str">
            <v>keri.moore@wesdschools.org</v>
          </cell>
          <cell r="Q2200" t="str">
            <v>CDC-11665</v>
          </cell>
          <cell r="AJ2200" t="e">
            <v>#N/A</v>
          </cell>
          <cell r="AK2200" t="str">
            <v>CDC-11665</v>
          </cell>
          <cell r="AL2200" t="str">
            <v>CDC11665</v>
          </cell>
        </row>
        <row r="2201">
          <cell r="N2201" t="str">
            <v>W.E.S.D.#6 - CHAPARRAL ELEMENTARY SCHOOL</v>
          </cell>
          <cell r="O2201" t="str">
            <v>3808 WEST JOAN D'ARC</v>
          </cell>
          <cell r="P2201" t="str">
            <v>keri.moore@wesdschools.org</v>
          </cell>
          <cell r="Q2201" t="str">
            <v>CDC-6545</v>
          </cell>
          <cell r="AJ2201" t="e">
            <v>#N/A</v>
          </cell>
          <cell r="AK2201" t="str">
            <v>CDC-6545</v>
          </cell>
          <cell r="AL2201" t="str">
            <v>CDC6545</v>
          </cell>
        </row>
        <row r="2202">
          <cell r="N2202" t="str">
            <v>W.E.S.D.#6 - DESERT VIEW ELEMENTARY SCHOOL</v>
          </cell>
          <cell r="O2202" t="str">
            <v>8621 NORTH 3RD STREET</v>
          </cell>
          <cell r="P2202" t="str">
            <v>michaelepilsbury@wesdschools.org</v>
          </cell>
          <cell r="Q2202" t="str">
            <v>CDC-6793</v>
          </cell>
          <cell r="AJ2202" t="e">
            <v>#N/A</v>
          </cell>
          <cell r="AK2202" t="str">
            <v>CDC-6793</v>
          </cell>
          <cell r="AL2202" t="str">
            <v>CDC6793</v>
          </cell>
        </row>
        <row r="2203">
          <cell r="N2203" t="str">
            <v>W.E.S.D.#6 - IRONWOOD ELEMENTARY SCHOOL &amp; EXTENDED DAY</v>
          </cell>
          <cell r="O2203" t="str">
            <v>14850 NORTH 39TH AVENUE</v>
          </cell>
          <cell r="P2203" t="str">
            <v>keri.moore@wesdschools.org</v>
          </cell>
          <cell r="Q2203" t="str">
            <v>CDC-7632</v>
          </cell>
          <cell r="AJ2203" t="e">
            <v>#N/A</v>
          </cell>
          <cell r="AK2203" t="str">
            <v>CDC-7632</v>
          </cell>
          <cell r="AL2203" t="str">
            <v>CDC7632</v>
          </cell>
        </row>
        <row r="2204">
          <cell r="N2204" t="str">
            <v>W.E.S.D.#6 - JOHN JACOBS ELEMENTARY SCHOOL</v>
          </cell>
          <cell r="O2204" t="str">
            <v>14421 NORTH 23RD AVENUE</v>
          </cell>
          <cell r="P2204" t="str">
            <v>keri.moore@23sdschools.org</v>
          </cell>
          <cell r="Q2204" t="str">
            <v>CDC-6548</v>
          </cell>
          <cell r="AJ2204" t="e">
            <v>#N/A</v>
          </cell>
          <cell r="AK2204" t="str">
            <v>CDC-6548</v>
          </cell>
          <cell r="AL2204" t="str">
            <v>CDC6548</v>
          </cell>
        </row>
        <row r="2205">
          <cell r="N2205" t="str">
            <v>W.E.S.D.#6 - LAKEVIEW EXTENDED DAY</v>
          </cell>
          <cell r="O2205" t="str">
            <v>3040 WEST YUCCA STREET</v>
          </cell>
          <cell r="P2205" t="str">
            <v>keri.moore@wesdschools.org</v>
          </cell>
          <cell r="Q2205" t="str">
            <v>CDC-11639</v>
          </cell>
          <cell r="AJ2205" t="e">
            <v>#N/A</v>
          </cell>
          <cell r="AK2205" t="str">
            <v>CDC-11639</v>
          </cell>
          <cell r="AL2205" t="str">
            <v>CDC11639</v>
          </cell>
        </row>
        <row r="2206">
          <cell r="N2206" t="str">
            <v>W.E.S.D.#6 - LOOKOUT MOUNTAIN</v>
          </cell>
          <cell r="O2206" t="str">
            <v>15 WEST CORAL GABLES DRIVE</v>
          </cell>
          <cell r="P2206" t="str">
            <v>Heather.Whiteman@wesdschools.org</v>
          </cell>
          <cell r="Q2206" t="str">
            <v>CDC-15711</v>
          </cell>
          <cell r="AJ2206" t="e">
            <v>#N/A</v>
          </cell>
          <cell r="AK2206" t="str">
            <v>CDC-15711</v>
          </cell>
          <cell r="AL2206" t="str">
            <v>CDC15711</v>
          </cell>
        </row>
        <row r="2207">
          <cell r="N2207" t="str">
            <v>W.E.S.D.#6 - MANZANITA ELEMENTARY</v>
          </cell>
          <cell r="O2207" t="str">
            <v>8430 NORTH 39TH AVENUE</v>
          </cell>
          <cell r="P2207" t="str">
            <v>laura.teposan@wesdschools.org</v>
          </cell>
          <cell r="Q2207" t="str">
            <v>CDC-6792</v>
          </cell>
          <cell r="AJ2207" t="e">
            <v>#N/A</v>
          </cell>
          <cell r="AK2207" t="str">
            <v>CDC-6792</v>
          </cell>
          <cell r="AL2207" t="str">
            <v>CDC6792</v>
          </cell>
        </row>
        <row r="2208">
          <cell r="N2208" t="str">
            <v>W.E.S.D.#6 - MARYLAND ELEMENTARY</v>
          </cell>
          <cell r="O2208" t="str">
            <v>6503 NORTH 21ST AVENUE</v>
          </cell>
          <cell r="P2208" t="str">
            <v>myriam.pacheco@wesdschools.org</v>
          </cell>
          <cell r="Q2208" t="str">
            <v>CDC-7633</v>
          </cell>
          <cell r="AJ2208" t="e">
            <v>#N/A</v>
          </cell>
          <cell r="AK2208" t="str">
            <v>CDC-7633</v>
          </cell>
          <cell r="AL2208" t="str">
            <v>CDC7633</v>
          </cell>
        </row>
        <row r="2209">
          <cell r="N2209" t="str">
            <v>W.E.S.D.#6 - MOON MOUNTAIN SCHOOL</v>
          </cell>
          <cell r="O2209" t="str">
            <v>13425 NORTH 19TH AVENUE</v>
          </cell>
          <cell r="P2209" t="str">
            <v>michaele.pilsbury@wesdschools.org</v>
          </cell>
          <cell r="Q2209" t="str">
            <v>CDC-6794</v>
          </cell>
          <cell r="AJ2209" t="e">
            <v>#N/A</v>
          </cell>
          <cell r="AK2209" t="str">
            <v>CDC-6794</v>
          </cell>
          <cell r="AL2209" t="str">
            <v>CDC6794</v>
          </cell>
        </row>
        <row r="2210">
          <cell r="N2210" t="str">
            <v>W.E.S.D.#6 - MOUNTAIN VIEW ELEMENTARY</v>
          </cell>
          <cell r="O2210" t="str">
            <v>801 WEST PEORIA AVENUE</v>
          </cell>
          <cell r="P2210" t="str">
            <v>myriam.pacheco@wesdschools.org</v>
          </cell>
          <cell r="Q2210" t="str">
            <v>CDC-11675</v>
          </cell>
          <cell r="AJ2210" t="e">
            <v>#N/A</v>
          </cell>
          <cell r="AK2210" t="str">
            <v>CDC-11675</v>
          </cell>
          <cell r="AL2210" t="str">
            <v>CDC11675</v>
          </cell>
        </row>
        <row r="2211">
          <cell r="N2211" t="str">
            <v>W.E.S.D.#6 - OCOTILLO PRESCHOOL &amp; EXTENDED DAY</v>
          </cell>
          <cell r="O2211" t="str">
            <v>3225 WEST OCOTILLO ROAD</v>
          </cell>
          <cell r="P2211" t="str">
            <v>keri.moore@wesdschools.org</v>
          </cell>
          <cell r="Q2211" t="str">
            <v>CDC-6526</v>
          </cell>
          <cell r="AJ2211" t="e">
            <v>#N/A</v>
          </cell>
          <cell r="AK2211" t="str">
            <v>CDC-6526</v>
          </cell>
          <cell r="AL2211" t="str">
            <v>CDC6526</v>
          </cell>
        </row>
        <row r="2212">
          <cell r="N2212" t="str">
            <v>W.E.S.D.#6 - ORANGEWOOD PRESCHOOL &amp; EXTENDED DAY</v>
          </cell>
          <cell r="O2212" t="str">
            <v>7337 NORTH 19TH AVENUE</v>
          </cell>
          <cell r="P2212" t="str">
            <v>myriam.pacheco@wesdschools.org</v>
          </cell>
          <cell r="Q2212" t="str">
            <v>CDC-6547</v>
          </cell>
          <cell r="AJ2212" t="e">
            <v>#N/A</v>
          </cell>
          <cell r="AK2212" t="str">
            <v>CDC-6547</v>
          </cell>
          <cell r="AL2212" t="str">
            <v>CDC6547</v>
          </cell>
        </row>
        <row r="2213">
          <cell r="N2213" t="str">
            <v>W.E.S.D.#6 - PALO VERDE HEAD START</v>
          </cell>
          <cell r="O2213" t="str">
            <v>7502 NORTH 39TH AVENUE</v>
          </cell>
          <cell r="P2213" t="str">
            <v>michaele.pilsbury@wesdschools.org</v>
          </cell>
          <cell r="Q2213" t="str">
            <v>CDC-17419</v>
          </cell>
          <cell r="AJ2213" t="e">
            <v>#N/A</v>
          </cell>
          <cell r="AK2213" t="str">
            <v>CDC-17419</v>
          </cell>
          <cell r="AL2213" t="str">
            <v>CDC17419</v>
          </cell>
        </row>
        <row r="2214">
          <cell r="N2214" t="str">
            <v>W.E.S.D.#6 - RICHARD E. MILLER ELEMENTARY SCHOOL</v>
          </cell>
          <cell r="O2214" t="str">
            <v>2021 WEST ALICE AVENUE</v>
          </cell>
          <cell r="P2214" t="str">
            <v>michaele.pilsbury@wesdschools.org</v>
          </cell>
          <cell r="Q2214" t="str">
            <v>CDC-6532</v>
          </cell>
          <cell r="AJ2214" t="e">
            <v>#N/A</v>
          </cell>
          <cell r="AK2214" t="str">
            <v>CDC-6532</v>
          </cell>
          <cell r="AL2214" t="str">
            <v>CDC6532</v>
          </cell>
        </row>
        <row r="2215">
          <cell r="N2215" t="str">
            <v>W.E.S.D.#6 - ROADRUNNER SCHOOL</v>
          </cell>
          <cell r="O2215" t="str">
            <v>7702 NORTH 39TH AVENUE</v>
          </cell>
          <cell r="P2215" t="str">
            <v>steve.morowsky@wesdschool.org</v>
          </cell>
          <cell r="Q2215" t="str">
            <v>CDC-6535</v>
          </cell>
          <cell r="AJ2215" t="e">
            <v>#N/A</v>
          </cell>
          <cell r="AK2215" t="str">
            <v>CDC-6535</v>
          </cell>
          <cell r="AL2215" t="str">
            <v>CDC6535</v>
          </cell>
        </row>
        <row r="2216">
          <cell r="N2216" t="str">
            <v>W.E.S.D.#6 - SAHUARO SCHOOL</v>
          </cell>
          <cell r="O2216" t="str">
            <v>12835 NORTH 33RD AVENUE</v>
          </cell>
          <cell r="P2216" t="str">
            <v>Keri.Moore@wesdschools.org</v>
          </cell>
          <cell r="Q2216" t="str">
            <v>CDC-7314</v>
          </cell>
          <cell r="AJ2216" t="e">
            <v>#N/A</v>
          </cell>
          <cell r="AK2216" t="str">
            <v>CDC-7314</v>
          </cell>
          <cell r="AL2216" t="str">
            <v>CDC7314</v>
          </cell>
        </row>
        <row r="2217">
          <cell r="N2217" t="str">
            <v>W.E.S.D.#6 - SHAW BUTTE SCHOOL</v>
          </cell>
          <cell r="O2217" t="str">
            <v>12202 NORTH 21ST AVENUE</v>
          </cell>
          <cell r="P2217" t="str">
            <v>keri.moore@wesdschools.org</v>
          </cell>
          <cell r="Q2217" t="str">
            <v>CDC-6539</v>
          </cell>
          <cell r="AJ2217" t="e">
            <v>#N/A</v>
          </cell>
          <cell r="AK2217" t="str">
            <v>CDC-6539</v>
          </cell>
          <cell r="AL2217" t="str">
            <v>CDC6539</v>
          </cell>
        </row>
        <row r="2218">
          <cell r="N2218" t="str">
            <v>W.E.S.D.#6 - SUNBURST ELEMENTARY SCHOOL</v>
          </cell>
          <cell r="O2218" t="str">
            <v>14218 NORTH 47TH AVENUE</v>
          </cell>
          <cell r="P2218" t="str">
            <v>keri.moore@wesdschool.org</v>
          </cell>
          <cell r="Q2218" t="str">
            <v>CDC-6543</v>
          </cell>
          <cell r="AJ2218" t="e">
            <v>#N/A</v>
          </cell>
          <cell r="AK2218" t="str">
            <v>CDC-6543</v>
          </cell>
          <cell r="AL2218" t="str">
            <v>CDC6543</v>
          </cell>
        </row>
        <row r="2219">
          <cell r="N2219" t="str">
            <v>W.E.S.D.#6 - SUNNYSLOPE ELEMENTARY</v>
          </cell>
          <cell r="O2219" t="str">
            <v>245 EAST MOUNTAIN VIEW ROAD</v>
          </cell>
          <cell r="P2219" t="str">
            <v>michaele.pillsbury@wesdschools.org</v>
          </cell>
          <cell r="Q2219" t="str">
            <v>CDC-13709</v>
          </cell>
          <cell r="AJ2219" t="e">
            <v>#N/A</v>
          </cell>
          <cell r="AK2219" t="str">
            <v>CDC-13709</v>
          </cell>
          <cell r="AL2219" t="str">
            <v>CDC13709</v>
          </cell>
        </row>
        <row r="2220">
          <cell r="N2220" t="str">
            <v>W.E.S.D.#6 - SUNSET ELEMENTARY SCHOOL</v>
          </cell>
          <cell r="O2220" t="str">
            <v>4626 WEST MOUNTAIN VIEW ROAD</v>
          </cell>
          <cell r="P2220" t="str">
            <v>keri.moore@wesdschools.org, christine.koser@wesdschool.org</v>
          </cell>
          <cell r="Q2220" t="str">
            <v>CDC-6544</v>
          </cell>
          <cell r="AJ2220" t="e">
            <v>#N/A</v>
          </cell>
          <cell r="AK2220" t="str">
            <v>CDC-6544</v>
          </cell>
          <cell r="AL2220" t="str">
            <v>CDC6544</v>
          </cell>
        </row>
        <row r="2221">
          <cell r="N2221" t="str">
            <v>W.E.S.D.#6 - SWEETWATER PRESCHOOL AND EXTENDED DAY</v>
          </cell>
          <cell r="O2221" t="str">
            <v>4602 WEST SWEETWATER AVENUE</v>
          </cell>
          <cell r="P2221" t="str">
            <v>heather.whiteman@wesdschool.org</v>
          </cell>
          <cell r="Q2221" t="str">
            <v>CDC-6533</v>
          </cell>
          <cell r="AJ2221" t="e">
            <v>#N/A</v>
          </cell>
          <cell r="AK2221" t="str">
            <v>CDC-6533</v>
          </cell>
          <cell r="AL2221" t="str">
            <v>CDC6533</v>
          </cell>
        </row>
        <row r="2222">
          <cell r="N2222" t="str">
            <v>W.E.S.D.#6 - TUMBLEWEED KIDSPACE AND HEAD START</v>
          </cell>
          <cell r="O2222" t="str">
            <v>4001 WEST LAUREL LANE</v>
          </cell>
          <cell r="P2222" t="str">
            <v>deedee.chavez@wesdschools.org</v>
          </cell>
          <cell r="Q2222" t="str">
            <v>CDC-17441</v>
          </cell>
          <cell r="AJ2222" t="e">
            <v>#N/A</v>
          </cell>
          <cell r="AK2222" t="str">
            <v>CDC-17441</v>
          </cell>
          <cell r="AL2222" t="str">
            <v>CDC17441</v>
          </cell>
        </row>
        <row r="2223">
          <cell r="N2223" t="str">
            <v>W.E.S.D.#6 - WASHINGTON ELEMENTARY SCHOOL</v>
          </cell>
          <cell r="O2223" t="str">
            <v>8033 NORTH 27TH AVENUE</v>
          </cell>
          <cell r="P2223" t="str">
            <v>Michaele.Pilsbury@wesdschools.org</v>
          </cell>
          <cell r="Q2223" t="str">
            <v>CDC-6795</v>
          </cell>
          <cell r="AJ2223" t="e">
            <v>#N/A</v>
          </cell>
          <cell r="AK2223" t="str">
            <v>CDC-6795</v>
          </cell>
          <cell r="AL2223" t="str">
            <v>CDC6795</v>
          </cell>
        </row>
        <row r="2224">
          <cell r="N2224" t="str">
            <v>W.E.S.D.#7 - WILSON PRIMARY SCHOOL PRESCHOOL</v>
          </cell>
          <cell r="O2224" t="str">
            <v>415 NORTH 30TH STREET</v>
          </cell>
          <cell r="P2224" t="str">
            <v>nick.attridge@wsd.k12.az.us</v>
          </cell>
          <cell r="Q2224" t="str">
            <v>CDC-1666</v>
          </cell>
          <cell r="AJ2224" t="e">
            <v>#N/A</v>
          </cell>
          <cell r="AK2224" t="str">
            <v>CDC-1666</v>
          </cell>
          <cell r="AL2224" t="str">
            <v>CDC1666</v>
          </cell>
        </row>
        <row r="2225">
          <cell r="N2225" t="str">
            <v>W.R.U.S.D.#8 - TSEHOOTSOI INTEGRATED PRESCHOOL PROGRAM I &amp; II</v>
          </cell>
          <cell r="O2225" t="str">
            <v>NAVAJO ROUTE 2</v>
          </cell>
          <cell r="P2225" t="str">
            <v>khenderson@wrschool.net</v>
          </cell>
          <cell r="Q2225" t="str">
            <v>CDC-16679</v>
          </cell>
          <cell r="AJ2225" t="e">
            <v>#N/A</v>
          </cell>
          <cell r="AK2225" t="str">
            <v>CDC-16679</v>
          </cell>
          <cell r="AL2225" t="str">
            <v>CDC16679</v>
          </cell>
        </row>
        <row r="2226">
          <cell r="N2226" t="str">
            <v>W.U.S.D.#1 - DISABILITY  PRESCHOOL</v>
          </cell>
          <cell r="O2226" t="str">
            <v>100 COCHISE DRIVE</v>
          </cell>
          <cell r="P2226" t="str">
            <v>tmcreynolds@wusd1.org</v>
          </cell>
          <cell r="Q2226" t="str">
            <v>CDC-7036</v>
          </cell>
          <cell r="AJ2226" t="e">
            <v>#N/A</v>
          </cell>
          <cell r="AK2226" t="str">
            <v>CDC-7036</v>
          </cell>
          <cell r="AL2226" t="str">
            <v>CDC7036</v>
          </cell>
        </row>
        <row r="2227">
          <cell r="N2227" t="str">
            <v>W.U.S.D.#1 -BONNIE BRENNAN ELEMENTARY SCHOOL</v>
          </cell>
          <cell r="O2227" t="str">
            <v>100 COCHISE DRIVE</v>
          </cell>
          <cell r="P2227" t="str">
            <v>kcorum@wusd1.org</v>
          </cell>
          <cell r="Q2227" t="str">
            <v>CDC-16216</v>
          </cell>
          <cell r="AJ2227" t="e">
            <v>#N/A</v>
          </cell>
          <cell r="AK2227" t="str">
            <v>CDC-16216</v>
          </cell>
          <cell r="AL2227" t="str">
            <v>CDC16216</v>
          </cell>
        </row>
        <row r="2228">
          <cell r="N2228" t="str">
            <v>W.U.S.D.#13 - FIRST STEPS PRESCHOOL</v>
          </cell>
          <cell r="O2228" t="str">
            <v>501 WEST DELOS ST</v>
          </cell>
          <cell r="P2228" t="str">
            <v>susan.hudson@wusd13.org</v>
          </cell>
          <cell r="Q2228" t="str">
            <v>CDC-7851</v>
          </cell>
          <cell r="AJ2228" t="e">
            <v>#N/A</v>
          </cell>
          <cell r="AK2228" t="str">
            <v>CDC-7851</v>
          </cell>
          <cell r="AL2228" t="str">
            <v>CDC7851</v>
          </cell>
        </row>
        <row r="2229">
          <cell r="N2229" t="str">
            <v>W.U.S.D.#2 - WILLIAMS ELEMENTARY-MIDDLE SCHOOL</v>
          </cell>
          <cell r="O2229" t="str">
            <v>601 NORTH 7TH STREET</v>
          </cell>
          <cell r="P2229" t="str">
            <v>cmorrison@wusd2.org</v>
          </cell>
          <cell r="Q2229" t="str">
            <v>CDC-16232</v>
          </cell>
          <cell r="AJ2229" t="e">
            <v>#N/A</v>
          </cell>
          <cell r="AK2229" t="str">
            <v>CDC-16232</v>
          </cell>
          <cell r="AL2229" t="str">
            <v>CDC16232</v>
          </cell>
        </row>
        <row r="2230">
          <cell r="N2230" t="str">
            <v>W.U.S.D.#9 - FESTIVAL FOOTHILLS ELEMENTARY SCHOOL</v>
          </cell>
          <cell r="O2230" t="str">
            <v>26252 WEST DESERT VISTA BLVD</v>
          </cell>
          <cell r="P2230" t="str">
            <v>jcase@wusd9.org</v>
          </cell>
          <cell r="Q2230" t="str">
            <v>CDC-15110</v>
          </cell>
          <cell r="AJ2230" t="e">
            <v>#N/A</v>
          </cell>
          <cell r="AK2230" t="str">
            <v>CDC-15110</v>
          </cell>
          <cell r="AL2230" t="str">
            <v>CDC15110</v>
          </cell>
        </row>
        <row r="2231">
          <cell r="N2231" t="str">
            <v>W.U.S.D.#9 - HASSAYAMPA ELEMENTARY SCHOOL</v>
          </cell>
          <cell r="O2231" t="str">
            <v>251 SOUTH TEGNER STREET</v>
          </cell>
          <cell r="P2231" t="str">
            <v>cahershkowitz@wusd9.org</v>
          </cell>
          <cell r="Q2231" t="str">
            <v>CDC-17655</v>
          </cell>
          <cell r="AJ2231" t="e">
            <v>#N/A</v>
          </cell>
          <cell r="AK2231" t="str">
            <v>CDC-17655</v>
          </cell>
          <cell r="AL2231" t="str">
            <v>CDC17655</v>
          </cell>
        </row>
        <row r="2232">
          <cell r="N2232" t="str">
            <v>Y.E.S.D.#1 - DESERT MESA PRESCHOOL/ DISCOVERY CLUB</v>
          </cell>
          <cell r="O2232" t="str">
            <v>2350 SOUTH AVENUE 7 1/2 E</v>
          </cell>
          <cell r="P2232" t="str">
            <v>mturner@yuma.org</v>
          </cell>
          <cell r="Q2232" t="str">
            <v>CDC-7903</v>
          </cell>
          <cell r="AJ2232" t="e">
            <v>#N/A</v>
          </cell>
          <cell r="AK2232" t="str">
            <v>CDC-7903</v>
          </cell>
          <cell r="AL2232" t="str">
            <v>CDC7903</v>
          </cell>
        </row>
        <row r="2233">
          <cell r="N2233" t="str">
            <v>Y.E.S.D.#1 - NORTHEND PRESCHOOL</v>
          </cell>
          <cell r="O2233" t="str">
            <v>600 NORTH 21ST AVENUE</v>
          </cell>
          <cell r="P2233" t="str">
            <v>mturner@yuma.org</v>
          </cell>
          <cell r="Q2233" t="str">
            <v>CDC-6479</v>
          </cell>
          <cell r="AJ2233" t="e">
            <v>#N/A</v>
          </cell>
          <cell r="AK2233" t="str">
            <v>CDC-6479</v>
          </cell>
          <cell r="AL2233" t="str">
            <v>CDC6479</v>
          </cell>
        </row>
        <row r="2234">
          <cell r="N2234" t="str">
            <v>Y.E.S.D.#1 - O C JOHNSON PRESCHOOL</v>
          </cell>
          <cell r="O2234" t="str">
            <v>1201 WEST 12TH STREET</v>
          </cell>
          <cell r="P2234" t="str">
            <v>mturner@yuma.org</v>
          </cell>
          <cell r="Q2234" t="str">
            <v>CDC-17920</v>
          </cell>
          <cell r="AJ2234" t="e">
            <v>#N/A</v>
          </cell>
          <cell r="AK2234" t="str">
            <v>CDC-17920</v>
          </cell>
          <cell r="AL2234" t="str">
            <v>CDC17920</v>
          </cell>
        </row>
        <row r="2235">
          <cell r="N2235" t="str">
            <v>Y.E.S.D.#1 - ROLLE - DISCOVERY CLUB</v>
          </cell>
          <cell r="O2235" t="str">
            <v>2711 SOUTH ENGLER AVENUE</v>
          </cell>
          <cell r="P2235" t="str">
            <v>ejiminez2@yuma.org</v>
          </cell>
          <cell r="Q2235" t="str">
            <v>CDC-6385</v>
          </cell>
          <cell r="AJ2235" t="e">
            <v>#N/A</v>
          </cell>
          <cell r="AK2235" t="str">
            <v>CDC-6385</v>
          </cell>
          <cell r="AL2235" t="str">
            <v>CDC6385</v>
          </cell>
        </row>
        <row r="2236">
          <cell r="N2236" t="str">
            <v>A B C 'S CLUBHOUSE</v>
          </cell>
          <cell r="O2236" t="str">
            <v>246 WEST 23RD STREET</v>
          </cell>
          <cell r="P2236" t="str">
            <v>abcsclubhouse@gmail.com</v>
          </cell>
          <cell r="Q2236" t="str">
            <v>SGH-18388</v>
          </cell>
          <cell r="AJ2236" t="e">
            <v>#N/A</v>
          </cell>
          <cell r="AK2236" t="str">
            <v>SGH-18388</v>
          </cell>
          <cell r="AL2236" t="str">
            <v>SGH18388</v>
          </cell>
        </row>
        <row r="2237">
          <cell r="N2237" t="str">
            <v>A BUNCH OF HUGS</v>
          </cell>
          <cell r="O2237" t="str">
            <v>2913 EAST CHARLESTON AVENUE</v>
          </cell>
          <cell r="P2237" t="str">
            <v>eandbunch@aol.com</v>
          </cell>
          <cell r="Q2237" t="str">
            <v>SGH-9030</v>
          </cell>
          <cell r="AJ2237" t="e">
            <v>#N/A</v>
          </cell>
          <cell r="AK2237" t="str">
            <v>SGH-9030</v>
          </cell>
          <cell r="AL2237" t="str">
            <v>SGH9030</v>
          </cell>
        </row>
        <row r="2238">
          <cell r="N2238" t="str">
            <v>A TEDDY BEARS LEARNING CHILD CARE &amp; PRESCHOOL</v>
          </cell>
          <cell r="O2238" t="str">
            <v>4237 WEST MAGDALENA LANE</v>
          </cell>
          <cell r="P2238" t="str">
            <v>avejauregui@yahoo.com</v>
          </cell>
          <cell r="Q2238" t="str">
            <v>SGH-17816</v>
          </cell>
          <cell r="AJ2238" t="e">
            <v>#N/A</v>
          </cell>
          <cell r="AK2238" t="str">
            <v>SGH-17816</v>
          </cell>
          <cell r="AL2238" t="str">
            <v>SGH17816</v>
          </cell>
        </row>
        <row r="2239">
          <cell r="N2239" t="str">
            <v>A VISIONARY'S LEARNING HOUSE</v>
          </cell>
          <cell r="O2239" t="str">
            <v>3234 WEST PECAN ROAD</v>
          </cell>
          <cell r="P2239" t="str">
            <v>miahschildcare@gmail.com</v>
          </cell>
          <cell r="Q2239" t="str">
            <v>SGH-18710</v>
          </cell>
          <cell r="AJ2239" t="e">
            <v>#N/A</v>
          </cell>
          <cell r="AK2239" t="str">
            <v>SGH-18710</v>
          </cell>
          <cell r="AL2239" t="str">
            <v>SGH18710</v>
          </cell>
        </row>
        <row r="2240">
          <cell r="N2240" t="str">
            <v>ABC CHILD CARE</v>
          </cell>
          <cell r="O2240" t="str">
            <v>5415 WEST ST KATER DRIVE</v>
          </cell>
          <cell r="P2240" t="str">
            <v>onemslogan@yahoo.com</v>
          </cell>
          <cell r="Q2240" t="str">
            <v>SGH-17477</v>
          </cell>
          <cell r="AJ2240" t="e">
            <v>#N/A</v>
          </cell>
          <cell r="AK2240" t="str">
            <v>SGH-17477</v>
          </cell>
          <cell r="AL2240" t="str">
            <v>SGH17477</v>
          </cell>
        </row>
        <row r="2241">
          <cell r="N2241" t="str">
            <v>AGAPE PREPARATORY LEARNING ACADEMY, LLC</v>
          </cell>
          <cell r="O2241" t="str">
            <v>15887 WEST LINDEN STREET</v>
          </cell>
          <cell r="P2241" t="str">
            <v>berryunlimited@yahoo.com</v>
          </cell>
          <cell r="Q2241" t="str">
            <v>SGH-18626</v>
          </cell>
          <cell r="AJ2241" t="e">
            <v>#N/A</v>
          </cell>
          <cell r="AK2241" t="str">
            <v>SGH-18626</v>
          </cell>
          <cell r="AL2241" t="str">
            <v>SGH18626</v>
          </cell>
        </row>
        <row r="2242">
          <cell r="N2242" t="str">
            <v>ALAADINS DAY CARE</v>
          </cell>
          <cell r="O2242" t="str">
            <v>8405 WEST GARDENIA AVENUE</v>
          </cell>
          <cell r="P2242" t="str">
            <v>ahaydari@gmail.com</v>
          </cell>
          <cell r="Q2242" t="str">
            <v>SGH-18682</v>
          </cell>
          <cell r="AJ2242" t="e">
            <v>#N/A</v>
          </cell>
          <cell r="AK2242" t="str">
            <v>SGH-18682</v>
          </cell>
          <cell r="AL2242" t="str">
            <v>SGH18682</v>
          </cell>
        </row>
        <row r="2243">
          <cell r="N2243" t="str">
            <v>ALDAMATY'S</v>
          </cell>
          <cell r="O2243" t="str">
            <v>782 W COVENTRY DR</v>
          </cell>
          <cell r="P2243" t="str">
            <v>leticia.platt@hotmail.com</v>
          </cell>
          <cell r="Q2243" t="str">
            <v>SGH-12863</v>
          </cell>
          <cell r="AJ2243" t="e">
            <v>#N/A</v>
          </cell>
          <cell r="AK2243" t="str">
            <v>SGH-12863</v>
          </cell>
          <cell r="AL2243" t="str">
            <v>SGH12863</v>
          </cell>
        </row>
        <row r="2244">
          <cell r="N2244" t="str">
            <v>ALFAROS CHILD CARE</v>
          </cell>
          <cell r="O2244" t="str">
            <v>2401 EAST ALEPPO PLACE</v>
          </cell>
          <cell r="P2244" t="str">
            <v>ALFAROSCHILDCARE@GMAIL.COM</v>
          </cell>
          <cell r="Q2244" t="str">
            <v>SGH-18529</v>
          </cell>
          <cell r="AJ2244" t="e">
            <v>#N/A</v>
          </cell>
          <cell r="AK2244" t="str">
            <v>SGH-18529</v>
          </cell>
          <cell r="AL2244" t="str">
            <v>SGH18529</v>
          </cell>
        </row>
        <row r="2245">
          <cell r="N2245" t="str">
            <v>ALICIAS DAY CARE</v>
          </cell>
          <cell r="O2245" t="str">
            <v>2036 SOUTH 46TH AVENUE</v>
          </cell>
          <cell r="P2245" t="str">
            <v>plara2036@gmail.com</v>
          </cell>
          <cell r="Q2245" t="str">
            <v>SGH-9145</v>
          </cell>
          <cell r="AJ2245" t="e">
            <v>#N/A</v>
          </cell>
          <cell r="AK2245" t="str">
            <v>SGH-9145</v>
          </cell>
          <cell r="AL2245" t="str">
            <v>SGH9145</v>
          </cell>
        </row>
        <row r="2246">
          <cell r="N2246" t="str">
            <v>ALL STAR DAYCARE / MARITZA AGUILAR</v>
          </cell>
          <cell r="O2246" t="str">
            <v>4050 NORTH 300TH DRIVE</v>
          </cell>
          <cell r="P2246" t="str">
            <v>allstardaycare2019@gmail.com</v>
          </cell>
          <cell r="Q2246" t="str">
            <v>SGH-18628</v>
          </cell>
          <cell r="AJ2246" t="e">
            <v>#N/A</v>
          </cell>
          <cell r="AK2246" t="str">
            <v>SGH-18628</v>
          </cell>
          <cell r="AL2246" t="str">
            <v>SGH18628</v>
          </cell>
        </row>
        <row r="2247">
          <cell r="N2247" t="str">
            <v>ALLEN HOUSE</v>
          </cell>
          <cell r="O2247" t="str">
            <v>20482 NORTH CONLON ROAD</v>
          </cell>
          <cell r="P2247" t="str">
            <v>dallen5417@gmail.com</v>
          </cell>
          <cell r="Q2247" t="str">
            <v>SGH-17306</v>
          </cell>
          <cell r="AJ2247" t="e">
            <v>#N/A</v>
          </cell>
          <cell r="AK2247" t="str">
            <v>SGH-17306</v>
          </cell>
          <cell r="AL2247" t="str">
            <v>SGH17306</v>
          </cell>
        </row>
        <row r="2248">
          <cell r="N2248" t="str">
            <v>AMERICA H CASTELLON</v>
          </cell>
          <cell r="O2248" t="str">
            <v>3556 E NEBRASKA ST</v>
          </cell>
          <cell r="P2248" t="str">
            <v>acastellon1@cox.net</v>
          </cell>
          <cell r="Q2248" t="str">
            <v>SGH-15442</v>
          </cell>
          <cell r="AJ2248" t="e">
            <v>#N/A</v>
          </cell>
          <cell r="AK2248" t="str">
            <v>SGH-15442</v>
          </cell>
          <cell r="AL2248" t="str">
            <v>SGH15442</v>
          </cell>
        </row>
        <row r="2249">
          <cell r="N2249" t="str">
            <v>ANDREA'S CHILDCARE</v>
          </cell>
          <cell r="O2249" t="str">
            <v>1940 EAST PINE ST</v>
          </cell>
          <cell r="P2249" t="str">
            <v>carmen_urrea88@hotmail.com</v>
          </cell>
          <cell r="Q2249" t="str">
            <v>SGH-16160</v>
          </cell>
          <cell r="AJ2249" t="e">
            <v>#N/A</v>
          </cell>
          <cell r="AK2249" t="str">
            <v>SGH-16160</v>
          </cell>
          <cell r="AL2249" t="str">
            <v>SGH16160</v>
          </cell>
        </row>
        <row r="2250">
          <cell r="N2250" t="str">
            <v>ANGELES CHILDCARE L.L.C.</v>
          </cell>
          <cell r="O2250" t="str">
            <v>3680 WEST TETAKUSIM ROAD</v>
          </cell>
          <cell r="P2250" t="str">
            <v>angeleschildcare08@live.com</v>
          </cell>
          <cell r="Q2250" t="str">
            <v>SGH-17569</v>
          </cell>
          <cell r="AJ2250" t="e">
            <v>#N/A</v>
          </cell>
          <cell r="AK2250" t="str">
            <v>SGH-17569</v>
          </cell>
          <cell r="AL2250" t="str">
            <v>SGH17569</v>
          </cell>
        </row>
        <row r="2251">
          <cell r="N2251" t="str">
            <v>ANGIE'S CHILD CARE</v>
          </cell>
          <cell r="O2251" t="str">
            <v>9222 WEST ELWOOD</v>
          </cell>
          <cell r="P2251" t="str">
            <v>adjones7474@msn.com</v>
          </cell>
          <cell r="Q2251" t="str">
            <v>SGH-18299</v>
          </cell>
          <cell r="AJ2251" t="e">
            <v>#N/A</v>
          </cell>
          <cell r="AK2251" t="str">
            <v>SGH-18299</v>
          </cell>
          <cell r="AL2251" t="str">
            <v>SGH18299</v>
          </cell>
        </row>
        <row r="2252">
          <cell r="N2252" t="str">
            <v>ARCADIAN DAY SCHOOL</v>
          </cell>
          <cell r="O2252" t="str">
            <v>3717 NORTH 32ND STREET</v>
          </cell>
          <cell r="P2252" t="str">
            <v>drstephanieluster@gmail.com</v>
          </cell>
          <cell r="Q2252" t="str">
            <v>SGH-18918</v>
          </cell>
          <cell r="AJ2252" t="e">
            <v>#N/A</v>
          </cell>
          <cell r="AK2252" t="str">
            <v>SGH-18918</v>
          </cell>
          <cell r="AL2252" t="str">
            <v>SGH18918</v>
          </cell>
        </row>
        <row r="2253">
          <cell r="N2253" t="str">
            <v>ARCOIRIS CHILD CARE PRESCHOOL</v>
          </cell>
          <cell r="O2253" t="str">
            <v>1944 EAST SAN FRANCISCO STREET</v>
          </cell>
          <cell r="P2253" t="str">
            <v>arcoirischildcarepreschool@hotmail.com</v>
          </cell>
          <cell r="Q2253" t="str">
            <v>SGH-17754</v>
          </cell>
          <cell r="AJ2253" t="e">
            <v>#N/A</v>
          </cell>
          <cell r="AK2253" t="str">
            <v>SGH-17754</v>
          </cell>
          <cell r="AL2253" t="str">
            <v>SGH17754</v>
          </cell>
        </row>
        <row r="2254">
          <cell r="N2254" t="str">
            <v>AUNTIE ANNS CHILD CARE</v>
          </cell>
          <cell r="O2254" t="str">
            <v>2737 EAST CORONA AVENUE</v>
          </cell>
          <cell r="P2254" t="str">
            <v>auntieanndaycare@aol.com</v>
          </cell>
          <cell r="Q2254" t="str">
            <v>SGH-11327</v>
          </cell>
          <cell r="AJ2254" t="e">
            <v>#N/A</v>
          </cell>
          <cell r="AK2254" t="str">
            <v>SGH-11327</v>
          </cell>
          <cell r="AL2254" t="str">
            <v>SGH11327</v>
          </cell>
        </row>
        <row r="2255">
          <cell r="N2255" t="str">
            <v>AZUL CHILD CARE</v>
          </cell>
          <cell r="O2255" t="str">
            <v>324 EAST CAMINO RANCHO SECO</v>
          </cell>
          <cell r="P2255" t="str">
            <v>laurasanchez09@hotmail.com</v>
          </cell>
          <cell r="Q2255" t="str">
            <v>SGH-18734</v>
          </cell>
          <cell r="AJ2255" t="e">
            <v>#N/A</v>
          </cell>
          <cell r="AK2255" t="str">
            <v>SGH-18734</v>
          </cell>
          <cell r="AL2255" t="str">
            <v>SGH18734</v>
          </cell>
        </row>
        <row r="2256">
          <cell r="N2256" t="str">
            <v>BABES N' TOTS CHILD CARE</v>
          </cell>
          <cell r="O2256" t="str">
            <v>15024 WEST MERCER LANE</v>
          </cell>
          <cell r="P2256" t="str">
            <v>babesntotscc@yahoo.com</v>
          </cell>
          <cell r="Q2256" t="str">
            <v>SGH-18210</v>
          </cell>
          <cell r="AJ2256" t="e">
            <v>#N/A</v>
          </cell>
          <cell r="AK2256" t="str">
            <v>SGH-18210</v>
          </cell>
          <cell r="AL2256" t="str">
            <v>SGH18210</v>
          </cell>
        </row>
        <row r="2257">
          <cell r="N2257" t="str">
            <v>BABIES AND TOTS DAYCARE</v>
          </cell>
          <cell r="O2257" t="str">
            <v>1928 E HOLLADAY ST</v>
          </cell>
          <cell r="P2257" t="str">
            <v>lpgamez9@gmail.com</v>
          </cell>
          <cell r="Q2257" t="str">
            <v>SGH-14289</v>
          </cell>
          <cell r="AJ2257" t="e">
            <v>#N/A</v>
          </cell>
          <cell r="AK2257" t="str">
            <v>SGH-14289</v>
          </cell>
          <cell r="AL2257" t="str">
            <v>SGH14289</v>
          </cell>
        </row>
        <row r="2258">
          <cell r="N2258" t="str">
            <v>BABY FOX ACADEMY</v>
          </cell>
          <cell r="O2258" t="str">
            <v>43834 WEST ELIZABETH AVENUE</v>
          </cell>
          <cell r="P2258" t="str">
            <v>laurie@babyfoxacademy.com</v>
          </cell>
          <cell r="Q2258" t="str">
            <v>SGH-17851</v>
          </cell>
          <cell r="AJ2258" t="e">
            <v>#N/A</v>
          </cell>
          <cell r="AK2258" t="str">
            <v>SGH-17851</v>
          </cell>
          <cell r="AL2258" t="str">
            <v>SGH17851</v>
          </cell>
        </row>
        <row r="2259">
          <cell r="N2259" t="str">
            <v>BABYSTEPS DAYCARE</v>
          </cell>
          <cell r="O2259" t="str">
            <v>679 SEA SPRAY PLACE</v>
          </cell>
          <cell r="P2259" t="str">
            <v>babyalan1912@gmail.com</v>
          </cell>
          <cell r="Q2259" t="str">
            <v>SGH-17542</v>
          </cell>
          <cell r="AJ2259" t="e">
            <v>#N/A</v>
          </cell>
          <cell r="AK2259" t="str">
            <v>SGH-17542</v>
          </cell>
          <cell r="AL2259" t="str">
            <v>SGH17542</v>
          </cell>
        </row>
        <row r="2260">
          <cell r="N2260" t="str">
            <v>BACK 2 BASICS EARLY LEARNING CENTER LLC</v>
          </cell>
          <cell r="O2260" t="str">
            <v>420 WEST CHANDLER BOULEVARD</v>
          </cell>
          <cell r="P2260" t="str">
            <v>demechiona@b2btaz.com</v>
          </cell>
          <cell r="Q2260" t="str">
            <v>SGH-18763</v>
          </cell>
          <cell r="AJ2260" t="e">
            <v>#N/A</v>
          </cell>
          <cell r="AK2260" t="str">
            <v>SGH-18763</v>
          </cell>
          <cell r="AL2260" t="str">
            <v>SGH18763</v>
          </cell>
        </row>
        <row r="2261">
          <cell r="N2261" t="str">
            <v>BAMBINO'S HOUSE MONTESSORI LLC</v>
          </cell>
          <cell r="O2261" t="str">
            <v>8931 WEST SANDRA TERRACE</v>
          </cell>
          <cell r="P2261" t="str">
            <v>oriettanakamoto@yahoo.com</v>
          </cell>
          <cell r="Q2261" t="str">
            <v>SGH-18228</v>
          </cell>
          <cell r="AJ2261" t="e">
            <v>#N/A</v>
          </cell>
          <cell r="AK2261" t="str">
            <v>SGH-18228</v>
          </cell>
          <cell r="AL2261" t="str">
            <v>SGH18228</v>
          </cell>
        </row>
        <row r="2262">
          <cell r="N2262" t="str">
            <v>BARBIE'S LITTLE BUTTERFLIES PRESCHOOL / CHILDCARE</v>
          </cell>
          <cell r="O2262" t="str">
            <v>11435 EAST PRAIRIE AVENUE</v>
          </cell>
          <cell r="P2262" t="str">
            <v>barbaraporter2352@gmail.com</v>
          </cell>
          <cell r="Q2262" t="str">
            <v>SGH-18264</v>
          </cell>
          <cell r="AJ2262" t="e">
            <v>#N/A</v>
          </cell>
          <cell r="AK2262" t="str">
            <v>SGH-18264</v>
          </cell>
          <cell r="AL2262" t="str">
            <v>SGH18264</v>
          </cell>
        </row>
        <row r="2263">
          <cell r="N2263" t="str">
            <v>BELEN'S CHILD CARE II</v>
          </cell>
          <cell r="O2263" t="str">
            <v>1802 EAST 31ST STREET</v>
          </cell>
          <cell r="P2263" t="str">
            <v>BELENMOLINA17@YAHOO.COM</v>
          </cell>
          <cell r="Q2263" t="str">
            <v>SGH-13890</v>
          </cell>
          <cell r="AJ2263" t="e">
            <v>#N/A</v>
          </cell>
          <cell r="AK2263" t="str">
            <v>SGH-13890</v>
          </cell>
          <cell r="AL2263" t="str">
            <v>SGH13890</v>
          </cell>
        </row>
        <row r="2264">
          <cell r="N2264" t="str">
            <v>BRIGHT MINDS CHILDCARE CENTER LLC</v>
          </cell>
          <cell r="O2264" t="str">
            <v>4008 WEST SAINT CHARLES AVENUE</v>
          </cell>
          <cell r="P2264" t="str">
            <v>brightmindschildcarellc@gmail.com</v>
          </cell>
          <cell r="Q2264" t="str">
            <v>SGH-18874</v>
          </cell>
          <cell r="AJ2264" t="e">
            <v>#N/A</v>
          </cell>
          <cell r="AK2264" t="str">
            <v>SGH-18874</v>
          </cell>
          <cell r="AL2264" t="str">
            <v>SGH18874</v>
          </cell>
        </row>
        <row r="2265">
          <cell r="N2265" t="str">
            <v>BUSY BEES CHILD CARE</v>
          </cell>
          <cell r="O2265" t="str">
            <v>5447 WEST COPPERHEAD DRIVE</v>
          </cell>
          <cell r="P2265" t="str">
            <v>busybeestucson@yahoo.com</v>
          </cell>
          <cell r="Q2265" t="str">
            <v>SGH-18704</v>
          </cell>
          <cell r="AJ2265" t="e">
            <v>#N/A</v>
          </cell>
          <cell r="AK2265" t="str">
            <v>SGH-18704</v>
          </cell>
          <cell r="AL2265" t="str">
            <v>SGH18704</v>
          </cell>
        </row>
        <row r="2266">
          <cell r="N2266" t="str">
            <v>CACTUS BLOSSOM CHILDCARE</v>
          </cell>
          <cell r="O2266" t="str">
            <v>3154 WEST CACTUS BLOSSOM DRIVE</v>
          </cell>
          <cell r="P2266" t="str">
            <v>louisamforeman@gmail.com</v>
          </cell>
          <cell r="Q2266" t="str">
            <v>SGH-18801</v>
          </cell>
          <cell r="AJ2266" t="e">
            <v>#N/A</v>
          </cell>
          <cell r="AK2266" t="str">
            <v>SGH-18801</v>
          </cell>
          <cell r="AL2266" t="str">
            <v>SGH18801</v>
          </cell>
        </row>
        <row r="2267">
          <cell r="N2267" t="str">
            <v>CARA LEIGH PINKSTAFF</v>
          </cell>
          <cell r="O2267" t="str">
            <v>42845 WEST WILD HORSE TRAIL</v>
          </cell>
          <cell r="P2267" t="str">
            <v>cara.pinkstaff@yahoo.com</v>
          </cell>
          <cell r="Q2267" t="str">
            <v>SGH-16868</v>
          </cell>
          <cell r="AJ2267" t="e">
            <v>#N/A</v>
          </cell>
          <cell r="AK2267" t="str">
            <v>SGH-16868</v>
          </cell>
          <cell r="AL2267" t="str">
            <v>SGH16868</v>
          </cell>
        </row>
        <row r="2268">
          <cell r="N2268" t="str">
            <v>CARE TIME L L C</v>
          </cell>
          <cell r="O2268" t="str">
            <v>5070 WEST WARBLER STREET</v>
          </cell>
          <cell r="P2268" t="str">
            <v>nortiz9096@gmail.com</v>
          </cell>
          <cell r="Q2268" t="str">
            <v>SGH-14218</v>
          </cell>
          <cell r="AJ2268" t="e">
            <v>#N/A</v>
          </cell>
          <cell r="AK2268" t="str">
            <v>SGH-14218</v>
          </cell>
          <cell r="AL2268" t="str">
            <v>SGH14218</v>
          </cell>
        </row>
        <row r="2269">
          <cell r="N2269" t="str">
            <v>CARING ANGELS</v>
          </cell>
          <cell r="O2269" t="str">
            <v>6781 WEST PUGET AVENUE</v>
          </cell>
          <cell r="P2269" t="str">
            <v>caringangels2018@outlook.com</v>
          </cell>
          <cell r="Q2269" t="str">
            <v>SGH-18246</v>
          </cell>
          <cell r="AJ2269" t="e">
            <v>#N/A</v>
          </cell>
          <cell r="AK2269" t="str">
            <v>SGH-18246</v>
          </cell>
          <cell r="AL2269" t="str">
            <v>SGH18246</v>
          </cell>
        </row>
        <row r="2270">
          <cell r="N2270" t="str">
            <v>CAROLINA LORETO</v>
          </cell>
          <cell r="O2270" t="str">
            <v>1104 E GARDEN LOOP</v>
          </cell>
          <cell r="P2270" t="str">
            <v>loretolouie9801@yahoo.com</v>
          </cell>
          <cell r="Q2270" t="str">
            <v>SGH-15439</v>
          </cell>
          <cell r="AJ2270" t="e">
            <v>#N/A</v>
          </cell>
          <cell r="AK2270" t="str">
            <v>SGH-15439</v>
          </cell>
          <cell r="AL2270" t="str">
            <v>SGH15439</v>
          </cell>
        </row>
        <row r="2271">
          <cell r="N2271" t="str">
            <v>CAROLINA'S DAY CARE</v>
          </cell>
          <cell r="O2271" t="str">
            <v>2141 EAST PINAL VISTA</v>
          </cell>
          <cell r="P2271" t="str">
            <v>cayon@cox.net</v>
          </cell>
          <cell r="Q2271" t="str">
            <v>SGH-10279</v>
          </cell>
          <cell r="AJ2271" t="e">
            <v>#N/A</v>
          </cell>
          <cell r="AK2271" t="str">
            <v>SGH-10279</v>
          </cell>
          <cell r="AL2271" t="str">
            <v>SGH10279</v>
          </cell>
        </row>
        <row r="2272">
          <cell r="N2272" t="str">
            <v>CAROUSEL DE LA ALEGRIA</v>
          </cell>
          <cell r="O2272" t="str">
            <v>1330 WEST DELAWARE STREET</v>
          </cell>
          <cell r="P2272" t="str">
            <v>keaseynydia@gmail.com</v>
          </cell>
          <cell r="Q2272" t="str">
            <v>SGH-18596</v>
          </cell>
          <cell r="AJ2272" t="e">
            <v>#N/A</v>
          </cell>
          <cell r="AK2272" t="str">
            <v>SGH-18596</v>
          </cell>
          <cell r="AL2272" t="str">
            <v>SGH18596</v>
          </cell>
        </row>
        <row r="2273">
          <cell r="N2273" t="str">
            <v>CASA DE MONTESSORI</v>
          </cell>
          <cell r="O2273" t="str">
            <v>410 NORTH VINE STREET</v>
          </cell>
          <cell r="P2273" t="str">
            <v>mary.casademontessori@gmail.com</v>
          </cell>
          <cell r="Q2273" t="str">
            <v>SGH-17505</v>
          </cell>
          <cell r="AJ2273" t="e">
            <v>#N/A</v>
          </cell>
          <cell r="AK2273" t="str">
            <v>SGH-17505</v>
          </cell>
          <cell r="AL2273" t="str">
            <v>SGH17505</v>
          </cell>
        </row>
        <row r="2274">
          <cell r="N2274" t="str">
            <v>CASITA FELIZ</v>
          </cell>
          <cell r="O2274" t="str">
            <v>5202 SOUTH PINE WAY</v>
          </cell>
          <cell r="P2274" t="str">
            <v>bfloriant@me.com</v>
          </cell>
          <cell r="Q2274" t="str">
            <v>SGH-10402</v>
          </cell>
          <cell r="AJ2274">
            <v>89658</v>
          </cell>
          <cell r="AK2274" t="str">
            <v>SGH-10402</v>
          </cell>
          <cell r="AL2274" t="str">
            <v>SGH10402</v>
          </cell>
        </row>
        <row r="2275">
          <cell r="N2275" t="str">
            <v>CASTLE KIDS DAYCARE</v>
          </cell>
          <cell r="O2275" t="str">
            <v>2912 S 5TH AVE</v>
          </cell>
          <cell r="P2275" t="str">
            <v>alitta02@hotmail.com</v>
          </cell>
          <cell r="Q2275" t="str">
            <v>SGH-16594</v>
          </cell>
          <cell r="AJ2275" t="e">
            <v>#N/A</v>
          </cell>
          <cell r="AK2275" t="str">
            <v>SGH-16594</v>
          </cell>
          <cell r="AL2275" t="str">
            <v>SGH16594</v>
          </cell>
        </row>
        <row r="2276">
          <cell r="N2276" t="str">
            <v>CECY'S CHILD CARE</v>
          </cell>
          <cell r="O2276" t="str">
            <v>1480 W NEVINS DRIVE</v>
          </cell>
          <cell r="P2276" t="str">
            <v>cecyurcadez@hotmail.com</v>
          </cell>
          <cell r="Q2276" t="str">
            <v>SGH-13826</v>
          </cell>
          <cell r="AJ2276" t="e">
            <v>#N/A</v>
          </cell>
          <cell r="AK2276" t="str">
            <v>SGH-13826</v>
          </cell>
          <cell r="AL2276" t="str">
            <v>SGH13826</v>
          </cell>
        </row>
        <row r="2277">
          <cell r="N2277" t="str">
            <v>CECY'S HOUSE CHILD CARE</v>
          </cell>
          <cell r="O2277" t="str">
            <v>7032 SOUTH MONTEZUMA STREET</v>
          </cell>
          <cell r="P2277" t="str">
            <v>cecyshouse@cox.net</v>
          </cell>
          <cell r="Q2277" t="str">
            <v>SGH-10386</v>
          </cell>
          <cell r="AJ2277" t="e">
            <v>#N/A</v>
          </cell>
          <cell r="AK2277" t="str">
            <v>SGH-10386</v>
          </cell>
          <cell r="AL2277" t="str">
            <v>SGH10386</v>
          </cell>
        </row>
        <row r="2278">
          <cell r="N2278" t="str">
            <v>CHAMPION START</v>
          </cell>
          <cell r="O2278" t="str">
            <v>11154 WEST DAWNLIGHT DRIVE</v>
          </cell>
          <cell r="P2278" t="str">
            <v>lu2barnhart@gmail.com</v>
          </cell>
          <cell r="Q2278" t="str">
            <v>SGH-18061</v>
          </cell>
          <cell r="AJ2278" t="e">
            <v>#N/A</v>
          </cell>
          <cell r="AK2278" t="str">
            <v>SGH-18061</v>
          </cell>
          <cell r="AL2278" t="str">
            <v>SGH18061</v>
          </cell>
        </row>
        <row r="2279">
          <cell r="N2279" t="str">
            <v>CHILDREN'S GARDEN OASIS HOME CHILD CARE</v>
          </cell>
          <cell r="O2279" t="str">
            <v>4320 N WOLFORD RD</v>
          </cell>
          <cell r="P2279" t="str">
            <v>childrensgardenoasis@gmail.com</v>
          </cell>
          <cell r="Q2279" t="str">
            <v>SGH-16530</v>
          </cell>
          <cell r="AJ2279" t="e">
            <v>#N/A</v>
          </cell>
          <cell r="AK2279" t="str">
            <v>SGH-16530</v>
          </cell>
          <cell r="AL2279" t="str">
            <v>SGH16530</v>
          </cell>
        </row>
        <row r="2280">
          <cell r="N2280" t="str">
            <v>CHRISTINA'S CHILDCARE</v>
          </cell>
          <cell r="O2280" t="str">
            <v>351 SOUTH ESSEX LANE</v>
          </cell>
          <cell r="P2280" t="str">
            <v>analuisa.arvizu@yahoo.com</v>
          </cell>
          <cell r="Q2280" t="str">
            <v>SGH-16915</v>
          </cell>
          <cell r="AJ2280" t="e">
            <v>#N/A</v>
          </cell>
          <cell r="AK2280" t="str">
            <v>SGH-16915</v>
          </cell>
          <cell r="AL2280" t="str">
            <v>SGH16915</v>
          </cell>
        </row>
        <row r="2281">
          <cell r="N2281" t="str">
            <v>CLIMBING CATERPILLARS</v>
          </cell>
          <cell r="O2281" t="str">
            <v>44389 WEST CANYON CREEK DRIVE</v>
          </cell>
          <cell r="P2281" t="str">
            <v>kimimiller3@yahoo.com</v>
          </cell>
          <cell r="Q2281" t="str">
            <v>SGH-17325</v>
          </cell>
          <cell r="AJ2281" t="e">
            <v>#N/A</v>
          </cell>
          <cell r="AK2281" t="str">
            <v>SGH-17325</v>
          </cell>
          <cell r="AL2281" t="str">
            <v>SGH17325</v>
          </cell>
        </row>
        <row r="2282">
          <cell r="N2282" t="str">
            <v>COULEURS DE JOIE CHILD CARE</v>
          </cell>
          <cell r="O2282" t="str">
            <v>8994 EAST GRAY ROAD</v>
          </cell>
          <cell r="P2282" t="str">
            <v>zlaketn@gmail.com</v>
          </cell>
          <cell r="Q2282" t="str">
            <v>SGH-7140</v>
          </cell>
          <cell r="AJ2282" t="e">
            <v>#N/A</v>
          </cell>
          <cell r="AK2282" t="str">
            <v>SGH-7140</v>
          </cell>
          <cell r="AL2282" t="str">
            <v>SGH7140</v>
          </cell>
        </row>
        <row r="2283">
          <cell r="N2283" t="str">
            <v>CRI-CRI CHILD CARE</v>
          </cell>
          <cell r="O2283" t="str">
            <v>4701 E ANDREW ST</v>
          </cell>
          <cell r="P2283" t="str">
            <v>lettimachado@hotmail.com</v>
          </cell>
          <cell r="Q2283" t="str">
            <v>SGH-14763</v>
          </cell>
          <cell r="AJ2283" t="e">
            <v>#N/A</v>
          </cell>
          <cell r="AK2283" t="str">
            <v>SGH-14763</v>
          </cell>
          <cell r="AL2283" t="str">
            <v>SGH14763</v>
          </cell>
        </row>
        <row r="2284">
          <cell r="N2284" t="str">
            <v>CRUZ CARE HOME DAYCARE</v>
          </cell>
          <cell r="O2284" t="str">
            <v>9311 SOUTH WINTER WOOD ROAD</v>
          </cell>
          <cell r="P2284" t="str">
            <v>cruzcarehd@gmail.com</v>
          </cell>
          <cell r="Q2284" t="str">
            <v>SGH-17884</v>
          </cell>
          <cell r="AJ2284" t="e">
            <v>#N/A</v>
          </cell>
          <cell r="AK2284" t="str">
            <v>SGH-17884</v>
          </cell>
          <cell r="AL2284" t="str">
            <v>SGH17884</v>
          </cell>
        </row>
        <row r="2285">
          <cell r="N2285" t="str">
            <v>CURIOUS ADVENTURES</v>
          </cell>
          <cell r="O2285" t="str">
            <v>8021 E 2ND ST</v>
          </cell>
          <cell r="P2285" t="str">
            <v>gainous3@cox.net</v>
          </cell>
          <cell r="Q2285" t="str">
            <v>SGH-14612</v>
          </cell>
          <cell r="AJ2285" t="e">
            <v>#N/A</v>
          </cell>
          <cell r="AK2285" t="str">
            <v>SGH-14612</v>
          </cell>
          <cell r="AL2285" t="str">
            <v>SGH14612</v>
          </cell>
        </row>
        <row r="2286">
          <cell r="N2286" t="str">
            <v>DAFFODILS</v>
          </cell>
          <cell r="O2286" t="str">
            <v>3010 WEST DONNER DRIVE</v>
          </cell>
          <cell r="P2286" t="str">
            <v>kprimouskbooth@yahoo.com</v>
          </cell>
          <cell r="Q2286" t="str">
            <v>SGH-18263</v>
          </cell>
          <cell r="AJ2286" t="e">
            <v>#N/A</v>
          </cell>
          <cell r="AK2286" t="str">
            <v>SGH-18263</v>
          </cell>
          <cell r="AL2286" t="str">
            <v>SGH18263</v>
          </cell>
        </row>
        <row r="2287">
          <cell r="N2287" t="str">
            <v>DAYCARE LEON L L C</v>
          </cell>
          <cell r="O2287" t="str">
            <v>223 WEST SAGE STREET</v>
          </cell>
          <cell r="P2287" t="str">
            <v>daycareleonllc@gmail.com</v>
          </cell>
          <cell r="Q2287" t="str">
            <v>SGH-18262</v>
          </cell>
          <cell r="AJ2287" t="e">
            <v>#N/A</v>
          </cell>
          <cell r="AK2287" t="str">
            <v>SGH-18262</v>
          </cell>
          <cell r="AL2287" t="str">
            <v>SGH18262</v>
          </cell>
        </row>
        <row r="2288">
          <cell r="N2288" t="str">
            <v>DEE'S CONNECTING HEARTS</v>
          </cell>
          <cell r="O2288" t="str">
            <v>10023 WEST HESS STREET</v>
          </cell>
          <cell r="P2288" t="str">
            <v>deesconnectinghearts@gmail.com</v>
          </cell>
          <cell r="Q2288" t="str">
            <v>SGH-18427</v>
          </cell>
          <cell r="AJ2288" t="e">
            <v>#N/A</v>
          </cell>
          <cell r="AK2288" t="str">
            <v>SGH-18427</v>
          </cell>
          <cell r="AL2288" t="str">
            <v>SGH18427</v>
          </cell>
        </row>
        <row r="2289">
          <cell r="N2289" t="str">
            <v>DENISE'S SAFE HAVEN DAYCARE</v>
          </cell>
          <cell r="O2289" t="str">
            <v>7252 EAST LOMITA AVENUE</v>
          </cell>
          <cell r="P2289" t="str">
            <v>denise9112@yahoo.com</v>
          </cell>
          <cell r="Q2289" t="str">
            <v>SGH-17813</v>
          </cell>
          <cell r="AJ2289" t="e">
            <v>#N/A</v>
          </cell>
          <cell r="AK2289" t="str">
            <v>SGH-17813</v>
          </cell>
          <cell r="AL2289" t="str">
            <v>SGH17813</v>
          </cell>
        </row>
        <row r="2290">
          <cell r="N2290" t="str">
            <v>DIGNA M. PALLAS CHILD CARE</v>
          </cell>
          <cell r="O2290" t="str">
            <v>6019 WEST SHAW BUTTE DRIVE</v>
          </cell>
          <cell r="P2290" t="str">
            <v>digna.pallas@gmail.com</v>
          </cell>
          <cell r="Q2290" t="str">
            <v>SGH-6858</v>
          </cell>
          <cell r="AJ2290" t="e">
            <v>#N/A</v>
          </cell>
          <cell r="AK2290" t="str">
            <v>SGH-6858</v>
          </cell>
          <cell r="AL2290" t="str">
            <v>SGH6858</v>
          </cell>
        </row>
        <row r="2291">
          <cell r="N2291" t="str">
            <v>DISCOVERY WORLD LEARNING CENTER</v>
          </cell>
          <cell r="O2291" t="str">
            <v>6407 WEST IRONWOOD DRIVE</v>
          </cell>
          <cell r="P2291" t="str">
            <v>Discoveryworld2014@yahoo.com</v>
          </cell>
          <cell r="Q2291" t="str">
            <v>SGH-13537</v>
          </cell>
          <cell r="AJ2291" t="e">
            <v>#N/A</v>
          </cell>
          <cell r="AK2291" t="str">
            <v>SGH-13537</v>
          </cell>
          <cell r="AL2291" t="str">
            <v>SGH13537</v>
          </cell>
        </row>
        <row r="2292">
          <cell r="N2292" t="str">
            <v>DO DROP IN CHILD CARE</v>
          </cell>
          <cell r="O2292" t="str">
            <v>5625 SOUTH 11TH PLACE</v>
          </cell>
          <cell r="P2292" t="str">
            <v>ydoobie@hotmail.com</v>
          </cell>
          <cell r="Q2292" t="str">
            <v>SGH-11721</v>
          </cell>
          <cell r="AJ2292" t="e">
            <v>#N/A</v>
          </cell>
          <cell r="AK2292" t="str">
            <v>SGH-11721</v>
          </cell>
          <cell r="AL2292" t="str">
            <v>SGH11721</v>
          </cell>
        </row>
        <row r="2293">
          <cell r="N2293" t="str">
            <v>DONNA'S CHILD CARE</v>
          </cell>
          <cell r="O2293" t="str">
            <v>702 WEST COVENTRY DRIVE</v>
          </cell>
          <cell r="P2293" t="str">
            <v>4dschildcare@gmail.com</v>
          </cell>
          <cell r="Q2293" t="str">
            <v>SGH-15924</v>
          </cell>
          <cell r="AJ2293" t="e">
            <v>#N/A</v>
          </cell>
          <cell r="AK2293" t="str">
            <v>SGH-15924</v>
          </cell>
          <cell r="AL2293" t="str">
            <v>SGH15924</v>
          </cell>
        </row>
        <row r="2294">
          <cell r="N2294" t="str">
            <v>EDUCATION THROUGH CONSCIOUSNESS</v>
          </cell>
          <cell r="O2294" t="str">
            <v>2023 SOUTH 106TH AVENUE</v>
          </cell>
          <cell r="P2294" t="str">
            <v>nataliebatts@gmail.com</v>
          </cell>
          <cell r="Q2294" t="str">
            <v>SGH-18253</v>
          </cell>
          <cell r="AJ2294" t="e">
            <v>#N/A</v>
          </cell>
          <cell r="AK2294" t="str">
            <v>SGH-18253</v>
          </cell>
          <cell r="AL2294" t="str">
            <v>SGH18253</v>
          </cell>
        </row>
        <row r="2295">
          <cell r="N2295" t="str">
            <v>ELITE CHILD CARE</v>
          </cell>
          <cell r="O2295" t="str">
            <v>6901 WEST SHEILA LANE</v>
          </cell>
          <cell r="P2295" t="str">
            <v>kisha74@gmail.com</v>
          </cell>
          <cell r="Q2295" t="str">
            <v>SGH-16759</v>
          </cell>
          <cell r="AJ2295" t="e">
            <v>#N/A</v>
          </cell>
          <cell r="AK2295" t="str">
            <v>SGH-16759</v>
          </cell>
          <cell r="AL2295" t="str">
            <v>SGH16759</v>
          </cell>
        </row>
        <row r="2296">
          <cell r="N2296" t="str">
            <v>ELSA'S GROUP HOME</v>
          </cell>
          <cell r="O2296" t="str">
            <v>5129 SOUTH CASSIA WAY</v>
          </cell>
          <cell r="P2296" t="str">
            <v>elmn20@gmail.com</v>
          </cell>
          <cell r="Q2296" t="str">
            <v>SGH-10829</v>
          </cell>
          <cell r="AJ2296" t="e">
            <v>#N/A</v>
          </cell>
          <cell r="AK2296" t="str">
            <v>SGH-10829</v>
          </cell>
          <cell r="AL2296" t="str">
            <v>SGH10829</v>
          </cell>
        </row>
        <row r="2297">
          <cell r="N2297" t="str">
            <v>EMUNAH MONTESSORI</v>
          </cell>
          <cell r="O2297" t="str">
            <v>1340 EAST MARYLAND AVENUE</v>
          </cell>
          <cell r="P2297" t="str">
            <v>emunahmontessori@yahoo.com</v>
          </cell>
          <cell r="Q2297" t="str">
            <v>SGH-17269</v>
          </cell>
          <cell r="AJ2297" t="e">
            <v>#N/A</v>
          </cell>
          <cell r="AK2297" t="str">
            <v>SGH-17269</v>
          </cell>
          <cell r="AL2297" t="str">
            <v>SGH17269</v>
          </cell>
        </row>
        <row r="2298">
          <cell r="N2298" t="str">
            <v>ENCHANTED HOME MONTESSORI SCHOOL</v>
          </cell>
          <cell r="O2298" t="str">
            <v>5452 WEST WHISPERING WIND DRIVE</v>
          </cell>
          <cell r="P2298" t="str">
            <v>enchanted.h.mont@gmail.com</v>
          </cell>
          <cell r="Q2298" t="str">
            <v>SGH-16995</v>
          </cell>
          <cell r="AJ2298" t="e">
            <v>#N/A</v>
          </cell>
          <cell r="AK2298" t="str">
            <v>SGH-16995</v>
          </cell>
          <cell r="AL2298" t="str">
            <v>SGH16995</v>
          </cell>
        </row>
        <row r="2299">
          <cell r="N2299" t="str">
            <v>ESTES FAMILY DAY CARE</v>
          </cell>
          <cell r="O2299" t="str">
            <v>857 SOUTH 54TH CIRCLE</v>
          </cell>
          <cell r="P2299" t="str">
            <v>kaylestes@centurylink.net</v>
          </cell>
          <cell r="Q2299" t="str">
            <v>SGH-9307</v>
          </cell>
          <cell r="AJ2299" t="e">
            <v>#N/A</v>
          </cell>
          <cell r="AK2299" t="str">
            <v>SGH-9307</v>
          </cell>
          <cell r="AL2299" t="str">
            <v>SGH9307</v>
          </cell>
        </row>
        <row r="2300">
          <cell r="N2300" t="str">
            <v>ESTRELLITA CHILD CARE</v>
          </cell>
          <cell r="O2300" t="str">
            <v>1861 WEST OAK VIEW LANE</v>
          </cell>
          <cell r="P2300" t="str">
            <v>estrellita.childcare@gmail.com</v>
          </cell>
          <cell r="Q2300" t="str">
            <v>SGH-17573</v>
          </cell>
          <cell r="AJ2300" t="e">
            <v>#N/A</v>
          </cell>
          <cell r="AK2300" t="str">
            <v>SGH-17573</v>
          </cell>
          <cell r="AL2300" t="str">
            <v>SGH17573</v>
          </cell>
        </row>
        <row r="2301">
          <cell r="N2301" t="str">
            <v>EXPLORA CHILDCARE</v>
          </cell>
          <cell r="O2301" t="str">
            <v>1851 WEST LANTANA DRIVE</v>
          </cell>
          <cell r="P2301" t="str">
            <v>explora.childcare@gmail.com</v>
          </cell>
          <cell r="Q2301" t="str">
            <v>SGH-15791</v>
          </cell>
          <cell r="AJ2301" t="e">
            <v>#N/A</v>
          </cell>
          <cell r="AK2301" t="str">
            <v>SGH-15791</v>
          </cell>
          <cell r="AL2301" t="str">
            <v>SGH15791</v>
          </cell>
        </row>
        <row r="2302">
          <cell r="N2302" t="str">
            <v>FALY'S CHILD CARE</v>
          </cell>
          <cell r="O2302" t="str">
            <v>2243 WEST 17TH PLACE</v>
          </cell>
          <cell r="P2302" t="str">
            <v>faly@roadrunner.com</v>
          </cell>
          <cell r="Q2302" t="str">
            <v>SGH-11862</v>
          </cell>
          <cell r="AJ2302" t="e">
            <v>#N/A</v>
          </cell>
          <cell r="AK2302" t="str">
            <v>SGH-11862</v>
          </cell>
          <cell r="AL2302" t="str">
            <v>SGH11862</v>
          </cell>
        </row>
        <row r="2303">
          <cell r="N2303" t="str">
            <v>FAMANIA LEARNING CENTER</v>
          </cell>
          <cell r="O2303" t="str">
            <v>3333 EAST EDNA LOPEZ COURT</v>
          </cell>
          <cell r="P2303" t="str">
            <v>mrs.famania24@gmail.com</v>
          </cell>
          <cell r="Q2303" t="str">
            <v>SGH-18206</v>
          </cell>
          <cell r="AJ2303" t="e">
            <v>#N/A</v>
          </cell>
          <cell r="AK2303" t="str">
            <v>SGH-18206</v>
          </cell>
          <cell r="AL2303" t="str">
            <v>SGH18206</v>
          </cell>
        </row>
        <row r="2304">
          <cell r="N2304" t="str">
            <v>FIRST STEPS TO READING PRESCHOOL</v>
          </cell>
          <cell r="O2304" t="str">
            <v>1425 EAST 2ND PLACE</v>
          </cell>
          <cell r="P2304" t="str">
            <v>jenj717@live.com</v>
          </cell>
          <cell r="Q2304" t="str">
            <v>SGH-16647</v>
          </cell>
          <cell r="AJ2304" t="e">
            <v>#N/A</v>
          </cell>
          <cell r="AK2304" t="str">
            <v>SGH-16647</v>
          </cell>
          <cell r="AL2304" t="str">
            <v>SGH16647</v>
          </cell>
        </row>
        <row r="2305">
          <cell r="N2305" t="str">
            <v>FOUNDATIONS EARLY EDUCATION ACADEMY, L.L.C.</v>
          </cell>
          <cell r="O2305" t="str">
            <v>3545 WEST MONTE WAY</v>
          </cell>
          <cell r="P2305" t="str">
            <v>foundationsacademy19@gmail.com</v>
          </cell>
          <cell r="Q2305" t="str">
            <v>SGH-18496</v>
          </cell>
          <cell r="AJ2305" t="e">
            <v>#N/A</v>
          </cell>
          <cell r="AK2305" t="str">
            <v>SGH-18496</v>
          </cell>
          <cell r="AL2305" t="str">
            <v>SGH18496</v>
          </cell>
        </row>
        <row r="2306">
          <cell r="N2306" t="str">
            <v>GABBY'S FAMILY CHILD CARE</v>
          </cell>
          <cell r="O2306" t="str">
            <v>1732 WEST 26TH DRIVE</v>
          </cell>
          <cell r="P2306" t="str">
            <v>fgabby.hdez.72@hotmail.com</v>
          </cell>
          <cell r="Q2306" t="str">
            <v>SGH-18036</v>
          </cell>
          <cell r="AJ2306" t="e">
            <v>#N/A</v>
          </cell>
          <cell r="AK2306" t="str">
            <v>SGH-18036</v>
          </cell>
          <cell r="AL2306" t="str">
            <v>SGH18036</v>
          </cell>
        </row>
        <row r="2307">
          <cell r="N2307" t="str">
            <v>GABY'S CHILDCARE</v>
          </cell>
          <cell r="O2307" t="str">
            <v>2771 WEST DAKOTA STREET</v>
          </cell>
          <cell r="P2307" t="str">
            <v>gabyschildcare520@gmail.com</v>
          </cell>
          <cell r="Q2307" t="str">
            <v>SGH-15983</v>
          </cell>
          <cell r="AJ2307" t="e">
            <v>#N/A</v>
          </cell>
          <cell r="AK2307" t="str">
            <v>SGH-15983</v>
          </cell>
          <cell r="AL2307" t="str">
            <v>SGH15983</v>
          </cell>
        </row>
        <row r="2308">
          <cell r="N2308" t="str">
            <v>GARCIA'S CHILD CARE</v>
          </cell>
          <cell r="O2308" t="str">
            <v>5600 SOUTH COUNTRY CLUB ROAD #168</v>
          </cell>
          <cell r="P2308" t="str">
            <v>OLGAGL181950@YAHOO.COM</v>
          </cell>
          <cell r="Q2308" t="str">
            <v>SGH-18863</v>
          </cell>
          <cell r="AJ2308" t="e">
            <v>#N/A</v>
          </cell>
          <cell r="AK2308" t="str">
            <v>SGH-18863</v>
          </cell>
          <cell r="AL2308" t="str">
            <v>SGH18863</v>
          </cell>
        </row>
        <row r="2309">
          <cell r="N2309" t="str">
            <v>GARCIA'S FAMILY CARE PROVIDERS</v>
          </cell>
          <cell r="O2309" t="str">
            <v>1655 WEST AJO WAY #635</v>
          </cell>
          <cell r="P2309" t="str">
            <v>jg97053@yahoo.com</v>
          </cell>
          <cell r="Q2309" t="str">
            <v>SGH-18022</v>
          </cell>
          <cell r="AJ2309" t="e">
            <v>#N/A</v>
          </cell>
          <cell r="AK2309" t="str">
            <v>SGH-18022</v>
          </cell>
          <cell r="AL2309" t="str">
            <v>SGH18022</v>
          </cell>
        </row>
        <row r="2310">
          <cell r="N2310" t="str">
            <v>GEE WIZ</v>
          </cell>
          <cell r="O2310" t="str">
            <v>2684 EAST DEL RIO STREET</v>
          </cell>
          <cell r="P2310" t="str">
            <v>geewizkidz@gmail.com</v>
          </cell>
          <cell r="Q2310" t="str">
            <v>SGH-14426</v>
          </cell>
          <cell r="AJ2310" t="e">
            <v>#N/A</v>
          </cell>
          <cell r="AK2310" t="str">
            <v>SGH-14426</v>
          </cell>
          <cell r="AL2310" t="str">
            <v>SGH14426</v>
          </cell>
        </row>
        <row r="2311">
          <cell r="N2311" t="str">
            <v>GENESIS CHILDCARE L.L.C.</v>
          </cell>
          <cell r="O2311" t="str">
            <v>6142 EAST 17TH STREET</v>
          </cell>
          <cell r="P2311" t="str">
            <v>genesischildcaretucson@gmail.com</v>
          </cell>
          <cell r="Q2311" t="str">
            <v>SGH-16885</v>
          </cell>
          <cell r="AJ2311" t="e">
            <v>#N/A</v>
          </cell>
          <cell r="AK2311" t="str">
            <v>SGH-16885</v>
          </cell>
          <cell r="AL2311" t="str">
            <v>SGH16885</v>
          </cell>
        </row>
        <row r="2312">
          <cell r="N2312" t="str">
            <v>GINGERBREAD HOUSE DAYCARE</v>
          </cell>
          <cell r="O2312" t="str">
            <v>229 WEST 22ND STREET</v>
          </cell>
          <cell r="P2312" t="str">
            <v>nessa212004@yahoo.com</v>
          </cell>
          <cell r="Q2312" t="str">
            <v>SGH-13322</v>
          </cell>
          <cell r="AJ2312" t="e">
            <v>#N/A</v>
          </cell>
          <cell r="AK2312" t="str">
            <v>SGH-13322</v>
          </cell>
          <cell r="AL2312" t="str">
            <v>SGH13322</v>
          </cell>
        </row>
        <row r="2313">
          <cell r="N2313" t="str">
            <v>GOLDEN CHILD</v>
          </cell>
          <cell r="O2313" t="str">
            <v>901 EAST 7TH STREET</v>
          </cell>
          <cell r="P2313" t="str">
            <v>goldenchild3530@gmail.com</v>
          </cell>
          <cell r="Q2313" t="str">
            <v>SGH-18771</v>
          </cell>
          <cell r="AJ2313" t="e">
            <v>#N/A</v>
          </cell>
          <cell r="AK2313" t="str">
            <v>SGH-18771</v>
          </cell>
          <cell r="AL2313" t="str">
            <v>SGH18771</v>
          </cell>
        </row>
        <row r="2314">
          <cell r="N2314" t="str">
            <v>GRAND STAR CHILD CARE</v>
          </cell>
          <cell r="O2314" t="str">
            <v>5860 SOUTH HILLERMAN</v>
          </cell>
          <cell r="P2314" t="str">
            <v>grandstarchildcare@outlook.com</v>
          </cell>
          <cell r="Q2314" t="str">
            <v>SGH-17304</v>
          </cell>
          <cell r="AJ2314" t="e">
            <v>#N/A</v>
          </cell>
          <cell r="AK2314" t="str">
            <v>SGH-17304</v>
          </cell>
          <cell r="AL2314" t="str">
            <v>SGH17304</v>
          </cell>
        </row>
        <row r="2315">
          <cell r="N2315" t="str">
            <v>GRANNIE'S HOUSE L.L.C.</v>
          </cell>
          <cell r="O2315" t="str">
            <v>4620 NORTH NOEL DRIVE</v>
          </cell>
          <cell r="P2315" t="str">
            <v>aneerayne@cableone.net</v>
          </cell>
          <cell r="Q2315" t="str">
            <v>SGH-15916</v>
          </cell>
          <cell r="AJ2315" t="e">
            <v>#N/A</v>
          </cell>
          <cell r="AK2315" t="str">
            <v>SGH-15916</v>
          </cell>
          <cell r="AL2315" t="str">
            <v>SGH15916</v>
          </cell>
        </row>
        <row r="2316">
          <cell r="N2316" t="str">
            <v>GRANNY MAE'S CHILDCARE</v>
          </cell>
          <cell r="O2316" t="str">
            <v>3510 NORTH HEATHER LANE</v>
          </cell>
          <cell r="P2316" t="str">
            <v>tarquesia22@gmail.com</v>
          </cell>
          <cell r="Q2316" t="str">
            <v>SGH-18462</v>
          </cell>
          <cell r="AJ2316" t="e">
            <v>#N/A</v>
          </cell>
          <cell r="AK2316" t="str">
            <v>SGH-18462</v>
          </cell>
          <cell r="AL2316" t="str">
            <v>SGH18462</v>
          </cell>
        </row>
        <row r="2317">
          <cell r="N2317" t="str">
            <v>HAPPY FACE DAY CARE</v>
          </cell>
          <cell r="O2317" t="str">
            <v>1739 WEST 26TH DRIVE</v>
          </cell>
          <cell r="P2317" t="str">
            <v>lauraesquer61@gmail.com</v>
          </cell>
          <cell r="Q2317" t="str">
            <v>SGH-11775</v>
          </cell>
          <cell r="AJ2317" t="e">
            <v>#N/A</v>
          </cell>
          <cell r="AK2317" t="str">
            <v>SGH-11775</v>
          </cell>
          <cell r="AL2317" t="str">
            <v>SGH11775</v>
          </cell>
        </row>
        <row r="2318">
          <cell r="N2318" t="str">
            <v>HAPPY FRIENDS CHILDCARE L L C</v>
          </cell>
          <cell r="O2318" t="str">
            <v>448 SOUTH 165TH LANE</v>
          </cell>
          <cell r="P2318" t="str">
            <v>happyfriendschildcare28@gmail.com</v>
          </cell>
          <cell r="Q2318" t="str">
            <v>SGH-15869</v>
          </cell>
          <cell r="AJ2318" t="e">
            <v>#N/A</v>
          </cell>
          <cell r="AK2318" t="str">
            <v>SGH-15869</v>
          </cell>
          <cell r="AL2318" t="str">
            <v>SGH15869</v>
          </cell>
        </row>
        <row r="2319">
          <cell r="N2319" t="str">
            <v>HELPFUL LITTLE HANDS</v>
          </cell>
          <cell r="O2319" t="str">
            <v>1431 NORTH BEVERLY AVENUE</v>
          </cell>
          <cell r="P2319" t="str">
            <v>helpful.little.hands@gmail.com</v>
          </cell>
          <cell r="Q2319" t="str">
            <v>SGH-18278</v>
          </cell>
          <cell r="AJ2319" t="e">
            <v>#N/A</v>
          </cell>
          <cell r="AK2319" t="str">
            <v>SGH-18278</v>
          </cell>
          <cell r="AL2319" t="str">
            <v>SGH18278</v>
          </cell>
        </row>
        <row r="2320">
          <cell r="N2320" t="str">
            <v>HELPING HANDS CHILDCARE</v>
          </cell>
          <cell r="O2320" t="str">
            <v>11018 WEST MADISON STREET</v>
          </cell>
          <cell r="P2320" t="str">
            <v>helpinghandschildcareaz@gmail.com</v>
          </cell>
          <cell r="Q2320" t="str">
            <v>SGH-18065</v>
          </cell>
          <cell r="AJ2320" t="e">
            <v>#N/A</v>
          </cell>
          <cell r="AK2320" t="str">
            <v>SGH-18065</v>
          </cell>
          <cell r="AL2320" t="str">
            <v>SGH18065</v>
          </cell>
        </row>
        <row r="2321">
          <cell r="N2321" t="str">
            <v>HI KIDS CHILDCARE PRE SCHOOL</v>
          </cell>
          <cell r="O2321" t="str">
            <v>1456 BABBIT LANE</v>
          </cell>
          <cell r="P2321" t="str">
            <v>adayessie@yahoo.com</v>
          </cell>
          <cell r="Q2321" t="str">
            <v>SGH-11610</v>
          </cell>
          <cell r="AJ2321" t="e">
            <v>#N/A</v>
          </cell>
          <cell r="AK2321" t="str">
            <v>SGH-11610</v>
          </cell>
          <cell r="AL2321" t="str">
            <v>SGH11610</v>
          </cell>
        </row>
        <row r="2322">
          <cell r="N2322" t="str">
            <v>HONEY BEE'S DAY CARE</v>
          </cell>
          <cell r="O2322" t="str">
            <v>8543 WEST BERKELEY ROAD</v>
          </cell>
          <cell r="P2322" t="str">
            <v>yesseniaacevedo1996@yahoo.com</v>
          </cell>
          <cell r="Q2322" t="str">
            <v>SGH-16176</v>
          </cell>
          <cell r="AJ2322" t="e">
            <v>#N/A</v>
          </cell>
          <cell r="AK2322" t="str">
            <v>SGH-16176</v>
          </cell>
          <cell r="AL2322" t="str">
            <v>SGH16176</v>
          </cell>
        </row>
        <row r="2323">
          <cell r="N2323" t="str">
            <v>HOPSCOTCH PRESCHOOL</v>
          </cell>
          <cell r="O2323" t="str">
            <v>10613 EAST MENDOZA AVENUE</v>
          </cell>
          <cell r="P2323" t="str">
            <v>cckpp@hotmail.com</v>
          </cell>
          <cell r="Q2323" t="str">
            <v>SGH-18743</v>
          </cell>
          <cell r="AJ2323" t="e">
            <v>#N/A</v>
          </cell>
          <cell r="AK2323" t="str">
            <v>SGH-18743</v>
          </cell>
          <cell r="AL2323" t="str">
            <v>SGH18743</v>
          </cell>
        </row>
        <row r="2324">
          <cell r="N2324" t="str">
            <v>I CARE DAYCARE AND LEARNING</v>
          </cell>
          <cell r="O2324" t="str">
            <v>4821 WEST CAROL AVENUE</v>
          </cell>
          <cell r="P2324" t="str">
            <v>icaredaycareang@aol.com</v>
          </cell>
          <cell r="Q2324" t="str">
            <v>SGH-16789</v>
          </cell>
          <cell r="AJ2324" t="e">
            <v>#N/A</v>
          </cell>
          <cell r="AK2324" t="str">
            <v>SGH-16789</v>
          </cell>
          <cell r="AL2324" t="str">
            <v>SGH16789</v>
          </cell>
        </row>
        <row r="2325">
          <cell r="N2325" t="str">
            <v>IMELDA'S CHILD CARE</v>
          </cell>
          <cell r="O2325" t="str">
            <v>12635 NORTH WHITE AVE</v>
          </cell>
          <cell r="P2325" t="str">
            <v>imoreno157@yahoo.com</v>
          </cell>
          <cell r="Q2325" t="str">
            <v>SGH-14828</v>
          </cell>
          <cell r="AJ2325" t="e">
            <v>#N/A</v>
          </cell>
          <cell r="AK2325" t="str">
            <v>SGH-14828</v>
          </cell>
          <cell r="AL2325" t="str">
            <v>SGH14828</v>
          </cell>
        </row>
        <row r="2326">
          <cell r="N2326" t="str">
            <v>INFANT &amp; TODDLER CHILD CARE</v>
          </cell>
          <cell r="O2326" t="str">
            <v>179 NORTH 236TH AVENUE</v>
          </cell>
          <cell r="P2326" t="str">
            <v>infanttoddler.buckeye@gmail.com</v>
          </cell>
          <cell r="Q2326" t="str">
            <v>SGH-15800</v>
          </cell>
          <cell r="AJ2326" t="e">
            <v>#N/A</v>
          </cell>
          <cell r="AK2326" t="str">
            <v>SGH-15800</v>
          </cell>
          <cell r="AL2326" t="str">
            <v>SGH15800</v>
          </cell>
        </row>
        <row r="2327">
          <cell r="N2327" t="str">
            <v>ISAAC GROUP HOME CARE</v>
          </cell>
          <cell r="O2327" t="str">
            <v>5530 NORTH 61ST LANE</v>
          </cell>
          <cell r="P2327" t="str">
            <v>isaaclabin@yahoo.com</v>
          </cell>
          <cell r="Q2327" t="str">
            <v>SGH-18397</v>
          </cell>
          <cell r="AJ2327" t="e">
            <v>#N/A</v>
          </cell>
          <cell r="AK2327" t="str">
            <v>SGH-18397</v>
          </cell>
          <cell r="AL2327" t="str">
            <v>SGH18397</v>
          </cell>
        </row>
        <row r="2328">
          <cell r="N2328" t="str">
            <v>IZZY'S PRESCHOOL AND CHILD CARE</v>
          </cell>
          <cell r="O2328" t="str">
            <v>1569 ARCADIA BOULEVARD</v>
          </cell>
          <cell r="P2328" t="str">
            <v>christina.vasquez@yahoo.com</v>
          </cell>
          <cell r="Q2328" t="str">
            <v>SGH-15633</v>
          </cell>
          <cell r="AJ2328" t="e">
            <v>#N/A</v>
          </cell>
          <cell r="AK2328" t="str">
            <v>SGH-15633</v>
          </cell>
          <cell r="AL2328" t="str">
            <v>SGH15633</v>
          </cell>
        </row>
        <row r="2329">
          <cell r="N2329" t="str">
            <v>J &amp; R'S FAMILY CHILD CARE</v>
          </cell>
          <cell r="O2329" t="str">
            <v>4641 EAST LASALLE STREET</v>
          </cell>
          <cell r="P2329" t="str">
            <v>jhendrix4641@gmail.com</v>
          </cell>
          <cell r="Q2329" t="str">
            <v>SGH-9927</v>
          </cell>
          <cell r="AJ2329" t="e">
            <v>#N/A</v>
          </cell>
          <cell r="AK2329" t="str">
            <v>SGH-9927</v>
          </cell>
          <cell r="AL2329" t="str">
            <v>SGH9927</v>
          </cell>
        </row>
        <row r="2330">
          <cell r="N2330" t="str">
            <v>J J'S LEARNING CENTER</v>
          </cell>
          <cell r="O2330" t="str">
            <v>622 N 48TH STREET</v>
          </cell>
          <cell r="P2330" t="str">
            <v>jessievalle1213@gmail.com</v>
          </cell>
          <cell r="Q2330" t="str">
            <v>SGH-18512</v>
          </cell>
          <cell r="AJ2330" t="e">
            <v>#N/A</v>
          </cell>
          <cell r="AK2330" t="str">
            <v>SGH-18512</v>
          </cell>
          <cell r="AL2330" t="str">
            <v>SGH18512</v>
          </cell>
        </row>
        <row r="2331">
          <cell r="N2331" t="str">
            <v>JACQUELINE'S CHILD CARE</v>
          </cell>
          <cell r="O2331" t="str">
            <v>2110 S MONTEZUMA AVE</v>
          </cell>
          <cell r="P2331" t="str">
            <v>mardmarquez@hotmail.com</v>
          </cell>
          <cell r="Q2331" t="str">
            <v>SGH-12716</v>
          </cell>
          <cell r="AJ2331" t="e">
            <v>#N/A</v>
          </cell>
          <cell r="AK2331" t="str">
            <v>SGH-12716</v>
          </cell>
          <cell r="AL2331" t="str">
            <v>SGH12716</v>
          </cell>
        </row>
        <row r="2332">
          <cell r="N2332" t="str">
            <v>JAYNAES DAYCARE CENTER, L.L.C.</v>
          </cell>
          <cell r="O2332" t="str">
            <v>7212 WEST BEVERLY ROAD</v>
          </cell>
          <cell r="P2332" t="str">
            <v>jaynaerobinson016@yahoo.com</v>
          </cell>
          <cell r="Q2332" t="str">
            <v>SGH-18088</v>
          </cell>
          <cell r="AJ2332" t="e">
            <v>#N/A</v>
          </cell>
          <cell r="AK2332" t="str">
            <v>SGH-18088</v>
          </cell>
          <cell r="AL2332" t="str">
            <v>SGH18088</v>
          </cell>
        </row>
        <row r="2333">
          <cell r="N2333" t="str">
            <v>JELLY BEAN CHILD CARE</v>
          </cell>
          <cell r="O2333" t="str">
            <v>4741 WEST RED WOLF DRIVE</v>
          </cell>
          <cell r="P2333" t="str">
            <v>MILDRED54@HOTMAIL.COM</v>
          </cell>
          <cell r="Q2333" t="str">
            <v>SGH-18461</v>
          </cell>
          <cell r="AJ2333" t="e">
            <v>#N/A</v>
          </cell>
          <cell r="AK2333" t="str">
            <v>SGH-18461</v>
          </cell>
          <cell r="AL2333" t="str">
            <v>SGH18461</v>
          </cell>
        </row>
        <row r="2334">
          <cell r="N2334" t="str">
            <v>JENSY MANZO NIDO</v>
          </cell>
          <cell r="O2334" t="str">
            <v>6307 SOUTH 45TH LANE</v>
          </cell>
          <cell r="P2334" t="str">
            <v>jensymanzo@gmail.com</v>
          </cell>
          <cell r="Q2334" t="str">
            <v>SGH-18383</v>
          </cell>
          <cell r="AJ2334" t="e">
            <v>#N/A</v>
          </cell>
          <cell r="AK2334" t="str">
            <v>SGH-18383</v>
          </cell>
          <cell r="AL2334" t="str">
            <v>SGH18383</v>
          </cell>
        </row>
        <row r="2335">
          <cell r="N2335" t="str">
            <v>JHIRE DAY CARE GROUP HOME</v>
          </cell>
          <cell r="O2335" t="str">
            <v>7101 E 31ST ST</v>
          </cell>
          <cell r="P2335" t="str">
            <v>jhire2010@live.com</v>
          </cell>
          <cell r="Q2335" t="str">
            <v>SGH-16845</v>
          </cell>
          <cell r="AJ2335" t="e">
            <v>#N/A</v>
          </cell>
          <cell r="AK2335" t="str">
            <v>SGH-16845</v>
          </cell>
          <cell r="AL2335" t="str">
            <v>SGH16845</v>
          </cell>
        </row>
        <row r="2336">
          <cell r="N2336" t="str">
            <v>JULIE'S HOME</v>
          </cell>
          <cell r="O2336" t="str">
            <v>2927 WEST MEADOW DRIVE</v>
          </cell>
          <cell r="P2336" t="str">
            <v>julie.miguel@yahoo.com</v>
          </cell>
          <cell r="Q2336" t="str">
            <v>SGH-16601</v>
          </cell>
          <cell r="AJ2336" t="e">
            <v>#N/A</v>
          </cell>
          <cell r="AK2336" t="str">
            <v>SGH-16601</v>
          </cell>
          <cell r="AL2336" t="str">
            <v>SGH16601</v>
          </cell>
        </row>
        <row r="2337">
          <cell r="N2337" t="str">
            <v>JUS 4 ME CHILDCARE GROUP HOME</v>
          </cell>
          <cell r="O2337" t="str">
            <v>1631 WEST SUNLAND</v>
          </cell>
          <cell r="P2337" t="str">
            <v>jus4mechildcare@gmail.com</v>
          </cell>
          <cell r="Q2337" t="str">
            <v>SGH-18501</v>
          </cell>
          <cell r="AJ2337" t="e">
            <v>#N/A</v>
          </cell>
          <cell r="AK2337" t="str">
            <v>SGH-18501</v>
          </cell>
          <cell r="AL2337" t="str">
            <v>SGH18501</v>
          </cell>
        </row>
        <row r="2338">
          <cell r="N2338" t="str">
            <v>KARA'S DAYCARE</v>
          </cell>
          <cell r="O2338" t="str">
            <v>3900 NORTH FORT GRANT ROAD</v>
          </cell>
          <cell r="P2338" t="str">
            <v>karamajewski73@gmail.com</v>
          </cell>
          <cell r="Q2338" t="str">
            <v>SGH-18248</v>
          </cell>
          <cell r="AJ2338" t="e">
            <v>#N/A</v>
          </cell>
          <cell r="AK2338" t="str">
            <v>SGH-18248</v>
          </cell>
          <cell r="AL2338" t="str">
            <v>SGH18248</v>
          </cell>
        </row>
        <row r="2339">
          <cell r="N2339" t="str">
            <v>KELLY RAY</v>
          </cell>
          <cell r="O2339" t="str">
            <v>22653 W MOHAVE STREET</v>
          </cell>
          <cell r="P2339" t="str">
            <v>kellyrayma@gmail.com</v>
          </cell>
          <cell r="Q2339" t="str">
            <v>SGH-18481</v>
          </cell>
          <cell r="AJ2339" t="e">
            <v>#N/A</v>
          </cell>
          <cell r="AK2339" t="str">
            <v>SGH-18481</v>
          </cell>
          <cell r="AL2339" t="str">
            <v>SGH18481</v>
          </cell>
        </row>
        <row r="2340">
          <cell r="N2340" t="str">
            <v>KEYA'S KIDZ</v>
          </cell>
          <cell r="O2340" t="str">
            <v>29001 NORTH WELTON PLACE</v>
          </cell>
          <cell r="P2340" t="str">
            <v>keyaskidz@gmail.com</v>
          </cell>
          <cell r="Q2340" t="str">
            <v>SGH-17720</v>
          </cell>
          <cell r="AJ2340" t="e">
            <v>#N/A</v>
          </cell>
          <cell r="AK2340" t="str">
            <v>SGH-17720</v>
          </cell>
          <cell r="AL2340" t="str">
            <v>SGH17720</v>
          </cell>
        </row>
        <row r="2341">
          <cell r="N2341" t="str">
            <v>KIDDYLAND I I</v>
          </cell>
          <cell r="O2341" t="str">
            <v>9628 EAST PASEO JUAN TABO</v>
          </cell>
          <cell r="P2341" t="str">
            <v>nancysooy@cox.net</v>
          </cell>
          <cell r="Q2341" t="str">
            <v>SGH-15414</v>
          </cell>
          <cell r="AJ2341" t="e">
            <v>#N/A</v>
          </cell>
          <cell r="AK2341" t="str">
            <v>SGH-15414</v>
          </cell>
          <cell r="AL2341" t="str">
            <v>SGH15414</v>
          </cell>
        </row>
        <row r="2342">
          <cell r="N2342" t="str">
            <v>KIDS CLUB</v>
          </cell>
          <cell r="O2342" t="str">
            <v>6057 PARAPET CIRCLE</v>
          </cell>
          <cell r="P2342" t="str">
            <v>fantashia@cableone.net</v>
          </cell>
          <cell r="Q2342" t="str">
            <v>SGH-14130</v>
          </cell>
          <cell r="AJ2342" t="e">
            <v>#N/A</v>
          </cell>
          <cell r="AK2342" t="str">
            <v>SGH-14130</v>
          </cell>
          <cell r="AL2342" t="str">
            <v>SGH14130</v>
          </cell>
        </row>
        <row r="2343">
          <cell r="N2343" t="str">
            <v>KIDS CLUB DAY CARE</v>
          </cell>
          <cell r="O2343" t="str">
            <v>2113 EAST GRENADINE ROAD</v>
          </cell>
          <cell r="P2343" t="str">
            <v>mhermosillo82@gmail.com</v>
          </cell>
          <cell r="Q2343" t="str">
            <v>SGH-16380</v>
          </cell>
          <cell r="AJ2343" t="e">
            <v>#N/A</v>
          </cell>
          <cell r="AK2343" t="str">
            <v>SGH-16380</v>
          </cell>
          <cell r="AL2343" t="str">
            <v>SGH16380</v>
          </cell>
        </row>
        <row r="2344">
          <cell r="N2344" t="str">
            <v>KIDS COMFORT CORNER</v>
          </cell>
          <cell r="O2344" t="str">
            <v>618 WEST ELLIS STREET</v>
          </cell>
          <cell r="P2344" t="str">
            <v>thedarringtons618@hotmail.com</v>
          </cell>
          <cell r="Q2344" t="str">
            <v>SGH-10096</v>
          </cell>
          <cell r="AJ2344" t="e">
            <v>#N/A</v>
          </cell>
          <cell r="AK2344" t="str">
            <v>SGH-10096</v>
          </cell>
          <cell r="AL2344" t="str">
            <v>SGH10096</v>
          </cell>
        </row>
        <row r="2345">
          <cell r="N2345" t="str">
            <v>KIDS CORNER</v>
          </cell>
          <cell r="O2345" t="str">
            <v>871 DESERT JEWEL DRIVE</v>
          </cell>
          <cell r="P2345" t="str">
            <v>jlburnett02@gmail.com</v>
          </cell>
          <cell r="Q2345" t="str">
            <v>SGH-11698</v>
          </cell>
          <cell r="AJ2345" t="e">
            <v>#N/A</v>
          </cell>
          <cell r="AK2345" t="str">
            <v>SGH-11698</v>
          </cell>
          <cell r="AL2345" t="str">
            <v>SGH11698</v>
          </cell>
        </row>
        <row r="2346">
          <cell r="N2346" t="str">
            <v>KIDS HOUSE MONTESSORI DAYCARE &amp; PRESCHOOL</v>
          </cell>
          <cell r="O2346" t="str">
            <v>162 N ESCALADA DR</v>
          </cell>
          <cell r="P2346" t="str">
            <v>jethza@yahoo.com</v>
          </cell>
          <cell r="Q2346" t="str">
            <v>SGH-14369</v>
          </cell>
          <cell r="AJ2346" t="e">
            <v>#N/A</v>
          </cell>
          <cell r="AK2346" t="str">
            <v>SGH-14369</v>
          </cell>
          <cell r="AL2346" t="str">
            <v>SGH14369</v>
          </cell>
        </row>
        <row r="2347">
          <cell r="N2347" t="str">
            <v>KIDS SPACE</v>
          </cell>
          <cell r="O2347" t="str">
            <v>1453 SOUTH PAGENT AVENUE</v>
          </cell>
          <cell r="P2347" t="str">
            <v>kidsspaceaz@gmail.com</v>
          </cell>
          <cell r="Q2347" t="str">
            <v>SGH-13460</v>
          </cell>
          <cell r="AJ2347" t="e">
            <v>#N/A</v>
          </cell>
          <cell r="AK2347" t="str">
            <v>SGH-13460</v>
          </cell>
          <cell r="AL2347" t="str">
            <v>SGH13460</v>
          </cell>
        </row>
        <row r="2348">
          <cell r="N2348" t="str">
            <v>KIDZ KORNER</v>
          </cell>
          <cell r="O2348" t="str">
            <v>1010 WEST BRIDLEPATH LANE</v>
          </cell>
          <cell r="P2348" t="str">
            <v>lidiamadrid930@yahoo.com</v>
          </cell>
          <cell r="Q2348" t="str">
            <v>SGH-15756</v>
          </cell>
          <cell r="AJ2348" t="e">
            <v>#N/A</v>
          </cell>
          <cell r="AK2348" t="str">
            <v>SGH-15756</v>
          </cell>
          <cell r="AL2348" t="str">
            <v>SGH15756</v>
          </cell>
        </row>
        <row r="2349">
          <cell r="N2349" t="str">
            <v>KIDZ WORLD CHILD CARE, L.L.C.</v>
          </cell>
          <cell r="O2349" t="str">
            <v>8442 SOUTH 19TH STREET</v>
          </cell>
          <cell r="P2349" t="str">
            <v>arnettapierce@aol.com</v>
          </cell>
          <cell r="Q2349" t="str">
            <v>SGH-15043</v>
          </cell>
          <cell r="AJ2349" t="e">
            <v>#N/A</v>
          </cell>
          <cell r="AK2349" t="str">
            <v>SGH-15043</v>
          </cell>
          <cell r="AL2349" t="str">
            <v>SGH15043</v>
          </cell>
        </row>
        <row r="2350">
          <cell r="N2350" t="str">
            <v>KINDER'S PARADISE DAYCARE, L.L.C.</v>
          </cell>
          <cell r="O2350" t="str">
            <v>7822 SOUTH 64TH LANE</v>
          </cell>
          <cell r="P2350" t="str">
            <v>lmviseur@gmail.com</v>
          </cell>
          <cell r="Q2350" t="str">
            <v>SGH-17705</v>
          </cell>
          <cell r="AJ2350" t="e">
            <v>#N/A</v>
          </cell>
          <cell r="AK2350" t="str">
            <v>SGH-17705</v>
          </cell>
          <cell r="AL2350" t="str">
            <v>SGH17705</v>
          </cell>
        </row>
        <row r="2351">
          <cell r="N2351" t="str">
            <v>KINDERET CHILDCARE</v>
          </cell>
          <cell r="O2351" t="str">
            <v>5833 EAST 19TH STREET</v>
          </cell>
          <cell r="P2351" t="str">
            <v>kinderetchildcare@yahoo.com</v>
          </cell>
          <cell r="Q2351" t="str">
            <v>SGH-17331</v>
          </cell>
          <cell r="AJ2351" t="e">
            <v>#N/A</v>
          </cell>
          <cell r="AK2351" t="str">
            <v>SGH-17331</v>
          </cell>
          <cell r="AL2351" t="str">
            <v>SGH17331</v>
          </cell>
        </row>
        <row r="2352">
          <cell r="N2352" t="str">
            <v>KUDDLE BUGZ</v>
          </cell>
          <cell r="O2352" t="str">
            <v>6806 NORTH 32ND AVENUE</v>
          </cell>
          <cell r="P2352" t="str">
            <v>rosalynharraway@yahoo.com</v>
          </cell>
          <cell r="Q2352" t="str">
            <v>SGH-17132</v>
          </cell>
          <cell r="AJ2352" t="e">
            <v>#N/A</v>
          </cell>
          <cell r="AK2352" t="str">
            <v>SGH-17132</v>
          </cell>
          <cell r="AL2352" t="str">
            <v>SGH17132</v>
          </cell>
        </row>
        <row r="2353">
          <cell r="N2353" t="str">
            <v>LA LUNA NURSERY</v>
          </cell>
          <cell r="O2353" t="str">
            <v>4413 EAST MESQUITE DESERT TRAIL</v>
          </cell>
          <cell r="P2353" t="str">
            <v>ADRIANA.BARROW@YAHOO.COM</v>
          </cell>
          <cell r="Q2353" t="str">
            <v>SGH-18219</v>
          </cell>
          <cell r="AJ2353" t="e">
            <v>#N/A</v>
          </cell>
          <cell r="AK2353" t="str">
            <v>SGH-18219</v>
          </cell>
          <cell r="AL2353" t="str">
            <v>SGH18219</v>
          </cell>
        </row>
        <row r="2354">
          <cell r="N2354" t="str">
            <v>LADYBUG HOUSE CHILDCARE</v>
          </cell>
          <cell r="O2354" t="str">
            <v>1546 WEST BEANTREE LANE</v>
          </cell>
          <cell r="P2354" t="str">
            <v>eva@ladybugchildcare.org</v>
          </cell>
          <cell r="Q2354" t="str">
            <v>SGH-17904</v>
          </cell>
          <cell r="AJ2354" t="e">
            <v>#N/A</v>
          </cell>
          <cell r="AK2354" t="str">
            <v>SGH-17904</v>
          </cell>
          <cell r="AL2354" t="str">
            <v>SGH17904</v>
          </cell>
        </row>
        <row r="2355">
          <cell r="N2355" t="str">
            <v>LAMONEI</v>
          </cell>
          <cell r="O2355" t="str">
            <v>2682 WEST ROADRUNNER RD</v>
          </cell>
          <cell r="P2355" t="str">
            <v>gladiscare.1@gmail.com</v>
          </cell>
          <cell r="Q2355" t="str">
            <v>SGH-18021</v>
          </cell>
          <cell r="AJ2355" t="e">
            <v>#N/A</v>
          </cell>
          <cell r="AK2355" t="str">
            <v>SGH-18021</v>
          </cell>
          <cell r="AL2355" t="str">
            <v>SGH18021</v>
          </cell>
        </row>
        <row r="2356">
          <cell r="N2356" t="str">
            <v>LEARNING BY LEAPS AND BOUNDS</v>
          </cell>
          <cell r="O2356" t="str">
            <v>7001 EAST COLONIAL CLUB DRIVE</v>
          </cell>
          <cell r="P2356" t="str">
            <v>Lbdirector1964@gmail.com</v>
          </cell>
          <cell r="Q2356" t="str">
            <v>SGH-18727</v>
          </cell>
          <cell r="AJ2356" t="e">
            <v>#N/A</v>
          </cell>
          <cell r="AK2356" t="str">
            <v>SGH-18727</v>
          </cell>
          <cell r="AL2356" t="str">
            <v>SGH18727</v>
          </cell>
        </row>
        <row r="2357">
          <cell r="N2357" t="str">
            <v>LEARNING SAFARI GROUP HOME</v>
          </cell>
          <cell r="O2357" t="str">
            <v>9542 EAST NIDO AVENUE</v>
          </cell>
          <cell r="P2357" t="str">
            <v>mskim22@msn.com</v>
          </cell>
          <cell r="Q2357" t="str">
            <v>SGH-14872</v>
          </cell>
          <cell r="AJ2357" t="e">
            <v>#N/A</v>
          </cell>
          <cell r="AK2357" t="str">
            <v>SGH-14872</v>
          </cell>
          <cell r="AL2357" t="str">
            <v>SGH14872</v>
          </cell>
        </row>
        <row r="2358">
          <cell r="N2358" t="str">
            <v>LETICIA CHILD CARE</v>
          </cell>
          <cell r="O2358" t="str">
            <v>881 WEST VIRGINIA ST</v>
          </cell>
          <cell r="P2358" t="str">
            <v>ossmaraleticia@yahoo.com</v>
          </cell>
          <cell r="Q2358" t="str">
            <v>SGH-12739</v>
          </cell>
          <cell r="AJ2358" t="e">
            <v>#N/A</v>
          </cell>
          <cell r="AK2358" t="str">
            <v>SGH-12739</v>
          </cell>
          <cell r="AL2358" t="str">
            <v>SGH12739</v>
          </cell>
        </row>
        <row r="2359">
          <cell r="N2359" t="str">
            <v>LI'L SPROUT'S MONTESSORI SCHOOL</v>
          </cell>
          <cell r="O2359" t="str">
            <v>687 EAST RAVEN WAY</v>
          </cell>
          <cell r="P2359" t="str">
            <v>sproutsmontessori@yahoo.com</v>
          </cell>
          <cell r="Q2359" t="str">
            <v>SGH-16341</v>
          </cell>
          <cell r="AJ2359" t="e">
            <v>#N/A</v>
          </cell>
          <cell r="AK2359" t="str">
            <v>SGH-16341</v>
          </cell>
          <cell r="AL2359" t="str">
            <v>SGH16341</v>
          </cell>
        </row>
        <row r="2360">
          <cell r="N2360" t="str">
            <v>LIGIA'S CHILD CARE</v>
          </cell>
          <cell r="O2360" t="str">
            <v>2126 WEST GARDEN DRIVE</v>
          </cell>
          <cell r="P2360" t="str">
            <v>limichild@yahoo.com</v>
          </cell>
          <cell r="Q2360" t="str">
            <v>SGH-7120</v>
          </cell>
          <cell r="AJ2360" t="e">
            <v>#N/A</v>
          </cell>
          <cell r="AK2360" t="str">
            <v>SGH-7120</v>
          </cell>
          <cell r="AL2360" t="str">
            <v>SGH7120</v>
          </cell>
        </row>
        <row r="2361">
          <cell r="N2361" t="str">
            <v>LIL ANGELS DAYCARE</v>
          </cell>
          <cell r="O2361" t="str">
            <v>640 SHADOW MOUNTAIN DRIVE</v>
          </cell>
          <cell r="P2361" t="str">
            <v>pmorris97@yahoo.com</v>
          </cell>
          <cell r="Q2361" t="str">
            <v>SGH-17476</v>
          </cell>
          <cell r="AJ2361" t="e">
            <v>#N/A</v>
          </cell>
          <cell r="AK2361" t="str">
            <v>SGH-17476</v>
          </cell>
          <cell r="AL2361" t="str">
            <v>SGH17476</v>
          </cell>
        </row>
        <row r="2362">
          <cell r="N2362" t="str">
            <v>LINDA'S CHILD CARE</v>
          </cell>
          <cell r="O2362" t="str">
            <v>4902 WEST WESCOTT DRIVE</v>
          </cell>
          <cell r="P2362" t="str">
            <v>linbenjamin@cox.net</v>
          </cell>
          <cell r="Q2362" t="str">
            <v>SGH-11718</v>
          </cell>
          <cell r="AJ2362" t="e">
            <v>#N/A</v>
          </cell>
          <cell r="AK2362" t="str">
            <v>SGH-11718</v>
          </cell>
          <cell r="AL2362" t="str">
            <v>SGH11718</v>
          </cell>
        </row>
        <row r="2363">
          <cell r="N2363" t="str">
            <v>LITTLE BLESSINGS CHILDCARE CENTER</v>
          </cell>
          <cell r="O2363" t="str">
            <v>7316 WEST BEVERLY ROAD</v>
          </cell>
          <cell r="P2363" t="str">
            <v>vanessa_koechlin@yahoo.com</v>
          </cell>
          <cell r="Q2363" t="str">
            <v>SGH-16486</v>
          </cell>
          <cell r="AJ2363" t="e">
            <v>#N/A</v>
          </cell>
          <cell r="AK2363" t="str">
            <v>SGH-16486</v>
          </cell>
          <cell r="AL2363" t="str">
            <v>SGH16486</v>
          </cell>
        </row>
        <row r="2364">
          <cell r="N2364" t="str">
            <v>LITTLE BUNNIES</v>
          </cell>
          <cell r="O2364" t="str">
            <v>4601 NORTH 103RD AVENUE</v>
          </cell>
          <cell r="P2364" t="str">
            <v>jutoldaz@yahoo.com</v>
          </cell>
          <cell r="Q2364" t="str">
            <v>SGH-17578</v>
          </cell>
          <cell r="AJ2364" t="e">
            <v>#N/A</v>
          </cell>
          <cell r="AK2364" t="str">
            <v>SGH-17578</v>
          </cell>
          <cell r="AL2364" t="str">
            <v>SGH17578</v>
          </cell>
        </row>
        <row r="2365">
          <cell r="N2365" t="str">
            <v>LITTLE FOOTPRINTS CHILDCARE LLC</v>
          </cell>
          <cell r="O2365" t="str">
            <v>820 SOUTH TUCSON BLVD</v>
          </cell>
          <cell r="P2365" t="str">
            <v>kbrojas10@hotmail.com</v>
          </cell>
          <cell r="Q2365" t="str">
            <v>SGH-15630</v>
          </cell>
          <cell r="AJ2365" t="e">
            <v>#N/A</v>
          </cell>
          <cell r="AK2365" t="str">
            <v>SGH-15630</v>
          </cell>
          <cell r="AL2365" t="str">
            <v>SGH15630</v>
          </cell>
        </row>
        <row r="2366">
          <cell r="N2366" t="str">
            <v>LITTLE FRIENDS MONTESORI SCHOOL</v>
          </cell>
          <cell r="O2366" t="str">
            <v>5450 EAST DAHLIA DRIVE</v>
          </cell>
          <cell r="P2366" t="str">
            <v>maryvallelonga@littlefriendsms.com</v>
          </cell>
          <cell r="Q2366" t="str">
            <v>SGH-16802</v>
          </cell>
          <cell r="AJ2366" t="e">
            <v>#N/A</v>
          </cell>
          <cell r="AK2366" t="str">
            <v>SGH-16802</v>
          </cell>
          <cell r="AL2366" t="str">
            <v>SGH16802</v>
          </cell>
        </row>
        <row r="2367">
          <cell r="N2367" t="str">
            <v>LITTLE GIANTS DAYCARE</v>
          </cell>
          <cell r="O2367" t="str">
            <v>3663 EAST MARCH PLACE</v>
          </cell>
          <cell r="P2367" t="str">
            <v>littlegiantscc@gmail.com</v>
          </cell>
          <cell r="Q2367" t="str">
            <v>SGH-17675</v>
          </cell>
          <cell r="AJ2367" t="e">
            <v>#N/A</v>
          </cell>
          <cell r="AK2367" t="str">
            <v>SGH-17675</v>
          </cell>
          <cell r="AL2367" t="str">
            <v>SGH17675</v>
          </cell>
        </row>
        <row r="2368">
          <cell r="N2368" t="str">
            <v>LITTLE HANDS</v>
          </cell>
          <cell r="O2368" t="str">
            <v>3184 SOUTH MELANIE DRIVE</v>
          </cell>
          <cell r="P2368" t="str">
            <v>LITTLEHANDSYUMA@GMAIL.COM</v>
          </cell>
          <cell r="Q2368" t="str">
            <v>SGH-18400</v>
          </cell>
          <cell r="AJ2368" t="e">
            <v>#N/A</v>
          </cell>
          <cell r="AK2368" t="str">
            <v>SGH-18400</v>
          </cell>
          <cell r="AL2368" t="str">
            <v>SGH18400</v>
          </cell>
        </row>
        <row r="2369">
          <cell r="N2369" t="str">
            <v>LITTLE HANDS BIG MINDS DAYCARE</v>
          </cell>
          <cell r="O2369" t="str">
            <v>174 NORTH JOE HARPER COURT</v>
          </cell>
          <cell r="P2369" t="str">
            <v>betzyb@outlook.com</v>
          </cell>
          <cell r="Q2369" t="str">
            <v>SGH-18441</v>
          </cell>
          <cell r="AJ2369" t="e">
            <v>#N/A</v>
          </cell>
          <cell r="AK2369" t="str">
            <v>SGH-18441</v>
          </cell>
          <cell r="AL2369" t="str">
            <v>SGH18441</v>
          </cell>
        </row>
        <row r="2370">
          <cell r="N2370" t="str">
            <v>LITTLE HANDS DAYCARE</v>
          </cell>
          <cell r="O2370" t="str">
            <v>2534 WEST 15TH STREET</v>
          </cell>
          <cell r="P2370" t="str">
            <v>littlehandsdaycare4kids@gmail.com</v>
          </cell>
          <cell r="Q2370" t="str">
            <v>SGH-18744</v>
          </cell>
          <cell r="AJ2370" t="e">
            <v>#N/A</v>
          </cell>
          <cell r="AK2370" t="str">
            <v>SGH-18744</v>
          </cell>
          <cell r="AL2370" t="str">
            <v>SGH18744</v>
          </cell>
        </row>
        <row r="2371">
          <cell r="N2371" t="str">
            <v>LITTLE JOYS LEARNING CENTER</v>
          </cell>
          <cell r="O2371" t="str">
            <v>1902 WEST CALLE DEL ARROYITO</v>
          </cell>
          <cell r="P2371" t="str">
            <v>avisjoy@cox.net</v>
          </cell>
          <cell r="Q2371" t="str">
            <v>SGH-14829</v>
          </cell>
          <cell r="AJ2371" t="e">
            <v>#N/A</v>
          </cell>
          <cell r="AK2371" t="str">
            <v>SGH-14829</v>
          </cell>
          <cell r="AL2371" t="str">
            <v>SGH14829</v>
          </cell>
        </row>
        <row r="2372">
          <cell r="N2372" t="str">
            <v>LITTLE KIDS GROUP HOME</v>
          </cell>
          <cell r="O2372" t="str">
            <v>2135 EAST CORONA AVENUE</v>
          </cell>
          <cell r="P2372" t="str">
            <v>schisley81@gmail.com</v>
          </cell>
          <cell r="Q2372" t="str">
            <v>SGH-8340</v>
          </cell>
          <cell r="AJ2372" t="e">
            <v>#N/A</v>
          </cell>
          <cell r="AK2372" t="str">
            <v>SGH-8340</v>
          </cell>
          <cell r="AL2372" t="str">
            <v>SGH8340</v>
          </cell>
        </row>
        <row r="2373">
          <cell r="N2373" t="str">
            <v>LITTLE LAMBS LLC</v>
          </cell>
          <cell r="O2373" t="str">
            <v>1693 WEST LARK DRIVE</v>
          </cell>
          <cell r="P2373" t="str">
            <v>creativemamaof2@gmail.com</v>
          </cell>
          <cell r="Q2373" t="str">
            <v>SGH-18665</v>
          </cell>
          <cell r="AJ2373" t="e">
            <v>#N/A</v>
          </cell>
          <cell r="AK2373" t="str">
            <v>SGH-18665</v>
          </cell>
          <cell r="AL2373" t="str">
            <v>SGH18665</v>
          </cell>
        </row>
        <row r="2374">
          <cell r="N2374" t="str">
            <v>LITTLE LEARNING LAMBS DAYCARE L.L.C.</v>
          </cell>
          <cell r="O2374" t="str">
            <v>16330 SOUTH DELGADO ROAD</v>
          </cell>
          <cell r="P2374" t="str">
            <v>info@littlelearninglambsdaycare.com</v>
          </cell>
          <cell r="Q2374" t="str">
            <v>SGH-18445</v>
          </cell>
          <cell r="AJ2374" t="e">
            <v>#N/A</v>
          </cell>
          <cell r="AK2374" t="str">
            <v>SGH-18445</v>
          </cell>
          <cell r="AL2374" t="str">
            <v>SGH18445</v>
          </cell>
        </row>
        <row r="2375">
          <cell r="N2375" t="str">
            <v>LITTLE MUNCHKINS CHILD CARE</v>
          </cell>
          <cell r="O2375" t="str">
            <v>2213 EAST CALLE SIERRA DEL MANANTIAL</v>
          </cell>
          <cell r="P2375" t="str">
            <v>A.A.Acuna18@gmail.com</v>
          </cell>
          <cell r="Q2375" t="str">
            <v>SGH-16382</v>
          </cell>
          <cell r="AJ2375" t="e">
            <v>#N/A</v>
          </cell>
          <cell r="AK2375" t="str">
            <v>SGH-16382</v>
          </cell>
          <cell r="AL2375" t="str">
            <v>SGH16382</v>
          </cell>
        </row>
        <row r="2376">
          <cell r="N2376" t="str">
            <v>LITTLE OWL'S DAYCARE</v>
          </cell>
          <cell r="O2376" t="str">
            <v>355 NORTH GONZALES DRIVE</v>
          </cell>
          <cell r="P2376" t="str">
            <v>guitronjoanna@gmail.com</v>
          </cell>
          <cell r="Q2376" t="str">
            <v>SGH-18192</v>
          </cell>
          <cell r="AJ2376" t="e">
            <v>#N/A</v>
          </cell>
          <cell r="AK2376" t="str">
            <v>SGH-18192</v>
          </cell>
          <cell r="AL2376" t="str">
            <v>SGH18192</v>
          </cell>
        </row>
        <row r="2377">
          <cell r="N2377" t="str">
            <v>LITTLE PEOPLE CHILDCARE</v>
          </cell>
          <cell r="O2377" t="str">
            <v>227 EAST FILLMORE STREET</v>
          </cell>
          <cell r="P2377" t="str">
            <v>zepeda_gloria@yahoo.com</v>
          </cell>
          <cell r="Q2377" t="str">
            <v>SGH-12975</v>
          </cell>
          <cell r="AJ2377" t="e">
            <v>#N/A</v>
          </cell>
          <cell r="AK2377" t="str">
            <v>SGH-12975</v>
          </cell>
          <cell r="AL2377" t="str">
            <v>SGH12975</v>
          </cell>
        </row>
        <row r="2378">
          <cell r="N2378" t="str">
            <v>LITTLE PIGGIES DAYCARE</v>
          </cell>
          <cell r="O2378" t="str">
            <v>7313 WEST SELLS DRIVE</v>
          </cell>
          <cell r="P2378" t="str">
            <v>rhondaroyalty@hotmail.com</v>
          </cell>
          <cell r="Q2378" t="str">
            <v>SGH-13725</v>
          </cell>
          <cell r="AJ2378" t="e">
            <v>#N/A</v>
          </cell>
          <cell r="AK2378" t="str">
            <v>SGH-13725</v>
          </cell>
          <cell r="AL2378" t="str">
            <v>SGH13725</v>
          </cell>
        </row>
        <row r="2379">
          <cell r="N2379" t="str">
            <v>LITTLE RASCALS</v>
          </cell>
          <cell r="O2379" t="str">
            <v>1748 WEST 26TH STREET</v>
          </cell>
          <cell r="P2379" t="str">
            <v>hildalinarez@hotmail.com</v>
          </cell>
          <cell r="Q2379" t="str">
            <v>SGH-17986</v>
          </cell>
          <cell r="AJ2379" t="e">
            <v>#N/A</v>
          </cell>
          <cell r="AK2379" t="str">
            <v>SGH-17986</v>
          </cell>
          <cell r="AL2379" t="str">
            <v>SGH17986</v>
          </cell>
        </row>
        <row r="2380">
          <cell r="N2380" t="str">
            <v>LITTLE RAYS OF SUNSHINE CHILDCARE</v>
          </cell>
          <cell r="O2380" t="str">
            <v>812 WEST BROOKS STREET</v>
          </cell>
          <cell r="P2380" t="str">
            <v>rayshon352003@yahoo.com</v>
          </cell>
          <cell r="Q2380" t="str">
            <v>SGH-16745</v>
          </cell>
          <cell r="AJ2380" t="e">
            <v>#N/A</v>
          </cell>
          <cell r="AK2380" t="str">
            <v>SGH-16745</v>
          </cell>
          <cell r="AL2380" t="str">
            <v>SGH16745</v>
          </cell>
        </row>
        <row r="2381">
          <cell r="N2381" t="str">
            <v>LITTLE STAR CHILD CARE</v>
          </cell>
          <cell r="O2381" t="str">
            <v>1733 WEST 26TH DRIVE</v>
          </cell>
          <cell r="P2381" t="str">
            <v>atovar0481@gmail.com</v>
          </cell>
          <cell r="Q2381" t="str">
            <v>SGH-11913</v>
          </cell>
          <cell r="AJ2381" t="e">
            <v>#N/A</v>
          </cell>
          <cell r="AK2381" t="str">
            <v>SGH-11913</v>
          </cell>
          <cell r="AL2381" t="str">
            <v>SGH11913</v>
          </cell>
        </row>
        <row r="2382">
          <cell r="N2382" t="str">
            <v>LITTLE STARS CHILD CARE</v>
          </cell>
          <cell r="O2382" t="str">
            <v>536 WEST PALMDALE STREET</v>
          </cell>
          <cell r="P2382" t="str">
            <v>ednz08@yahoo.com</v>
          </cell>
          <cell r="Q2382" t="str">
            <v>SGH-18623</v>
          </cell>
          <cell r="AJ2382" t="e">
            <v>#N/A</v>
          </cell>
          <cell r="AK2382" t="str">
            <v>SGH-18623</v>
          </cell>
          <cell r="AL2382" t="str">
            <v>SGH18623</v>
          </cell>
        </row>
        <row r="2383">
          <cell r="N2383" t="str">
            <v>LITTLE WRANGLERS DAYCARE</v>
          </cell>
          <cell r="O2383" t="str">
            <v>9445 SOUTH LEON RANCH ROAD</v>
          </cell>
          <cell r="P2383" t="str">
            <v>daileyriver@aol.com</v>
          </cell>
          <cell r="Q2383" t="str">
            <v>SGH-17324</v>
          </cell>
          <cell r="AJ2383" t="e">
            <v>#N/A</v>
          </cell>
          <cell r="AK2383" t="str">
            <v>SGH-17324</v>
          </cell>
          <cell r="AL2383" t="str">
            <v>SGH17324</v>
          </cell>
        </row>
        <row r="2384">
          <cell r="N2384" t="str">
            <v>LOIDAS CHILD CARE</v>
          </cell>
          <cell r="O2384" t="str">
            <v>1390 N LA CANOA</v>
          </cell>
          <cell r="P2384" t="str">
            <v>loidarojas2001@yahoo.com</v>
          </cell>
          <cell r="Q2384" t="str">
            <v>SGH-15551</v>
          </cell>
          <cell r="AJ2384" t="e">
            <v>#N/A</v>
          </cell>
          <cell r="AK2384" t="str">
            <v>SGH-15551</v>
          </cell>
          <cell r="AL2384" t="str">
            <v>SGH15551</v>
          </cell>
        </row>
        <row r="2385">
          <cell r="N2385" t="str">
            <v>LOPEZ DAY CARE</v>
          </cell>
          <cell r="O2385" t="str">
            <v>3008 NORTH 56TH AVENUE</v>
          </cell>
          <cell r="P2385" t="str">
            <v>dianalopez602@gmail.com</v>
          </cell>
          <cell r="Q2385" t="str">
            <v>SGH-16573</v>
          </cell>
          <cell r="AJ2385" t="e">
            <v>#N/A</v>
          </cell>
          <cell r="AK2385" t="str">
            <v>SGH-16573</v>
          </cell>
          <cell r="AL2385" t="str">
            <v>SGH16573</v>
          </cell>
        </row>
        <row r="2386">
          <cell r="N2386" t="str">
            <v>LORETO CHILD CARE</v>
          </cell>
          <cell r="O2386" t="str">
            <v>75 NORTH GRANDE AVENUE</v>
          </cell>
          <cell r="P2386" t="str">
            <v>loretodaycare@hotmail.com</v>
          </cell>
          <cell r="Q2386" t="str">
            <v>SGH-9469</v>
          </cell>
          <cell r="AJ2386" t="e">
            <v>#N/A</v>
          </cell>
          <cell r="AK2386" t="str">
            <v>SGH-9469</v>
          </cell>
          <cell r="AL2386" t="str">
            <v>SGH9469</v>
          </cell>
        </row>
        <row r="2387">
          <cell r="N2387" t="str">
            <v>LOS CARRITOS CHILDCARE</v>
          </cell>
          <cell r="O2387" t="str">
            <v>5119 SOUTH MALLARD AVE</v>
          </cell>
          <cell r="P2387" t="str">
            <v>loscarritoschildcare@hotmail.com</v>
          </cell>
          <cell r="Q2387" t="str">
            <v>SGH-16422</v>
          </cell>
          <cell r="AJ2387" t="e">
            <v>#N/A</v>
          </cell>
          <cell r="AK2387" t="str">
            <v>SGH-16422</v>
          </cell>
          <cell r="AL2387" t="str">
            <v>SGH16422</v>
          </cell>
        </row>
        <row r="2388">
          <cell r="N2388" t="str">
            <v>LOVING AND LEARNING CHILD CARE</v>
          </cell>
          <cell r="O2388" t="str">
            <v>9402 NORTH 54TH AVENUE</v>
          </cell>
          <cell r="P2388" t="str">
            <v>1kidstekim@gmail.com</v>
          </cell>
          <cell r="Q2388" t="str">
            <v>SGH-17226</v>
          </cell>
          <cell r="AJ2388" t="e">
            <v>#N/A</v>
          </cell>
          <cell r="AK2388" t="str">
            <v>SGH-17226</v>
          </cell>
          <cell r="AL2388" t="str">
            <v>SGH17226</v>
          </cell>
        </row>
        <row r="2389">
          <cell r="N2389" t="str">
            <v>LOVING HANDS EARLY CHILDHOOD LEARNING ACADEMY</v>
          </cell>
          <cell r="O2389" t="str">
            <v>6801 EAST 38TH STREET</v>
          </cell>
          <cell r="P2389" t="str">
            <v>loving.hands@aol.com</v>
          </cell>
          <cell r="Q2389" t="str">
            <v>SGH-18842</v>
          </cell>
          <cell r="AJ2389" t="e">
            <v>#N/A</v>
          </cell>
          <cell r="AK2389" t="str">
            <v>SGH-18842</v>
          </cell>
          <cell r="AL2389" t="str">
            <v>SGH18842</v>
          </cell>
        </row>
        <row r="2390">
          <cell r="N2390" t="str">
            <v>LUCERO &amp; CYNTHIA'S CHILDCARE</v>
          </cell>
          <cell r="O2390" t="str">
            <v>3716 SOUTH RODRIGUEZ AVENUE</v>
          </cell>
          <cell r="P2390" t="str">
            <v>LUCY022000@HOTMAIL.COM</v>
          </cell>
          <cell r="Q2390" t="str">
            <v>SGH-18504</v>
          </cell>
          <cell r="AJ2390" t="e">
            <v>#N/A</v>
          </cell>
          <cell r="AK2390" t="str">
            <v>SGH-18504</v>
          </cell>
          <cell r="AL2390" t="str">
            <v>SGH18504</v>
          </cell>
        </row>
        <row r="2391">
          <cell r="N2391" t="str">
            <v>LUCKY CHILD CARE</v>
          </cell>
          <cell r="O2391" t="str">
            <v>130 EAST HAVASU PLACE</v>
          </cell>
          <cell r="P2391" t="str">
            <v>Jyoshnabottu@gmail.com</v>
          </cell>
          <cell r="Q2391" t="str">
            <v>SGH-18569</v>
          </cell>
          <cell r="AJ2391" t="e">
            <v>#N/A</v>
          </cell>
          <cell r="AK2391" t="str">
            <v>SGH-18569</v>
          </cell>
          <cell r="AL2391" t="str">
            <v>SGH18569</v>
          </cell>
        </row>
        <row r="2392">
          <cell r="N2392" t="str">
            <v>LUZ CHILD CARE</v>
          </cell>
          <cell r="O2392" t="str">
            <v>2217 EAST WALNUT</v>
          </cell>
          <cell r="P2392" t="str">
            <v>navarroirene64@gmail.com</v>
          </cell>
          <cell r="Q2392" t="str">
            <v>SGH-10280</v>
          </cell>
          <cell r="AJ2392" t="e">
            <v>#N/A</v>
          </cell>
          <cell r="AK2392" t="str">
            <v>SGH-10280</v>
          </cell>
          <cell r="AL2392" t="str">
            <v>SGH10280</v>
          </cell>
        </row>
        <row r="2393">
          <cell r="N2393" t="str">
            <v>LUZ'S CHILD CARE</v>
          </cell>
          <cell r="O2393" t="str">
            <v>4123 W 21ST STREET</v>
          </cell>
          <cell r="P2393" t="str">
            <v>luzvizcarra77@gmail.com</v>
          </cell>
          <cell r="Q2393" t="str">
            <v>SGH-14587</v>
          </cell>
          <cell r="AJ2393" t="e">
            <v>#N/A</v>
          </cell>
          <cell r="AK2393" t="str">
            <v>SGH-14587</v>
          </cell>
          <cell r="AL2393" t="str">
            <v>SGH14587</v>
          </cell>
        </row>
        <row r="2394">
          <cell r="N2394" t="str">
            <v>LYDIA'S DAYCARE</v>
          </cell>
          <cell r="O2394" t="str">
            <v>1702 WEST 1ST STREET</v>
          </cell>
          <cell r="P2394" t="str">
            <v>lydiasanchezll@yahoo.com</v>
          </cell>
          <cell r="Q2394" t="str">
            <v>SGH-17761</v>
          </cell>
          <cell r="AJ2394" t="e">
            <v>#N/A</v>
          </cell>
          <cell r="AK2394" t="str">
            <v>SGH-17761</v>
          </cell>
          <cell r="AL2394" t="str">
            <v>SGH17761</v>
          </cell>
        </row>
        <row r="2395">
          <cell r="N2395" t="str">
            <v>LYDIA'S FAMILY DAYCARE</v>
          </cell>
          <cell r="O2395" t="str">
            <v>713 WEST GRANT</v>
          </cell>
          <cell r="P2395" t="str">
            <v>TLTORRES3@MSN.COM</v>
          </cell>
          <cell r="Q2395" t="str">
            <v>SGH-18324</v>
          </cell>
          <cell r="AJ2395" t="e">
            <v>#N/A</v>
          </cell>
          <cell r="AK2395" t="str">
            <v>SGH-18324</v>
          </cell>
          <cell r="AL2395" t="str">
            <v>SGH18324</v>
          </cell>
        </row>
        <row r="2396">
          <cell r="N2396" t="str">
            <v>LYNDA'S DAYCARE, L.L.C.</v>
          </cell>
          <cell r="O2396" t="str">
            <v>891 SOUTH 130TH STREET</v>
          </cell>
          <cell r="P2396" t="str">
            <v>ptrudeau4@cox.net</v>
          </cell>
          <cell r="Q2396" t="str">
            <v>SGH-17656</v>
          </cell>
          <cell r="AJ2396" t="e">
            <v>#N/A</v>
          </cell>
          <cell r="AK2396" t="str">
            <v>SGH-17656</v>
          </cell>
          <cell r="AL2396" t="str">
            <v>SGH17656</v>
          </cell>
        </row>
        <row r="2397">
          <cell r="N2397" t="str">
            <v>M &amp; M CHILDCARE</v>
          </cell>
          <cell r="O2397" t="str">
            <v>3432 SOUTH BRADFORD DRIVE</v>
          </cell>
          <cell r="P2397" t="str">
            <v>mandmchildcare@hotmail.com</v>
          </cell>
          <cell r="Q2397" t="str">
            <v>SGH-18848</v>
          </cell>
          <cell r="AJ2397" t="e">
            <v>#N/A</v>
          </cell>
          <cell r="AK2397" t="str">
            <v>SGH-18848</v>
          </cell>
          <cell r="AL2397" t="str">
            <v>SGH18848</v>
          </cell>
        </row>
        <row r="2398">
          <cell r="N2398" t="str">
            <v>M J V CHILDCARE</v>
          </cell>
          <cell r="O2398" t="str">
            <v>1502 SOUTH BEVERLY AVENUE</v>
          </cell>
          <cell r="P2398" t="str">
            <v>ELISSAGRIFFIN@YAHOO.COM</v>
          </cell>
          <cell r="Q2398" t="str">
            <v>SGH-18221</v>
          </cell>
          <cell r="AJ2398" t="e">
            <v>#N/A</v>
          </cell>
          <cell r="AK2398" t="str">
            <v>SGH-18221</v>
          </cell>
          <cell r="AL2398" t="str">
            <v>SGH18221</v>
          </cell>
        </row>
        <row r="2399">
          <cell r="N2399" t="str">
            <v>MAGIC RAINBOW</v>
          </cell>
          <cell r="O2399" t="str">
            <v>4329 WEST 20TH PLACE</v>
          </cell>
          <cell r="P2399" t="str">
            <v>juliett82@gmail.com</v>
          </cell>
          <cell r="Q2399" t="str">
            <v>SGH-10928</v>
          </cell>
          <cell r="AJ2399" t="e">
            <v>#N/A</v>
          </cell>
          <cell r="AK2399" t="str">
            <v>SGH-10928</v>
          </cell>
          <cell r="AL2399" t="str">
            <v>SGH10928</v>
          </cell>
        </row>
        <row r="2400">
          <cell r="N2400" t="str">
            <v>MARIA MERCEDES RODRIGUEZ</v>
          </cell>
          <cell r="O2400" t="str">
            <v>4599 WEST 17TH STREET</v>
          </cell>
          <cell r="P2400" t="str">
            <v>DORCAMERCEDES45@GMAIL.COM</v>
          </cell>
          <cell r="Q2400" t="str">
            <v>SGH-18787</v>
          </cell>
          <cell r="AJ2400" t="e">
            <v>#N/A</v>
          </cell>
          <cell r="AK2400" t="str">
            <v>SGH-18787</v>
          </cell>
          <cell r="AL2400" t="str">
            <v>SGH18787</v>
          </cell>
        </row>
        <row r="2401">
          <cell r="N2401" t="str">
            <v>MARIA'S DAY CARE</v>
          </cell>
          <cell r="O2401" t="str">
            <v>2101 13TH ST</v>
          </cell>
          <cell r="P2401" t="str">
            <v>mariachavez57@yahoo.com</v>
          </cell>
          <cell r="Q2401" t="str">
            <v>SGH-15779</v>
          </cell>
          <cell r="AJ2401" t="e">
            <v>#N/A</v>
          </cell>
          <cell r="AK2401" t="str">
            <v>SGH-15779</v>
          </cell>
          <cell r="AL2401" t="str">
            <v>SGH15779</v>
          </cell>
        </row>
        <row r="2402">
          <cell r="N2402" t="str">
            <v>MARIA'S FAMILY DAYCARE HOME</v>
          </cell>
          <cell r="O2402" t="str">
            <v>6008 NORTH CHERIE CT</v>
          </cell>
          <cell r="P2402" t="str">
            <v>mmhonor7@gmail.com</v>
          </cell>
          <cell r="Q2402" t="str">
            <v>SGH-18585</v>
          </cell>
          <cell r="AJ2402" t="e">
            <v>#N/A</v>
          </cell>
          <cell r="AK2402" t="str">
            <v>SGH-18585</v>
          </cell>
          <cell r="AL2402" t="str">
            <v>SGH18585</v>
          </cell>
        </row>
        <row r="2403">
          <cell r="N2403" t="str">
            <v>MARIITA'S CHILD CARE</v>
          </cell>
          <cell r="O2403" t="str">
            <v>526 WEST CALLE GARCIA</v>
          </cell>
          <cell r="P2403" t="str">
            <v>marielena312@yahoo.com</v>
          </cell>
          <cell r="Q2403" t="str">
            <v>SGH-18223</v>
          </cell>
          <cell r="AJ2403" t="e">
            <v>#N/A</v>
          </cell>
          <cell r="AK2403" t="str">
            <v>SGH-18223</v>
          </cell>
          <cell r="AL2403" t="str">
            <v>SGH18223</v>
          </cell>
        </row>
        <row r="2404">
          <cell r="N2404" t="str">
            <v>MARILYN'S DAYCARE</v>
          </cell>
          <cell r="O2404" t="str">
            <v>7207 SOUTH 16TH WAY</v>
          </cell>
          <cell r="P2404" t="str">
            <v>smokingnanny1957@yahoo.com</v>
          </cell>
          <cell r="Q2404" t="str">
            <v>SGH-12831</v>
          </cell>
          <cell r="AJ2404" t="e">
            <v>#N/A</v>
          </cell>
          <cell r="AK2404" t="str">
            <v>SGH-12831</v>
          </cell>
          <cell r="AL2404" t="str">
            <v>SGH12831</v>
          </cell>
        </row>
        <row r="2405">
          <cell r="N2405" t="str">
            <v>MARMION CHILD CARE</v>
          </cell>
          <cell r="O2405" t="str">
            <v>7017 S 6TH AVE</v>
          </cell>
          <cell r="P2405" t="str">
            <v>jessmar2009@live.com</v>
          </cell>
          <cell r="Q2405" t="str">
            <v>SGH-16767</v>
          </cell>
          <cell r="AJ2405" t="e">
            <v>#N/A</v>
          </cell>
          <cell r="AK2405" t="str">
            <v>SGH-16767</v>
          </cell>
          <cell r="AL2405" t="str">
            <v>SGH16767</v>
          </cell>
        </row>
        <row r="2406">
          <cell r="N2406" t="str">
            <v>MCQ GROUP HOME</v>
          </cell>
          <cell r="O2406" t="str">
            <v>2800 WEST CLEARVIEW DRIVE</v>
          </cell>
          <cell r="P2406" t="str">
            <v>mcqgrouphome50@gmail.com</v>
          </cell>
          <cell r="Q2406" t="str">
            <v>SGH-3306</v>
          </cell>
          <cell r="AJ2406" t="e">
            <v>#N/A</v>
          </cell>
          <cell r="AK2406" t="str">
            <v>SGH-3306</v>
          </cell>
          <cell r="AL2406" t="str">
            <v>SGH3306</v>
          </cell>
        </row>
        <row r="2407">
          <cell r="N2407" t="str">
            <v>MELINDA'S 24HR CHILD CARE</v>
          </cell>
          <cell r="O2407" t="str">
            <v>7720 WEST PUEBLO AVENUE</v>
          </cell>
          <cell r="P2407" t="str">
            <v>lillu26@yahoo.com</v>
          </cell>
          <cell r="Q2407" t="str">
            <v>SGH-16902</v>
          </cell>
          <cell r="AJ2407" t="e">
            <v>#N/A</v>
          </cell>
          <cell r="AK2407" t="str">
            <v>SGH-16902</v>
          </cell>
          <cell r="AL2407" t="str">
            <v>SGH16902</v>
          </cell>
        </row>
        <row r="2408">
          <cell r="N2408" t="str">
            <v>MELISSA'S FAMILY DAYCARE</v>
          </cell>
          <cell r="O2408" t="str">
            <v>2124 DESERT VIEW DRIVE</v>
          </cell>
          <cell r="P2408" t="str">
            <v>franknmiss07@hotmail.com</v>
          </cell>
          <cell r="Q2408" t="str">
            <v>SGH-15632</v>
          </cell>
          <cell r="AJ2408" t="e">
            <v>#N/A</v>
          </cell>
          <cell r="AK2408" t="str">
            <v>SGH-15632</v>
          </cell>
          <cell r="AL2408" t="str">
            <v>SGH15632</v>
          </cell>
        </row>
        <row r="2409">
          <cell r="N2409" t="str">
            <v>MI CASITA CHILD CARE</v>
          </cell>
          <cell r="O2409" t="str">
            <v>3665 WEST FITZWATER COURT</v>
          </cell>
          <cell r="P2409" t="str">
            <v>jannetteruvalcaba73@gmail.com</v>
          </cell>
          <cell r="Q2409" t="str">
            <v>SGH-10789</v>
          </cell>
          <cell r="AJ2409" t="e">
            <v>#N/A</v>
          </cell>
          <cell r="AK2409" t="str">
            <v>SGH-10789</v>
          </cell>
          <cell r="AL2409" t="str">
            <v>SGH10789</v>
          </cell>
        </row>
        <row r="2410">
          <cell r="N2410" t="str">
            <v>MI REFUGIO CHILD CARE</v>
          </cell>
          <cell r="O2410" t="str">
            <v>2852 EAST PASEO LA TIERRA BUENA</v>
          </cell>
          <cell r="P2410" t="str">
            <v>olgardz27@yahoo.com</v>
          </cell>
          <cell r="Q2410" t="str">
            <v>SGH-16582</v>
          </cell>
          <cell r="AJ2410" t="e">
            <v>#N/A</v>
          </cell>
          <cell r="AK2410" t="str">
            <v>SGH-16582</v>
          </cell>
          <cell r="AL2410" t="str">
            <v>SGH16582</v>
          </cell>
        </row>
        <row r="2411">
          <cell r="N2411" t="str">
            <v>MICHELLE'S HOME DAY CARE</v>
          </cell>
          <cell r="O2411" t="str">
            <v>7325 EAST ALDERBERRY STREET</v>
          </cell>
          <cell r="P2411" t="str">
            <v>mturner31602@gmail.com</v>
          </cell>
          <cell r="Q2411" t="str">
            <v>SGH-17623</v>
          </cell>
          <cell r="AJ2411" t="e">
            <v>#N/A</v>
          </cell>
          <cell r="AK2411" t="str">
            <v>SGH-17623</v>
          </cell>
          <cell r="AL2411" t="str">
            <v>SGH17623</v>
          </cell>
        </row>
        <row r="2412">
          <cell r="N2412" t="str">
            <v>MISS MOLLY'S PRESCHOOL</v>
          </cell>
          <cell r="O2412" t="str">
            <v>2823 EAST CULLUMBER COURT</v>
          </cell>
          <cell r="P2412" t="str">
            <v>molly.tompkins@cox.net</v>
          </cell>
          <cell r="Q2412" t="str">
            <v>SGH-14137</v>
          </cell>
          <cell r="AJ2412" t="e">
            <v>#N/A</v>
          </cell>
          <cell r="AK2412" t="str">
            <v>SGH-14137</v>
          </cell>
          <cell r="AL2412" t="str">
            <v>SGH14137</v>
          </cell>
        </row>
        <row r="2413">
          <cell r="N2413" t="str">
            <v>MOLINA'S CHILD CARE</v>
          </cell>
          <cell r="O2413" t="str">
            <v>2318 SOUTH CAMPBELL AVENUE</v>
          </cell>
          <cell r="P2413" t="str">
            <v>molinas.childcare@gmail.com</v>
          </cell>
          <cell r="Q2413" t="str">
            <v>SGH-18782</v>
          </cell>
          <cell r="AJ2413" t="e">
            <v>#N/A</v>
          </cell>
          <cell r="AK2413" t="str">
            <v>SGH-18782</v>
          </cell>
          <cell r="AL2413" t="str">
            <v>SGH18782</v>
          </cell>
        </row>
        <row r="2414">
          <cell r="N2414" t="str">
            <v>MONICA'S DAYCARE</v>
          </cell>
          <cell r="O2414" t="str">
            <v>2514 6TH ST</v>
          </cell>
          <cell r="P2414" t="str">
            <v>punkycurfman@aol.com</v>
          </cell>
          <cell r="Q2414" t="str">
            <v>SGH-15543</v>
          </cell>
          <cell r="AJ2414" t="e">
            <v>#N/A</v>
          </cell>
          <cell r="AK2414" t="str">
            <v>SGH-15543</v>
          </cell>
          <cell r="AL2414" t="str">
            <v>SGH15543</v>
          </cell>
        </row>
        <row r="2415">
          <cell r="N2415" t="str">
            <v>MONTESSORI INTERNATIONAL SCHOOL TODDLER HOUSE</v>
          </cell>
          <cell r="O2415" t="str">
            <v>2447 EAST FAIRBROOK STREET</v>
          </cell>
          <cell r="P2415" t="str">
            <v>therese@montessori-intl.org</v>
          </cell>
          <cell r="Q2415" t="str">
            <v>SGH-11378</v>
          </cell>
          <cell r="AJ2415" t="e">
            <v>#N/A</v>
          </cell>
          <cell r="AK2415" t="str">
            <v>SGH-11378</v>
          </cell>
          <cell r="AL2415" t="str">
            <v>SGH11378</v>
          </cell>
        </row>
        <row r="2416">
          <cell r="N2416" t="str">
            <v>MOORE SMILES</v>
          </cell>
          <cell r="O2416" t="str">
            <v>1001 EAST ASH DRIVE</v>
          </cell>
          <cell r="P2416" t="str">
            <v>miranda_moore@hotmail.com</v>
          </cell>
          <cell r="Q2416" t="str">
            <v>SGH-17932</v>
          </cell>
          <cell r="AJ2416" t="e">
            <v>#N/A</v>
          </cell>
          <cell r="AK2416" t="str">
            <v>SGH-17932</v>
          </cell>
          <cell r="AL2416" t="str">
            <v>SGH17932</v>
          </cell>
        </row>
        <row r="2417">
          <cell r="N2417" t="str">
            <v>MOTHER CARE</v>
          </cell>
          <cell r="O2417" t="str">
            <v>1715 WEST CAPRI AVENUE</v>
          </cell>
          <cell r="P2417" t="str">
            <v>maryamahmadpour99@gmail.com</v>
          </cell>
          <cell r="Q2417" t="str">
            <v>SGH-7059</v>
          </cell>
          <cell r="AJ2417" t="e">
            <v>#N/A</v>
          </cell>
          <cell r="AK2417" t="str">
            <v>SGH-7059</v>
          </cell>
          <cell r="AL2417" t="str">
            <v>SGH7059</v>
          </cell>
        </row>
        <row r="2418">
          <cell r="N2418" t="str">
            <v>MUNDO DIVERTIDO</v>
          </cell>
          <cell r="O2418" t="str">
            <v>2710 WEST AURORA DRIVE</v>
          </cell>
          <cell r="P2418" t="str">
            <v>glendaBaum@hotmail.com</v>
          </cell>
          <cell r="Q2418" t="str">
            <v>SGH-13255</v>
          </cell>
          <cell r="AJ2418" t="e">
            <v>#N/A</v>
          </cell>
          <cell r="AK2418" t="str">
            <v>SGH-13255</v>
          </cell>
          <cell r="AL2418" t="str">
            <v>SGH13255</v>
          </cell>
        </row>
        <row r="2419">
          <cell r="N2419" t="str">
            <v>MURPHY'S HOME PRESCHOOL</v>
          </cell>
          <cell r="O2419" t="str">
            <v>3734 EAST FAIRMOUNT AVENUE</v>
          </cell>
          <cell r="P2419" t="str">
            <v>murphy@d2prod.com</v>
          </cell>
          <cell r="Q2419" t="str">
            <v>SGH-11466</v>
          </cell>
          <cell r="AJ2419" t="e">
            <v>#N/A</v>
          </cell>
          <cell r="AK2419" t="str">
            <v>SGH-11466</v>
          </cell>
          <cell r="AL2419" t="str">
            <v>SGH11466</v>
          </cell>
        </row>
        <row r="2420">
          <cell r="N2420" t="str">
            <v>MY BAMBINOS</v>
          </cell>
          <cell r="O2420" t="str">
            <v>5424 EAST EMERALD AVENUE</v>
          </cell>
          <cell r="P2420" t="str">
            <v>linalaura@cox.net</v>
          </cell>
          <cell r="Q2420" t="str">
            <v>SGH-14683</v>
          </cell>
          <cell r="AJ2420" t="e">
            <v>#N/A</v>
          </cell>
          <cell r="AK2420" t="str">
            <v>SGH-14683</v>
          </cell>
          <cell r="AL2420" t="str">
            <v>SGH14683</v>
          </cell>
        </row>
        <row r="2421">
          <cell r="N2421" t="str">
            <v>MY SMALL WORLD GROUP HOME</v>
          </cell>
          <cell r="O2421" t="str">
            <v>1385 E STEWART PLACE</v>
          </cell>
          <cell r="P2421" t="str">
            <v>pricillafranco_27@hotmail.com</v>
          </cell>
          <cell r="Q2421" t="str">
            <v>SGH-15191</v>
          </cell>
          <cell r="AJ2421" t="e">
            <v>#N/A</v>
          </cell>
          <cell r="AK2421" t="str">
            <v>SGH-15191</v>
          </cell>
          <cell r="AL2421" t="str">
            <v>SGH15191</v>
          </cell>
        </row>
        <row r="2422">
          <cell r="N2422" t="str">
            <v>NANA'S HOUSE</v>
          </cell>
          <cell r="O2422" t="str">
            <v>406 EAST CORONADO STREET</v>
          </cell>
          <cell r="P2422" t="str">
            <v>guballe777@gmail.com</v>
          </cell>
          <cell r="Q2422" t="str">
            <v>SGH-11438</v>
          </cell>
          <cell r="AJ2422" t="e">
            <v>#N/A</v>
          </cell>
          <cell r="AK2422" t="str">
            <v>SGH-11438</v>
          </cell>
          <cell r="AL2422" t="str">
            <v>SGH11438</v>
          </cell>
        </row>
        <row r="2423">
          <cell r="N2423" t="str">
            <v>NANA'S PLACE</v>
          </cell>
          <cell r="O2423" t="str">
            <v>9138 EAST WOLFBERRY STREET</v>
          </cell>
          <cell r="P2423" t="str">
            <v>drhyner1@cox.net</v>
          </cell>
          <cell r="Q2423" t="str">
            <v>SGH-18251</v>
          </cell>
          <cell r="AJ2423" t="e">
            <v>#N/A</v>
          </cell>
          <cell r="AK2423" t="str">
            <v>SGH-18251</v>
          </cell>
          <cell r="AL2423" t="str">
            <v>SGH18251</v>
          </cell>
        </row>
        <row r="2424">
          <cell r="N2424" t="str">
            <v>NAZ HOME DAYCARE</v>
          </cell>
          <cell r="O2424" t="str">
            <v>4604 WEST DETROIT STREET</v>
          </cell>
          <cell r="P2424" t="str">
            <v>naz_f@yahoo.com</v>
          </cell>
          <cell r="Q2424" t="str">
            <v>SGH-11761</v>
          </cell>
          <cell r="AJ2424" t="e">
            <v>#N/A</v>
          </cell>
          <cell r="AK2424" t="str">
            <v>SGH-11761</v>
          </cell>
          <cell r="AL2424" t="str">
            <v>SGH11761</v>
          </cell>
        </row>
        <row r="2425">
          <cell r="N2425" t="str">
            <v>NEW BEGINNINGS FAMILY CHILD CARE</v>
          </cell>
          <cell r="O2425" t="str">
            <v>1824 NORTH 62ND LANE</v>
          </cell>
          <cell r="P2425" t="str">
            <v>andreasoto1985@yahoo.com</v>
          </cell>
          <cell r="Q2425" t="str">
            <v>SGH-18350</v>
          </cell>
          <cell r="AJ2425" t="e">
            <v>#N/A</v>
          </cell>
          <cell r="AK2425" t="str">
            <v>SGH-18350</v>
          </cell>
          <cell r="AL2425" t="str">
            <v>SGH18350</v>
          </cell>
        </row>
        <row r="2426">
          <cell r="N2426" t="str">
            <v>NEW BIRTH CHILD CARE</v>
          </cell>
          <cell r="O2426" t="str">
            <v>8520 WEST COLLEGE DRIVE</v>
          </cell>
          <cell r="P2426" t="str">
            <v>newbirthfamilycenter@gmail.com</v>
          </cell>
          <cell r="Q2426" t="str">
            <v>SGH-11766</v>
          </cell>
          <cell r="AJ2426" t="e">
            <v>#N/A</v>
          </cell>
          <cell r="AK2426" t="str">
            <v>SGH-11766</v>
          </cell>
          <cell r="AL2426" t="str">
            <v>SGH11766</v>
          </cell>
        </row>
        <row r="2427">
          <cell r="N2427" t="str">
            <v>NEW DAY LEARNING CENTER</v>
          </cell>
          <cell r="O2427" t="str">
            <v>1635 EAST SUMMIT STREET</v>
          </cell>
          <cell r="P2427" t="str">
            <v>lily.8a24@gmail.com</v>
          </cell>
          <cell r="Q2427" t="str">
            <v>SGH-18768</v>
          </cell>
          <cell r="AJ2427" t="e">
            <v>#N/A</v>
          </cell>
          <cell r="AK2427" t="str">
            <v>SGH-18768</v>
          </cell>
          <cell r="AL2427" t="str">
            <v>SGH18768</v>
          </cell>
        </row>
        <row r="2428">
          <cell r="N2428" t="str">
            <v>NUEVO AMANECER CHILD CARE</v>
          </cell>
          <cell r="O2428" t="str">
            <v>1409 NORTH HUALPAI</v>
          </cell>
          <cell r="P2428" t="str">
            <v>moralesfamily1993@yahoo.com</v>
          </cell>
          <cell r="Q2428" t="str">
            <v>SGH-9875</v>
          </cell>
          <cell r="AJ2428" t="e">
            <v>#N/A</v>
          </cell>
          <cell r="AK2428" t="str">
            <v>SGH-9875</v>
          </cell>
          <cell r="AL2428" t="str">
            <v>SGH9875</v>
          </cell>
        </row>
        <row r="2429">
          <cell r="N2429" t="str">
            <v>OCAMPO LIGHT BRINGER LEARNING CENTER</v>
          </cell>
          <cell r="O2429" t="str">
            <v>12848 NORTH 40TH AVENUE</v>
          </cell>
          <cell r="P2429" t="str">
            <v>galeanaocampo@yahoo.com</v>
          </cell>
          <cell r="Q2429" t="str">
            <v>SGH-17540</v>
          </cell>
          <cell r="AJ2429" t="e">
            <v>#N/A</v>
          </cell>
          <cell r="AK2429" t="str">
            <v>SGH-17540</v>
          </cell>
          <cell r="AL2429" t="str">
            <v>SGH17540</v>
          </cell>
        </row>
        <row r="2430">
          <cell r="N2430" t="str">
            <v>OLGA CERVANTES</v>
          </cell>
          <cell r="O2430" t="str">
            <v>224 NORTH WESTMORELAND</v>
          </cell>
          <cell r="P2430" t="str">
            <v>olcerv@msn.com</v>
          </cell>
          <cell r="Q2430" t="str">
            <v>SGH-12113</v>
          </cell>
          <cell r="AJ2430" t="e">
            <v>#N/A</v>
          </cell>
          <cell r="AK2430" t="str">
            <v>SGH-12113</v>
          </cell>
          <cell r="AL2430" t="str">
            <v>SGH12113</v>
          </cell>
        </row>
        <row r="2431">
          <cell r="N2431" t="str">
            <v>ON MY WAY TO CAROLS HOUSE</v>
          </cell>
          <cell r="O2431" t="str">
            <v>11032 NORTH 53RD STREET</v>
          </cell>
          <cell r="P2431" t="str">
            <v>carolsway@cox.net</v>
          </cell>
          <cell r="Q2431" t="str">
            <v>SGH-15410</v>
          </cell>
          <cell r="AJ2431" t="e">
            <v>#N/A</v>
          </cell>
          <cell r="AK2431" t="str">
            <v>SGH-15410</v>
          </cell>
          <cell r="AL2431" t="str">
            <v>SGH15410</v>
          </cell>
        </row>
        <row r="2432">
          <cell r="N2432" t="str">
            <v>PAO DAY CARE</v>
          </cell>
          <cell r="O2432" t="str">
            <v>1350 EAST MONREAL LANE</v>
          </cell>
          <cell r="P2432" t="str">
            <v>PAO8607@GMAIL.COM</v>
          </cell>
          <cell r="Q2432" t="str">
            <v>SGH-18396</v>
          </cell>
          <cell r="AJ2432" t="e">
            <v>#N/A</v>
          </cell>
          <cell r="AK2432" t="str">
            <v>SGH-18396</v>
          </cell>
          <cell r="AL2432" t="str">
            <v>SGH18396</v>
          </cell>
        </row>
        <row r="2433">
          <cell r="N2433" t="str">
            <v>PLAYHOUSE</v>
          </cell>
          <cell r="O2433" t="str">
            <v>1833 WEST PLATA AVENUE</v>
          </cell>
          <cell r="P2433" t="str">
            <v>nancygonzalez16@hotmail.com</v>
          </cell>
          <cell r="Q2433" t="str">
            <v>SGH-13830</v>
          </cell>
          <cell r="AJ2433" t="e">
            <v>#N/A</v>
          </cell>
          <cell r="AK2433" t="str">
            <v>SGH-13830</v>
          </cell>
          <cell r="AL2433" t="str">
            <v>SGH13830</v>
          </cell>
        </row>
        <row r="2434">
          <cell r="N2434" t="str">
            <v>PLAYTIME CHILDCARE</v>
          </cell>
          <cell r="O2434" t="str">
            <v>2625 CLIFFWOOD PLAZA</v>
          </cell>
          <cell r="P2434" t="str">
            <v>Glenda545@hotmail.com</v>
          </cell>
          <cell r="Q2434" t="str">
            <v>SGH-9343</v>
          </cell>
          <cell r="AJ2434" t="e">
            <v>#N/A</v>
          </cell>
          <cell r="AK2434" t="str">
            <v>SGH-9343</v>
          </cell>
          <cell r="AL2434" t="str">
            <v>SGH9343</v>
          </cell>
        </row>
        <row r="2435">
          <cell r="N2435" t="str">
            <v>POOH'S CORNER</v>
          </cell>
          <cell r="O2435" t="str">
            <v>2074 EAST LONGHORN  PLACE</v>
          </cell>
          <cell r="P2435" t="str">
            <v>schultess@msn.com</v>
          </cell>
          <cell r="Q2435" t="str">
            <v>SGH-17850</v>
          </cell>
          <cell r="AJ2435" t="e">
            <v>#N/A</v>
          </cell>
          <cell r="AK2435" t="str">
            <v>SGH-17850</v>
          </cell>
          <cell r="AL2435" t="str">
            <v>SGH17850</v>
          </cell>
        </row>
        <row r="2436">
          <cell r="N2436" t="str">
            <v>POWERFUL CONNECTIONS YOUNG MINDS IN THE MAKING L.L.C.</v>
          </cell>
          <cell r="O2436" t="str">
            <v>723 WEST GLENN DRIVE</v>
          </cell>
          <cell r="P2436" t="str">
            <v>courtneynyetrae53@gmail.com</v>
          </cell>
          <cell r="Q2436" t="str">
            <v>SGH-18475</v>
          </cell>
          <cell r="AJ2436" t="e">
            <v>#N/A</v>
          </cell>
          <cell r="AK2436" t="str">
            <v>SGH-18475</v>
          </cell>
          <cell r="AL2436" t="str">
            <v>SGH18475</v>
          </cell>
        </row>
        <row r="2437">
          <cell r="N2437" t="str">
            <v>PRECIOUS IN HIS SIGHT PRESCHOOL L.L.C.</v>
          </cell>
          <cell r="O2437" t="str">
            <v>7901 EAST SCARLETT STREET</v>
          </cell>
          <cell r="P2437" t="str">
            <v>klassy_kassy04@yahoo.com</v>
          </cell>
          <cell r="Q2437" t="str">
            <v>SGH-18817</v>
          </cell>
          <cell r="AJ2437" t="e">
            <v>#N/A</v>
          </cell>
          <cell r="AK2437" t="str">
            <v>SGH-18817</v>
          </cell>
          <cell r="AL2437" t="str">
            <v>SGH18817</v>
          </cell>
        </row>
        <row r="2438">
          <cell r="N2438" t="str">
            <v>PRECIOUS SOULS CHILD CARE</v>
          </cell>
          <cell r="O2438" t="str">
            <v>8824 EAST PINE VALLEY DRIVE</v>
          </cell>
          <cell r="P2438" t="str">
            <v>EMBJones@msn.com</v>
          </cell>
          <cell r="Q2438" t="str">
            <v>SGH-13031</v>
          </cell>
          <cell r="AJ2438" t="e">
            <v>#N/A</v>
          </cell>
          <cell r="AK2438" t="str">
            <v>SGH-13031</v>
          </cell>
          <cell r="AL2438" t="str">
            <v>SGH13031</v>
          </cell>
        </row>
        <row r="2439">
          <cell r="N2439" t="str">
            <v>PRODIGY LEARNING CENTER</v>
          </cell>
          <cell r="O2439" t="str">
            <v>3657 EAST ENCANTO STREET</v>
          </cell>
          <cell r="P2439" t="str">
            <v>marseawilliams@gmail.com</v>
          </cell>
          <cell r="Q2439" t="str">
            <v>SGH-17752</v>
          </cell>
          <cell r="AJ2439" t="e">
            <v>#N/A</v>
          </cell>
          <cell r="AK2439" t="str">
            <v>SGH-17752</v>
          </cell>
          <cell r="AL2439" t="str">
            <v>SGH17752</v>
          </cell>
        </row>
        <row r="2440">
          <cell r="N2440" t="str">
            <v>RADFORD KIDS COLLEGE</v>
          </cell>
          <cell r="O2440" t="str">
            <v>512 EAST RIVIERA DRIVE</v>
          </cell>
          <cell r="P2440" t="str">
            <v>radfordkidscollege@yahoo.com</v>
          </cell>
          <cell r="Q2440" t="str">
            <v>SGH-15790</v>
          </cell>
          <cell r="AJ2440" t="e">
            <v>#N/A</v>
          </cell>
          <cell r="AK2440" t="str">
            <v>SGH-15790</v>
          </cell>
          <cell r="AL2440" t="str">
            <v>SGH15790</v>
          </cell>
        </row>
        <row r="2441">
          <cell r="N2441" t="str">
            <v>RISING STARS CHILDCARE L L C</v>
          </cell>
          <cell r="O2441" t="str">
            <v>10508 SOUTH MIRAMAR CANYON PASS</v>
          </cell>
          <cell r="P2441" t="str">
            <v>amandacduran@yahoo.com</v>
          </cell>
          <cell r="Q2441" t="str">
            <v>SGH-17530</v>
          </cell>
          <cell r="AJ2441" t="e">
            <v>#N/A</v>
          </cell>
          <cell r="AK2441" t="str">
            <v>SGH-17530</v>
          </cell>
          <cell r="AL2441" t="str">
            <v>SGH17530</v>
          </cell>
        </row>
        <row r="2442">
          <cell r="N2442" t="str">
            <v>RISING STARS PRESCHOOL AND CHILD CARE</v>
          </cell>
          <cell r="O2442" t="str">
            <v>4904 WEST BUFFALO STREET</v>
          </cell>
          <cell r="P2442" t="str">
            <v>sharnetp@hotmail.com</v>
          </cell>
          <cell r="Q2442" t="str">
            <v>SGH-17061</v>
          </cell>
          <cell r="AJ2442" t="e">
            <v>#N/A</v>
          </cell>
          <cell r="AK2442" t="str">
            <v>SGH-17061</v>
          </cell>
          <cell r="AL2442" t="str">
            <v>SGH17061</v>
          </cell>
        </row>
        <row r="2443">
          <cell r="N2443" t="str">
            <v>ROSA D TERAN</v>
          </cell>
          <cell r="O2443" t="str">
            <v>125 WEST LEE STREET</v>
          </cell>
          <cell r="P2443" t="str">
            <v>rteran1216@msn.com</v>
          </cell>
          <cell r="Q2443" t="str">
            <v>SGH-17207</v>
          </cell>
          <cell r="AJ2443" t="e">
            <v>#N/A</v>
          </cell>
          <cell r="AK2443" t="str">
            <v>SGH-17207</v>
          </cell>
          <cell r="AL2443" t="str">
            <v>SGH17207</v>
          </cell>
        </row>
        <row r="2444">
          <cell r="N2444" t="str">
            <v>ROSIE'S DAY CARE</v>
          </cell>
          <cell r="O2444" t="str">
            <v>7510 WEST WOOD STREET</v>
          </cell>
          <cell r="P2444" t="str">
            <v>rburns@yahoo.com</v>
          </cell>
          <cell r="Q2444" t="str">
            <v>SGH-12610</v>
          </cell>
          <cell r="AJ2444" t="e">
            <v>#N/A</v>
          </cell>
          <cell r="AK2444" t="str">
            <v>SGH-12610</v>
          </cell>
          <cell r="AL2444" t="str">
            <v>SGH12610</v>
          </cell>
        </row>
        <row r="2445">
          <cell r="N2445" t="str">
            <v>ROSY'S CHILD CARE</v>
          </cell>
          <cell r="O2445" t="str">
            <v>2053 E MINORKA ST</v>
          </cell>
          <cell r="P2445" t="str">
            <v>rosyschildcare@hotmail.com</v>
          </cell>
          <cell r="Q2445" t="str">
            <v>SGH-15441</v>
          </cell>
          <cell r="AJ2445" t="e">
            <v>#N/A</v>
          </cell>
          <cell r="AK2445" t="str">
            <v>SGH-15441</v>
          </cell>
          <cell r="AL2445" t="str">
            <v>SGH15441</v>
          </cell>
        </row>
        <row r="2446">
          <cell r="N2446" t="str">
            <v>RUCKUS KIDS</v>
          </cell>
          <cell r="O2446" t="str">
            <v>5741 SOUTH MACK AVENUE</v>
          </cell>
          <cell r="P2446" t="str">
            <v>skcederstrom@hotmail.com</v>
          </cell>
          <cell r="Q2446" t="str">
            <v>SGH-13577</v>
          </cell>
          <cell r="AJ2446" t="e">
            <v>#N/A</v>
          </cell>
          <cell r="AK2446" t="str">
            <v>SGH-13577</v>
          </cell>
          <cell r="AL2446" t="str">
            <v>SGH13577</v>
          </cell>
        </row>
        <row r="2447">
          <cell r="N2447" t="str">
            <v>SAIDA MOROYOQUI</v>
          </cell>
          <cell r="O2447" t="str">
            <v>2300 E 13TH STREET</v>
          </cell>
          <cell r="P2447" t="str">
            <v>saidamoroyoqui@yahoo.com</v>
          </cell>
          <cell r="Q2447" t="str">
            <v>SGH-9183</v>
          </cell>
          <cell r="AJ2447" t="e">
            <v>#N/A</v>
          </cell>
          <cell r="AK2447" t="str">
            <v>SGH-9183</v>
          </cell>
          <cell r="AL2447" t="str">
            <v>SGH9183</v>
          </cell>
        </row>
        <row r="2448">
          <cell r="N2448" t="str">
            <v>SANDRA E. WHITE</v>
          </cell>
          <cell r="O2448" t="str">
            <v>5827 WEST GLENROSA AVENUE</v>
          </cell>
          <cell r="P2448" t="str">
            <v>sandrawhite@cox.net</v>
          </cell>
          <cell r="Q2448" t="str">
            <v>SGH-8851</v>
          </cell>
          <cell r="AJ2448" t="e">
            <v>#N/A</v>
          </cell>
          <cell r="AK2448" t="str">
            <v>SGH-8851</v>
          </cell>
          <cell r="AL2448" t="str">
            <v>SGH8851</v>
          </cell>
        </row>
        <row r="2449">
          <cell r="N2449" t="str">
            <v>SAU CHILD CARE</v>
          </cell>
          <cell r="O2449" t="str">
            <v>3534 EAST MARCH PLACE</v>
          </cell>
          <cell r="P2449" t="str">
            <v>adriana.fernandez66@yahoo.com</v>
          </cell>
          <cell r="Q2449" t="str">
            <v>SGH-11000</v>
          </cell>
          <cell r="AJ2449" t="e">
            <v>#N/A</v>
          </cell>
          <cell r="AK2449" t="str">
            <v>SGH-11000</v>
          </cell>
          <cell r="AL2449" t="str">
            <v>SGH11000</v>
          </cell>
        </row>
        <row r="2450">
          <cell r="N2450" t="str">
            <v>SECURE CHILDCARE</v>
          </cell>
          <cell r="O2450" t="str">
            <v>1216 EAST WINDSOR AVENUE</v>
          </cell>
          <cell r="P2450" t="str">
            <v>dollywazir@yahoo.com</v>
          </cell>
          <cell r="Q2450" t="str">
            <v>SGH-11317</v>
          </cell>
          <cell r="AJ2450" t="e">
            <v>#N/A</v>
          </cell>
          <cell r="AK2450" t="str">
            <v>SGH-11317</v>
          </cell>
          <cell r="AL2450" t="str">
            <v>SGH11317</v>
          </cell>
        </row>
        <row r="2451">
          <cell r="N2451" t="str">
            <v>SERENDIPITY PRESCHOOL</v>
          </cell>
          <cell r="O2451" t="str">
            <v>41110 NORTH REPUBLIC WAY</v>
          </cell>
          <cell r="P2451" t="str">
            <v>serendipitykids@cox.net</v>
          </cell>
          <cell r="Q2451" t="str">
            <v>SGH-17562</v>
          </cell>
          <cell r="AJ2451" t="e">
            <v>#N/A</v>
          </cell>
          <cell r="AK2451" t="str">
            <v>SGH-17562</v>
          </cell>
          <cell r="AL2451" t="str">
            <v>SGH17562</v>
          </cell>
        </row>
        <row r="2452">
          <cell r="N2452" t="str">
            <v>SERENITY'S LEARNING ACADEMY PRESCHOOL AND CHILDCARE LLC</v>
          </cell>
          <cell r="O2452" t="str">
            <v>6419 SOUTH 49TH GLEN</v>
          </cell>
          <cell r="P2452" t="str">
            <v>Keariecarrigan@yahoo.com</v>
          </cell>
          <cell r="Q2452" t="str">
            <v>SGH-18829</v>
          </cell>
          <cell r="AJ2452" t="e">
            <v>#N/A</v>
          </cell>
          <cell r="AK2452" t="str">
            <v>SGH-18829</v>
          </cell>
          <cell r="AL2452" t="str">
            <v>SGH18829</v>
          </cell>
        </row>
        <row r="2453">
          <cell r="N2453" t="str">
            <v>SHAE'S CHILDCARE</v>
          </cell>
          <cell r="O2453" t="str">
            <v>3340 NORTH 191ST AVENUE</v>
          </cell>
          <cell r="P2453" t="str">
            <v>starke_brashae94@yahoo.com</v>
          </cell>
          <cell r="Q2453" t="str">
            <v>SGH-18356</v>
          </cell>
          <cell r="AJ2453" t="e">
            <v>#N/A</v>
          </cell>
          <cell r="AK2453" t="str">
            <v>SGH-18356</v>
          </cell>
          <cell r="AL2453" t="str">
            <v>SGH18356</v>
          </cell>
        </row>
        <row r="2454">
          <cell r="N2454" t="str">
            <v>SHARE AND CARE</v>
          </cell>
          <cell r="O2454" t="str">
            <v>4413 WEST CARSON ROAD</v>
          </cell>
          <cell r="P2454" t="str">
            <v>kstarks2008@hotmail.com</v>
          </cell>
          <cell r="Q2454" t="str">
            <v>SGH-11791</v>
          </cell>
          <cell r="AJ2454" t="e">
            <v>#N/A</v>
          </cell>
          <cell r="AK2454" t="str">
            <v>SGH-11791</v>
          </cell>
          <cell r="AL2454" t="str">
            <v>SGH11791</v>
          </cell>
        </row>
        <row r="2455">
          <cell r="N2455" t="str">
            <v>SHEILA'S ACADEMY "MINDS IN MOTION"</v>
          </cell>
          <cell r="O2455" t="str">
            <v>2735 WEST HIGHLAND STREET</v>
          </cell>
          <cell r="P2455" t="str">
            <v>extrabusy2@gmail.com</v>
          </cell>
          <cell r="Q2455" t="str">
            <v>SGH-5810</v>
          </cell>
          <cell r="AJ2455" t="e">
            <v>#N/A</v>
          </cell>
          <cell r="AK2455" t="str">
            <v>SGH-5810</v>
          </cell>
          <cell r="AL2455" t="str">
            <v>SGH5810</v>
          </cell>
        </row>
        <row r="2456">
          <cell r="N2456" t="str">
            <v>SHELSPLAY PEN 2</v>
          </cell>
          <cell r="O2456" t="str">
            <v>2612 CALLE DE MERCADO</v>
          </cell>
          <cell r="P2456" t="str">
            <v>shellsplaypen@gmail.com</v>
          </cell>
          <cell r="Q2456" t="str">
            <v>SGH-14737</v>
          </cell>
          <cell r="AJ2456" t="e">
            <v>#N/A</v>
          </cell>
          <cell r="AK2456" t="str">
            <v>SGH-14737</v>
          </cell>
          <cell r="AL2456" t="str">
            <v>SGH14737</v>
          </cell>
        </row>
        <row r="2457">
          <cell r="N2457" t="str">
            <v>SHERRI'S DAYCARE</v>
          </cell>
          <cell r="O2457" t="str">
            <v>3911 NORTH DALE DRIVE</v>
          </cell>
          <cell r="P2457" t="str">
            <v>sherrilyon@yahoo.com</v>
          </cell>
          <cell r="Q2457" t="str">
            <v>SGH-18622</v>
          </cell>
          <cell r="AJ2457" t="e">
            <v>#N/A</v>
          </cell>
          <cell r="AK2457" t="str">
            <v>SGH-18622</v>
          </cell>
          <cell r="AL2457" t="str">
            <v>SGH18622</v>
          </cell>
        </row>
        <row r="2458">
          <cell r="N2458" t="str">
            <v>SILVIA ACOSTA</v>
          </cell>
          <cell r="O2458" t="str">
            <v>1361 EAST 10TH STREET</v>
          </cell>
          <cell r="P2458" t="str">
            <v>roxymadrigal@outlook.com</v>
          </cell>
          <cell r="Q2458" t="str">
            <v>SGH-18532</v>
          </cell>
          <cell r="AJ2458" t="e">
            <v>#N/A</v>
          </cell>
          <cell r="AK2458" t="str">
            <v>SGH-18532</v>
          </cell>
          <cell r="AL2458" t="str">
            <v>SGH18532</v>
          </cell>
        </row>
        <row r="2459">
          <cell r="N2459" t="str">
            <v>SILVIA'S CHILD CARE</v>
          </cell>
          <cell r="O2459" t="str">
            <v>2362 EAST ALEPPO PLACE</v>
          </cell>
          <cell r="P2459" t="str">
            <v>danielys.zepeda@gmail.com</v>
          </cell>
          <cell r="Q2459" t="str">
            <v>SGH-9461</v>
          </cell>
          <cell r="AJ2459" t="e">
            <v>#N/A</v>
          </cell>
          <cell r="AK2459" t="str">
            <v>SGH-9461</v>
          </cell>
          <cell r="AL2459" t="str">
            <v>SGH9461</v>
          </cell>
        </row>
        <row r="2460">
          <cell r="N2460" t="str">
            <v>SIMBA'S PLAYHOUSE</v>
          </cell>
          <cell r="O2460" t="str">
            <v>918 WEST MILTON</v>
          </cell>
          <cell r="P2460" t="str">
            <v>gllfrancis@aol.com</v>
          </cell>
          <cell r="Q2460" t="str">
            <v>SGH-8688</v>
          </cell>
          <cell r="AJ2460" t="e">
            <v>#N/A</v>
          </cell>
          <cell r="AK2460" t="str">
            <v>SGH-8688</v>
          </cell>
          <cell r="AL2460" t="str">
            <v>SGH8688</v>
          </cell>
        </row>
        <row r="2461">
          <cell r="N2461" t="str">
            <v>SKY PRESCHOOL</v>
          </cell>
          <cell r="O2461" t="str">
            <v>4808 WEST DESERT LANE</v>
          </cell>
          <cell r="P2461" t="str">
            <v>arielledeloney@yahoo.com</v>
          </cell>
          <cell r="Q2461" t="str">
            <v>SGH-18824</v>
          </cell>
          <cell r="AJ2461" t="e">
            <v>#N/A</v>
          </cell>
          <cell r="AK2461" t="str">
            <v>SGH-18824</v>
          </cell>
          <cell r="AL2461" t="str">
            <v>SGH18824</v>
          </cell>
        </row>
        <row r="2462">
          <cell r="N2462" t="str">
            <v>SMALL HANDS BIG DREAMS</v>
          </cell>
          <cell r="O2462" t="str">
            <v>7426 EAST 20TH STREET</v>
          </cell>
          <cell r="P2462" t="str">
            <v>smallhandsbigdreamsdaycare@gmail.com</v>
          </cell>
          <cell r="Q2462" t="str">
            <v>SGH-17256</v>
          </cell>
          <cell r="AJ2462" t="e">
            <v>#N/A</v>
          </cell>
          <cell r="AK2462" t="str">
            <v>SGH-17256</v>
          </cell>
          <cell r="AL2462" t="str">
            <v>SGH17256</v>
          </cell>
        </row>
        <row r="2463">
          <cell r="N2463" t="str">
            <v>SMALL WONDERS L L C</v>
          </cell>
          <cell r="O2463" t="str">
            <v>21925 NORTH EAST ROSA ROAD</v>
          </cell>
          <cell r="P2463" t="str">
            <v>kara.d.roberts@live.com</v>
          </cell>
          <cell r="Q2463" t="str">
            <v>SGH-14673</v>
          </cell>
          <cell r="AJ2463" t="e">
            <v>#N/A</v>
          </cell>
          <cell r="AK2463" t="str">
            <v>SGH-14673</v>
          </cell>
          <cell r="AL2463" t="str">
            <v>SGH14673</v>
          </cell>
        </row>
        <row r="2464">
          <cell r="N2464" t="str">
            <v>STARLAND DAYCARE</v>
          </cell>
          <cell r="O2464" t="str">
            <v>6522 WEST HARBIN RIDGE WAY</v>
          </cell>
          <cell r="P2464" t="str">
            <v>mlagardo12@hotmail.com</v>
          </cell>
          <cell r="Q2464" t="str">
            <v>SGH-17527</v>
          </cell>
          <cell r="AJ2464" t="e">
            <v>#N/A</v>
          </cell>
          <cell r="AK2464" t="str">
            <v>SGH-17527</v>
          </cell>
          <cell r="AL2464" t="str">
            <v>SGH17527</v>
          </cell>
        </row>
        <row r="2465">
          <cell r="N2465" t="str">
            <v>SUNFLOWER'S DAY CARE</v>
          </cell>
          <cell r="O2465" t="str">
            <v>217 WEST 12TH STREET</v>
          </cell>
          <cell r="P2465" t="str">
            <v>silvarossy47@gmail.com</v>
          </cell>
          <cell r="Q2465" t="str">
            <v>SGH-18847</v>
          </cell>
          <cell r="AJ2465" t="e">
            <v>#N/A</v>
          </cell>
          <cell r="AK2465" t="str">
            <v>SGH-18847</v>
          </cell>
          <cell r="AL2465" t="str">
            <v>SGH18847</v>
          </cell>
        </row>
        <row r="2466">
          <cell r="N2466" t="str">
            <v>SUNSHINE DAYCARE</v>
          </cell>
          <cell r="O2466" t="str">
            <v>1719 WEST 25TH STREET</v>
          </cell>
          <cell r="P2466" t="str">
            <v>maryesther1968@hotmail.com</v>
          </cell>
          <cell r="Q2466" t="str">
            <v>SGH-13508</v>
          </cell>
          <cell r="AJ2466" t="e">
            <v>#N/A</v>
          </cell>
          <cell r="AK2466" t="str">
            <v>SGH-13508</v>
          </cell>
          <cell r="AL2466" t="str">
            <v>SGH13508</v>
          </cell>
        </row>
        <row r="2467">
          <cell r="N2467" t="str">
            <v>SWEET P'S PRE - K</v>
          </cell>
          <cell r="O2467" t="str">
            <v>4741 EAST 18TH STREET</v>
          </cell>
          <cell r="P2467" t="str">
            <v>zettameter@hotmail.com</v>
          </cell>
          <cell r="Q2467" t="str">
            <v>SGH-18503</v>
          </cell>
          <cell r="AJ2467" t="e">
            <v>#N/A</v>
          </cell>
          <cell r="AK2467" t="str">
            <v>SGH-18503</v>
          </cell>
          <cell r="AL2467" t="str">
            <v>SGH18503</v>
          </cell>
        </row>
        <row r="2468">
          <cell r="N2468" t="str">
            <v>SWEETIE'S DAY CARE L L C</v>
          </cell>
          <cell r="O2468" t="str">
            <v>3349 SOUTH ELSON AVENUE</v>
          </cell>
          <cell r="P2468" t="str">
            <v>sweetiesangeles@gmail.com</v>
          </cell>
          <cell r="Q2468" t="str">
            <v>SGH-17428</v>
          </cell>
          <cell r="AJ2468" t="e">
            <v>#N/A</v>
          </cell>
          <cell r="AK2468" t="str">
            <v>SGH-17428</v>
          </cell>
          <cell r="AL2468" t="str">
            <v>SGH17428</v>
          </cell>
        </row>
        <row r="2469">
          <cell r="N2469" t="str">
            <v>TAHERA STANIKZAI</v>
          </cell>
          <cell r="O2469" t="str">
            <v>5657 WEST MANZANITA DRIVE</v>
          </cell>
          <cell r="P2469" t="str">
            <v>stanikzaichildcare@gmail.com</v>
          </cell>
          <cell r="Q2469" t="str">
            <v>SGH-18773</v>
          </cell>
          <cell r="AJ2469" t="e">
            <v>#N/A</v>
          </cell>
          <cell r="AK2469" t="str">
            <v>SGH-18773</v>
          </cell>
          <cell r="AL2469" t="str">
            <v>SGH18773</v>
          </cell>
        </row>
        <row r="2470">
          <cell r="N2470" t="str">
            <v>TENDER LOVING CHILD CARE &amp; PRESCHOOL</v>
          </cell>
          <cell r="O2470" t="str">
            <v>3233 SOUTH 93RD AVENUE</v>
          </cell>
          <cell r="P2470" t="str">
            <v>tyeflo78@yahoo.com</v>
          </cell>
          <cell r="Q2470" t="str">
            <v>SGH-18048</v>
          </cell>
          <cell r="AJ2470" t="e">
            <v>#N/A</v>
          </cell>
          <cell r="AK2470" t="str">
            <v>SGH-18048</v>
          </cell>
          <cell r="AL2470" t="str">
            <v>SGH18048</v>
          </cell>
        </row>
        <row r="2471">
          <cell r="N2471" t="str">
            <v>TERESA E. ELIZARRARAS/ANGELS PLACE</v>
          </cell>
          <cell r="O2471" t="str">
            <v>1436 SOUTH 12TH DRIVE</v>
          </cell>
          <cell r="P2471" t="str">
            <v>bettyelizarraras@hotmail.com</v>
          </cell>
          <cell r="Q2471" t="str">
            <v>SGH-16033</v>
          </cell>
          <cell r="AJ2471" t="e">
            <v>#N/A</v>
          </cell>
          <cell r="AK2471" t="str">
            <v>SGH-16033</v>
          </cell>
          <cell r="AL2471" t="str">
            <v>SGH16033</v>
          </cell>
        </row>
        <row r="2472">
          <cell r="N2472" t="str">
            <v>THE ARK</v>
          </cell>
          <cell r="O2472" t="str">
            <v>5223 EAST BEARGRASS VISTA DR</v>
          </cell>
          <cell r="P2472" t="str">
            <v>anaridai1996@gmail.com</v>
          </cell>
          <cell r="Q2472" t="str">
            <v>SGH-15482</v>
          </cell>
          <cell r="AJ2472" t="e">
            <v>#N/A</v>
          </cell>
          <cell r="AK2472" t="str">
            <v>SGH-15482</v>
          </cell>
          <cell r="AL2472" t="str">
            <v>SGH15482</v>
          </cell>
        </row>
        <row r="2473">
          <cell r="N2473" t="str">
            <v>THE GIFT THAT KEEPS ON GIVING L L C</v>
          </cell>
          <cell r="O2473" t="str">
            <v>5304 WEST FULTON STREET</v>
          </cell>
          <cell r="P2473" t="str">
            <v>thegiftthatkeepsongivingllc@gmail.com</v>
          </cell>
          <cell r="Q2473" t="str">
            <v>SGH-15143</v>
          </cell>
          <cell r="AJ2473" t="e">
            <v>#N/A</v>
          </cell>
          <cell r="AK2473" t="str">
            <v>SGH-15143</v>
          </cell>
          <cell r="AL2473" t="str">
            <v>SGH15143</v>
          </cell>
        </row>
        <row r="2474">
          <cell r="N2474" t="str">
            <v>THE LEARNING CONNECTION CHILD CARE</v>
          </cell>
          <cell r="O2474" t="str">
            <v>1121 EAST WINDSOR DRIVE</v>
          </cell>
          <cell r="P2474" t="str">
            <v>2boyzrfun@q.com</v>
          </cell>
          <cell r="Q2474" t="str">
            <v>SGH-15933</v>
          </cell>
          <cell r="AJ2474" t="e">
            <v>#N/A</v>
          </cell>
          <cell r="AK2474" t="str">
            <v>SGH-15933</v>
          </cell>
          <cell r="AL2474" t="str">
            <v>SGH15933</v>
          </cell>
        </row>
        <row r="2475">
          <cell r="N2475" t="str">
            <v>THE LEARNING LAB L.L.C.</v>
          </cell>
          <cell r="O2475" t="str">
            <v>9708 WEST KINGMAN STREET</v>
          </cell>
          <cell r="P2475" t="str">
            <v>thelearninglab02@gmail.com</v>
          </cell>
          <cell r="Q2475" t="str">
            <v>SGH-18463</v>
          </cell>
          <cell r="AJ2475" t="e">
            <v>#N/A</v>
          </cell>
          <cell r="AK2475" t="str">
            <v>SGH-18463</v>
          </cell>
          <cell r="AL2475" t="str">
            <v>SGH18463</v>
          </cell>
        </row>
        <row r="2476">
          <cell r="N2476" t="str">
            <v>THE LEARNING TREE ACADEMY L.L.C.</v>
          </cell>
          <cell r="O2476" t="str">
            <v>2714 EAST KENWOOD STREET</v>
          </cell>
          <cell r="P2476" t="str">
            <v>Jamidonovan@hotmail.com</v>
          </cell>
          <cell r="Q2476" t="str">
            <v>SGH-17116</v>
          </cell>
          <cell r="AJ2476" t="e">
            <v>#N/A</v>
          </cell>
          <cell r="AK2476" t="str">
            <v>SGH-17116</v>
          </cell>
          <cell r="AL2476" t="str">
            <v>SGH17116</v>
          </cell>
        </row>
        <row r="2477">
          <cell r="N2477" t="str">
            <v>THE LERNER'S PLACE DAYCARE</v>
          </cell>
          <cell r="O2477" t="str">
            <v>1508 EAST DESERT LANE</v>
          </cell>
          <cell r="P2477" t="str">
            <v>lerner09@gmail.com</v>
          </cell>
          <cell r="Q2477" t="str">
            <v>SGH-13731</v>
          </cell>
          <cell r="AJ2477" t="e">
            <v>#N/A</v>
          </cell>
          <cell r="AK2477" t="str">
            <v>SGH-13731</v>
          </cell>
          <cell r="AL2477" t="str">
            <v>SGH13731</v>
          </cell>
        </row>
        <row r="2478">
          <cell r="N2478" t="str">
            <v>THE LITTLE CLUB FOR KIDS</v>
          </cell>
          <cell r="O2478" t="str">
            <v>621 CARSON DRIVE</v>
          </cell>
          <cell r="P2478" t="str">
            <v>thequietpotter@gmail.com</v>
          </cell>
          <cell r="Q2478" t="str">
            <v>SGH-12408</v>
          </cell>
          <cell r="AJ2478" t="e">
            <v>#N/A</v>
          </cell>
          <cell r="AK2478" t="str">
            <v>SGH-12408</v>
          </cell>
          <cell r="AL2478" t="str">
            <v>SGH12408</v>
          </cell>
        </row>
        <row r="2479">
          <cell r="N2479" t="str">
            <v>THE LITTLE PARADISE 1</v>
          </cell>
          <cell r="O2479" t="str">
            <v>3021 WEST CANADA ST</v>
          </cell>
          <cell r="P2479" t="str">
            <v>littleparaiso@gmail.com</v>
          </cell>
          <cell r="Q2479" t="str">
            <v>SGH-13765</v>
          </cell>
          <cell r="AJ2479" t="e">
            <v>#N/A</v>
          </cell>
          <cell r="AK2479" t="str">
            <v>SGH-13765</v>
          </cell>
          <cell r="AL2479" t="str">
            <v>SGH13765</v>
          </cell>
        </row>
        <row r="2480">
          <cell r="N2480" t="str">
            <v>TINY TOONE ADVENTURES CHILD CARE</v>
          </cell>
          <cell r="O2480" t="str">
            <v>225 WEST ILLINOIS</v>
          </cell>
          <cell r="P2480" t="str">
            <v>mariamendoza777@yahoo.com</v>
          </cell>
          <cell r="Q2480" t="str">
            <v>SGH-15261</v>
          </cell>
          <cell r="AJ2480" t="e">
            <v>#N/A</v>
          </cell>
          <cell r="AK2480" t="str">
            <v>SGH-15261</v>
          </cell>
          <cell r="AL2480" t="str">
            <v>SGH15261</v>
          </cell>
        </row>
        <row r="2481">
          <cell r="N2481" t="str">
            <v>TINY TREASURES DAY CARE</v>
          </cell>
          <cell r="O2481" t="str">
            <v>42488 WEST VENTURE ROAD</v>
          </cell>
          <cell r="P2481" t="str">
            <v>adrianamacias73@aol.com</v>
          </cell>
          <cell r="Q2481" t="str">
            <v>SGH-18781</v>
          </cell>
          <cell r="AJ2481" t="e">
            <v>#N/A</v>
          </cell>
          <cell r="AK2481" t="str">
            <v>SGH-18781</v>
          </cell>
          <cell r="AL2481" t="str">
            <v>SGH18781</v>
          </cell>
        </row>
        <row r="2482">
          <cell r="N2482" t="str">
            <v>TODDLER PREP SCHOOL SEVILLE DAYCARE</v>
          </cell>
          <cell r="O2482" t="str">
            <v>3119 EAST ISAIAH AVENUE</v>
          </cell>
          <cell r="P2482" t="str">
            <v>toddlerprepschool@gmail.com</v>
          </cell>
          <cell r="Q2482" t="str">
            <v>SGH-14356</v>
          </cell>
          <cell r="AJ2482" t="e">
            <v>#N/A</v>
          </cell>
          <cell r="AK2482" t="str">
            <v>SGH-14356</v>
          </cell>
          <cell r="AL2482" t="str">
            <v>SGH14356</v>
          </cell>
        </row>
        <row r="2483">
          <cell r="N2483" t="str">
            <v>TRACY'S CHILD CARE</v>
          </cell>
          <cell r="O2483" t="str">
            <v>1025 CHAPARRAL ROAD</v>
          </cell>
          <cell r="P2483" t="str">
            <v>tracyjison@yahoo.com</v>
          </cell>
          <cell r="Q2483" t="str">
            <v>SGH-14696</v>
          </cell>
          <cell r="AJ2483" t="e">
            <v>#N/A</v>
          </cell>
          <cell r="AK2483" t="str">
            <v>SGH-14696</v>
          </cell>
          <cell r="AL2483" t="str">
            <v>SGH14696</v>
          </cell>
        </row>
        <row r="2484">
          <cell r="N2484" t="str">
            <v>TREE HOUSE DAYCARE</v>
          </cell>
          <cell r="O2484" t="str">
            <v>3067 WEST AVENIDA OBREGON</v>
          </cell>
          <cell r="P2484" t="str">
            <v>TREEHOUSEDAYC@GMAIL.COM</v>
          </cell>
          <cell r="Q2484" t="str">
            <v>SGH-18745</v>
          </cell>
          <cell r="AJ2484" t="e">
            <v>#N/A</v>
          </cell>
          <cell r="AK2484" t="str">
            <v>SGH-18745</v>
          </cell>
          <cell r="AL2484" t="str">
            <v>SGH18745</v>
          </cell>
        </row>
        <row r="2485">
          <cell r="N2485" t="str">
            <v>UNDER THE WING</v>
          </cell>
          <cell r="O2485" t="str">
            <v>4741 SOUTH CAMINO DE LA PLAZA</v>
          </cell>
          <cell r="P2485" t="str">
            <v>campas16@aol.com</v>
          </cell>
          <cell r="Q2485" t="str">
            <v>SGH-11541</v>
          </cell>
          <cell r="AJ2485" t="e">
            <v>#N/A</v>
          </cell>
          <cell r="AK2485" t="str">
            <v>SGH-11541</v>
          </cell>
          <cell r="AL2485" t="str">
            <v>SGH11541</v>
          </cell>
        </row>
        <row r="2486">
          <cell r="N2486" t="str">
            <v>URIBE'S CHILD CARE</v>
          </cell>
          <cell r="O2486" t="str">
            <v>1700 NORTH DRAGOON ST</v>
          </cell>
          <cell r="P2486" t="str">
            <v>seaio.uribe@gmail.com</v>
          </cell>
          <cell r="Q2486" t="str">
            <v>SGH-13390</v>
          </cell>
          <cell r="AJ2486" t="e">
            <v>#N/A</v>
          </cell>
          <cell r="AK2486" t="str">
            <v>SGH-13390</v>
          </cell>
          <cell r="AL2486" t="str">
            <v>SGH13390</v>
          </cell>
        </row>
        <row r="2487">
          <cell r="N2487" t="str">
            <v>V LEARNING CENTER</v>
          </cell>
          <cell r="O2487" t="str">
            <v>3602 WEST PALMAIRE AVENUE</v>
          </cell>
          <cell r="P2487" t="str">
            <v>fuentes.elsa10@yahoo.com</v>
          </cell>
          <cell r="Q2487" t="str">
            <v>SGH-16858</v>
          </cell>
          <cell r="AJ2487" t="e">
            <v>#N/A</v>
          </cell>
          <cell r="AK2487" t="str">
            <v>SGH-16858</v>
          </cell>
          <cell r="AL2487" t="str">
            <v>SGH16858</v>
          </cell>
        </row>
        <row r="2488">
          <cell r="N2488" t="str">
            <v>VAL'S CHILDCARE</v>
          </cell>
          <cell r="O2488" t="str">
            <v>6409 SOUTH BUFORD AVENUE</v>
          </cell>
          <cell r="P2488" t="str">
            <v>villasenorvalerie@yahoo.com</v>
          </cell>
          <cell r="Q2488" t="str">
            <v>SGH-18565</v>
          </cell>
          <cell r="AJ2488" t="e">
            <v>#N/A</v>
          </cell>
          <cell r="AK2488" t="str">
            <v>SGH-18565</v>
          </cell>
          <cell r="AL2488" t="str">
            <v>SGH18565</v>
          </cell>
        </row>
        <row r="2489">
          <cell r="N2489" t="str">
            <v>VISION ONE C D C</v>
          </cell>
          <cell r="O2489" t="str">
            <v>15070 WEST FILLMORE STREET</v>
          </cell>
          <cell r="P2489" t="str">
            <v>green9445@gmail.com</v>
          </cell>
          <cell r="Q2489" t="str">
            <v>SGH-16849</v>
          </cell>
          <cell r="AJ2489" t="e">
            <v>#N/A</v>
          </cell>
          <cell r="AK2489" t="str">
            <v>SGH-16849</v>
          </cell>
          <cell r="AL2489" t="str">
            <v>SGH16849</v>
          </cell>
        </row>
        <row r="2490">
          <cell r="N2490" t="str">
            <v>WANDA'S DAY CARE</v>
          </cell>
          <cell r="O2490" t="str">
            <v>3510 EAST KERRY LANE</v>
          </cell>
          <cell r="P2490" t="str">
            <v>wklita@yahoo.com</v>
          </cell>
          <cell r="Q2490" t="str">
            <v>SGH-5343</v>
          </cell>
          <cell r="AJ2490" t="e">
            <v>#N/A</v>
          </cell>
          <cell r="AK2490" t="str">
            <v>SGH-5343</v>
          </cell>
          <cell r="AL2490" t="str">
            <v>SGH5343</v>
          </cell>
        </row>
        <row r="2491">
          <cell r="N2491" t="str">
            <v>WHEELER'S DROP-A-TOT</v>
          </cell>
          <cell r="O2491" t="str">
            <v>4311 EAST MULBERRY DRIVE</v>
          </cell>
          <cell r="P2491" t="str">
            <v>wheelersdropatot@gmail.com</v>
          </cell>
          <cell r="Q2491" t="str">
            <v>SGH-15950</v>
          </cell>
          <cell r="AJ2491" t="e">
            <v>#N/A</v>
          </cell>
          <cell r="AK2491" t="str">
            <v>SGH-15950</v>
          </cell>
          <cell r="AL2491" t="str">
            <v>SGH15950</v>
          </cell>
        </row>
        <row r="2492">
          <cell r="N2492" t="str">
            <v>YADI'S GROUP HOME</v>
          </cell>
          <cell r="O2492" t="str">
            <v>2023 SOUTH WALNUT AVENUE</v>
          </cell>
          <cell r="P2492" t="str">
            <v>yadiradaycare@gmail.com</v>
          </cell>
          <cell r="Q2492" t="str">
            <v>SGH-18818</v>
          </cell>
          <cell r="AJ2492" t="e">
            <v>#N/A</v>
          </cell>
          <cell r="AK2492" t="str">
            <v>SGH-18818</v>
          </cell>
          <cell r="AL2492" t="str">
            <v>SGH18818</v>
          </cell>
        </row>
        <row r="2493">
          <cell r="N2493" t="str">
            <v>YAVAPAI IN-HOME PRESCHOOL</v>
          </cell>
          <cell r="O2493" t="str">
            <v>21396 WEST HUBBELL STREET</v>
          </cell>
          <cell r="P2493" t="str">
            <v>yavapre@gmail.com</v>
          </cell>
          <cell r="Q2493" t="str">
            <v>SGH-18166</v>
          </cell>
          <cell r="AJ2493" t="e">
            <v>#N/A</v>
          </cell>
          <cell r="AK2493" t="str">
            <v>SGH-18166</v>
          </cell>
          <cell r="AL2493" t="str">
            <v>SGH18166</v>
          </cell>
        </row>
        <row r="2494">
          <cell r="N2494" t="str">
            <v>YOLANDA'S CHILDCARE</v>
          </cell>
          <cell r="O2494" t="str">
            <v>734 WEST SANTA MARIA STREET</v>
          </cell>
          <cell r="P2494" t="str">
            <v>ymiramon@hotmail.com</v>
          </cell>
          <cell r="Q2494" t="str">
            <v>SGH-10407</v>
          </cell>
          <cell r="AJ2494" t="e">
            <v>#N/A</v>
          </cell>
          <cell r="AK2494" t="str">
            <v>SGH-10407</v>
          </cell>
          <cell r="AL2494" t="str">
            <v>SGH10407</v>
          </cell>
        </row>
        <row r="2495">
          <cell r="N2495" t="str">
            <v>YOUNG SAGE IN-HOME PRESCHOOL</v>
          </cell>
          <cell r="O2495" t="str">
            <v>1868 EAST LA DONNA DRIVE</v>
          </cell>
          <cell r="P2495" t="str">
            <v>kimi@youngsagechildcare.com</v>
          </cell>
          <cell r="Q2495" t="str">
            <v>SGH-18540</v>
          </cell>
          <cell r="AJ2495" t="e">
            <v>#N/A</v>
          </cell>
          <cell r="AK2495" t="str">
            <v>SGH-18540</v>
          </cell>
          <cell r="AL2495" t="str">
            <v>SGH18540</v>
          </cell>
        </row>
        <row r="2496">
          <cell r="N2496" t="str">
            <v>YUMIS CHILDCARE AND PRESCHOOL</v>
          </cell>
          <cell r="O2496" t="str">
            <v>4053 SOUTH BRITTLEBUSH AVENUE</v>
          </cell>
          <cell r="P2496" t="str">
            <v>gpegalin3@yahoo.com</v>
          </cell>
          <cell r="Q2496" t="str">
            <v>SGH-17769</v>
          </cell>
          <cell r="AJ2496" t="e">
            <v>#N/A</v>
          </cell>
          <cell r="AK2496" t="str">
            <v>SGH-17769</v>
          </cell>
          <cell r="AL2496" t="str">
            <v>SGH17769</v>
          </cell>
        </row>
        <row r="2497">
          <cell r="N2497" t="str">
            <v>ZIBA FEULNER</v>
          </cell>
          <cell r="O2497" t="str">
            <v>22105 EAST ROSA ROAD</v>
          </cell>
          <cell r="P2497" t="str">
            <v>zibafeulner@hotmail.com</v>
          </cell>
          <cell r="Q2497" t="str">
            <v>SGH-18486</v>
          </cell>
          <cell r="AJ2497" t="e">
            <v>#N/A</v>
          </cell>
          <cell r="AK2497" t="str">
            <v>SGH-18486</v>
          </cell>
          <cell r="AL2497" t="str">
            <v>SGH18486</v>
          </cell>
        </row>
        <row r="2498">
          <cell r="AJ2498" t="e">
            <v>#N/A</v>
          </cell>
        </row>
      </sheetData>
      <sheetData sheetId="1"/>
      <sheetData sheetId="2">
        <row r="1">
          <cell r="D1" t="str">
            <v>CDC #</v>
          </cell>
          <cell r="E1" t="str">
            <v>SiteCTDS</v>
          </cell>
          <cell r="F1" t="str">
            <v>SponsorEntityID</v>
          </cell>
          <cell r="G1" t="str">
            <v>SiteEntityID</v>
          </cell>
        </row>
        <row r="2">
          <cell r="D2" t="str">
            <v>CDC-17248</v>
          </cell>
          <cell r="E2">
            <v>73325001</v>
          </cell>
          <cell r="F2">
            <v>93011</v>
          </cell>
          <cell r="G2">
            <v>93012</v>
          </cell>
        </row>
        <row r="3">
          <cell r="D3" t="str">
            <v>CDC-17248</v>
          </cell>
          <cell r="E3">
            <v>73325001</v>
          </cell>
          <cell r="F3">
            <v>93011</v>
          </cell>
          <cell r="G3">
            <v>93012</v>
          </cell>
        </row>
        <row r="4">
          <cell r="D4" t="str">
            <v>CDC-17248</v>
          </cell>
          <cell r="E4">
            <v>73325001</v>
          </cell>
          <cell r="F4">
            <v>93011</v>
          </cell>
          <cell r="G4">
            <v>93012</v>
          </cell>
        </row>
        <row r="5">
          <cell r="D5" t="str">
            <v>CDC-17248</v>
          </cell>
          <cell r="E5">
            <v>73325001</v>
          </cell>
          <cell r="F5">
            <v>93011</v>
          </cell>
          <cell r="G5">
            <v>93012</v>
          </cell>
        </row>
        <row r="6">
          <cell r="D6" t="str">
            <v>CDC-17248</v>
          </cell>
          <cell r="E6">
            <v>73325001</v>
          </cell>
          <cell r="F6">
            <v>93011</v>
          </cell>
          <cell r="G6">
            <v>93012</v>
          </cell>
        </row>
        <row r="7">
          <cell r="D7" t="str">
            <v>CDC-17248</v>
          </cell>
          <cell r="E7">
            <v>73325001</v>
          </cell>
          <cell r="F7">
            <v>93011</v>
          </cell>
          <cell r="G7">
            <v>93012</v>
          </cell>
        </row>
        <row r="8">
          <cell r="D8" t="str">
            <v>CDC-17248</v>
          </cell>
          <cell r="E8">
            <v>73325001</v>
          </cell>
          <cell r="F8">
            <v>93011</v>
          </cell>
          <cell r="G8">
            <v>93012</v>
          </cell>
        </row>
        <row r="9">
          <cell r="D9" t="str">
            <v>CDC-17248</v>
          </cell>
          <cell r="E9">
            <v>73325001</v>
          </cell>
          <cell r="F9">
            <v>93011</v>
          </cell>
          <cell r="G9">
            <v>93012</v>
          </cell>
        </row>
        <row r="10">
          <cell r="D10" t="str">
            <v>CDC-17248</v>
          </cell>
          <cell r="E10">
            <v>73325001</v>
          </cell>
          <cell r="F10">
            <v>93011</v>
          </cell>
          <cell r="G10">
            <v>93012</v>
          </cell>
        </row>
        <row r="11">
          <cell r="D11" t="str">
            <v>CDC-17248</v>
          </cell>
          <cell r="E11">
            <v>73325001</v>
          </cell>
          <cell r="F11">
            <v>93011</v>
          </cell>
          <cell r="G11">
            <v>93012</v>
          </cell>
        </row>
        <row r="12">
          <cell r="D12" t="str">
            <v>CDC-0179</v>
          </cell>
          <cell r="E12">
            <v>73024001</v>
          </cell>
          <cell r="F12">
            <v>9018</v>
          </cell>
          <cell r="G12">
            <v>9019</v>
          </cell>
        </row>
        <row r="13">
          <cell r="D13" t="str">
            <v>CDC-0179</v>
          </cell>
          <cell r="E13">
            <v>73024001</v>
          </cell>
          <cell r="F13">
            <v>9018</v>
          </cell>
          <cell r="G13">
            <v>9019</v>
          </cell>
        </row>
        <row r="14">
          <cell r="D14" t="str">
            <v>CDC-0179</v>
          </cell>
          <cell r="E14">
            <v>73024001</v>
          </cell>
          <cell r="F14">
            <v>9018</v>
          </cell>
          <cell r="G14">
            <v>9019</v>
          </cell>
        </row>
        <row r="15">
          <cell r="D15" t="str">
            <v>CDC-0179</v>
          </cell>
          <cell r="E15">
            <v>73024001</v>
          </cell>
          <cell r="F15">
            <v>9018</v>
          </cell>
          <cell r="G15">
            <v>9019</v>
          </cell>
        </row>
        <row r="16">
          <cell r="D16" t="str">
            <v>CDC-0179</v>
          </cell>
          <cell r="E16">
            <v>73024001</v>
          </cell>
          <cell r="F16">
            <v>9018</v>
          </cell>
          <cell r="G16">
            <v>9019</v>
          </cell>
        </row>
        <row r="17">
          <cell r="D17" t="str">
            <v>CDC-0179</v>
          </cell>
          <cell r="E17">
            <v>73024001</v>
          </cell>
          <cell r="F17">
            <v>9018</v>
          </cell>
          <cell r="G17">
            <v>9019</v>
          </cell>
        </row>
        <row r="18">
          <cell r="D18" t="str">
            <v>CDC-0179</v>
          </cell>
          <cell r="E18">
            <v>73024001</v>
          </cell>
          <cell r="F18">
            <v>9018</v>
          </cell>
          <cell r="G18">
            <v>9019</v>
          </cell>
        </row>
        <row r="19">
          <cell r="D19" t="str">
            <v>CDC-0179</v>
          </cell>
          <cell r="E19">
            <v>73024001</v>
          </cell>
          <cell r="F19">
            <v>9018</v>
          </cell>
          <cell r="G19">
            <v>9019</v>
          </cell>
        </row>
        <row r="20">
          <cell r="D20" t="str">
            <v>CDC-18750</v>
          </cell>
          <cell r="E20">
            <v>72215001</v>
          </cell>
          <cell r="F20">
            <v>7320</v>
          </cell>
          <cell r="G20">
            <v>8680</v>
          </cell>
        </row>
        <row r="21">
          <cell r="D21" t="str">
            <v>CDC-18750</v>
          </cell>
          <cell r="E21">
            <v>72215001</v>
          </cell>
          <cell r="F21">
            <v>7320</v>
          </cell>
          <cell r="G21">
            <v>8680</v>
          </cell>
        </row>
        <row r="22">
          <cell r="D22" t="str">
            <v>CDC-18750</v>
          </cell>
          <cell r="E22">
            <v>72215001</v>
          </cell>
          <cell r="F22">
            <v>7320</v>
          </cell>
          <cell r="G22">
            <v>8680</v>
          </cell>
        </row>
        <row r="23">
          <cell r="D23" t="str">
            <v>CDC-18750</v>
          </cell>
          <cell r="E23">
            <v>72215001</v>
          </cell>
          <cell r="F23">
            <v>7320</v>
          </cell>
          <cell r="G23">
            <v>8680</v>
          </cell>
        </row>
        <row r="24">
          <cell r="D24" t="str">
            <v>CDC-18750</v>
          </cell>
          <cell r="E24">
            <v>72215001</v>
          </cell>
          <cell r="F24">
            <v>7320</v>
          </cell>
          <cell r="G24">
            <v>8680</v>
          </cell>
        </row>
        <row r="25">
          <cell r="D25" t="str">
            <v>CDC-18750</v>
          </cell>
          <cell r="E25">
            <v>72215001</v>
          </cell>
          <cell r="F25">
            <v>7320</v>
          </cell>
          <cell r="G25">
            <v>8680</v>
          </cell>
        </row>
        <row r="26">
          <cell r="D26" t="str">
            <v>CDC-13240</v>
          </cell>
          <cell r="E26">
            <v>73550001</v>
          </cell>
          <cell r="F26">
            <v>89463</v>
          </cell>
          <cell r="G26">
            <v>89464</v>
          </cell>
        </row>
        <row r="27">
          <cell r="D27" t="str">
            <v>CDC-13240</v>
          </cell>
          <cell r="E27">
            <v>73550001</v>
          </cell>
          <cell r="F27">
            <v>89463</v>
          </cell>
          <cell r="G27">
            <v>89464</v>
          </cell>
        </row>
        <row r="28">
          <cell r="D28" t="str">
            <v>CDC-13240</v>
          </cell>
          <cell r="E28">
            <v>73550001</v>
          </cell>
          <cell r="F28">
            <v>89463</v>
          </cell>
          <cell r="G28">
            <v>89464</v>
          </cell>
        </row>
        <row r="29">
          <cell r="D29" t="str">
            <v>CDC-13240</v>
          </cell>
          <cell r="E29">
            <v>73550001</v>
          </cell>
          <cell r="F29">
            <v>89463</v>
          </cell>
          <cell r="G29">
            <v>89464</v>
          </cell>
        </row>
        <row r="30">
          <cell r="D30" t="str">
            <v>CDC-13240</v>
          </cell>
          <cell r="E30">
            <v>73550001</v>
          </cell>
          <cell r="F30">
            <v>89463</v>
          </cell>
          <cell r="G30">
            <v>89464</v>
          </cell>
        </row>
        <row r="31">
          <cell r="D31" t="str">
            <v>CDC-13240</v>
          </cell>
          <cell r="E31">
            <v>73550001</v>
          </cell>
          <cell r="F31">
            <v>89463</v>
          </cell>
          <cell r="G31">
            <v>89464</v>
          </cell>
        </row>
        <row r="32">
          <cell r="D32" t="str">
            <v>CDC-13240</v>
          </cell>
          <cell r="E32">
            <v>73550001</v>
          </cell>
          <cell r="F32">
            <v>89463</v>
          </cell>
          <cell r="G32">
            <v>89464</v>
          </cell>
        </row>
        <row r="33">
          <cell r="D33" t="str">
            <v>CDC-13240</v>
          </cell>
          <cell r="E33">
            <v>73550001</v>
          </cell>
          <cell r="F33">
            <v>89463</v>
          </cell>
          <cell r="G33">
            <v>89464</v>
          </cell>
        </row>
        <row r="34">
          <cell r="D34" t="str">
            <v>CDC-18774</v>
          </cell>
          <cell r="E34">
            <v>113023002</v>
          </cell>
          <cell r="F34">
            <v>91321</v>
          </cell>
          <cell r="G34">
            <v>1000394</v>
          </cell>
        </row>
        <row r="35">
          <cell r="D35" t="str">
            <v>CDC-18774</v>
          </cell>
          <cell r="E35">
            <v>113023002</v>
          </cell>
          <cell r="F35">
            <v>91321</v>
          </cell>
          <cell r="G35">
            <v>1000394</v>
          </cell>
        </row>
        <row r="36">
          <cell r="D36" t="str">
            <v>CDC-18774</v>
          </cell>
          <cell r="E36">
            <v>113023002</v>
          </cell>
          <cell r="F36">
            <v>91321</v>
          </cell>
          <cell r="G36">
            <v>1000394</v>
          </cell>
        </row>
        <row r="37">
          <cell r="D37" t="str">
            <v>CDC-18774</v>
          </cell>
          <cell r="E37">
            <v>113023002</v>
          </cell>
          <cell r="F37">
            <v>91321</v>
          </cell>
          <cell r="G37">
            <v>1000394</v>
          </cell>
        </row>
        <row r="38">
          <cell r="D38" t="str">
            <v>CDC-18774</v>
          </cell>
          <cell r="E38">
            <v>113023002</v>
          </cell>
          <cell r="F38">
            <v>91321</v>
          </cell>
          <cell r="G38">
            <v>1000394</v>
          </cell>
        </row>
        <row r="39">
          <cell r="D39" t="str">
            <v>CDC-18774</v>
          </cell>
          <cell r="E39">
            <v>113023002</v>
          </cell>
          <cell r="F39">
            <v>91321</v>
          </cell>
          <cell r="G39">
            <v>1000394</v>
          </cell>
        </row>
        <row r="40">
          <cell r="D40" t="str">
            <v>CDC-18774</v>
          </cell>
          <cell r="E40">
            <v>113023002</v>
          </cell>
          <cell r="F40">
            <v>91321</v>
          </cell>
          <cell r="G40">
            <v>1000394</v>
          </cell>
        </row>
        <row r="41">
          <cell r="D41" t="str">
            <v>CDC-18774</v>
          </cell>
          <cell r="E41">
            <v>113023002</v>
          </cell>
          <cell r="F41">
            <v>91321</v>
          </cell>
          <cell r="G41">
            <v>1000394</v>
          </cell>
        </row>
        <row r="42">
          <cell r="D42" t="str">
            <v>CDC-18774</v>
          </cell>
          <cell r="E42">
            <v>113023002</v>
          </cell>
          <cell r="F42">
            <v>91321</v>
          </cell>
          <cell r="G42">
            <v>1000394</v>
          </cell>
        </row>
        <row r="43">
          <cell r="D43" t="str">
            <v>CDC-18774</v>
          </cell>
          <cell r="E43">
            <v>113023002</v>
          </cell>
          <cell r="F43">
            <v>91321</v>
          </cell>
          <cell r="G43">
            <v>1000394</v>
          </cell>
        </row>
        <row r="44">
          <cell r="D44" t="str">
            <v>CDC-16036</v>
          </cell>
          <cell r="E44">
            <v>113023001</v>
          </cell>
          <cell r="F44">
            <v>91321</v>
          </cell>
          <cell r="G44">
            <v>91322</v>
          </cell>
        </row>
        <row r="45">
          <cell r="D45" t="str">
            <v>CDC-16036</v>
          </cell>
          <cell r="E45">
            <v>113023001</v>
          </cell>
          <cell r="F45">
            <v>91321</v>
          </cell>
          <cell r="G45">
            <v>91322</v>
          </cell>
        </row>
        <row r="46">
          <cell r="D46" t="str">
            <v>CDC-16036</v>
          </cell>
          <cell r="E46">
            <v>113023001</v>
          </cell>
          <cell r="F46">
            <v>91321</v>
          </cell>
          <cell r="G46">
            <v>91322</v>
          </cell>
        </row>
        <row r="47">
          <cell r="D47" t="str">
            <v>CDC-16036</v>
          </cell>
          <cell r="E47">
            <v>113023001</v>
          </cell>
          <cell r="F47">
            <v>91321</v>
          </cell>
          <cell r="G47">
            <v>91322</v>
          </cell>
        </row>
        <row r="48">
          <cell r="D48" t="str">
            <v>CDC-16036</v>
          </cell>
          <cell r="E48">
            <v>113023001</v>
          </cell>
          <cell r="F48">
            <v>91321</v>
          </cell>
          <cell r="G48">
            <v>91322</v>
          </cell>
        </row>
        <row r="49">
          <cell r="D49" t="str">
            <v>CDC-16036</v>
          </cell>
          <cell r="E49">
            <v>113023001</v>
          </cell>
          <cell r="F49">
            <v>91321</v>
          </cell>
          <cell r="G49">
            <v>91322</v>
          </cell>
        </row>
        <row r="50">
          <cell r="D50" t="str">
            <v>CDC-16036</v>
          </cell>
          <cell r="E50">
            <v>113023001</v>
          </cell>
          <cell r="F50">
            <v>91321</v>
          </cell>
          <cell r="G50">
            <v>91322</v>
          </cell>
        </row>
        <row r="51">
          <cell r="D51" t="str">
            <v>CDC-16036</v>
          </cell>
          <cell r="E51">
            <v>113023001</v>
          </cell>
          <cell r="F51">
            <v>91321</v>
          </cell>
          <cell r="G51">
            <v>91322</v>
          </cell>
        </row>
        <row r="52">
          <cell r="D52" t="str">
            <v>CDC-16036</v>
          </cell>
          <cell r="E52">
            <v>113023001</v>
          </cell>
          <cell r="F52">
            <v>91321</v>
          </cell>
          <cell r="G52">
            <v>91322</v>
          </cell>
        </row>
        <row r="53">
          <cell r="D53" t="str">
            <v>CDC-16036</v>
          </cell>
          <cell r="E53">
            <v>113023001</v>
          </cell>
          <cell r="F53">
            <v>91321</v>
          </cell>
          <cell r="G53">
            <v>91322</v>
          </cell>
        </row>
        <row r="54">
          <cell r="D54" t="e">
            <v>#N/A</v>
          </cell>
          <cell r="E54">
            <v>73512001</v>
          </cell>
          <cell r="F54">
            <v>85801</v>
          </cell>
          <cell r="G54">
            <v>85802</v>
          </cell>
        </row>
        <row r="55">
          <cell r="D55" t="e">
            <v>#N/A</v>
          </cell>
          <cell r="E55">
            <v>73512001</v>
          </cell>
          <cell r="F55">
            <v>85801</v>
          </cell>
          <cell r="G55">
            <v>85802</v>
          </cell>
        </row>
        <row r="56">
          <cell r="D56" t="e">
            <v>#N/A</v>
          </cell>
          <cell r="E56">
            <v>73512001</v>
          </cell>
          <cell r="F56">
            <v>85801</v>
          </cell>
          <cell r="G56">
            <v>85802</v>
          </cell>
        </row>
        <row r="57">
          <cell r="D57" t="e">
            <v>#N/A</v>
          </cell>
          <cell r="E57">
            <v>73512001</v>
          </cell>
          <cell r="F57">
            <v>85801</v>
          </cell>
          <cell r="G57">
            <v>85802</v>
          </cell>
        </row>
        <row r="58">
          <cell r="D58" t="e">
            <v>#N/A</v>
          </cell>
          <cell r="E58">
            <v>73512001</v>
          </cell>
          <cell r="F58">
            <v>85801</v>
          </cell>
          <cell r="G58">
            <v>85802</v>
          </cell>
        </row>
        <row r="59">
          <cell r="D59" t="e">
            <v>#N/A</v>
          </cell>
          <cell r="E59">
            <v>73512001</v>
          </cell>
          <cell r="F59">
            <v>85801</v>
          </cell>
          <cell r="G59">
            <v>85802</v>
          </cell>
        </row>
        <row r="60">
          <cell r="D60" t="str">
            <v>CDC-12649</v>
          </cell>
          <cell r="E60">
            <v>132205001</v>
          </cell>
          <cell r="F60">
            <v>79300</v>
          </cell>
          <cell r="G60">
            <v>79301</v>
          </cell>
        </row>
        <row r="61">
          <cell r="D61" t="str">
            <v>CDC-12649</v>
          </cell>
          <cell r="E61">
            <v>132205001</v>
          </cell>
          <cell r="F61">
            <v>79300</v>
          </cell>
          <cell r="G61">
            <v>79301</v>
          </cell>
        </row>
        <row r="62">
          <cell r="D62" t="str">
            <v>CDC-12649</v>
          </cell>
          <cell r="E62">
            <v>132205001</v>
          </cell>
          <cell r="F62">
            <v>79300</v>
          </cell>
          <cell r="G62">
            <v>79301</v>
          </cell>
        </row>
        <row r="63">
          <cell r="D63" t="str">
            <v>CDC-12649</v>
          </cell>
          <cell r="E63">
            <v>132205001</v>
          </cell>
          <cell r="F63">
            <v>79300</v>
          </cell>
          <cell r="G63">
            <v>79301</v>
          </cell>
        </row>
        <row r="64">
          <cell r="D64" t="str">
            <v>CDC-12649</v>
          </cell>
          <cell r="E64">
            <v>132205001</v>
          </cell>
          <cell r="F64">
            <v>79300</v>
          </cell>
          <cell r="G64">
            <v>79301</v>
          </cell>
        </row>
        <row r="65">
          <cell r="D65" t="str">
            <v>CDC-12649</v>
          </cell>
          <cell r="E65">
            <v>132205001</v>
          </cell>
          <cell r="F65">
            <v>79300</v>
          </cell>
          <cell r="G65">
            <v>79301</v>
          </cell>
        </row>
        <row r="66">
          <cell r="D66" t="str">
            <v>CDC-12649</v>
          </cell>
          <cell r="E66">
            <v>132205001</v>
          </cell>
          <cell r="F66">
            <v>79300</v>
          </cell>
          <cell r="G66">
            <v>79301</v>
          </cell>
        </row>
        <row r="67">
          <cell r="D67" t="str">
            <v>CDC-12649</v>
          </cell>
          <cell r="E67">
            <v>132205001</v>
          </cell>
          <cell r="F67">
            <v>79300</v>
          </cell>
          <cell r="G67">
            <v>79301</v>
          </cell>
        </row>
        <row r="68">
          <cell r="D68" t="str">
            <v>CDC-14563</v>
          </cell>
          <cell r="E68">
            <v>73595001</v>
          </cell>
          <cell r="F68">
            <v>90474</v>
          </cell>
          <cell r="G68">
            <v>90475</v>
          </cell>
        </row>
        <row r="69">
          <cell r="D69" t="str">
            <v>CDC-14563</v>
          </cell>
          <cell r="E69">
            <v>73595001</v>
          </cell>
          <cell r="F69">
            <v>90474</v>
          </cell>
          <cell r="G69">
            <v>90475</v>
          </cell>
        </row>
        <row r="70">
          <cell r="D70" t="str">
            <v>CDC-14563</v>
          </cell>
          <cell r="E70">
            <v>73595001</v>
          </cell>
          <cell r="F70">
            <v>90474</v>
          </cell>
          <cell r="G70">
            <v>90475</v>
          </cell>
        </row>
        <row r="71">
          <cell r="D71" t="str">
            <v>CDC-14563</v>
          </cell>
          <cell r="E71">
            <v>73595001</v>
          </cell>
          <cell r="F71">
            <v>90474</v>
          </cell>
          <cell r="G71">
            <v>90475</v>
          </cell>
        </row>
        <row r="72">
          <cell r="D72" t="str">
            <v>CDC-14563</v>
          </cell>
          <cell r="E72">
            <v>73595001</v>
          </cell>
          <cell r="F72">
            <v>90474</v>
          </cell>
          <cell r="G72">
            <v>90475</v>
          </cell>
        </row>
        <row r="73">
          <cell r="D73" t="str">
            <v>CDC-14563</v>
          </cell>
          <cell r="E73">
            <v>73595001</v>
          </cell>
          <cell r="F73">
            <v>90474</v>
          </cell>
          <cell r="G73">
            <v>90475</v>
          </cell>
        </row>
        <row r="74">
          <cell r="D74" t="str">
            <v>CDC-14563</v>
          </cell>
          <cell r="E74">
            <v>73595001</v>
          </cell>
          <cell r="F74">
            <v>90474</v>
          </cell>
          <cell r="G74">
            <v>90475</v>
          </cell>
        </row>
        <row r="75">
          <cell r="D75" t="str">
            <v>CDC-14563</v>
          </cell>
          <cell r="E75">
            <v>73595001</v>
          </cell>
          <cell r="F75">
            <v>90474</v>
          </cell>
          <cell r="G75">
            <v>90475</v>
          </cell>
        </row>
        <row r="76">
          <cell r="D76" t="str">
            <v>CDC-14563</v>
          </cell>
          <cell r="E76">
            <v>73595001</v>
          </cell>
          <cell r="F76">
            <v>90474</v>
          </cell>
          <cell r="G76">
            <v>90475</v>
          </cell>
        </row>
        <row r="77">
          <cell r="D77" t="str">
            <v>CDC-14563</v>
          </cell>
          <cell r="E77">
            <v>73595001</v>
          </cell>
          <cell r="F77">
            <v>90474</v>
          </cell>
          <cell r="G77">
            <v>90475</v>
          </cell>
        </row>
        <row r="78">
          <cell r="D78" t="str">
            <v>CDC-9725</v>
          </cell>
          <cell r="E78">
            <v>73462001</v>
          </cell>
          <cell r="F78">
            <v>79710</v>
          </cell>
          <cell r="G78">
            <v>79711</v>
          </cell>
        </row>
        <row r="79">
          <cell r="D79" t="str">
            <v>CDC-9725</v>
          </cell>
          <cell r="E79">
            <v>73462001</v>
          </cell>
          <cell r="F79">
            <v>79710</v>
          </cell>
          <cell r="G79">
            <v>79711</v>
          </cell>
        </row>
        <row r="80">
          <cell r="D80" t="str">
            <v>CDC-9725</v>
          </cell>
          <cell r="E80">
            <v>73462001</v>
          </cell>
          <cell r="F80">
            <v>79710</v>
          </cell>
          <cell r="G80">
            <v>79711</v>
          </cell>
        </row>
        <row r="81">
          <cell r="D81" t="str">
            <v>CDC-9725</v>
          </cell>
          <cell r="E81">
            <v>73462001</v>
          </cell>
          <cell r="F81">
            <v>79710</v>
          </cell>
          <cell r="G81">
            <v>79711</v>
          </cell>
        </row>
        <row r="82">
          <cell r="D82" t="str">
            <v>CDC-9725</v>
          </cell>
          <cell r="E82">
            <v>73462001</v>
          </cell>
          <cell r="F82">
            <v>79710</v>
          </cell>
          <cell r="G82">
            <v>79711</v>
          </cell>
        </row>
        <row r="83">
          <cell r="D83" t="str">
            <v>CDC-9725</v>
          </cell>
          <cell r="E83">
            <v>73462001</v>
          </cell>
          <cell r="F83">
            <v>79710</v>
          </cell>
          <cell r="G83">
            <v>79711</v>
          </cell>
        </row>
        <row r="84">
          <cell r="D84" t="str">
            <v>CDC-9725</v>
          </cell>
          <cell r="E84">
            <v>73462001</v>
          </cell>
          <cell r="F84">
            <v>79710</v>
          </cell>
          <cell r="G84">
            <v>79711</v>
          </cell>
        </row>
        <row r="85">
          <cell r="D85" t="str">
            <v>CDC-9725</v>
          </cell>
          <cell r="E85">
            <v>73462001</v>
          </cell>
          <cell r="F85">
            <v>79710</v>
          </cell>
          <cell r="G85">
            <v>79711</v>
          </cell>
        </row>
        <row r="86">
          <cell r="D86" t="str">
            <v>CDC-9725</v>
          </cell>
          <cell r="E86">
            <v>73462001</v>
          </cell>
          <cell r="F86">
            <v>79710</v>
          </cell>
          <cell r="G86">
            <v>79711</v>
          </cell>
        </row>
        <row r="87">
          <cell r="D87" t="str">
            <v>CDC-9725</v>
          </cell>
          <cell r="E87">
            <v>73462001</v>
          </cell>
          <cell r="F87">
            <v>79710</v>
          </cell>
          <cell r="G87">
            <v>79711</v>
          </cell>
        </row>
        <row r="88">
          <cell r="D88" t="str">
            <v>CDC-6951</v>
          </cell>
          <cell r="E88">
            <v>103108001</v>
          </cell>
          <cell r="F88">
            <v>10055</v>
          </cell>
          <cell r="G88">
            <v>10056</v>
          </cell>
        </row>
        <row r="89">
          <cell r="D89" t="str">
            <v>CDC-6951</v>
          </cell>
          <cell r="E89">
            <v>103108001</v>
          </cell>
          <cell r="F89">
            <v>10055</v>
          </cell>
          <cell r="G89">
            <v>10056</v>
          </cell>
        </row>
        <row r="90">
          <cell r="D90" t="str">
            <v>CDC-6951</v>
          </cell>
          <cell r="E90">
            <v>103108001</v>
          </cell>
          <cell r="F90">
            <v>10055</v>
          </cell>
          <cell r="G90">
            <v>10056</v>
          </cell>
        </row>
        <row r="91">
          <cell r="D91" t="str">
            <v>CDC-6951</v>
          </cell>
          <cell r="E91">
            <v>103108001</v>
          </cell>
          <cell r="F91">
            <v>10055</v>
          </cell>
          <cell r="G91">
            <v>10056</v>
          </cell>
        </row>
        <row r="92">
          <cell r="D92" t="str">
            <v>CDC-6951</v>
          </cell>
          <cell r="E92">
            <v>103108001</v>
          </cell>
          <cell r="F92">
            <v>10055</v>
          </cell>
          <cell r="G92">
            <v>10056</v>
          </cell>
        </row>
        <row r="93">
          <cell r="D93" t="str">
            <v>CDC-6951</v>
          </cell>
          <cell r="E93">
            <v>103108001</v>
          </cell>
          <cell r="F93">
            <v>10055</v>
          </cell>
          <cell r="G93">
            <v>10056</v>
          </cell>
        </row>
        <row r="94">
          <cell r="D94" t="str">
            <v>CDC-8341</v>
          </cell>
          <cell r="E94">
            <v>73406002</v>
          </cell>
          <cell r="F94">
            <v>80481</v>
          </cell>
          <cell r="G94">
            <v>80483</v>
          </cell>
        </row>
        <row r="95">
          <cell r="D95" t="str">
            <v>CDC-8341</v>
          </cell>
          <cell r="E95">
            <v>73406002</v>
          </cell>
          <cell r="F95">
            <v>80481</v>
          </cell>
          <cell r="G95">
            <v>80483</v>
          </cell>
        </row>
        <row r="96">
          <cell r="D96" t="str">
            <v>CDC-8341</v>
          </cell>
          <cell r="E96">
            <v>73406002</v>
          </cell>
          <cell r="F96">
            <v>80481</v>
          </cell>
          <cell r="G96">
            <v>80483</v>
          </cell>
        </row>
        <row r="97">
          <cell r="D97" t="str">
            <v>CDC-5307</v>
          </cell>
          <cell r="E97">
            <v>73282002</v>
          </cell>
          <cell r="F97">
            <v>9509</v>
          </cell>
          <cell r="G97">
            <v>9511</v>
          </cell>
        </row>
        <row r="98">
          <cell r="D98" t="str">
            <v>CDC-5307</v>
          </cell>
          <cell r="E98">
            <v>73282002</v>
          </cell>
          <cell r="F98">
            <v>9509</v>
          </cell>
          <cell r="G98">
            <v>9511</v>
          </cell>
        </row>
        <row r="99">
          <cell r="D99" t="str">
            <v>CDC-5307</v>
          </cell>
          <cell r="E99">
            <v>73282002</v>
          </cell>
          <cell r="F99">
            <v>9509</v>
          </cell>
          <cell r="G99">
            <v>9511</v>
          </cell>
        </row>
        <row r="100">
          <cell r="D100" t="str">
            <v>CDC-5307</v>
          </cell>
          <cell r="E100">
            <v>73282002</v>
          </cell>
          <cell r="F100">
            <v>9509</v>
          </cell>
          <cell r="G100">
            <v>9511</v>
          </cell>
        </row>
        <row r="101">
          <cell r="D101" t="str">
            <v>CDC-5307</v>
          </cell>
          <cell r="E101">
            <v>73282002</v>
          </cell>
          <cell r="F101">
            <v>9509</v>
          </cell>
          <cell r="G101">
            <v>9511</v>
          </cell>
        </row>
        <row r="102">
          <cell r="D102" t="str">
            <v>CDC-5307</v>
          </cell>
          <cell r="E102">
            <v>73282002</v>
          </cell>
          <cell r="F102">
            <v>9509</v>
          </cell>
          <cell r="G102">
            <v>9511</v>
          </cell>
        </row>
        <row r="103">
          <cell r="D103" t="str">
            <v>CDC-5307</v>
          </cell>
          <cell r="E103">
            <v>73282002</v>
          </cell>
          <cell r="F103">
            <v>9509</v>
          </cell>
          <cell r="G103">
            <v>9511</v>
          </cell>
        </row>
        <row r="104">
          <cell r="D104" t="str">
            <v>CDC-5307</v>
          </cell>
          <cell r="E104">
            <v>73282002</v>
          </cell>
          <cell r="F104">
            <v>9509</v>
          </cell>
          <cell r="G104">
            <v>9511</v>
          </cell>
        </row>
        <row r="105">
          <cell r="D105" t="str">
            <v>CDC-17823</v>
          </cell>
          <cell r="E105">
            <v>73342001</v>
          </cell>
          <cell r="F105">
            <v>171622</v>
          </cell>
          <cell r="G105">
            <v>603438</v>
          </cell>
        </row>
        <row r="106">
          <cell r="D106" t="str">
            <v>CDC-17823</v>
          </cell>
          <cell r="E106">
            <v>73342001</v>
          </cell>
          <cell r="F106">
            <v>171622</v>
          </cell>
          <cell r="G106">
            <v>603438</v>
          </cell>
        </row>
        <row r="107">
          <cell r="D107" t="str">
            <v>CDC-17823</v>
          </cell>
          <cell r="E107">
            <v>73342001</v>
          </cell>
          <cell r="F107">
            <v>171622</v>
          </cell>
          <cell r="G107">
            <v>603438</v>
          </cell>
        </row>
        <row r="108">
          <cell r="D108" t="str">
            <v>CDC-9945</v>
          </cell>
          <cell r="E108">
            <v>103123001</v>
          </cell>
          <cell r="F108">
            <v>84310</v>
          </cell>
          <cell r="G108">
            <v>84311</v>
          </cell>
        </row>
        <row r="109">
          <cell r="D109" t="str">
            <v>CDC-9945</v>
          </cell>
          <cell r="E109">
            <v>103123001</v>
          </cell>
          <cell r="F109">
            <v>84310</v>
          </cell>
          <cell r="G109">
            <v>84311</v>
          </cell>
        </row>
        <row r="110">
          <cell r="D110" t="str">
            <v>CDC-9945</v>
          </cell>
          <cell r="E110">
            <v>103123001</v>
          </cell>
          <cell r="F110">
            <v>84310</v>
          </cell>
          <cell r="G110">
            <v>84311</v>
          </cell>
        </row>
        <row r="111">
          <cell r="D111" t="str">
            <v>CDC-9945</v>
          </cell>
          <cell r="E111">
            <v>103123001</v>
          </cell>
          <cell r="F111">
            <v>84310</v>
          </cell>
          <cell r="G111">
            <v>84311</v>
          </cell>
        </row>
        <row r="112">
          <cell r="D112" t="str">
            <v>CDC-9945</v>
          </cell>
          <cell r="E112">
            <v>103123001</v>
          </cell>
          <cell r="F112">
            <v>84310</v>
          </cell>
          <cell r="G112">
            <v>84311</v>
          </cell>
        </row>
        <row r="113">
          <cell r="D113" t="str">
            <v>CDC-9945</v>
          </cell>
          <cell r="E113">
            <v>103123001</v>
          </cell>
          <cell r="F113">
            <v>84310</v>
          </cell>
          <cell r="G113">
            <v>84311</v>
          </cell>
        </row>
        <row r="114">
          <cell r="D114" t="str">
            <v>CDC-14021</v>
          </cell>
          <cell r="E114">
            <v>83022001</v>
          </cell>
          <cell r="F114">
            <v>89840</v>
          </cell>
          <cell r="G114">
            <v>89841</v>
          </cell>
        </row>
        <row r="115">
          <cell r="D115" t="str">
            <v>CDC-14021</v>
          </cell>
          <cell r="E115">
            <v>83022001</v>
          </cell>
          <cell r="F115">
            <v>89840</v>
          </cell>
          <cell r="G115">
            <v>89841</v>
          </cell>
        </row>
        <row r="116">
          <cell r="D116" t="str">
            <v>CDC-14021</v>
          </cell>
          <cell r="E116">
            <v>83022001</v>
          </cell>
          <cell r="F116">
            <v>89840</v>
          </cell>
          <cell r="G116">
            <v>89841</v>
          </cell>
        </row>
        <row r="117">
          <cell r="D117" t="str">
            <v>CDC-14021</v>
          </cell>
          <cell r="E117">
            <v>83022001</v>
          </cell>
          <cell r="F117">
            <v>89840</v>
          </cell>
          <cell r="G117">
            <v>89841</v>
          </cell>
        </row>
        <row r="118">
          <cell r="D118" t="str">
            <v>CDC-14021</v>
          </cell>
          <cell r="E118">
            <v>83022001</v>
          </cell>
          <cell r="F118">
            <v>89840</v>
          </cell>
          <cell r="G118">
            <v>89841</v>
          </cell>
        </row>
        <row r="119">
          <cell r="D119" t="str">
            <v>CDC-14021</v>
          </cell>
          <cell r="E119">
            <v>83022001</v>
          </cell>
          <cell r="F119">
            <v>89840</v>
          </cell>
          <cell r="G119">
            <v>89841</v>
          </cell>
        </row>
        <row r="120">
          <cell r="D120" t="str">
            <v>CDC-14021</v>
          </cell>
          <cell r="E120">
            <v>83022001</v>
          </cell>
          <cell r="F120">
            <v>89840</v>
          </cell>
          <cell r="G120">
            <v>89841</v>
          </cell>
        </row>
        <row r="121">
          <cell r="D121" t="str">
            <v>CDC-14021</v>
          </cell>
          <cell r="E121">
            <v>83022001</v>
          </cell>
          <cell r="F121">
            <v>89840</v>
          </cell>
          <cell r="G121">
            <v>89841</v>
          </cell>
        </row>
        <row r="122">
          <cell r="D122" t="str">
            <v>CDC-14021</v>
          </cell>
          <cell r="E122">
            <v>83022001</v>
          </cell>
          <cell r="F122">
            <v>89840</v>
          </cell>
          <cell r="G122">
            <v>89841</v>
          </cell>
        </row>
        <row r="123">
          <cell r="D123" t="str">
            <v>CDC-14021</v>
          </cell>
          <cell r="E123">
            <v>83022001</v>
          </cell>
          <cell r="F123">
            <v>89840</v>
          </cell>
          <cell r="G123">
            <v>89841</v>
          </cell>
        </row>
        <row r="124">
          <cell r="D124" t="str">
            <v>CDC-7550</v>
          </cell>
          <cell r="E124">
            <v>73419001</v>
          </cell>
          <cell r="F124">
            <v>9562</v>
          </cell>
          <cell r="G124">
            <v>10365</v>
          </cell>
        </row>
        <row r="125">
          <cell r="D125" t="str">
            <v>CDC-7550</v>
          </cell>
          <cell r="E125">
            <v>73419001</v>
          </cell>
          <cell r="F125">
            <v>9562</v>
          </cell>
          <cell r="G125">
            <v>10365</v>
          </cell>
        </row>
        <row r="126">
          <cell r="D126" t="str">
            <v>CDC-7550</v>
          </cell>
          <cell r="E126">
            <v>73419001</v>
          </cell>
          <cell r="F126">
            <v>9562</v>
          </cell>
          <cell r="G126">
            <v>10365</v>
          </cell>
        </row>
        <row r="127">
          <cell r="D127" t="str">
            <v>CDC-7550</v>
          </cell>
          <cell r="E127">
            <v>73419001</v>
          </cell>
          <cell r="F127">
            <v>9562</v>
          </cell>
          <cell r="G127">
            <v>10365</v>
          </cell>
        </row>
        <row r="128">
          <cell r="D128" t="str">
            <v>CDC-7550</v>
          </cell>
          <cell r="E128">
            <v>73419001</v>
          </cell>
          <cell r="F128">
            <v>9562</v>
          </cell>
          <cell r="G128">
            <v>10365</v>
          </cell>
        </row>
        <row r="129">
          <cell r="D129" t="str">
            <v>CDC-7550</v>
          </cell>
          <cell r="E129">
            <v>73419001</v>
          </cell>
          <cell r="F129">
            <v>9562</v>
          </cell>
          <cell r="G129">
            <v>10365</v>
          </cell>
        </row>
        <row r="130">
          <cell r="D130" t="str">
            <v>CDC-7550</v>
          </cell>
          <cell r="E130">
            <v>73419001</v>
          </cell>
          <cell r="F130">
            <v>9562</v>
          </cell>
          <cell r="G130">
            <v>10365</v>
          </cell>
        </row>
        <row r="131">
          <cell r="D131" t="str">
            <v>CDC-7550</v>
          </cell>
          <cell r="E131">
            <v>73419001</v>
          </cell>
          <cell r="F131">
            <v>9562</v>
          </cell>
          <cell r="G131">
            <v>10365</v>
          </cell>
        </row>
        <row r="132">
          <cell r="D132" t="str">
            <v>CDC-7550</v>
          </cell>
          <cell r="E132">
            <v>73419001</v>
          </cell>
          <cell r="F132">
            <v>9562</v>
          </cell>
          <cell r="G132">
            <v>10365</v>
          </cell>
        </row>
        <row r="133">
          <cell r="D133" t="str">
            <v>CDC-7550</v>
          </cell>
          <cell r="E133">
            <v>73419001</v>
          </cell>
          <cell r="F133">
            <v>9562</v>
          </cell>
          <cell r="G133">
            <v>10365</v>
          </cell>
        </row>
        <row r="134">
          <cell r="D134" t="str">
            <v>CDC-10741</v>
          </cell>
          <cell r="E134">
            <v>103122001</v>
          </cell>
          <cell r="F134">
            <v>81193</v>
          </cell>
          <cell r="G134">
            <v>81194</v>
          </cell>
        </row>
        <row r="135">
          <cell r="D135" t="str">
            <v>CDC-10741</v>
          </cell>
          <cell r="E135">
            <v>103122001</v>
          </cell>
          <cell r="F135">
            <v>81193</v>
          </cell>
          <cell r="G135">
            <v>81194</v>
          </cell>
        </row>
        <row r="136">
          <cell r="D136" t="str">
            <v>CDC-10741</v>
          </cell>
          <cell r="E136">
            <v>103122001</v>
          </cell>
          <cell r="F136">
            <v>81193</v>
          </cell>
          <cell r="G136">
            <v>81194</v>
          </cell>
        </row>
        <row r="137">
          <cell r="D137" t="str">
            <v>CDC-10741</v>
          </cell>
          <cell r="E137">
            <v>103122001</v>
          </cell>
          <cell r="F137">
            <v>81193</v>
          </cell>
          <cell r="G137">
            <v>81194</v>
          </cell>
        </row>
        <row r="138">
          <cell r="D138" t="str">
            <v>CDC-10741</v>
          </cell>
          <cell r="E138">
            <v>103122001</v>
          </cell>
          <cell r="F138">
            <v>81193</v>
          </cell>
          <cell r="G138">
            <v>81194</v>
          </cell>
        </row>
        <row r="139">
          <cell r="D139" t="str">
            <v>CDC-10741</v>
          </cell>
          <cell r="E139">
            <v>103122001</v>
          </cell>
          <cell r="F139">
            <v>81193</v>
          </cell>
          <cell r="G139">
            <v>81194</v>
          </cell>
        </row>
        <row r="140">
          <cell r="D140" t="str">
            <v>CDC-10741</v>
          </cell>
          <cell r="E140">
            <v>103122001</v>
          </cell>
          <cell r="F140">
            <v>81193</v>
          </cell>
          <cell r="G140">
            <v>81194</v>
          </cell>
        </row>
        <row r="141">
          <cell r="D141" t="str">
            <v>CDC-10741</v>
          </cell>
          <cell r="E141">
            <v>103122001</v>
          </cell>
          <cell r="F141">
            <v>81193</v>
          </cell>
          <cell r="G141">
            <v>81194</v>
          </cell>
        </row>
        <row r="142">
          <cell r="D142" t="str">
            <v>CDC-17319</v>
          </cell>
          <cell r="E142">
            <v>143030001</v>
          </cell>
          <cell r="F142">
            <v>93014</v>
          </cell>
          <cell r="G142">
            <v>93015</v>
          </cell>
        </row>
        <row r="143">
          <cell r="D143" t="str">
            <v>CDC-17319</v>
          </cell>
          <cell r="E143">
            <v>143030001</v>
          </cell>
          <cell r="F143">
            <v>93014</v>
          </cell>
          <cell r="G143">
            <v>93015</v>
          </cell>
        </row>
        <row r="144">
          <cell r="D144" t="str">
            <v>CDC-17319</v>
          </cell>
          <cell r="E144">
            <v>143030001</v>
          </cell>
          <cell r="F144">
            <v>93014</v>
          </cell>
          <cell r="G144">
            <v>93015</v>
          </cell>
        </row>
        <row r="145">
          <cell r="D145" t="str">
            <v>CDC-17319</v>
          </cell>
          <cell r="E145">
            <v>143030001</v>
          </cell>
          <cell r="F145">
            <v>93014</v>
          </cell>
          <cell r="G145">
            <v>93015</v>
          </cell>
        </row>
        <row r="146">
          <cell r="D146" t="str">
            <v>CDC-17319</v>
          </cell>
          <cell r="E146">
            <v>143030001</v>
          </cell>
          <cell r="F146">
            <v>93014</v>
          </cell>
          <cell r="G146">
            <v>93015</v>
          </cell>
        </row>
        <row r="147">
          <cell r="D147" t="str">
            <v>CDC-17319</v>
          </cell>
          <cell r="E147">
            <v>143030001</v>
          </cell>
          <cell r="F147">
            <v>93014</v>
          </cell>
          <cell r="G147">
            <v>93015</v>
          </cell>
        </row>
        <row r="148">
          <cell r="D148" t="str">
            <v>CDC-17319</v>
          </cell>
          <cell r="E148">
            <v>143030001</v>
          </cell>
          <cell r="F148">
            <v>93014</v>
          </cell>
          <cell r="G148">
            <v>93015</v>
          </cell>
        </row>
        <row r="149">
          <cell r="D149" t="str">
            <v>CDC-17319</v>
          </cell>
          <cell r="E149">
            <v>143030001</v>
          </cell>
          <cell r="F149">
            <v>93014</v>
          </cell>
          <cell r="G149">
            <v>93015</v>
          </cell>
        </row>
        <row r="150">
          <cell r="D150" t="str">
            <v>CDC-18430</v>
          </cell>
          <cell r="E150">
            <v>143030002</v>
          </cell>
          <cell r="F150">
            <v>93014</v>
          </cell>
          <cell r="G150">
            <v>1000134</v>
          </cell>
        </row>
        <row r="151">
          <cell r="D151" t="str">
            <v>CDC-18430</v>
          </cell>
          <cell r="E151">
            <v>143030002</v>
          </cell>
          <cell r="F151">
            <v>93014</v>
          </cell>
          <cell r="G151">
            <v>1000134</v>
          </cell>
        </row>
        <row r="152">
          <cell r="D152" t="str">
            <v>CDC-18430</v>
          </cell>
          <cell r="E152">
            <v>143030002</v>
          </cell>
          <cell r="F152">
            <v>93014</v>
          </cell>
          <cell r="G152">
            <v>1000134</v>
          </cell>
        </row>
        <row r="153">
          <cell r="D153" t="str">
            <v>CDC-18430</v>
          </cell>
          <cell r="E153">
            <v>143030002</v>
          </cell>
          <cell r="F153">
            <v>93014</v>
          </cell>
          <cell r="G153">
            <v>1000134</v>
          </cell>
        </row>
        <row r="154">
          <cell r="D154" t="str">
            <v>CDC-18430</v>
          </cell>
          <cell r="E154">
            <v>143030002</v>
          </cell>
          <cell r="F154">
            <v>93014</v>
          </cell>
          <cell r="G154">
            <v>1000134</v>
          </cell>
        </row>
        <row r="155">
          <cell r="D155" t="str">
            <v>CDC-18430</v>
          </cell>
          <cell r="E155">
            <v>143030002</v>
          </cell>
          <cell r="F155">
            <v>93014</v>
          </cell>
          <cell r="G155">
            <v>1000134</v>
          </cell>
        </row>
        <row r="156">
          <cell r="D156" t="str">
            <v>CDC-18430</v>
          </cell>
          <cell r="E156">
            <v>143030002</v>
          </cell>
          <cell r="F156">
            <v>93014</v>
          </cell>
          <cell r="G156">
            <v>1000134</v>
          </cell>
        </row>
        <row r="157">
          <cell r="D157" t="str">
            <v>CDC-18430</v>
          </cell>
          <cell r="E157">
            <v>143030002</v>
          </cell>
          <cell r="F157">
            <v>93014</v>
          </cell>
          <cell r="G157">
            <v>1000134</v>
          </cell>
        </row>
        <row r="158">
          <cell r="D158" t="str">
            <v>CDC-18430</v>
          </cell>
          <cell r="E158">
            <v>143030002</v>
          </cell>
          <cell r="F158">
            <v>93014</v>
          </cell>
          <cell r="G158">
            <v>1000134</v>
          </cell>
        </row>
        <row r="159">
          <cell r="D159" t="e">
            <v>#N/A</v>
          </cell>
          <cell r="E159">
            <v>73499001</v>
          </cell>
          <cell r="F159">
            <v>84279</v>
          </cell>
          <cell r="G159">
            <v>84280</v>
          </cell>
        </row>
        <row r="160">
          <cell r="D160" t="e">
            <v>#N/A</v>
          </cell>
          <cell r="E160">
            <v>73499001</v>
          </cell>
          <cell r="F160">
            <v>84279</v>
          </cell>
          <cell r="G160">
            <v>84280</v>
          </cell>
        </row>
        <row r="161">
          <cell r="D161" t="e">
            <v>#N/A</v>
          </cell>
          <cell r="E161">
            <v>73499001</v>
          </cell>
          <cell r="F161">
            <v>84279</v>
          </cell>
          <cell r="G161">
            <v>84280</v>
          </cell>
        </row>
        <row r="162">
          <cell r="D162" t="e">
            <v>#N/A</v>
          </cell>
          <cell r="E162">
            <v>73499001</v>
          </cell>
          <cell r="F162">
            <v>84279</v>
          </cell>
          <cell r="G162">
            <v>84280</v>
          </cell>
        </row>
        <row r="163">
          <cell r="D163" t="e">
            <v>#N/A</v>
          </cell>
          <cell r="E163">
            <v>73499001</v>
          </cell>
          <cell r="F163">
            <v>84279</v>
          </cell>
          <cell r="G163">
            <v>84280</v>
          </cell>
        </row>
        <row r="164">
          <cell r="D164" t="e">
            <v>#N/A</v>
          </cell>
          <cell r="E164">
            <v>73499001</v>
          </cell>
          <cell r="F164">
            <v>84279</v>
          </cell>
          <cell r="G164">
            <v>84280</v>
          </cell>
        </row>
        <row r="165">
          <cell r="D165" t="str">
            <v>CDC-10071</v>
          </cell>
          <cell r="E165">
            <v>73483001</v>
          </cell>
          <cell r="F165">
            <v>80401</v>
          </cell>
          <cell r="G165">
            <v>80402</v>
          </cell>
        </row>
        <row r="166">
          <cell r="D166" t="str">
            <v>CDC-10071</v>
          </cell>
          <cell r="E166">
            <v>73483001</v>
          </cell>
          <cell r="F166">
            <v>80401</v>
          </cell>
          <cell r="G166">
            <v>80402</v>
          </cell>
        </row>
        <row r="167">
          <cell r="D167" t="str">
            <v>CDC-10071</v>
          </cell>
          <cell r="E167">
            <v>73483001</v>
          </cell>
          <cell r="F167">
            <v>80401</v>
          </cell>
          <cell r="G167">
            <v>80402</v>
          </cell>
        </row>
        <row r="168">
          <cell r="D168" t="str">
            <v>CDC-10071</v>
          </cell>
          <cell r="E168">
            <v>73483001</v>
          </cell>
          <cell r="F168">
            <v>80401</v>
          </cell>
          <cell r="G168">
            <v>80402</v>
          </cell>
        </row>
        <row r="169">
          <cell r="D169" t="str">
            <v>CDC-10071</v>
          </cell>
          <cell r="E169">
            <v>73483001</v>
          </cell>
          <cell r="F169">
            <v>80401</v>
          </cell>
          <cell r="G169">
            <v>80402</v>
          </cell>
        </row>
        <row r="170">
          <cell r="D170" t="str">
            <v>CDC-10071</v>
          </cell>
          <cell r="E170">
            <v>73483001</v>
          </cell>
          <cell r="F170">
            <v>80401</v>
          </cell>
          <cell r="G170">
            <v>80402</v>
          </cell>
        </row>
        <row r="171">
          <cell r="D171" t="str">
            <v>CDC-5679</v>
          </cell>
          <cell r="E171">
            <v>103082001</v>
          </cell>
          <cell r="F171">
            <v>9988</v>
          </cell>
          <cell r="G171">
            <v>9989</v>
          </cell>
        </row>
        <row r="172">
          <cell r="D172" t="str">
            <v>CDC-5679</v>
          </cell>
          <cell r="E172">
            <v>103082001</v>
          </cell>
          <cell r="F172">
            <v>9988</v>
          </cell>
          <cell r="G172">
            <v>9989</v>
          </cell>
        </row>
        <row r="173">
          <cell r="D173" t="str">
            <v>CDC-5679</v>
          </cell>
          <cell r="E173">
            <v>103082001</v>
          </cell>
          <cell r="F173">
            <v>9988</v>
          </cell>
          <cell r="G173">
            <v>9989</v>
          </cell>
        </row>
        <row r="174">
          <cell r="D174" t="str">
            <v>CDC-5679</v>
          </cell>
          <cell r="E174">
            <v>103082001</v>
          </cell>
          <cell r="F174">
            <v>9988</v>
          </cell>
          <cell r="G174">
            <v>9989</v>
          </cell>
        </row>
        <row r="175">
          <cell r="D175" t="str">
            <v>CDC-5679</v>
          </cell>
          <cell r="E175">
            <v>103082001</v>
          </cell>
          <cell r="F175">
            <v>9988</v>
          </cell>
          <cell r="G175">
            <v>9989</v>
          </cell>
        </row>
        <row r="176">
          <cell r="D176" t="str">
            <v>CDC-5679</v>
          </cell>
          <cell r="E176">
            <v>103082001</v>
          </cell>
          <cell r="F176">
            <v>9988</v>
          </cell>
          <cell r="G176">
            <v>9989</v>
          </cell>
        </row>
        <row r="177">
          <cell r="D177" t="str">
            <v>CDC-5679</v>
          </cell>
          <cell r="E177">
            <v>103082001</v>
          </cell>
          <cell r="F177">
            <v>9988</v>
          </cell>
          <cell r="G177">
            <v>9989</v>
          </cell>
        </row>
        <row r="178">
          <cell r="D178" t="str">
            <v>CDC-5679</v>
          </cell>
          <cell r="E178">
            <v>103082001</v>
          </cell>
          <cell r="F178">
            <v>9988</v>
          </cell>
          <cell r="G178">
            <v>9989</v>
          </cell>
        </row>
        <row r="179">
          <cell r="D179" t="e">
            <v>#N/A</v>
          </cell>
          <cell r="E179">
            <v>103082008</v>
          </cell>
          <cell r="F179">
            <v>9988</v>
          </cell>
          <cell r="G179">
            <v>90839</v>
          </cell>
        </row>
        <row r="180">
          <cell r="D180" t="e">
            <v>#N/A</v>
          </cell>
          <cell r="E180">
            <v>103082008</v>
          </cell>
          <cell r="F180">
            <v>9988</v>
          </cell>
          <cell r="G180">
            <v>90839</v>
          </cell>
        </row>
        <row r="181">
          <cell r="D181" t="e">
            <v>#N/A</v>
          </cell>
          <cell r="E181">
            <v>103082008</v>
          </cell>
          <cell r="F181">
            <v>9988</v>
          </cell>
          <cell r="G181">
            <v>90839</v>
          </cell>
        </row>
        <row r="182">
          <cell r="D182" t="str">
            <v>CDC-0213</v>
          </cell>
          <cell r="E182">
            <v>103008001</v>
          </cell>
          <cell r="F182">
            <v>9876</v>
          </cell>
          <cell r="G182">
            <v>9877</v>
          </cell>
        </row>
        <row r="183">
          <cell r="D183" t="str">
            <v>CDC-0213</v>
          </cell>
          <cell r="E183">
            <v>103008001</v>
          </cell>
          <cell r="F183">
            <v>9876</v>
          </cell>
          <cell r="G183">
            <v>9877</v>
          </cell>
        </row>
        <row r="184">
          <cell r="D184" t="str">
            <v>CDC-0213</v>
          </cell>
          <cell r="E184">
            <v>103008001</v>
          </cell>
          <cell r="F184">
            <v>9876</v>
          </cell>
          <cell r="G184">
            <v>9877</v>
          </cell>
        </row>
        <row r="185">
          <cell r="D185" t="str">
            <v>CDC-0213</v>
          </cell>
          <cell r="E185">
            <v>103008001</v>
          </cell>
          <cell r="F185">
            <v>9876</v>
          </cell>
          <cell r="G185">
            <v>9877</v>
          </cell>
        </row>
        <row r="186">
          <cell r="D186" t="str">
            <v>CDC-0213</v>
          </cell>
          <cell r="E186">
            <v>103008001</v>
          </cell>
          <cell r="F186">
            <v>9876</v>
          </cell>
          <cell r="G186">
            <v>9877</v>
          </cell>
        </row>
        <row r="187">
          <cell r="D187" t="str">
            <v>CDC-0213</v>
          </cell>
          <cell r="E187">
            <v>103008001</v>
          </cell>
          <cell r="F187">
            <v>9876</v>
          </cell>
          <cell r="G187">
            <v>9877</v>
          </cell>
        </row>
        <row r="188">
          <cell r="D188" t="str">
            <v>CDC-0213</v>
          </cell>
          <cell r="E188">
            <v>103008001</v>
          </cell>
          <cell r="F188">
            <v>9876</v>
          </cell>
          <cell r="G188">
            <v>9877</v>
          </cell>
        </row>
        <row r="189">
          <cell r="D189" t="str">
            <v>CDC-0213</v>
          </cell>
          <cell r="E189">
            <v>103008001</v>
          </cell>
          <cell r="F189">
            <v>9876</v>
          </cell>
          <cell r="G189">
            <v>9877</v>
          </cell>
        </row>
        <row r="190">
          <cell r="D190" t="str">
            <v>CDC-12417</v>
          </cell>
          <cell r="E190">
            <v>73548001</v>
          </cell>
          <cell r="F190">
            <v>89447</v>
          </cell>
          <cell r="G190">
            <v>89448</v>
          </cell>
        </row>
        <row r="191">
          <cell r="D191" t="str">
            <v>CDC-12417</v>
          </cell>
          <cell r="E191">
            <v>73548001</v>
          </cell>
          <cell r="F191">
            <v>89447</v>
          </cell>
          <cell r="G191">
            <v>89448</v>
          </cell>
        </row>
        <row r="192">
          <cell r="D192" t="str">
            <v>CDC-12417</v>
          </cell>
          <cell r="E192">
            <v>73548001</v>
          </cell>
          <cell r="F192">
            <v>89447</v>
          </cell>
          <cell r="G192">
            <v>89448</v>
          </cell>
        </row>
        <row r="193">
          <cell r="D193" t="str">
            <v>CDC-12417</v>
          </cell>
          <cell r="E193">
            <v>73548001</v>
          </cell>
          <cell r="F193">
            <v>89447</v>
          </cell>
          <cell r="G193">
            <v>89448</v>
          </cell>
        </row>
        <row r="194">
          <cell r="D194" t="str">
            <v>CDC-12417</v>
          </cell>
          <cell r="E194">
            <v>73548001</v>
          </cell>
          <cell r="F194">
            <v>89447</v>
          </cell>
          <cell r="G194">
            <v>89448</v>
          </cell>
        </row>
        <row r="195">
          <cell r="D195" t="str">
            <v>CDC-12417</v>
          </cell>
          <cell r="E195">
            <v>73548001</v>
          </cell>
          <cell r="F195">
            <v>89447</v>
          </cell>
          <cell r="G195">
            <v>89448</v>
          </cell>
        </row>
        <row r="196">
          <cell r="D196" t="str">
            <v>CDC-12417</v>
          </cell>
          <cell r="E196">
            <v>73548001</v>
          </cell>
          <cell r="F196">
            <v>89447</v>
          </cell>
          <cell r="G196">
            <v>89448</v>
          </cell>
        </row>
        <row r="197">
          <cell r="D197" t="str">
            <v>CDC-12417</v>
          </cell>
          <cell r="E197">
            <v>73548001</v>
          </cell>
          <cell r="F197">
            <v>89447</v>
          </cell>
          <cell r="G197">
            <v>89448</v>
          </cell>
        </row>
        <row r="198">
          <cell r="D198" t="str">
            <v>CDC-12417</v>
          </cell>
          <cell r="E198">
            <v>73548001</v>
          </cell>
          <cell r="F198">
            <v>89447</v>
          </cell>
          <cell r="G198">
            <v>89448</v>
          </cell>
        </row>
        <row r="199">
          <cell r="D199" t="str">
            <v>CDC-12417</v>
          </cell>
          <cell r="E199">
            <v>73548001</v>
          </cell>
          <cell r="F199">
            <v>89447</v>
          </cell>
          <cell r="G199">
            <v>89448</v>
          </cell>
        </row>
        <row r="200">
          <cell r="D200" t="str">
            <v>CDC-12417</v>
          </cell>
          <cell r="E200">
            <v>73548001</v>
          </cell>
          <cell r="F200">
            <v>89447</v>
          </cell>
          <cell r="G200">
            <v>89448</v>
          </cell>
        </row>
        <row r="201">
          <cell r="D201" t="str">
            <v>CDC-12417</v>
          </cell>
          <cell r="E201">
            <v>73548001</v>
          </cell>
          <cell r="F201">
            <v>89447</v>
          </cell>
          <cell r="G201">
            <v>89448</v>
          </cell>
        </row>
        <row r="202">
          <cell r="D202" t="str">
            <v>CDC-18560</v>
          </cell>
          <cell r="E202">
            <v>102261003</v>
          </cell>
          <cell r="F202">
            <v>79389</v>
          </cell>
          <cell r="G202">
            <v>1000256</v>
          </cell>
        </row>
        <row r="203">
          <cell r="D203" t="str">
            <v>CDC-18560</v>
          </cell>
          <cell r="E203">
            <v>102261003</v>
          </cell>
          <cell r="F203">
            <v>79389</v>
          </cell>
          <cell r="G203">
            <v>1000256</v>
          </cell>
        </row>
        <row r="204">
          <cell r="D204" t="str">
            <v>CDC-18560</v>
          </cell>
          <cell r="E204">
            <v>102261003</v>
          </cell>
          <cell r="F204">
            <v>79389</v>
          </cell>
          <cell r="G204">
            <v>1000256</v>
          </cell>
        </row>
        <row r="205">
          <cell r="D205" t="str">
            <v>CDC-18560</v>
          </cell>
          <cell r="E205">
            <v>102261003</v>
          </cell>
          <cell r="F205">
            <v>79389</v>
          </cell>
          <cell r="G205">
            <v>1000256</v>
          </cell>
        </row>
        <row r="206">
          <cell r="D206" t="str">
            <v>CDC-18560</v>
          </cell>
          <cell r="E206">
            <v>102261003</v>
          </cell>
          <cell r="F206">
            <v>79389</v>
          </cell>
          <cell r="G206">
            <v>1000256</v>
          </cell>
        </row>
        <row r="207">
          <cell r="D207" t="str">
            <v>CDC-18560</v>
          </cell>
          <cell r="E207">
            <v>102261003</v>
          </cell>
          <cell r="F207">
            <v>79389</v>
          </cell>
          <cell r="G207">
            <v>1000256</v>
          </cell>
        </row>
        <row r="208">
          <cell r="D208" t="str">
            <v>CDC-18560</v>
          </cell>
          <cell r="E208">
            <v>102261003</v>
          </cell>
          <cell r="F208">
            <v>79389</v>
          </cell>
          <cell r="G208">
            <v>1000256</v>
          </cell>
        </row>
        <row r="209">
          <cell r="D209" t="str">
            <v>CDC-18560</v>
          </cell>
          <cell r="E209">
            <v>102261003</v>
          </cell>
          <cell r="F209">
            <v>79389</v>
          </cell>
          <cell r="G209">
            <v>1000256</v>
          </cell>
        </row>
        <row r="210">
          <cell r="D210" t="str">
            <v>CDC-18433</v>
          </cell>
          <cell r="E210">
            <v>103161001</v>
          </cell>
          <cell r="F210">
            <v>1000170</v>
          </cell>
          <cell r="G210">
            <v>1000171</v>
          </cell>
        </row>
        <row r="211">
          <cell r="D211" t="str">
            <v>CDC-18433</v>
          </cell>
          <cell r="E211">
            <v>103161001</v>
          </cell>
          <cell r="F211">
            <v>1000170</v>
          </cell>
          <cell r="G211">
            <v>1000171</v>
          </cell>
        </row>
        <row r="212">
          <cell r="D212" t="str">
            <v>CDC-18433</v>
          </cell>
          <cell r="E212">
            <v>103161001</v>
          </cell>
          <cell r="F212">
            <v>1000170</v>
          </cell>
          <cell r="G212">
            <v>1000171</v>
          </cell>
        </row>
        <row r="213">
          <cell r="D213" t="str">
            <v>CDC-18433</v>
          </cell>
          <cell r="E213">
            <v>103161001</v>
          </cell>
          <cell r="F213">
            <v>1000170</v>
          </cell>
          <cell r="G213">
            <v>1000171</v>
          </cell>
        </row>
        <row r="214">
          <cell r="D214" t="str">
            <v>CDC-18433</v>
          </cell>
          <cell r="E214">
            <v>103161001</v>
          </cell>
          <cell r="F214">
            <v>1000170</v>
          </cell>
          <cell r="G214">
            <v>1000171</v>
          </cell>
        </row>
        <row r="215">
          <cell r="D215" t="str">
            <v>SGH-10402</v>
          </cell>
          <cell r="E215">
            <v>103132001</v>
          </cell>
          <cell r="F215">
            <v>89657</v>
          </cell>
          <cell r="G215">
            <v>89658</v>
          </cell>
        </row>
        <row r="216">
          <cell r="D216" t="str">
            <v>SGH-10402</v>
          </cell>
          <cell r="E216">
            <v>103132001</v>
          </cell>
          <cell r="F216">
            <v>89657</v>
          </cell>
          <cell r="G216">
            <v>89658</v>
          </cell>
        </row>
        <row r="217">
          <cell r="D217" t="str">
            <v>SGH-10402</v>
          </cell>
          <cell r="E217">
            <v>103132001</v>
          </cell>
          <cell r="F217">
            <v>89657</v>
          </cell>
          <cell r="G217">
            <v>89658</v>
          </cell>
        </row>
        <row r="218">
          <cell r="D218" t="str">
            <v>SGH-10402</v>
          </cell>
          <cell r="E218">
            <v>103132001</v>
          </cell>
          <cell r="F218">
            <v>89657</v>
          </cell>
          <cell r="G218">
            <v>89658</v>
          </cell>
        </row>
        <row r="219">
          <cell r="D219" t="str">
            <v>SGH-10402</v>
          </cell>
          <cell r="E219">
            <v>103132001</v>
          </cell>
          <cell r="F219">
            <v>89657</v>
          </cell>
          <cell r="G219">
            <v>89658</v>
          </cell>
        </row>
        <row r="220">
          <cell r="D220" t="str">
            <v>SGH-10402</v>
          </cell>
          <cell r="E220">
            <v>103132001</v>
          </cell>
          <cell r="F220">
            <v>89657</v>
          </cell>
          <cell r="G220">
            <v>89658</v>
          </cell>
        </row>
        <row r="221">
          <cell r="D221" t="str">
            <v>SGH-10402</v>
          </cell>
          <cell r="E221">
            <v>103132001</v>
          </cell>
          <cell r="F221">
            <v>89657</v>
          </cell>
          <cell r="G221">
            <v>89658</v>
          </cell>
        </row>
        <row r="222">
          <cell r="D222" t="str">
            <v>SGH-10402</v>
          </cell>
          <cell r="E222">
            <v>103132001</v>
          </cell>
          <cell r="F222">
            <v>89657</v>
          </cell>
          <cell r="G222">
            <v>89658</v>
          </cell>
        </row>
        <row r="223">
          <cell r="D223" t="str">
            <v>CDC-0278</v>
          </cell>
          <cell r="E223">
            <v>102201001</v>
          </cell>
          <cell r="F223">
            <v>9723</v>
          </cell>
          <cell r="G223">
            <v>9724</v>
          </cell>
        </row>
        <row r="224">
          <cell r="D224" t="str">
            <v>CDC-0278</v>
          </cell>
          <cell r="E224">
            <v>102201001</v>
          </cell>
          <cell r="F224">
            <v>9723</v>
          </cell>
          <cell r="G224">
            <v>9724</v>
          </cell>
        </row>
        <row r="225">
          <cell r="D225" t="str">
            <v>CDC-0278</v>
          </cell>
          <cell r="E225">
            <v>102201001</v>
          </cell>
          <cell r="F225">
            <v>9723</v>
          </cell>
          <cell r="G225">
            <v>9724</v>
          </cell>
        </row>
        <row r="226">
          <cell r="D226" t="str">
            <v>CDC-0007</v>
          </cell>
          <cell r="E226">
            <v>102221001</v>
          </cell>
          <cell r="F226">
            <v>9746</v>
          </cell>
          <cell r="G226">
            <v>9747</v>
          </cell>
        </row>
        <row r="227">
          <cell r="D227" t="str">
            <v>CDC-0007</v>
          </cell>
          <cell r="E227">
            <v>102221001</v>
          </cell>
          <cell r="F227">
            <v>9746</v>
          </cell>
          <cell r="G227">
            <v>9747</v>
          </cell>
        </row>
        <row r="228">
          <cell r="D228" t="str">
            <v>CDC-0007</v>
          </cell>
          <cell r="E228">
            <v>102221001</v>
          </cell>
          <cell r="F228">
            <v>9746</v>
          </cell>
          <cell r="G228">
            <v>9747</v>
          </cell>
        </row>
        <row r="229">
          <cell r="D229" t="str">
            <v>CDC-0007</v>
          </cell>
          <cell r="E229">
            <v>102221001</v>
          </cell>
          <cell r="F229">
            <v>9746</v>
          </cell>
          <cell r="G229">
            <v>9747</v>
          </cell>
        </row>
        <row r="230">
          <cell r="D230" t="str">
            <v>CDC-4511</v>
          </cell>
          <cell r="E230">
            <v>72277001</v>
          </cell>
          <cell r="F230">
            <v>8708</v>
          </cell>
          <cell r="G230">
            <v>8709</v>
          </cell>
        </row>
        <row r="231">
          <cell r="D231" t="str">
            <v>CDC-4511</v>
          </cell>
          <cell r="E231">
            <v>72277001</v>
          </cell>
          <cell r="F231">
            <v>8708</v>
          </cell>
          <cell r="G231">
            <v>8709</v>
          </cell>
        </row>
        <row r="232">
          <cell r="D232" t="str">
            <v>CDC-4511</v>
          </cell>
          <cell r="E232">
            <v>72277001</v>
          </cell>
          <cell r="F232">
            <v>8708</v>
          </cell>
          <cell r="G232">
            <v>8709</v>
          </cell>
        </row>
        <row r="233">
          <cell r="D233" t="str">
            <v>CDC-4511</v>
          </cell>
          <cell r="E233">
            <v>72277001</v>
          </cell>
          <cell r="F233">
            <v>8708</v>
          </cell>
          <cell r="G233">
            <v>8709</v>
          </cell>
        </row>
        <row r="234">
          <cell r="D234" t="str">
            <v>CDC-4511</v>
          </cell>
          <cell r="E234">
            <v>72277001</v>
          </cell>
          <cell r="F234">
            <v>8708</v>
          </cell>
          <cell r="G234">
            <v>8709</v>
          </cell>
        </row>
        <row r="235">
          <cell r="D235" t="str">
            <v>CDC-4511</v>
          </cell>
          <cell r="E235">
            <v>72277001</v>
          </cell>
          <cell r="F235">
            <v>8708</v>
          </cell>
          <cell r="G235">
            <v>8709</v>
          </cell>
        </row>
        <row r="236">
          <cell r="D236" t="str">
            <v>CDC-13631</v>
          </cell>
          <cell r="E236">
            <v>73561001</v>
          </cell>
          <cell r="F236">
            <v>89752</v>
          </cell>
          <cell r="G236">
            <v>89753</v>
          </cell>
        </row>
        <row r="237">
          <cell r="D237" t="str">
            <v>CDC-13631</v>
          </cell>
          <cell r="E237">
            <v>73561001</v>
          </cell>
          <cell r="F237">
            <v>89752</v>
          </cell>
          <cell r="G237">
            <v>89753</v>
          </cell>
        </row>
        <row r="238">
          <cell r="D238" t="str">
            <v>CDC-13631</v>
          </cell>
          <cell r="E238">
            <v>73561001</v>
          </cell>
          <cell r="F238">
            <v>89752</v>
          </cell>
          <cell r="G238">
            <v>89753</v>
          </cell>
        </row>
        <row r="239">
          <cell r="D239" t="str">
            <v>CDC-13631</v>
          </cell>
          <cell r="E239">
            <v>73561001</v>
          </cell>
          <cell r="F239">
            <v>89752</v>
          </cell>
          <cell r="G239">
            <v>89753</v>
          </cell>
        </row>
        <row r="240">
          <cell r="D240" t="str">
            <v>CDC-13631</v>
          </cell>
          <cell r="E240">
            <v>73561001</v>
          </cell>
          <cell r="F240">
            <v>89752</v>
          </cell>
          <cell r="G240">
            <v>89753</v>
          </cell>
        </row>
        <row r="241">
          <cell r="D241" t="str">
            <v>CDC-13631</v>
          </cell>
          <cell r="E241">
            <v>73561001</v>
          </cell>
          <cell r="F241">
            <v>89752</v>
          </cell>
          <cell r="G241">
            <v>89753</v>
          </cell>
        </row>
        <row r="242">
          <cell r="D242" t="e">
            <v>#N/A</v>
          </cell>
          <cell r="E242">
            <v>72408001</v>
          </cell>
          <cell r="F242">
            <v>8778</v>
          </cell>
          <cell r="G242">
            <v>8779</v>
          </cell>
        </row>
        <row r="243">
          <cell r="D243" t="e">
            <v>#N/A</v>
          </cell>
          <cell r="E243">
            <v>72408001</v>
          </cell>
          <cell r="F243">
            <v>8778</v>
          </cell>
          <cell r="G243">
            <v>8779</v>
          </cell>
        </row>
        <row r="244">
          <cell r="D244" t="e">
            <v>#N/A</v>
          </cell>
          <cell r="E244">
            <v>72408001</v>
          </cell>
          <cell r="F244">
            <v>8778</v>
          </cell>
          <cell r="G244">
            <v>8779</v>
          </cell>
        </row>
        <row r="245">
          <cell r="D245" t="e">
            <v>#N/A</v>
          </cell>
          <cell r="E245">
            <v>142204001</v>
          </cell>
          <cell r="F245">
            <v>10176</v>
          </cell>
          <cell r="G245">
            <v>10177</v>
          </cell>
        </row>
        <row r="246">
          <cell r="D246" t="e">
            <v>#N/A</v>
          </cell>
          <cell r="E246">
            <v>142204001</v>
          </cell>
          <cell r="F246">
            <v>10176</v>
          </cell>
          <cell r="G246">
            <v>10177</v>
          </cell>
        </row>
        <row r="247">
          <cell r="D247" t="e">
            <v>#N/A</v>
          </cell>
          <cell r="E247">
            <v>142204001</v>
          </cell>
          <cell r="F247">
            <v>10176</v>
          </cell>
          <cell r="G247">
            <v>10177</v>
          </cell>
        </row>
        <row r="248">
          <cell r="D248" t="e">
            <v>#N/A</v>
          </cell>
          <cell r="E248">
            <v>142204001</v>
          </cell>
          <cell r="F248">
            <v>10176</v>
          </cell>
          <cell r="G248">
            <v>10177</v>
          </cell>
        </row>
        <row r="249">
          <cell r="D249" t="e">
            <v>#N/A</v>
          </cell>
          <cell r="E249">
            <v>142204001</v>
          </cell>
          <cell r="F249">
            <v>10176</v>
          </cell>
          <cell r="G249">
            <v>10177</v>
          </cell>
        </row>
        <row r="250">
          <cell r="D250" t="e">
            <v>#N/A</v>
          </cell>
          <cell r="E250">
            <v>142204001</v>
          </cell>
          <cell r="F250">
            <v>10176</v>
          </cell>
          <cell r="G250">
            <v>10177</v>
          </cell>
        </row>
        <row r="251">
          <cell r="D251" t="e">
            <v>#N/A</v>
          </cell>
          <cell r="E251">
            <v>73528005</v>
          </cell>
          <cell r="F251">
            <v>79761</v>
          </cell>
          <cell r="G251">
            <v>87385</v>
          </cell>
        </row>
        <row r="252">
          <cell r="D252" t="e">
            <v>#N/A</v>
          </cell>
          <cell r="E252">
            <v>73528005</v>
          </cell>
          <cell r="F252">
            <v>79761</v>
          </cell>
          <cell r="G252">
            <v>87385</v>
          </cell>
        </row>
        <row r="253">
          <cell r="D253" t="e">
            <v>#N/A</v>
          </cell>
          <cell r="E253">
            <v>73528005</v>
          </cell>
          <cell r="F253">
            <v>79761</v>
          </cell>
          <cell r="G253">
            <v>87385</v>
          </cell>
        </row>
        <row r="254">
          <cell r="D254" t="e">
            <v>#N/A</v>
          </cell>
          <cell r="E254">
            <v>73528005</v>
          </cell>
          <cell r="F254">
            <v>79761</v>
          </cell>
          <cell r="G254">
            <v>87385</v>
          </cell>
        </row>
        <row r="255">
          <cell r="D255" t="e">
            <v>#N/A</v>
          </cell>
          <cell r="E255">
            <v>73528005</v>
          </cell>
          <cell r="F255">
            <v>79761</v>
          </cell>
          <cell r="G255">
            <v>87385</v>
          </cell>
        </row>
        <row r="256">
          <cell r="D256" t="e">
            <v>#N/A</v>
          </cell>
          <cell r="E256">
            <v>73528005</v>
          </cell>
          <cell r="F256">
            <v>79761</v>
          </cell>
          <cell r="G256">
            <v>87385</v>
          </cell>
        </row>
        <row r="257">
          <cell r="D257" t="e">
            <v>#N/A</v>
          </cell>
          <cell r="E257">
            <v>73528005</v>
          </cell>
          <cell r="F257">
            <v>79761</v>
          </cell>
          <cell r="G257">
            <v>87385</v>
          </cell>
        </row>
        <row r="258">
          <cell r="D258" t="e">
            <v>#N/A</v>
          </cell>
          <cell r="E258">
            <v>73528005</v>
          </cell>
          <cell r="F258">
            <v>79761</v>
          </cell>
          <cell r="G258">
            <v>87385</v>
          </cell>
        </row>
        <row r="259">
          <cell r="D259" t="e">
            <v>#N/A</v>
          </cell>
          <cell r="E259">
            <v>73528005</v>
          </cell>
          <cell r="F259">
            <v>79761</v>
          </cell>
          <cell r="G259">
            <v>87385</v>
          </cell>
        </row>
        <row r="260">
          <cell r="D260" t="e">
            <v>#N/A</v>
          </cell>
          <cell r="E260">
            <v>73528005</v>
          </cell>
          <cell r="F260">
            <v>79761</v>
          </cell>
          <cell r="G260">
            <v>87385</v>
          </cell>
        </row>
        <row r="261">
          <cell r="D261" t="str">
            <v>CDC-17605</v>
          </cell>
          <cell r="E261">
            <v>73528012</v>
          </cell>
          <cell r="F261">
            <v>79761</v>
          </cell>
          <cell r="G261">
            <v>87392</v>
          </cell>
        </row>
        <row r="262">
          <cell r="D262" t="str">
            <v>CDC-17605</v>
          </cell>
          <cell r="E262">
            <v>73528012</v>
          </cell>
          <cell r="F262">
            <v>79761</v>
          </cell>
          <cell r="G262">
            <v>87392</v>
          </cell>
        </row>
        <row r="263">
          <cell r="D263" t="str">
            <v>CDC-17605</v>
          </cell>
          <cell r="E263">
            <v>73528012</v>
          </cell>
          <cell r="F263">
            <v>79761</v>
          </cell>
          <cell r="G263">
            <v>87392</v>
          </cell>
        </row>
        <row r="264">
          <cell r="D264" t="str">
            <v>CDC-17605</v>
          </cell>
          <cell r="E264">
            <v>73528012</v>
          </cell>
          <cell r="F264">
            <v>79761</v>
          </cell>
          <cell r="G264">
            <v>87392</v>
          </cell>
        </row>
        <row r="265">
          <cell r="D265" t="str">
            <v>CDC-17605</v>
          </cell>
          <cell r="E265">
            <v>73528012</v>
          </cell>
          <cell r="F265">
            <v>79761</v>
          </cell>
          <cell r="G265">
            <v>87392</v>
          </cell>
        </row>
        <row r="266">
          <cell r="D266" t="str">
            <v>CDC-17605</v>
          </cell>
          <cell r="E266">
            <v>73528012</v>
          </cell>
          <cell r="F266">
            <v>79761</v>
          </cell>
          <cell r="G266">
            <v>87392</v>
          </cell>
        </row>
        <row r="267">
          <cell r="D267" t="str">
            <v>CDC-17605</v>
          </cell>
          <cell r="E267">
            <v>73528012</v>
          </cell>
          <cell r="F267">
            <v>79761</v>
          </cell>
          <cell r="G267">
            <v>87392</v>
          </cell>
        </row>
        <row r="268">
          <cell r="D268" t="str">
            <v>CDC-17605</v>
          </cell>
          <cell r="E268">
            <v>73528012</v>
          </cell>
          <cell r="F268">
            <v>79761</v>
          </cell>
          <cell r="G268">
            <v>87392</v>
          </cell>
        </row>
        <row r="269">
          <cell r="D269" t="str">
            <v>CDC-17605</v>
          </cell>
          <cell r="E269">
            <v>73528012</v>
          </cell>
          <cell r="F269">
            <v>79761</v>
          </cell>
          <cell r="G269">
            <v>87392</v>
          </cell>
        </row>
        <row r="270">
          <cell r="D270" t="str">
            <v>CDC-17605</v>
          </cell>
          <cell r="E270">
            <v>73528012</v>
          </cell>
          <cell r="F270">
            <v>79761</v>
          </cell>
          <cell r="G270">
            <v>87392</v>
          </cell>
        </row>
        <row r="271">
          <cell r="D271" t="str">
            <v>CDC-17604</v>
          </cell>
          <cell r="E271">
            <v>73464011</v>
          </cell>
          <cell r="F271">
            <v>79761</v>
          </cell>
          <cell r="G271">
            <v>80599</v>
          </cell>
        </row>
        <row r="272">
          <cell r="D272" t="str">
            <v>CDC-17604</v>
          </cell>
          <cell r="E272">
            <v>73464011</v>
          </cell>
          <cell r="F272">
            <v>79761</v>
          </cell>
          <cell r="G272">
            <v>80599</v>
          </cell>
        </row>
        <row r="273">
          <cell r="D273" t="str">
            <v>CDC-17604</v>
          </cell>
          <cell r="E273">
            <v>73464011</v>
          </cell>
          <cell r="F273">
            <v>79761</v>
          </cell>
          <cell r="G273">
            <v>80599</v>
          </cell>
        </row>
        <row r="274">
          <cell r="D274" t="str">
            <v>CDC-17604</v>
          </cell>
          <cell r="E274">
            <v>73464011</v>
          </cell>
          <cell r="F274">
            <v>79761</v>
          </cell>
          <cell r="G274">
            <v>80599</v>
          </cell>
        </row>
        <row r="275">
          <cell r="D275" t="str">
            <v>CDC-17604</v>
          </cell>
          <cell r="E275">
            <v>73464011</v>
          </cell>
          <cell r="F275">
            <v>79761</v>
          </cell>
          <cell r="G275">
            <v>80599</v>
          </cell>
        </row>
        <row r="276">
          <cell r="D276" t="str">
            <v>CDC-17604</v>
          </cell>
          <cell r="E276">
            <v>73464011</v>
          </cell>
          <cell r="F276">
            <v>79761</v>
          </cell>
          <cell r="G276">
            <v>80599</v>
          </cell>
        </row>
        <row r="277">
          <cell r="D277" t="str">
            <v>CDC-17595</v>
          </cell>
          <cell r="E277">
            <v>73464016</v>
          </cell>
          <cell r="F277">
            <v>79761</v>
          </cell>
          <cell r="G277">
            <v>90432</v>
          </cell>
        </row>
        <row r="278">
          <cell r="D278" t="str">
            <v>CDC-17595</v>
          </cell>
          <cell r="E278">
            <v>73464016</v>
          </cell>
          <cell r="F278">
            <v>79761</v>
          </cell>
          <cell r="G278">
            <v>90432</v>
          </cell>
        </row>
        <row r="279">
          <cell r="D279" t="str">
            <v>CDC-17595</v>
          </cell>
          <cell r="E279">
            <v>73464016</v>
          </cell>
          <cell r="F279">
            <v>79761</v>
          </cell>
          <cell r="G279">
            <v>90432</v>
          </cell>
        </row>
        <row r="280">
          <cell r="D280" t="str">
            <v>CDC-17595</v>
          </cell>
          <cell r="E280">
            <v>73464016</v>
          </cell>
          <cell r="F280">
            <v>79761</v>
          </cell>
          <cell r="G280">
            <v>90432</v>
          </cell>
        </row>
        <row r="281">
          <cell r="D281" t="str">
            <v>CDC-17595</v>
          </cell>
          <cell r="E281">
            <v>73464016</v>
          </cell>
          <cell r="F281">
            <v>79761</v>
          </cell>
          <cell r="G281">
            <v>90432</v>
          </cell>
        </row>
        <row r="282">
          <cell r="D282" t="str">
            <v>CDC-17595</v>
          </cell>
          <cell r="E282">
            <v>73464016</v>
          </cell>
          <cell r="F282">
            <v>79761</v>
          </cell>
          <cell r="G282">
            <v>90432</v>
          </cell>
        </row>
        <row r="283">
          <cell r="D283" t="str">
            <v>CDC-17595</v>
          </cell>
          <cell r="E283">
            <v>73464016</v>
          </cell>
          <cell r="F283">
            <v>79761</v>
          </cell>
          <cell r="G283">
            <v>90432</v>
          </cell>
        </row>
        <row r="284">
          <cell r="D284" t="str">
            <v>CDC-17595</v>
          </cell>
          <cell r="E284">
            <v>73464016</v>
          </cell>
          <cell r="F284">
            <v>79761</v>
          </cell>
          <cell r="G284">
            <v>90432</v>
          </cell>
        </row>
        <row r="285">
          <cell r="D285" t="str">
            <v>CDC-17595</v>
          </cell>
          <cell r="E285">
            <v>73464016</v>
          </cell>
          <cell r="F285">
            <v>79761</v>
          </cell>
          <cell r="G285">
            <v>90432</v>
          </cell>
        </row>
        <row r="286">
          <cell r="D286" t="str">
            <v>CDC-17595</v>
          </cell>
          <cell r="E286">
            <v>73464016</v>
          </cell>
          <cell r="F286">
            <v>79761</v>
          </cell>
          <cell r="G286">
            <v>90432</v>
          </cell>
        </row>
        <row r="287">
          <cell r="D287" t="str">
            <v>CDC-17599</v>
          </cell>
          <cell r="E287">
            <v>73464012</v>
          </cell>
          <cell r="F287">
            <v>79761</v>
          </cell>
          <cell r="G287">
            <v>84315</v>
          </cell>
        </row>
        <row r="288">
          <cell r="D288" t="str">
            <v>CDC-17599</v>
          </cell>
          <cell r="E288">
            <v>73464012</v>
          </cell>
          <cell r="F288">
            <v>79761</v>
          </cell>
          <cell r="G288">
            <v>84315</v>
          </cell>
        </row>
        <row r="289">
          <cell r="D289" t="str">
            <v>CDC-17599</v>
          </cell>
          <cell r="E289">
            <v>73464012</v>
          </cell>
          <cell r="F289">
            <v>79761</v>
          </cell>
          <cell r="G289">
            <v>84315</v>
          </cell>
        </row>
        <row r="290">
          <cell r="D290" t="str">
            <v>CDC-17599</v>
          </cell>
          <cell r="E290">
            <v>73464012</v>
          </cell>
          <cell r="F290">
            <v>79761</v>
          </cell>
          <cell r="G290">
            <v>84315</v>
          </cell>
        </row>
        <row r="291">
          <cell r="D291" t="str">
            <v>CDC-17599</v>
          </cell>
          <cell r="E291">
            <v>73464012</v>
          </cell>
          <cell r="F291">
            <v>79761</v>
          </cell>
          <cell r="G291">
            <v>84315</v>
          </cell>
        </row>
        <row r="292">
          <cell r="D292" t="str">
            <v>CDC-17599</v>
          </cell>
          <cell r="E292">
            <v>73464012</v>
          </cell>
          <cell r="F292">
            <v>79761</v>
          </cell>
          <cell r="G292">
            <v>84315</v>
          </cell>
        </row>
        <row r="293">
          <cell r="D293" t="str">
            <v>CDC-17612</v>
          </cell>
          <cell r="E293">
            <v>73464010</v>
          </cell>
          <cell r="F293">
            <v>79761</v>
          </cell>
          <cell r="G293">
            <v>80598</v>
          </cell>
        </row>
        <row r="294">
          <cell r="D294" t="str">
            <v>CDC-17612</v>
          </cell>
          <cell r="E294">
            <v>73464010</v>
          </cell>
          <cell r="F294">
            <v>79761</v>
          </cell>
          <cell r="G294">
            <v>80598</v>
          </cell>
        </row>
        <row r="295">
          <cell r="D295" t="str">
            <v>CDC-17612</v>
          </cell>
          <cell r="E295">
            <v>73464010</v>
          </cell>
          <cell r="F295">
            <v>79761</v>
          </cell>
          <cell r="G295">
            <v>80598</v>
          </cell>
        </row>
        <row r="296">
          <cell r="D296" t="str">
            <v>CDC-17612</v>
          </cell>
          <cell r="E296">
            <v>73464010</v>
          </cell>
          <cell r="F296">
            <v>79761</v>
          </cell>
          <cell r="G296">
            <v>80598</v>
          </cell>
        </row>
        <row r="297">
          <cell r="D297" t="str">
            <v>CDC-17612</v>
          </cell>
          <cell r="E297">
            <v>73464010</v>
          </cell>
          <cell r="F297">
            <v>79761</v>
          </cell>
          <cell r="G297">
            <v>80598</v>
          </cell>
        </row>
        <row r="298">
          <cell r="D298" t="str">
            <v>CDC-17612</v>
          </cell>
          <cell r="E298">
            <v>73464010</v>
          </cell>
          <cell r="F298">
            <v>79761</v>
          </cell>
          <cell r="G298">
            <v>80598</v>
          </cell>
        </row>
        <row r="299">
          <cell r="D299" t="str">
            <v>CDC-17610</v>
          </cell>
          <cell r="E299">
            <v>73464017</v>
          </cell>
          <cell r="F299">
            <v>79761</v>
          </cell>
          <cell r="G299">
            <v>90922</v>
          </cell>
        </row>
        <row r="300">
          <cell r="D300" t="str">
            <v>CDC-17610</v>
          </cell>
          <cell r="E300">
            <v>73464017</v>
          </cell>
          <cell r="F300">
            <v>79761</v>
          </cell>
          <cell r="G300">
            <v>90922</v>
          </cell>
        </row>
        <row r="301">
          <cell r="D301" t="str">
            <v>CDC-17610</v>
          </cell>
          <cell r="E301">
            <v>73464017</v>
          </cell>
          <cell r="F301">
            <v>79761</v>
          </cell>
          <cell r="G301">
            <v>90922</v>
          </cell>
        </row>
        <row r="302">
          <cell r="D302" t="str">
            <v>CDC-17610</v>
          </cell>
          <cell r="E302">
            <v>73464017</v>
          </cell>
          <cell r="F302">
            <v>79761</v>
          </cell>
          <cell r="G302">
            <v>90922</v>
          </cell>
        </row>
        <row r="303">
          <cell r="D303" t="str">
            <v>CDC-17610</v>
          </cell>
          <cell r="E303">
            <v>73464017</v>
          </cell>
          <cell r="F303">
            <v>79761</v>
          </cell>
          <cell r="G303">
            <v>90922</v>
          </cell>
        </row>
        <row r="304">
          <cell r="D304" t="str">
            <v>CDC-17610</v>
          </cell>
          <cell r="E304">
            <v>73464017</v>
          </cell>
          <cell r="F304">
            <v>79761</v>
          </cell>
          <cell r="G304">
            <v>90922</v>
          </cell>
        </row>
        <row r="305">
          <cell r="D305" t="str">
            <v>CDC-17617</v>
          </cell>
          <cell r="E305">
            <v>73464001</v>
          </cell>
          <cell r="F305">
            <v>79761</v>
          </cell>
          <cell r="G305">
            <v>79762</v>
          </cell>
        </row>
        <row r="306">
          <cell r="D306" t="str">
            <v>CDC-17617</v>
          </cell>
          <cell r="E306">
            <v>73464001</v>
          </cell>
          <cell r="F306">
            <v>79761</v>
          </cell>
          <cell r="G306">
            <v>79762</v>
          </cell>
        </row>
        <row r="307">
          <cell r="D307" t="str">
            <v>CDC-17617</v>
          </cell>
          <cell r="E307">
            <v>73464001</v>
          </cell>
          <cell r="F307">
            <v>79761</v>
          </cell>
          <cell r="G307">
            <v>79762</v>
          </cell>
        </row>
        <row r="308">
          <cell r="D308" t="str">
            <v>CDC-17617</v>
          </cell>
          <cell r="E308">
            <v>73464001</v>
          </cell>
          <cell r="F308">
            <v>79761</v>
          </cell>
          <cell r="G308">
            <v>79762</v>
          </cell>
        </row>
        <row r="309">
          <cell r="D309" t="str">
            <v>CDC-17617</v>
          </cell>
          <cell r="E309">
            <v>73464001</v>
          </cell>
          <cell r="F309">
            <v>79761</v>
          </cell>
          <cell r="G309">
            <v>79762</v>
          </cell>
        </row>
        <row r="310">
          <cell r="D310" t="str">
            <v>CDC-17617</v>
          </cell>
          <cell r="E310">
            <v>73464001</v>
          </cell>
          <cell r="F310">
            <v>79761</v>
          </cell>
          <cell r="G310">
            <v>79762</v>
          </cell>
        </row>
        <row r="311">
          <cell r="D311" t="str">
            <v>CDC-17617</v>
          </cell>
          <cell r="E311">
            <v>73464001</v>
          </cell>
          <cell r="F311">
            <v>79761</v>
          </cell>
          <cell r="G311">
            <v>79762</v>
          </cell>
        </row>
        <row r="312">
          <cell r="D312" t="str">
            <v>CDC-17617</v>
          </cell>
          <cell r="E312">
            <v>73464001</v>
          </cell>
          <cell r="F312">
            <v>79761</v>
          </cell>
          <cell r="G312">
            <v>79762</v>
          </cell>
        </row>
        <row r="313">
          <cell r="D313" t="str">
            <v>CDC-17617</v>
          </cell>
          <cell r="E313">
            <v>73464001</v>
          </cell>
          <cell r="F313">
            <v>79761</v>
          </cell>
          <cell r="G313">
            <v>79762</v>
          </cell>
        </row>
        <row r="314">
          <cell r="D314" t="str">
            <v>CDC-17617</v>
          </cell>
          <cell r="E314">
            <v>73464001</v>
          </cell>
          <cell r="F314">
            <v>79761</v>
          </cell>
          <cell r="G314">
            <v>79762</v>
          </cell>
        </row>
        <row r="315">
          <cell r="D315" t="str">
            <v>CDC-17613</v>
          </cell>
          <cell r="E315">
            <v>73464002</v>
          </cell>
          <cell r="F315">
            <v>79761</v>
          </cell>
          <cell r="G315">
            <v>79763</v>
          </cell>
        </row>
        <row r="316">
          <cell r="D316" t="str">
            <v>CDC-17613</v>
          </cell>
          <cell r="E316">
            <v>73464002</v>
          </cell>
          <cell r="F316">
            <v>79761</v>
          </cell>
          <cell r="G316">
            <v>79763</v>
          </cell>
        </row>
        <row r="317">
          <cell r="D317" t="str">
            <v>CDC-17613</v>
          </cell>
          <cell r="E317">
            <v>73464002</v>
          </cell>
          <cell r="F317">
            <v>79761</v>
          </cell>
          <cell r="G317">
            <v>79763</v>
          </cell>
        </row>
        <row r="318">
          <cell r="D318" t="str">
            <v>CDC-17613</v>
          </cell>
          <cell r="E318">
            <v>73464002</v>
          </cell>
          <cell r="F318">
            <v>79761</v>
          </cell>
          <cell r="G318">
            <v>79763</v>
          </cell>
        </row>
        <row r="319">
          <cell r="D319" t="str">
            <v>CDC-17613</v>
          </cell>
          <cell r="E319">
            <v>73464002</v>
          </cell>
          <cell r="F319">
            <v>79761</v>
          </cell>
          <cell r="G319">
            <v>79763</v>
          </cell>
        </row>
        <row r="320">
          <cell r="D320" t="str">
            <v>CDC-17613</v>
          </cell>
          <cell r="E320">
            <v>73464002</v>
          </cell>
          <cell r="F320">
            <v>79761</v>
          </cell>
          <cell r="G320">
            <v>79763</v>
          </cell>
        </row>
        <row r="321">
          <cell r="D321" t="str">
            <v>CDC-17596</v>
          </cell>
          <cell r="E321">
            <v>73464003</v>
          </cell>
          <cell r="F321">
            <v>79761</v>
          </cell>
          <cell r="G321">
            <v>80597</v>
          </cell>
        </row>
        <row r="322">
          <cell r="D322" t="str">
            <v>CDC-17596</v>
          </cell>
          <cell r="E322">
            <v>73464003</v>
          </cell>
          <cell r="F322">
            <v>79761</v>
          </cell>
          <cell r="G322">
            <v>80597</v>
          </cell>
        </row>
        <row r="323">
          <cell r="D323" t="str">
            <v>CDC-17596</v>
          </cell>
          <cell r="E323">
            <v>73464003</v>
          </cell>
          <cell r="F323">
            <v>79761</v>
          </cell>
          <cell r="G323">
            <v>80597</v>
          </cell>
        </row>
        <row r="324">
          <cell r="D324" t="str">
            <v>CDC-17596</v>
          </cell>
          <cell r="E324">
            <v>73464003</v>
          </cell>
          <cell r="F324">
            <v>79761</v>
          </cell>
          <cell r="G324">
            <v>80597</v>
          </cell>
        </row>
        <row r="325">
          <cell r="D325" t="str">
            <v>CDC-17596</v>
          </cell>
          <cell r="E325">
            <v>73464003</v>
          </cell>
          <cell r="F325">
            <v>79761</v>
          </cell>
          <cell r="G325">
            <v>80597</v>
          </cell>
        </row>
        <row r="326">
          <cell r="D326" t="str">
            <v>CDC-17596</v>
          </cell>
          <cell r="E326">
            <v>73464003</v>
          </cell>
          <cell r="F326">
            <v>79761</v>
          </cell>
          <cell r="G326">
            <v>80597</v>
          </cell>
        </row>
        <row r="327">
          <cell r="D327" t="str">
            <v>CDC-17596</v>
          </cell>
          <cell r="E327">
            <v>73464003</v>
          </cell>
          <cell r="F327">
            <v>79761</v>
          </cell>
          <cell r="G327">
            <v>80597</v>
          </cell>
        </row>
        <row r="328">
          <cell r="D328" t="str">
            <v>CDC-17596</v>
          </cell>
          <cell r="E328">
            <v>73464003</v>
          </cell>
          <cell r="F328">
            <v>79761</v>
          </cell>
          <cell r="G328">
            <v>80597</v>
          </cell>
        </row>
        <row r="329">
          <cell r="D329" t="str">
            <v>CDC-17596</v>
          </cell>
          <cell r="E329">
            <v>73464003</v>
          </cell>
          <cell r="F329">
            <v>79761</v>
          </cell>
          <cell r="G329">
            <v>80597</v>
          </cell>
        </row>
        <row r="330">
          <cell r="D330" t="str">
            <v>CDC-17596</v>
          </cell>
          <cell r="E330">
            <v>73464003</v>
          </cell>
          <cell r="F330">
            <v>79761</v>
          </cell>
          <cell r="G330">
            <v>80597</v>
          </cell>
        </row>
        <row r="331">
          <cell r="D331" t="str">
            <v>CDC-17601</v>
          </cell>
          <cell r="E331">
            <v>73464014</v>
          </cell>
          <cell r="F331">
            <v>79761</v>
          </cell>
          <cell r="G331">
            <v>84670</v>
          </cell>
        </row>
        <row r="332">
          <cell r="D332" t="str">
            <v>CDC-17601</v>
          </cell>
          <cell r="E332">
            <v>73464014</v>
          </cell>
          <cell r="F332">
            <v>79761</v>
          </cell>
          <cell r="G332">
            <v>84670</v>
          </cell>
        </row>
        <row r="333">
          <cell r="D333" t="str">
            <v>CDC-17601</v>
          </cell>
          <cell r="E333">
            <v>73464014</v>
          </cell>
          <cell r="F333">
            <v>79761</v>
          </cell>
          <cell r="G333">
            <v>84670</v>
          </cell>
        </row>
        <row r="334">
          <cell r="D334" t="str">
            <v>CDC-17601</v>
          </cell>
          <cell r="E334">
            <v>73464014</v>
          </cell>
          <cell r="F334">
            <v>79761</v>
          </cell>
          <cell r="G334">
            <v>84670</v>
          </cell>
        </row>
        <row r="335">
          <cell r="D335" t="str">
            <v>CDC-17601</v>
          </cell>
          <cell r="E335">
            <v>73464014</v>
          </cell>
          <cell r="F335">
            <v>79761</v>
          </cell>
          <cell r="G335">
            <v>84670</v>
          </cell>
        </row>
        <row r="336">
          <cell r="D336" t="str">
            <v>CDC-17601</v>
          </cell>
          <cell r="E336">
            <v>73464014</v>
          </cell>
          <cell r="F336">
            <v>79761</v>
          </cell>
          <cell r="G336">
            <v>84670</v>
          </cell>
        </row>
        <row r="337">
          <cell r="D337" t="str">
            <v>CDC-17601</v>
          </cell>
          <cell r="E337">
            <v>73464014</v>
          </cell>
          <cell r="F337">
            <v>79761</v>
          </cell>
          <cell r="G337">
            <v>84670</v>
          </cell>
        </row>
        <row r="338">
          <cell r="D338" t="str">
            <v>CDC-17601</v>
          </cell>
          <cell r="E338">
            <v>73464014</v>
          </cell>
          <cell r="F338">
            <v>79761</v>
          </cell>
          <cell r="G338">
            <v>84670</v>
          </cell>
        </row>
        <row r="339">
          <cell r="D339" t="str">
            <v>CDC-17601</v>
          </cell>
          <cell r="E339">
            <v>73464014</v>
          </cell>
          <cell r="F339">
            <v>79761</v>
          </cell>
          <cell r="G339">
            <v>84670</v>
          </cell>
        </row>
        <row r="340">
          <cell r="D340" t="str">
            <v>CDC-17601</v>
          </cell>
          <cell r="E340">
            <v>73464014</v>
          </cell>
          <cell r="F340">
            <v>79761</v>
          </cell>
          <cell r="G340">
            <v>84670</v>
          </cell>
        </row>
        <row r="341">
          <cell r="D341" t="str">
            <v>CDC-17618</v>
          </cell>
          <cell r="E341">
            <v>73464008</v>
          </cell>
          <cell r="F341">
            <v>79761</v>
          </cell>
          <cell r="G341">
            <v>79769</v>
          </cell>
        </row>
        <row r="342">
          <cell r="D342" t="str">
            <v>CDC-17618</v>
          </cell>
          <cell r="E342">
            <v>73464008</v>
          </cell>
          <cell r="F342">
            <v>79761</v>
          </cell>
          <cell r="G342">
            <v>79769</v>
          </cell>
        </row>
        <row r="343">
          <cell r="D343" t="str">
            <v>CDC-17618</v>
          </cell>
          <cell r="E343">
            <v>73464008</v>
          </cell>
          <cell r="F343">
            <v>79761</v>
          </cell>
          <cell r="G343">
            <v>79769</v>
          </cell>
        </row>
        <row r="344">
          <cell r="D344" t="str">
            <v>CDC-17618</v>
          </cell>
          <cell r="E344">
            <v>73464008</v>
          </cell>
          <cell r="F344">
            <v>79761</v>
          </cell>
          <cell r="G344">
            <v>79769</v>
          </cell>
        </row>
        <row r="345">
          <cell r="D345" t="str">
            <v>CDC-17618</v>
          </cell>
          <cell r="E345">
            <v>73464008</v>
          </cell>
          <cell r="F345">
            <v>79761</v>
          </cell>
          <cell r="G345">
            <v>79769</v>
          </cell>
        </row>
        <row r="346">
          <cell r="D346" t="str">
            <v>CDC-17618</v>
          </cell>
          <cell r="E346">
            <v>73464008</v>
          </cell>
          <cell r="F346">
            <v>79761</v>
          </cell>
          <cell r="G346">
            <v>79769</v>
          </cell>
        </row>
        <row r="347">
          <cell r="D347" t="str">
            <v>CDC-17618</v>
          </cell>
          <cell r="E347">
            <v>73464008</v>
          </cell>
          <cell r="F347">
            <v>79761</v>
          </cell>
          <cell r="G347">
            <v>79769</v>
          </cell>
        </row>
        <row r="348">
          <cell r="D348" t="str">
            <v>CDC-17618</v>
          </cell>
          <cell r="E348">
            <v>73464008</v>
          </cell>
          <cell r="F348">
            <v>79761</v>
          </cell>
          <cell r="G348">
            <v>79769</v>
          </cell>
        </row>
        <row r="349">
          <cell r="D349" t="str">
            <v>CDC-17618</v>
          </cell>
          <cell r="E349">
            <v>73464008</v>
          </cell>
          <cell r="F349">
            <v>79761</v>
          </cell>
          <cell r="G349">
            <v>79769</v>
          </cell>
        </row>
        <row r="350">
          <cell r="D350" t="str">
            <v>CDC-17618</v>
          </cell>
          <cell r="E350">
            <v>73464008</v>
          </cell>
          <cell r="F350">
            <v>79761</v>
          </cell>
          <cell r="G350">
            <v>79769</v>
          </cell>
        </row>
        <row r="351">
          <cell r="D351" t="str">
            <v>CDC-17603</v>
          </cell>
          <cell r="E351">
            <v>73464013</v>
          </cell>
          <cell r="F351">
            <v>79761</v>
          </cell>
          <cell r="G351">
            <v>84669</v>
          </cell>
        </row>
        <row r="352">
          <cell r="D352" t="str">
            <v>CDC-17603</v>
          </cell>
          <cell r="E352">
            <v>73464013</v>
          </cell>
          <cell r="F352">
            <v>79761</v>
          </cell>
          <cell r="G352">
            <v>84669</v>
          </cell>
        </row>
        <row r="353">
          <cell r="D353" t="str">
            <v>CDC-17603</v>
          </cell>
          <cell r="E353">
            <v>73464013</v>
          </cell>
          <cell r="F353">
            <v>79761</v>
          </cell>
          <cell r="G353">
            <v>84669</v>
          </cell>
        </row>
        <row r="354">
          <cell r="D354" t="str">
            <v>CDC-17603</v>
          </cell>
          <cell r="E354">
            <v>73464013</v>
          </cell>
          <cell r="F354">
            <v>79761</v>
          </cell>
          <cell r="G354">
            <v>84669</v>
          </cell>
        </row>
        <row r="355">
          <cell r="D355" t="str">
            <v>CDC-17603</v>
          </cell>
          <cell r="E355">
            <v>73464013</v>
          </cell>
          <cell r="F355">
            <v>79761</v>
          </cell>
          <cell r="G355">
            <v>84669</v>
          </cell>
        </row>
        <row r="356">
          <cell r="D356" t="str">
            <v>CDC-17603</v>
          </cell>
          <cell r="E356">
            <v>73464013</v>
          </cell>
          <cell r="F356">
            <v>79761</v>
          </cell>
          <cell r="G356">
            <v>84669</v>
          </cell>
        </row>
        <row r="357">
          <cell r="D357" t="str">
            <v>CDC-17603</v>
          </cell>
          <cell r="E357">
            <v>73464013</v>
          </cell>
          <cell r="F357">
            <v>79761</v>
          </cell>
          <cell r="G357">
            <v>84669</v>
          </cell>
        </row>
        <row r="358">
          <cell r="D358" t="str">
            <v>CDC-17603</v>
          </cell>
          <cell r="E358">
            <v>73464013</v>
          </cell>
          <cell r="F358">
            <v>79761</v>
          </cell>
          <cell r="G358">
            <v>84669</v>
          </cell>
        </row>
        <row r="359">
          <cell r="D359" t="str">
            <v>CDC-17603</v>
          </cell>
          <cell r="E359">
            <v>73464013</v>
          </cell>
          <cell r="F359">
            <v>79761</v>
          </cell>
          <cell r="G359">
            <v>84669</v>
          </cell>
        </row>
        <row r="360">
          <cell r="D360" t="str">
            <v>CDC-17603</v>
          </cell>
          <cell r="E360">
            <v>73464013</v>
          </cell>
          <cell r="F360">
            <v>79761</v>
          </cell>
          <cell r="G360">
            <v>84669</v>
          </cell>
        </row>
        <row r="361">
          <cell r="D361" t="str">
            <v>CDC-17597</v>
          </cell>
          <cell r="E361">
            <v>73464007</v>
          </cell>
          <cell r="F361">
            <v>79761</v>
          </cell>
          <cell r="G361">
            <v>79768</v>
          </cell>
        </row>
        <row r="362">
          <cell r="D362" t="str">
            <v>CDC-17597</v>
          </cell>
          <cell r="E362">
            <v>73464007</v>
          </cell>
          <cell r="F362">
            <v>79761</v>
          </cell>
          <cell r="G362">
            <v>79768</v>
          </cell>
        </row>
        <row r="363">
          <cell r="D363" t="str">
            <v>CDC-17597</v>
          </cell>
          <cell r="E363">
            <v>73464007</v>
          </cell>
          <cell r="F363">
            <v>79761</v>
          </cell>
          <cell r="G363">
            <v>79768</v>
          </cell>
        </row>
        <row r="364">
          <cell r="D364" t="str">
            <v>CDC-17597</v>
          </cell>
          <cell r="E364">
            <v>73464007</v>
          </cell>
          <cell r="F364">
            <v>79761</v>
          </cell>
          <cell r="G364">
            <v>79768</v>
          </cell>
        </row>
        <row r="365">
          <cell r="D365" t="str">
            <v>CDC-17597</v>
          </cell>
          <cell r="E365">
            <v>73464007</v>
          </cell>
          <cell r="F365">
            <v>79761</v>
          </cell>
          <cell r="G365">
            <v>79768</v>
          </cell>
        </row>
        <row r="366">
          <cell r="D366" t="str">
            <v>CDC-17597</v>
          </cell>
          <cell r="E366">
            <v>73464007</v>
          </cell>
          <cell r="F366">
            <v>79761</v>
          </cell>
          <cell r="G366">
            <v>79768</v>
          </cell>
        </row>
        <row r="367">
          <cell r="D367" t="str">
            <v>CDC-17597</v>
          </cell>
          <cell r="E367">
            <v>73464007</v>
          </cell>
          <cell r="F367">
            <v>79761</v>
          </cell>
          <cell r="G367">
            <v>79768</v>
          </cell>
        </row>
        <row r="368">
          <cell r="D368" t="str">
            <v>CDC-17597</v>
          </cell>
          <cell r="E368">
            <v>73464007</v>
          </cell>
          <cell r="F368">
            <v>79761</v>
          </cell>
          <cell r="G368">
            <v>79768</v>
          </cell>
        </row>
        <row r="369">
          <cell r="D369" t="str">
            <v>CDC-17597</v>
          </cell>
          <cell r="E369">
            <v>73464007</v>
          </cell>
          <cell r="F369">
            <v>79761</v>
          </cell>
          <cell r="G369">
            <v>79768</v>
          </cell>
        </row>
        <row r="370">
          <cell r="D370" t="str">
            <v>CDC-17597</v>
          </cell>
          <cell r="E370">
            <v>73464007</v>
          </cell>
          <cell r="F370">
            <v>79761</v>
          </cell>
          <cell r="G370">
            <v>79768</v>
          </cell>
        </row>
        <row r="371">
          <cell r="D371" t="str">
            <v>CDC-17600</v>
          </cell>
          <cell r="E371">
            <v>73528013</v>
          </cell>
          <cell r="F371">
            <v>79761</v>
          </cell>
          <cell r="G371">
            <v>91348</v>
          </cell>
        </row>
        <row r="372">
          <cell r="D372" t="str">
            <v>CDC-17600</v>
          </cell>
          <cell r="E372">
            <v>73528013</v>
          </cell>
          <cell r="F372">
            <v>79761</v>
          </cell>
          <cell r="G372">
            <v>91348</v>
          </cell>
        </row>
        <row r="373">
          <cell r="D373" t="str">
            <v>CDC-17600</v>
          </cell>
          <cell r="E373">
            <v>73528013</v>
          </cell>
          <cell r="F373">
            <v>79761</v>
          </cell>
          <cell r="G373">
            <v>91348</v>
          </cell>
        </row>
        <row r="374">
          <cell r="D374" t="str">
            <v>CDC-17600</v>
          </cell>
          <cell r="E374">
            <v>73528013</v>
          </cell>
          <cell r="F374">
            <v>79761</v>
          </cell>
          <cell r="G374">
            <v>91348</v>
          </cell>
        </row>
        <row r="375">
          <cell r="D375" t="str">
            <v>CDC-17600</v>
          </cell>
          <cell r="E375">
            <v>73528013</v>
          </cell>
          <cell r="F375">
            <v>79761</v>
          </cell>
          <cell r="G375">
            <v>91348</v>
          </cell>
        </row>
        <row r="376">
          <cell r="D376" t="str">
            <v>CDC-17600</v>
          </cell>
          <cell r="E376">
            <v>73528013</v>
          </cell>
          <cell r="F376">
            <v>79761</v>
          </cell>
          <cell r="G376">
            <v>91348</v>
          </cell>
        </row>
        <row r="377">
          <cell r="D377" t="str">
            <v>CDC-17600</v>
          </cell>
          <cell r="E377">
            <v>73528013</v>
          </cell>
          <cell r="F377">
            <v>79761</v>
          </cell>
          <cell r="G377">
            <v>91348</v>
          </cell>
        </row>
        <row r="378">
          <cell r="D378" t="str">
            <v>CDC-17600</v>
          </cell>
          <cell r="E378">
            <v>73528013</v>
          </cell>
          <cell r="F378">
            <v>79761</v>
          </cell>
          <cell r="G378">
            <v>91348</v>
          </cell>
        </row>
        <row r="379">
          <cell r="D379" t="str">
            <v>CDC-17600</v>
          </cell>
          <cell r="E379">
            <v>73528013</v>
          </cell>
          <cell r="F379">
            <v>79761</v>
          </cell>
          <cell r="G379">
            <v>91348</v>
          </cell>
        </row>
        <row r="380">
          <cell r="D380" t="str">
            <v>CDC-17600</v>
          </cell>
          <cell r="E380">
            <v>73528013</v>
          </cell>
          <cell r="F380">
            <v>79761</v>
          </cell>
          <cell r="G380">
            <v>91348</v>
          </cell>
        </row>
        <row r="381">
          <cell r="D381" t="str">
            <v>CDC-17614</v>
          </cell>
          <cell r="E381">
            <v>73464005</v>
          </cell>
          <cell r="F381">
            <v>79761</v>
          </cell>
          <cell r="G381">
            <v>79765</v>
          </cell>
        </row>
        <row r="382">
          <cell r="D382" t="str">
            <v>CDC-17614</v>
          </cell>
          <cell r="E382">
            <v>73464005</v>
          </cell>
          <cell r="F382">
            <v>79761</v>
          </cell>
          <cell r="G382">
            <v>79765</v>
          </cell>
        </row>
        <row r="383">
          <cell r="D383" t="str">
            <v>CDC-17614</v>
          </cell>
          <cell r="E383">
            <v>73464005</v>
          </cell>
          <cell r="F383">
            <v>79761</v>
          </cell>
          <cell r="G383">
            <v>79765</v>
          </cell>
        </row>
        <row r="384">
          <cell r="D384" t="str">
            <v>CDC-17614</v>
          </cell>
          <cell r="E384">
            <v>73464005</v>
          </cell>
          <cell r="F384">
            <v>79761</v>
          </cell>
          <cell r="G384">
            <v>79765</v>
          </cell>
        </row>
        <row r="385">
          <cell r="D385" t="str">
            <v>CDC-17614</v>
          </cell>
          <cell r="E385">
            <v>73464005</v>
          </cell>
          <cell r="F385">
            <v>79761</v>
          </cell>
          <cell r="G385">
            <v>79765</v>
          </cell>
        </row>
        <row r="386">
          <cell r="D386" t="str">
            <v>CDC-17614</v>
          </cell>
          <cell r="E386">
            <v>73464005</v>
          </cell>
          <cell r="F386">
            <v>79761</v>
          </cell>
          <cell r="G386">
            <v>79765</v>
          </cell>
        </row>
        <row r="387">
          <cell r="D387" t="str">
            <v>CDC-17614</v>
          </cell>
          <cell r="E387">
            <v>73464005</v>
          </cell>
          <cell r="F387">
            <v>79761</v>
          </cell>
          <cell r="G387">
            <v>79765</v>
          </cell>
        </row>
        <row r="388">
          <cell r="D388" t="str">
            <v>CDC-17614</v>
          </cell>
          <cell r="E388">
            <v>73464005</v>
          </cell>
          <cell r="F388">
            <v>79761</v>
          </cell>
          <cell r="G388">
            <v>79765</v>
          </cell>
        </row>
        <row r="389">
          <cell r="D389" t="str">
            <v>CDC-17614</v>
          </cell>
          <cell r="E389">
            <v>73464005</v>
          </cell>
          <cell r="F389">
            <v>79761</v>
          </cell>
          <cell r="G389">
            <v>79765</v>
          </cell>
        </row>
        <row r="390">
          <cell r="D390" t="str">
            <v>CDC-17614</v>
          </cell>
          <cell r="E390">
            <v>73464005</v>
          </cell>
          <cell r="F390">
            <v>79761</v>
          </cell>
          <cell r="G390">
            <v>79765</v>
          </cell>
        </row>
        <row r="391">
          <cell r="D391" t="str">
            <v>CDC-17611</v>
          </cell>
          <cell r="E391">
            <v>73528007</v>
          </cell>
          <cell r="F391">
            <v>79761</v>
          </cell>
          <cell r="G391">
            <v>87387</v>
          </cell>
        </row>
        <row r="392">
          <cell r="D392" t="str">
            <v>CDC-17611</v>
          </cell>
          <cell r="E392">
            <v>73528007</v>
          </cell>
          <cell r="F392">
            <v>79761</v>
          </cell>
          <cell r="G392">
            <v>87387</v>
          </cell>
        </row>
        <row r="393">
          <cell r="D393" t="str">
            <v>CDC-17611</v>
          </cell>
          <cell r="E393">
            <v>73528007</v>
          </cell>
          <cell r="F393">
            <v>79761</v>
          </cell>
          <cell r="G393">
            <v>87387</v>
          </cell>
        </row>
        <row r="394">
          <cell r="D394" t="str">
            <v>CDC-17611</v>
          </cell>
          <cell r="E394">
            <v>73528007</v>
          </cell>
          <cell r="F394">
            <v>79761</v>
          </cell>
          <cell r="G394">
            <v>87387</v>
          </cell>
        </row>
        <row r="395">
          <cell r="D395" t="str">
            <v>CDC-17611</v>
          </cell>
          <cell r="E395">
            <v>73528007</v>
          </cell>
          <cell r="F395">
            <v>79761</v>
          </cell>
          <cell r="G395">
            <v>87387</v>
          </cell>
        </row>
        <row r="396">
          <cell r="D396" t="str">
            <v>CDC-17611</v>
          </cell>
          <cell r="E396">
            <v>73528007</v>
          </cell>
          <cell r="F396">
            <v>79761</v>
          </cell>
          <cell r="G396">
            <v>87387</v>
          </cell>
        </row>
        <row r="397">
          <cell r="D397" t="str">
            <v>CDC-17611</v>
          </cell>
          <cell r="E397">
            <v>73528007</v>
          </cell>
          <cell r="F397">
            <v>79761</v>
          </cell>
          <cell r="G397">
            <v>87387</v>
          </cell>
        </row>
        <row r="398">
          <cell r="D398" t="str">
            <v>CDC-17611</v>
          </cell>
          <cell r="E398">
            <v>73528007</v>
          </cell>
          <cell r="F398">
            <v>79761</v>
          </cell>
          <cell r="G398">
            <v>87387</v>
          </cell>
        </row>
        <row r="399">
          <cell r="D399" t="str">
            <v>CDC-17611</v>
          </cell>
          <cell r="E399">
            <v>73528007</v>
          </cell>
          <cell r="F399">
            <v>79761</v>
          </cell>
          <cell r="G399">
            <v>87387</v>
          </cell>
        </row>
        <row r="400">
          <cell r="D400" t="str">
            <v>CDC-17611</v>
          </cell>
          <cell r="E400">
            <v>73528007</v>
          </cell>
          <cell r="F400">
            <v>79761</v>
          </cell>
          <cell r="G400">
            <v>87387</v>
          </cell>
        </row>
        <row r="401">
          <cell r="D401" t="str">
            <v>CDC-17606</v>
          </cell>
          <cell r="E401">
            <v>73528006</v>
          </cell>
          <cell r="F401">
            <v>79761</v>
          </cell>
          <cell r="G401">
            <v>87386</v>
          </cell>
        </row>
        <row r="402">
          <cell r="D402" t="str">
            <v>CDC-17606</v>
          </cell>
          <cell r="E402">
            <v>73528006</v>
          </cell>
          <cell r="F402">
            <v>79761</v>
          </cell>
          <cell r="G402">
            <v>87386</v>
          </cell>
        </row>
        <row r="403">
          <cell r="D403" t="str">
            <v>CDC-17606</v>
          </cell>
          <cell r="E403">
            <v>73528006</v>
          </cell>
          <cell r="F403">
            <v>79761</v>
          </cell>
          <cell r="G403">
            <v>87386</v>
          </cell>
        </row>
        <row r="404">
          <cell r="D404" t="str">
            <v>CDC-17606</v>
          </cell>
          <cell r="E404">
            <v>73528006</v>
          </cell>
          <cell r="F404">
            <v>79761</v>
          </cell>
          <cell r="G404">
            <v>87386</v>
          </cell>
        </row>
        <row r="405">
          <cell r="D405" t="str">
            <v>CDC-17606</v>
          </cell>
          <cell r="E405">
            <v>73528006</v>
          </cell>
          <cell r="F405">
            <v>79761</v>
          </cell>
          <cell r="G405">
            <v>87386</v>
          </cell>
        </row>
        <row r="406">
          <cell r="D406" t="str">
            <v>CDC-17606</v>
          </cell>
          <cell r="E406">
            <v>73528006</v>
          </cell>
          <cell r="F406">
            <v>79761</v>
          </cell>
          <cell r="G406">
            <v>87386</v>
          </cell>
        </row>
        <row r="407">
          <cell r="D407" t="str">
            <v>CDC-17606</v>
          </cell>
          <cell r="E407">
            <v>73528006</v>
          </cell>
          <cell r="F407">
            <v>79761</v>
          </cell>
          <cell r="G407">
            <v>87386</v>
          </cell>
        </row>
        <row r="408">
          <cell r="D408" t="str">
            <v>CDC-17606</v>
          </cell>
          <cell r="E408">
            <v>73528006</v>
          </cell>
          <cell r="F408">
            <v>79761</v>
          </cell>
          <cell r="G408">
            <v>87386</v>
          </cell>
        </row>
        <row r="409">
          <cell r="D409" t="str">
            <v>CDC-17606</v>
          </cell>
          <cell r="E409">
            <v>73528006</v>
          </cell>
          <cell r="F409">
            <v>79761</v>
          </cell>
          <cell r="G409">
            <v>87386</v>
          </cell>
        </row>
        <row r="410">
          <cell r="D410" t="str">
            <v>CDC-17606</v>
          </cell>
          <cell r="E410">
            <v>73528006</v>
          </cell>
          <cell r="F410">
            <v>79761</v>
          </cell>
          <cell r="G410">
            <v>87386</v>
          </cell>
        </row>
        <row r="411">
          <cell r="D411" t="str">
            <v>CDC-17602</v>
          </cell>
          <cell r="E411">
            <v>73528008</v>
          </cell>
          <cell r="F411">
            <v>79761</v>
          </cell>
          <cell r="G411">
            <v>87388</v>
          </cell>
        </row>
        <row r="412">
          <cell r="D412" t="str">
            <v>CDC-17602</v>
          </cell>
          <cell r="E412">
            <v>73528008</v>
          </cell>
          <cell r="F412">
            <v>79761</v>
          </cell>
          <cell r="G412">
            <v>87388</v>
          </cell>
        </row>
        <row r="413">
          <cell r="D413" t="str">
            <v>CDC-17602</v>
          </cell>
          <cell r="E413">
            <v>73528008</v>
          </cell>
          <cell r="F413">
            <v>79761</v>
          </cell>
          <cell r="G413">
            <v>87388</v>
          </cell>
        </row>
        <row r="414">
          <cell r="D414" t="str">
            <v>CDC-17602</v>
          </cell>
          <cell r="E414">
            <v>73528008</v>
          </cell>
          <cell r="F414">
            <v>79761</v>
          </cell>
          <cell r="G414">
            <v>87388</v>
          </cell>
        </row>
        <row r="415">
          <cell r="D415" t="str">
            <v>CDC-17602</v>
          </cell>
          <cell r="E415">
            <v>73528008</v>
          </cell>
          <cell r="F415">
            <v>79761</v>
          </cell>
          <cell r="G415">
            <v>87388</v>
          </cell>
        </row>
        <row r="416">
          <cell r="D416" t="str">
            <v>CDC-17602</v>
          </cell>
          <cell r="E416">
            <v>73528008</v>
          </cell>
          <cell r="F416">
            <v>79761</v>
          </cell>
          <cell r="G416">
            <v>87388</v>
          </cell>
        </row>
        <row r="417">
          <cell r="D417" t="str">
            <v>CDC-17602</v>
          </cell>
          <cell r="E417">
            <v>73528008</v>
          </cell>
          <cell r="F417">
            <v>79761</v>
          </cell>
          <cell r="G417">
            <v>87388</v>
          </cell>
        </row>
        <row r="418">
          <cell r="D418" t="str">
            <v>CDC-17602</v>
          </cell>
          <cell r="E418">
            <v>73528008</v>
          </cell>
          <cell r="F418">
            <v>79761</v>
          </cell>
          <cell r="G418">
            <v>87388</v>
          </cell>
        </row>
        <row r="419">
          <cell r="D419" t="str">
            <v>CDC-17602</v>
          </cell>
          <cell r="E419">
            <v>73528008</v>
          </cell>
          <cell r="F419">
            <v>79761</v>
          </cell>
          <cell r="G419">
            <v>87388</v>
          </cell>
        </row>
        <row r="420">
          <cell r="D420" t="str">
            <v>CDC-17602</v>
          </cell>
          <cell r="E420">
            <v>73528008</v>
          </cell>
          <cell r="F420">
            <v>79761</v>
          </cell>
          <cell r="G420">
            <v>87388</v>
          </cell>
        </row>
        <row r="421">
          <cell r="D421" t="str">
            <v>CDC-17598</v>
          </cell>
          <cell r="E421">
            <v>73528009</v>
          </cell>
          <cell r="F421">
            <v>79761</v>
          </cell>
          <cell r="G421">
            <v>87389</v>
          </cell>
        </row>
        <row r="422">
          <cell r="D422" t="str">
            <v>CDC-17598</v>
          </cell>
          <cell r="E422">
            <v>73528009</v>
          </cell>
          <cell r="F422">
            <v>79761</v>
          </cell>
          <cell r="G422">
            <v>87389</v>
          </cell>
        </row>
        <row r="423">
          <cell r="D423" t="str">
            <v>CDC-17598</v>
          </cell>
          <cell r="E423">
            <v>73528009</v>
          </cell>
          <cell r="F423">
            <v>79761</v>
          </cell>
          <cell r="G423">
            <v>87389</v>
          </cell>
        </row>
        <row r="424">
          <cell r="D424" t="str">
            <v>CDC-17598</v>
          </cell>
          <cell r="E424">
            <v>73528009</v>
          </cell>
          <cell r="F424">
            <v>79761</v>
          </cell>
          <cell r="G424">
            <v>87389</v>
          </cell>
        </row>
        <row r="425">
          <cell r="D425" t="str">
            <v>CDC-17598</v>
          </cell>
          <cell r="E425">
            <v>73528009</v>
          </cell>
          <cell r="F425">
            <v>79761</v>
          </cell>
          <cell r="G425">
            <v>87389</v>
          </cell>
        </row>
        <row r="426">
          <cell r="D426" t="str">
            <v>CDC-17598</v>
          </cell>
          <cell r="E426">
            <v>73528009</v>
          </cell>
          <cell r="F426">
            <v>79761</v>
          </cell>
          <cell r="G426">
            <v>87389</v>
          </cell>
        </row>
        <row r="427">
          <cell r="D427" t="str">
            <v>CDC-17598</v>
          </cell>
          <cell r="E427">
            <v>73528009</v>
          </cell>
          <cell r="F427">
            <v>79761</v>
          </cell>
          <cell r="G427">
            <v>87389</v>
          </cell>
        </row>
        <row r="428">
          <cell r="D428" t="str">
            <v>CDC-17598</v>
          </cell>
          <cell r="E428">
            <v>73528009</v>
          </cell>
          <cell r="F428">
            <v>79761</v>
          </cell>
          <cell r="G428">
            <v>87389</v>
          </cell>
        </row>
        <row r="429">
          <cell r="D429" t="str">
            <v>CDC-17598</v>
          </cell>
          <cell r="E429">
            <v>73528009</v>
          </cell>
          <cell r="F429">
            <v>79761</v>
          </cell>
          <cell r="G429">
            <v>87389</v>
          </cell>
        </row>
        <row r="430">
          <cell r="D430" t="str">
            <v>CDC-17598</v>
          </cell>
          <cell r="E430">
            <v>73528009</v>
          </cell>
          <cell r="F430">
            <v>79761</v>
          </cell>
          <cell r="G430">
            <v>87389</v>
          </cell>
        </row>
        <row r="431">
          <cell r="D431" t="str">
            <v>CDC-17917</v>
          </cell>
          <cell r="E431">
            <v>73464015</v>
          </cell>
          <cell r="F431">
            <v>79761</v>
          </cell>
          <cell r="G431">
            <v>86283</v>
          </cell>
        </row>
        <row r="432">
          <cell r="D432" t="str">
            <v>CDC-17917</v>
          </cell>
          <cell r="E432">
            <v>73464015</v>
          </cell>
          <cell r="F432">
            <v>79761</v>
          </cell>
          <cell r="G432">
            <v>86283</v>
          </cell>
        </row>
        <row r="433">
          <cell r="D433" t="str">
            <v>CDC-17917</v>
          </cell>
          <cell r="E433">
            <v>73464015</v>
          </cell>
          <cell r="F433">
            <v>79761</v>
          </cell>
          <cell r="G433">
            <v>86283</v>
          </cell>
        </row>
        <row r="434">
          <cell r="D434" t="str">
            <v>CDC-17917</v>
          </cell>
          <cell r="E434">
            <v>73464015</v>
          </cell>
          <cell r="F434">
            <v>79761</v>
          </cell>
          <cell r="G434">
            <v>86283</v>
          </cell>
        </row>
        <row r="435">
          <cell r="D435" t="str">
            <v>CDC-17917</v>
          </cell>
          <cell r="E435">
            <v>73464015</v>
          </cell>
          <cell r="F435">
            <v>79761</v>
          </cell>
          <cell r="G435">
            <v>86283</v>
          </cell>
        </row>
        <row r="436">
          <cell r="D436" t="str">
            <v>CDC-17917</v>
          </cell>
          <cell r="E436">
            <v>73464015</v>
          </cell>
          <cell r="F436">
            <v>79761</v>
          </cell>
          <cell r="G436">
            <v>86283</v>
          </cell>
        </row>
        <row r="437">
          <cell r="D437" t="str">
            <v>CDC-17917</v>
          </cell>
          <cell r="E437">
            <v>73464015</v>
          </cell>
          <cell r="F437">
            <v>79761</v>
          </cell>
          <cell r="G437">
            <v>86283</v>
          </cell>
        </row>
        <row r="438">
          <cell r="D438" t="str">
            <v>CDC-17917</v>
          </cell>
          <cell r="E438">
            <v>73464015</v>
          </cell>
          <cell r="F438">
            <v>79761</v>
          </cell>
          <cell r="G438">
            <v>86283</v>
          </cell>
        </row>
        <row r="439">
          <cell r="D439" t="str">
            <v>CDC-17917</v>
          </cell>
          <cell r="E439">
            <v>73464015</v>
          </cell>
          <cell r="F439">
            <v>79761</v>
          </cell>
          <cell r="G439">
            <v>86283</v>
          </cell>
        </row>
        <row r="440">
          <cell r="D440" t="str">
            <v>CDC-17917</v>
          </cell>
          <cell r="E440">
            <v>73464015</v>
          </cell>
          <cell r="F440">
            <v>79761</v>
          </cell>
          <cell r="G440">
            <v>86283</v>
          </cell>
        </row>
        <row r="441">
          <cell r="D441" t="str">
            <v>CDC-18606</v>
          </cell>
          <cell r="E441">
            <v>73464025</v>
          </cell>
          <cell r="F441">
            <v>79761</v>
          </cell>
          <cell r="G441">
            <v>1000357</v>
          </cell>
        </row>
        <row r="442">
          <cell r="D442" t="str">
            <v>CDC-18606</v>
          </cell>
          <cell r="E442">
            <v>73464025</v>
          </cell>
          <cell r="F442">
            <v>79761</v>
          </cell>
          <cell r="G442">
            <v>1000357</v>
          </cell>
        </row>
        <row r="443">
          <cell r="D443" t="str">
            <v>CDC-18606</v>
          </cell>
          <cell r="E443">
            <v>73464025</v>
          </cell>
          <cell r="F443">
            <v>79761</v>
          </cell>
          <cell r="G443">
            <v>1000357</v>
          </cell>
        </row>
        <row r="444">
          <cell r="D444" t="str">
            <v>CDC-18606</v>
          </cell>
          <cell r="E444">
            <v>73464025</v>
          </cell>
          <cell r="F444">
            <v>79761</v>
          </cell>
          <cell r="G444">
            <v>1000357</v>
          </cell>
        </row>
        <row r="445">
          <cell r="D445" t="str">
            <v>CDC-18606</v>
          </cell>
          <cell r="E445">
            <v>73464025</v>
          </cell>
          <cell r="F445">
            <v>79761</v>
          </cell>
          <cell r="G445">
            <v>1000357</v>
          </cell>
        </row>
        <row r="446">
          <cell r="D446" t="str">
            <v>CDC-18606</v>
          </cell>
          <cell r="E446">
            <v>73464025</v>
          </cell>
          <cell r="F446">
            <v>79761</v>
          </cell>
          <cell r="G446">
            <v>1000357</v>
          </cell>
        </row>
        <row r="447">
          <cell r="D447" t="str">
            <v>CDC-18606</v>
          </cell>
          <cell r="E447">
            <v>73464025</v>
          </cell>
          <cell r="F447">
            <v>79761</v>
          </cell>
          <cell r="G447">
            <v>1000357</v>
          </cell>
        </row>
        <row r="448">
          <cell r="D448" t="str">
            <v>CDC-18606</v>
          </cell>
          <cell r="E448">
            <v>73464025</v>
          </cell>
          <cell r="F448">
            <v>79761</v>
          </cell>
          <cell r="G448">
            <v>1000357</v>
          </cell>
        </row>
        <row r="449">
          <cell r="D449" t="str">
            <v>CDC-18606</v>
          </cell>
          <cell r="E449">
            <v>73464025</v>
          </cell>
          <cell r="F449">
            <v>79761</v>
          </cell>
          <cell r="G449">
            <v>1000357</v>
          </cell>
        </row>
        <row r="450">
          <cell r="D450" t="str">
            <v>CDC-18606</v>
          </cell>
          <cell r="E450">
            <v>73464025</v>
          </cell>
          <cell r="F450">
            <v>79761</v>
          </cell>
          <cell r="G450">
            <v>1000357</v>
          </cell>
        </row>
        <row r="451">
          <cell r="D451" t="str">
            <v>CDC-17607</v>
          </cell>
          <cell r="E451">
            <v>73464019</v>
          </cell>
          <cell r="F451">
            <v>79761</v>
          </cell>
          <cell r="G451">
            <v>92331</v>
          </cell>
        </row>
        <row r="452">
          <cell r="D452" t="str">
            <v>CDC-17607</v>
          </cell>
          <cell r="E452">
            <v>73464019</v>
          </cell>
          <cell r="F452">
            <v>79761</v>
          </cell>
          <cell r="G452">
            <v>92331</v>
          </cell>
        </row>
        <row r="453">
          <cell r="D453" t="str">
            <v>CDC-17607</v>
          </cell>
          <cell r="E453">
            <v>73464019</v>
          </cell>
          <cell r="F453">
            <v>79761</v>
          </cell>
          <cell r="G453">
            <v>92331</v>
          </cell>
        </row>
        <row r="454">
          <cell r="D454" t="str">
            <v>CDC-17607</v>
          </cell>
          <cell r="E454">
            <v>73464019</v>
          </cell>
          <cell r="F454">
            <v>79761</v>
          </cell>
          <cell r="G454">
            <v>92331</v>
          </cell>
        </row>
        <row r="455">
          <cell r="D455" t="str">
            <v>CDC-17607</v>
          </cell>
          <cell r="E455">
            <v>73464019</v>
          </cell>
          <cell r="F455">
            <v>79761</v>
          </cell>
          <cell r="G455">
            <v>92331</v>
          </cell>
        </row>
        <row r="456">
          <cell r="D456" t="str">
            <v>CDC-17607</v>
          </cell>
          <cell r="E456">
            <v>73464019</v>
          </cell>
          <cell r="F456">
            <v>79761</v>
          </cell>
          <cell r="G456">
            <v>92331</v>
          </cell>
        </row>
        <row r="457">
          <cell r="D457" t="str">
            <v>CDC-17607</v>
          </cell>
          <cell r="E457">
            <v>73464019</v>
          </cell>
          <cell r="F457">
            <v>79761</v>
          </cell>
          <cell r="G457">
            <v>92331</v>
          </cell>
        </row>
        <row r="458">
          <cell r="D458" t="str">
            <v>CDC-17607</v>
          </cell>
          <cell r="E458">
            <v>73464019</v>
          </cell>
          <cell r="F458">
            <v>79761</v>
          </cell>
          <cell r="G458">
            <v>92331</v>
          </cell>
        </row>
        <row r="459">
          <cell r="D459" t="str">
            <v>CDC-17607</v>
          </cell>
          <cell r="E459">
            <v>73464019</v>
          </cell>
          <cell r="F459">
            <v>79761</v>
          </cell>
          <cell r="G459">
            <v>92331</v>
          </cell>
        </row>
        <row r="460">
          <cell r="D460" t="str">
            <v>CDC-17607</v>
          </cell>
          <cell r="E460">
            <v>73464019</v>
          </cell>
          <cell r="F460">
            <v>79761</v>
          </cell>
          <cell r="G460">
            <v>92331</v>
          </cell>
        </row>
        <row r="461">
          <cell r="D461" t="str">
            <v>CDC-17729</v>
          </cell>
          <cell r="E461">
            <v>73464021</v>
          </cell>
          <cell r="F461">
            <v>79761</v>
          </cell>
          <cell r="G461">
            <v>516037</v>
          </cell>
        </row>
        <row r="462">
          <cell r="D462" t="str">
            <v>CDC-17729</v>
          </cell>
          <cell r="E462">
            <v>73464021</v>
          </cell>
          <cell r="F462">
            <v>79761</v>
          </cell>
          <cell r="G462">
            <v>516037</v>
          </cell>
        </row>
        <row r="463">
          <cell r="D463" t="str">
            <v>CDC-17729</v>
          </cell>
          <cell r="E463">
            <v>73464021</v>
          </cell>
          <cell r="F463">
            <v>79761</v>
          </cell>
          <cell r="G463">
            <v>516037</v>
          </cell>
        </row>
        <row r="464">
          <cell r="D464" t="str">
            <v>CDC-17729</v>
          </cell>
          <cell r="E464">
            <v>73464021</v>
          </cell>
          <cell r="F464">
            <v>79761</v>
          </cell>
          <cell r="G464">
            <v>516037</v>
          </cell>
        </row>
        <row r="465">
          <cell r="D465" t="str">
            <v>CDC-17729</v>
          </cell>
          <cell r="E465">
            <v>73464021</v>
          </cell>
          <cell r="F465">
            <v>79761</v>
          </cell>
          <cell r="G465">
            <v>516037</v>
          </cell>
        </row>
        <row r="466">
          <cell r="D466" t="str">
            <v>CDC-17729</v>
          </cell>
          <cell r="E466">
            <v>73464021</v>
          </cell>
          <cell r="F466">
            <v>79761</v>
          </cell>
          <cell r="G466">
            <v>516037</v>
          </cell>
        </row>
        <row r="467">
          <cell r="D467" t="str">
            <v>CDC-17616</v>
          </cell>
          <cell r="E467">
            <v>73464018</v>
          </cell>
          <cell r="F467">
            <v>79761</v>
          </cell>
          <cell r="G467">
            <v>91359</v>
          </cell>
        </row>
        <row r="468">
          <cell r="D468" t="str">
            <v>CDC-17616</v>
          </cell>
          <cell r="E468">
            <v>73464018</v>
          </cell>
          <cell r="F468">
            <v>79761</v>
          </cell>
          <cell r="G468">
            <v>91359</v>
          </cell>
        </row>
        <row r="469">
          <cell r="D469" t="str">
            <v>CDC-17616</v>
          </cell>
          <cell r="E469">
            <v>73464018</v>
          </cell>
          <cell r="F469">
            <v>79761</v>
          </cell>
          <cell r="G469">
            <v>91359</v>
          </cell>
        </row>
        <row r="470">
          <cell r="D470" t="str">
            <v>CDC-17616</v>
          </cell>
          <cell r="E470">
            <v>73464018</v>
          </cell>
          <cell r="F470">
            <v>79761</v>
          </cell>
          <cell r="G470">
            <v>91359</v>
          </cell>
        </row>
        <row r="471">
          <cell r="D471" t="str">
            <v>CDC-17616</v>
          </cell>
          <cell r="E471">
            <v>73464018</v>
          </cell>
          <cell r="F471">
            <v>79761</v>
          </cell>
          <cell r="G471">
            <v>91359</v>
          </cell>
        </row>
        <row r="472">
          <cell r="D472" t="str">
            <v>CDC-17616</v>
          </cell>
          <cell r="E472">
            <v>73464018</v>
          </cell>
          <cell r="F472">
            <v>79761</v>
          </cell>
          <cell r="G472">
            <v>91359</v>
          </cell>
        </row>
        <row r="473">
          <cell r="D473" t="str">
            <v>CDC-17609</v>
          </cell>
          <cell r="E473">
            <v>73464020</v>
          </cell>
          <cell r="F473">
            <v>79761</v>
          </cell>
          <cell r="G473">
            <v>91762</v>
          </cell>
        </row>
        <row r="474">
          <cell r="D474" t="str">
            <v>CDC-17609</v>
          </cell>
          <cell r="E474">
            <v>73464020</v>
          </cell>
          <cell r="F474">
            <v>79761</v>
          </cell>
          <cell r="G474">
            <v>91762</v>
          </cell>
        </row>
        <row r="475">
          <cell r="D475" t="str">
            <v>CDC-17609</v>
          </cell>
          <cell r="E475">
            <v>73464020</v>
          </cell>
          <cell r="F475">
            <v>79761</v>
          </cell>
          <cell r="G475">
            <v>91762</v>
          </cell>
        </row>
        <row r="476">
          <cell r="D476" t="str">
            <v>CDC-17609</v>
          </cell>
          <cell r="E476">
            <v>73464020</v>
          </cell>
          <cell r="F476">
            <v>79761</v>
          </cell>
          <cell r="G476">
            <v>91762</v>
          </cell>
        </row>
        <row r="477">
          <cell r="D477" t="str">
            <v>CDC-17609</v>
          </cell>
          <cell r="E477">
            <v>73464020</v>
          </cell>
          <cell r="F477">
            <v>79761</v>
          </cell>
          <cell r="G477">
            <v>91762</v>
          </cell>
        </row>
        <row r="478">
          <cell r="D478" t="str">
            <v>CDC-17609</v>
          </cell>
          <cell r="E478">
            <v>73464020</v>
          </cell>
          <cell r="F478">
            <v>79761</v>
          </cell>
          <cell r="G478">
            <v>91762</v>
          </cell>
        </row>
        <row r="479">
          <cell r="D479" t="str">
            <v>CDC-17875</v>
          </cell>
          <cell r="E479">
            <v>73464022</v>
          </cell>
          <cell r="F479">
            <v>79761</v>
          </cell>
          <cell r="G479">
            <v>597102</v>
          </cell>
        </row>
        <row r="480">
          <cell r="D480" t="str">
            <v>CDC-17875</v>
          </cell>
          <cell r="E480">
            <v>73464022</v>
          </cell>
          <cell r="F480">
            <v>79761</v>
          </cell>
          <cell r="G480">
            <v>597102</v>
          </cell>
        </row>
        <row r="481">
          <cell r="D481" t="str">
            <v>CDC-17875</v>
          </cell>
          <cell r="E481">
            <v>73464022</v>
          </cell>
          <cell r="F481">
            <v>79761</v>
          </cell>
          <cell r="G481">
            <v>597102</v>
          </cell>
        </row>
        <row r="482">
          <cell r="D482" t="str">
            <v>CDC-17875</v>
          </cell>
          <cell r="E482">
            <v>73464022</v>
          </cell>
          <cell r="F482">
            <v>79761</v>
          </cell>
          <cell r="G482">
            <v>597102</v>
          </cell>
        </row>
        <row r="483">
          <cell r="D483" t="str">
            <v>CDC-17875</v>
          </cell>
          <cell r="E483">
            <v>73464022</v>
          </cell>
          <cell r="F483">
            <v>79761</v>
          </cell>
          <cell r="G483">
            <v>597102</v>
          </cell>
        </row>
        <row r="484">
          <cell r="D484" t="str">
            <v>CDC-17875</v>
          </cell>
          <cell r="E484">
            <v>73464022</v>
          </cell>
          <cell r="F484">
            <v>79761</v>
          </cell>
          <cell r="G484">
            <v>597102</v>
          </cell>
        </row>
        <row r="485">
          <cell r="D485" t="str">
            <v>CDC-17875</v>
          </cell>
          <cell r="E485">
            <v>73464022</v>
          </cell>
          <cell r="F485">
            <v>79761</v>
          </cell>
          <cell r="G485">
            <v>597102</v>
          </cell>
        </row>
        <row r="486">
          <cell r="D486" t="str">
            <v>CDC-17875</v>
          </cell>
          <cell r="E486">
            <v>73464022</v>
          </cell>
          <cell r="F486">
            <v>79761</v>
          </cell>
          <cell r="G486">
            <v>597102</v>
          </cell>
        </row>
        <row r="487">
          <cell r="D487" t="str">
            <v>CDC-17875</v>
          </cell>
          <cell r="E487">
            <v>73464022</v>
          </cell>
          <cell r="F487">
            <v>79761</v>
          </cell>
          <cell r="G487">
            <v>597102</v>
          </cell>
        </row>
        <row r="488">
          <cell r="D488" t="str">
            <v>CDC-17875</v>
          </cell>
          <cell r="E488">
            <v>73464022</v>
          </cell>
          <cell r="F488">
            <v>79761</v>
          </cell>
          <cell r="G488">
            <v>597102</v>
          </cell>
        </row>
        <row r="489">
          <cell r="D489" t="str">
            <v>CDC-17864</v>
          </cell>
          <cell r="E489">
            <v>73464024</v>
          </cell>
          <cell r="F489">
            <v>79761</v>
          </cell>
          <cell r="G489">
            <v>24741</v>
          </cell>
        </row>
        <row r="490">
          <cell r="D490" t="str">
            <v>CDC-17864</v>
          </cell>
          <cell r="E490">
            <v>73464024</v>
          </cell>
          <cell r="F490">
            <v>79761</v>
          </cell>
          <cell r="G490">
            <v>24741</v>
          </cell>
        </row>
        <row r="491">
          <cell r="D491" t="str">
            <v>CDC-17864</v>
          </cell>
          <cell r="E491">
            <v>73464024</v>
          </cell>
          <cell r="F491">
            <v>79761</v>
          </cell>
          <cell r="G491">
            <v>24741</v>
          </cell>
        </row>
        <row r="492">
          <cell r="D492" t="str">
            <v>CDC-17864</v>
          </cell>
          <cell r="E492">
            <v>73464024</v>
          </cell>
          <cell r="F492">
            <v>79761</v>
          </cell>
          <cell r="G492">
            <v>24741</v>
          </cell>
        </row>
        <row r="493">
          <cell r="D493" t="str">
            <v>CDC-17864</v>
          </cell>
          <cell r="E493">
            <v>73464024</v>
          </cell>
          <cell r="F493">
            <v>79761</v>
          </cell>
          <cell r="G493">
            <v>24741</v>
          </cell>
        </row>
        <row r="494">
          <cell r="D494" t="str">
            <v>CDC-17864</v>
          </cell>
          <cell r="E494">
            <v>73464024</v>
          </cell>
          <cell r="F494">
            <v>79761</v>
          </cell>
          <cell r="G494">
            <v>24741</v>
          </cell>
        </row>
        <row r="495">
          <cell r="D495" t="str">
            <v>CDC-17863</v>
          </cell>
          <cell r="E495">
            <v>73464023</v>
          </cell>
          <cell r="F495">
            <v>79761</v>
          </cell>
          <cell r="G495">
            <v>545702</v>
          </cell>
        </row>
        <row r="496">
          <cell r="D496" t="str">
            <v>CDC-17863</v>
          </cell>
          <cell r="E496">
            <v>73464023</v>
          </cell>
          <cell r="F496">
            <v>79761</v>
          </cell>
          <cell r="G496">
            <v>545702</v>
          </cell>
        </row>
        <row r="497">
          <cell r="D497" t="str">
            <v>CDC-17863</v>
          </cell>
          <cell r="E497">
            <v>73464023</v>
          </cell>
          <cell r="F497">
            <v>79761</v>
          </cell>
          <cell r="G497">
            <v>545702</v>
          </cell>
        </row>
        <row r="498">
          <cell r="D498" t="str">
            <v>CDC-17863</v>
          </cell>
          <cell r="E498">
            <v>73464023</v>
          </cell>
          <cell r="F498">
            <v>79761</v>
          </cell>
          <cell r="G498">
            <v>545702</v>
          </cell>
        </row>
        <row r="499">
          <cell r="D499" t="str">
            <v>CDC-17863</v>
          </cell>
          <cell r="E499">
            <v>73464023</v>
          </cell>
          <cell r="F499">
            <v>79761</v>
          </cell>
          <cell r="G499">
            <v>545702</v>
          </cell>
        </row>
        <row r="500">
          <cell r="D500" t="str">
            <v>CDC-17863</v>
          </cell>
          <cell r="E500">
            <v>73464023</v>
          </cell>
          <cell r="F500">
            <v>79761</v>
          </cell>
          <cell r="G500">
            <v>545702</v>
          </cell>
        </row>
        <row r="501">
          <cell r="D501" t="str">
            <v>CDC-18447</v>
          </cell>
          <cell r="E501">
            <v>73464009</v>
          </cell>
          <cell r="F501">
            <v>79761</v>
          </cell>
          <cell r="G501">
            <v>1000196</v>
          </cell>
        </row>
        <row r="502">
          <cell r="D502" t="str">
            <v>CDC-18447</v>
          </cell>
          <cell r="E502">
            <v>73464009</v>
          </cell>
          <cell r="F502">
            <v>79761</v>
          </cell>
          <cell r="G502">
            <v>1000196</v>
          </cell>
        </row>
        <row r="503">
          <cell r="D503" t="str">
            <v>CDC-18447</v>
          </cell>
          <cell r="E503">
            <v>73464009</v>
          </cell>
          <cell r="F503">
            <v>79761</v>
          </cell>
          <cell r="G503">
            <v>1000196</v>
          </cell>
        </row>
        <row r="504">
          <cell r="D504" t="str">
            <v>CDC-18447</v>
          </cell>
          <cell r="E504">
            <v>73464009</v>
          </cell>
          <cell r="F504">
            <v>79761</v>
          </cell>
          <cell r="G504">
            <v>1000196</v>
          </cell>
        </row>
        <row r="505">
          <cell r="D505" t="str">
            <v>CDC-18447</v>
          </cell>
          <cell r="E505">
            <v>73464009</v>
          </cell>
          <cell r="F505">
            <v>79761</v>
          </cell>
          <cell r="G505">
            <v>1000196</v>
          </cell>
        </row>
        <row r="506">
          <cell r="D506" t="str">
            <v>CDC-18447</v>
          </cell>
          <cell r="E506">
            <v>73464009</v>
          </cell>
          <cell r="F506">
            <v>79761</v>
          </cell>
          <cell r="G506">
            <v>1000196</v>
          </cell>
        </row>
        <row r="507">
          <cell r="D507" t="str">
            <v>CDC-18447</v>
          </cell>
          <cell r="E507">
            <v>73464009</v>
          </cell>
          <cell r="F507">
            <v>79761</v>
          </cell>
          <cell r="G507">
            <v>1000196</v>
          </cell>
        </row>
        <row r="508">
          <cell r="D508" t="str">
            <v>CDC-18447</v>
          </cell>
          <cell r="E508">
            <v>73464009</v>
          </cell>
          <cell r="F508">
            <v>79761</v>
          </cell>
          <cell r="G508">
            <v>1000196</v>
          </cell>
        </row>
        <row r="509">
          <cell r="D509" t="str">
            <v>CDC-18447</v>
          </cell>
          <cell r="E509">
            <v>73464009</v>
          </cell>
          <cell r="F509">
            <v>79761</v>
          </cell>
          <cell r="G509">
            <v>1000196</v>
          </cell>
        </row>
        <row r="510">
          <cell r="D510" t="str">
            <v>CDC-18447</v>
          </cell>
          <cell r="E510">
            <v>73464009</v>
          </cell>
          <cell r="F510">
            <v>79761</v>
          </cell>
          <cell r="G510">
            <v>1000196</v>
          </cell>
        </row>
        <row r="511">
          <cell r="D511" t="str">
            <v>CDC-10284</v>
          </cell>
          <cell r="E511">
            <v>102601043</v>
          </cell>
          <cell r="F511">
            <v>7927</v>
          </cell>
          <cell r="G511">
            <v>84192</v>
          </cell>
        </row>
        <row r="512">
          <cell r="D512" t="str">
            <v>CDC-10284</v>
          </cell>
          <cell r="E512">
            <v>102601043</v>
          </cell>
          <cell r="F512">
            <v>7927</v>
          </cell>
          <cell r="G512">
            <v>84192</v>
          </cell>
        </row>
        <row r="513">
          <cell r="D513" t="str">
            <v>CDC-10284</v>
          </cell>
          <cell r="E513">
            <v>102601043</v>
          </cell>
          <cell r="F513">
            <v>7927</v>
          </cell>
          <cell r="G513">
            <v>84192</v>
          </cell>
        </row>
        <row r="514">
          <cell r="D514" t="str">
            <v>CDC-3656</v>
          </cell>
          <cell r="E514">
            <v>102601010</v>
          </cell>
          <cell r="F514">
            <v>7927</v>
          </cell>
          <cell r="G514">
            <v>7928</v>
          </cell>
        </row>
        <row r="515">
          <cell r="D515" t="str">
            <v>CDC-3656</v>
          </cell>
          <cell r="E515">
            <v>102601010</v>
          </cell>
          <cell r="F515">
            <v>7927</v>
          </cell>
          <cell r="G515">
            <v>7928</v>
          </cell>
        </row>
        <row r="516">
          <cell r="D516" t="str">
            <v>CDC-3656</v>
          </cell>
          <cell r="E516">
            <v>102601010</v>
          </cell>
          <cell r="F516">
            <v>7927</v>
          </cell>
          <cell r="G516">
            <v>7928</v>
          </cell>
        </row>
        <row r="517">
          <cell r="D517" t="str">
            <v>CDC-9789</v>
          </cell>
          <cell r="E517">
            <v>102601037</v>
          </cell>
          <cell r="F517">
            <v>7927</v>
          </cell>
          <cell r="G517">
            <v>80550</v>
          </cell>
        </row>
        <row r="518">
          <cell r="D518" t="str">
            <v>CDC-9789</v>
          </cell>
          <cell r="E518">
            <v>102601037</v>
          </cell>
          <cell r="F518">
            <v>7927</v>
          </cell>
          <cell r="G518">
            <v>80550</v>
          </cell>
        </row>
        <row r="519">
          <cell r="D519" t="str">
            <v>CDC-9789</v>
          </cell>
          <cell r="E519">
            <v>102601037</v>
          </cell>
          <cell r="F519">
            <v>7927</v>
          </cell>
          <cell r="G519">
            <v>80550</v>
          </cell>
        </row>
        <row r="520">
          <cell r="D520" t="str">
            <v>CDC-5245</v>
          </cell>
          <cell r="E520">
            <v>102601025</v>
          </cell>
          <cell r="F520">
            <v>7927</v>
          </cell>
          <cell r="G520">
            <v>9846</v>
          </cell>
        </row>
        <row r="521">
          <cell r="D521" t="str">
            <v>CDC-5245</v>
          </cell>
          <cell r="E521">
            <v>102601025</v>
          </cell>
          <cell r="F521">
            <v>7927</v>
          </cell>
          <cell r="G521">
            <v>9846</v>
          </cell>
        </row>
        <row r="522">
          <cell r="D522" t="str">
            <v>CDC-5245</v>
          </cell>
          <cell r="E522">
            <v>102601025</v>
          </cell>
          <cell r="F522">
            <v>7927</v>
          </cell>
          <cell r="G522">
            <v>9846</v>
          </cell>
        </row>
        <row r="523">
          <cell r="D523" t="str">
            <v>CDC-3752</v>
          </cell>
          <cell r="E523">
            <v>102601031</v>
          </cell>
          <cell r="F523">
            <v>7927</v>
          </cell>
          <cell r="G523">
            <v>9851</v>
          </cell>
        </row>
        <row r="524">
          <cell r="D524" t="str">
            <v>CDC-3752</v>
          </cell>
          <cell r="E524">
            <v>102601031</v>
          </cell>
          <cell r="F524">
            <v>7927</v>
          </cell>
          <cell r="G524">
            <v>9851</v>
          </cell>
        </row>
        <row r="525">
          <cell r="D525" t="str">
            <v>CDC-3752</v>
          </cell>
          <cell r="E525">
            <v>102601031</v>
          </cell>
          <cell r="F525">
            <v>7927</v>
          </cell>
          <cell r="G525">
            <v>9851</v>
          </cell>
        </row>
        <row r="526">
          <cell r="D526" t="str">
            <v>CDC-10823</v>
          </cell>
          <cell r="E526">
            <v>102601249</v>
          </cell>
          <cell r="F526">
            <v>7927</v>
          </cell>
          <cell r="G526">
            <v>84338</v>
          </cell>
        </row>
        <row r="527">
          <cell r="D527" t="str">
            <v>CDC-10823</v>
          </cell>
          <cell r="E527">
            <v>102601249</v>
          </cell>
          <cell r="F527">
            <v>7927</v>
          </cell>
          <cell r="G527">
            <v>84338</v>
          </cell>
        </row>
        <row r="528">
          <cell r="D528" t="str">
            <v>CDC-10823</v>
          </cell>
          <cell r="E528">
            <v>102601249</v>
          </cell>
          <cell r="F528">
            <v>7927</v>
          </cell>
          <cell r="G528">
            <v>84338</v>
          </cell>
        </row>
        <row r="529">
          <cell r="D529" t="str">
            <v>CDC-3861</v>
          </cell>
          <cell r="E529">
            <v>102601030</v>
          </cell>
          <cell r="F529">
            <v>7927</v>
          </cell>
          <cell r="G529">
            <v>7930</v>
          </cell>
        </row>
        <row r="530">
          <cell r="D530" t="str">
            <v>CDC-3861</v>
          </cell>
          <cell r="E530">
            <v>102601030</v>
          </cell>
          <cell r="F530">
            <v>7927</v>
          </cell>
          <cell r="G530">
            <v>7930</v>
          </cell>
        </row>
        <row r="531">
          <cell r="D531" t="str">
            <v>CDC-3861</v>
          </cell>
          <cell r="E531">
            <v>102601030</v>
          </cell>
          <cell r="F531">
            <v>7927</v>
          </cell>
          <cell r="G531">
            <v>7930</v>
          </cell>
        </row>
        <row r="532">
          <cell r="D532" t="str">
            <v>CDC-8138</v>
          </cell>
          <cell r="E532">
            <v>102601020</v>
          </cell>
          <cell r="F532">
            <v>7927</v>
          </cell>
          <cell r="G532">
            <v>7929</v>
          </cell>
        </row>
        <row r="533">
          <cell r="D533" t="str">
            <v>CDC-8138</v>
          </cell>
          <cell r="E533">
            <v>102601020</v>
          </cell>
          <cell r="F533">
            <v>7927</v>
          </cell>
          <cell r="G533">
            <v>7929</v>
          </cell>
        </row>
        <row r="534">
          <cell r="D534" t="str">
            <v>CDC-8138</v>
          </cell>
          <cell r="E534">
            <v>102601020</v>
          </cell>
          <cell r="F534">
            <v>7927</v>
          </cell>
          <cell r="G534">
            <v>7929</v>
          </cell>
        </row>
        <row r="535">
          <cell r="D535" t="str">
            <v>CDC-9714</v>
          </cell>
          <cell r="E535">
            <v>102601038</v>
          </cell>
          <cell r="F535">
            <v>7927</v>
          </cell>
          <cell r="G535">
            <v>80551</v>
          </cell>
        </row>
        <row r="536">
          <cell r="D536" t="str">
            <v>CDC-9714</v>
          </cell>
          <cell r="E536">
            <v>102601038</v>
          </cell>
          <cell r="F536">
            <v>7927</v>
          </cell>
          <cell r="G536">
            <v>80551</v>
          </cell>
        </row>
        <row r="537">
          <cell r="D537" t="str">
            <v>CDC-9714</v>
          </cell>
          <cell r="E537">
            <v>102601038</v>
          </cell>
          <cell r="F537">
            <v>7927</v>
          </cell>
          <cell r="G537">
            <v>80551</v>
          </cell>
        </row>
        <row r="538">
          <cell r="D538" t="str">
            <v>CDC-7465</v>
          </cell>
          <cell r="E538">
            <v>102601003</v>
          </cell>
          <cell r="F538">
            <v>7927</v>
          </cell>
          <cell r="G538">
            <v>9826</v>
          </cell>
        </row>
        <row r="539">
          <cell r="D539" t="str">
            <v>CDC-7465</v>
          </cell>
          <cell r="E539">
            <v>102601003</v>
          </cell>
          <cell r="F539">
            <v>7927</v>
          </cell>
          <cell r="G539">
            <v>9826</v>
          </cell>
        </row>
        <row r="540">
          <cell r="D540" t="str">
            <v>CDC-5072</v>
          </cell>
          <cell r="E540">
            <v>102601050</v>
          </cell>
          <cell r="F540">
            <v>7927</v>
          </cell>
          <cell r="G540">
            <v>7932</v>
          </cell>
        </row>
        <row r="541">
          <cell r="D541" t="str">
            <v>CDC-5072</v>
          </cell>
          <cell r="E541">
            <v>102601050</v>
          </cell>
          <cell r="F541">
            <v>7927</v>
          </cell>
          <cell r="G541">
            <v>7932</v>
          </cell>
        </row>
        <row r="542">
          <cell r="D542" t="str">
            <v>CDC-11133</v>
          </cell>
          <cell r="E542">
            <v>102601039</v>
          </cell>
          <cell r="F542">
            <v>7927</v>
          </cell>
          <cell r="G542">
            <v>85207</v>
          </cell>
        </row>
        <row r="543">
          <cell r="D543" t="str">
            <v>CDC-11133</v>
          </cell>
          <cell r="E543">
            <v>102601039</v>
          </cell>
          <cell r="F543">
            <v>7927</v>
          </cell>
          <cell r="G543">
            <v>85207</v>
          </cell>
        </row>
        <row r="544">
          <cell r="D544" t="str">
            <v>CDC-11133</v>
          </cell>
          <cell r="E544">
            <v>102601039</v>
          </cell>
          <cell r="F544">
            <v>7927</v>
          </cell>
          <cell r="G544">
            <v>85207</v>
          </cell>
        </row>
        <row r="545">
          <cell r="D545" t="str">
            <v>CDC-5587</v>
          </cell>
          <cell r="E545">
            <v>102601026</v>
          </cell>
          <cell r="F545">
            <v>7927</v>
          </cell>
          <cell r="G545">
            <v>9847</v>
          </cell>
        </row>
        <row r="546">
          <cell r="D546" t="str">
            <v>CDC-5587</v>
          </cell>
          <cell r="E546">
            <v>102601026</v>
          </cell>
          <cell r="F546">
            <v>7927</v>
          </cell>
          <cell r="G546">
            <v>9847</v>
          </cell>
        </row>
        <row r="547">
          <cell r="D547" t="str">
            <v>CDC-5587</v>
          </cell>
          <cell r="E547">
            <v>102601026</v>
          </cell>
          <cell r="F547">
            <v>7927</v>
          </cell>
          <cell r="G547">
            <v>9847</v>
          </cell>
        </row>
        <row r="548">
          <cell r="D548" t="str">
            <v>CDC-5896</v>
          </cell>
          <cell r="E548">
            <v>102601042</v>
          </cell>
          <cell r="F548">
            <v>7927</v>
          </cell>
          <cell r="G548">
            <v>84191</v>
          </cell>
        </row>
        <row r="549">
          <cell r="D549" t="str">
            <v>CDC-5896</v>
          </cell>
          <cell r="E549">
            <v>102601042</v>
          </cell>
          <cell r="F549">
            <v>7927</v>
          </cell>
          <cell r="G549">
            <v>84191</v>
          </cell>
        </row>
        <row r="550">
          <cell r="D550" t="str">
            <v>CDC-5896</v>
          </cell>
          <cell r="E550">
            <v>102601042</v>
          </cell>
          <cell r="F550">
            <v>7927</v>
          </cell>
          <cell r="G550">
            <v>84191</v>
          </cell>
        </row>
        <row r="551">
          <cell r="D551" t="str">
            <v>CDC-4222</v>
          </cell>
          <cell r="E551">
            <v>102601060</v>
          </cell>
          <cell r="F551">
            <v>7927</v>
          </cell>
          <cell r="G551">
            <v>7933</v>
          </cell>
        </row>
        <row r="552">
          <cell r="D552" t="str">
            <v>CDC-4222</v>
          </cell>
          <cell r="E552">
            <v>102601060</v>
          </cell>
          <cell r="F552">
            <v>7927</v>
          </cell>
          <cell r="G552">
            <v>7933</v>
          </cell>
        </row>
        <row r="553">
          <cell r="D553" t="str">
            <v>CDC-4222</v>
          </cell>
          <cell r="E553">
            <v>102601060</v>
          </cell>
          <cell r="F553">
            <v>7927</v>
          </cell>
          <cell r="G553">
            <v>7933</v>
          </cell>
        </row>
        <row r="554">
          <cell r="D554" t="str">
            <v>CDC-0424</v>
          </cell>
          <cell r="E554">
            <v>102601070</v>
          </cell>
          <cell r="F554">
            <v>7927</v>
          </cell>
          <cell r="G554">
            <v>7935</v>
          </cell>
        </row>
        <row r="555">
          <cell r="D555" t="str">
            <v>CDC-0424</v>
          </cell>
          <cell r="E555">
            <v>102601070</v>
          </cell>
          <cell r="F555">
            <v>7927</v>
          </cell>
          <cell r="G555">
            <v>7935</v>
          </cell>
        </row>
        <row r="556">
          <cell r="D556" t="str">
            <v>CDC-0424</v>
          </cell>
          <cell r="E556">
            <v>102601070</v>
          </cell>
          <cell r="F556">
            <v>7927</v>
          </cell>
          <cell r="G556">
            <v>7935</v>
          </cell>
        </row>
        <row r="557">
          <cell r="D557" t="str">
            <v>CDC-4757</v>
          </cell>
          <cell r="E557">
            <v>102601051</v>
          </cell>
          <cell r="F557">
            <v>7927</v>
          </cell>
          <cell r="G557">
            <v>85921</v>
          </cell>
        </row>
        <row r="558">
          <cell r="D558" t="str">
            <v>CDC-4757</v>
          </cell>
          <cell r="E558">
            <v>102601051</v>
          </cell>
          <cell r="F558">
            <v>7927</v>
          </cell>
          <cell r="G558">
            <v>85921</v>
          </cell>
        </row>
        <row r="559">
          <cell r="D559" t="str">
            <v>CDC-4757</v>
          </cell>
          <cell r="E559">
            <v>102601051</v>
          </cell>
          <cell r="F559">
            <v>7927</v>
          </cell>
          <cell r="G559">
            <v>85921</v>
          </cell>
        </row>
        <row r="560">
          <cell r="D560" t="str">
            <v>CDC-4755</v>
          </cell>
          <cell r="E560">
            <v>102601080</v>
          </cell>
          <cell r="F560">
            <v>7927</v>
          </cell>
          <cell r="G560">
            <v>7936</v>
          </cell>
        </row>
        <row r="561">
          <cell r="D561" t="str">
            <v>CDC-4755</v>
          </cell>
          <cell r="E561">
            <v>102601080</v>
          </cell>
          <cell r="F561">
            <v>7927</v>
          </cell>
          <cell r="G561">
            <v>7936</v>
          </cell>
        </row>
        <row r="562">
          <cell r="D562" t="str">
            <v>CDC-4755</v>
          </cell>
          <cell r="E562">
            <v>102601080</v>
          </cell>
          <cell r="F562">
            <v>7927</v>
          </cell>
          <cell r="G562">
            <v>7936</v>
          </cell>
        </row>
        <row r="563">
          <cell r="D563" t="str">
            <v>CDC-3655</v>
          </cell>
          <cell r="E563">
            <v>102601100</v>
          </cell>
          <cell r="F563">
            <v>7927</v>
          </cell>
          <cell r="G563">
            <v>7938</v>
          </cell>
        </row>
        <row r="564">
          <cell r="D564" t="str">
            <v>CDC-3655</v>
          </cell>
          <cell r="E564">
            <v>102601100</v>
          </cell>
          <cell r="F564">
            <v>7927</v>
          </cell>
          <cell r="G564">
            <v>7938</v>
          </cell>
        </row>
        <row r="565">
          <cell r="D565" t="str">
            <v>CDC-3655</v>
          </cell>
          <cell r="E565">
            <v>102601100</v>
          </cell>
          <cell r="F565">
            <v>7927</v>
          </cell>
          <cell r="G565">
            <v>7938</v>
          </cell>
        </row>
        <row r="566">
          <cell r="D566" t="str">
            <v>CDC-5547</v>
          </cell>
          <cell r="E566">
            <v>102601110</v>
          </cell>
          <cell r="F566">
            <v>7927</v>
          </cell>
          <cell r="G566">
            <v>7939</v>
          </cell>
        </row>
        <row r="567">
          <cell r="D567" t="str">
            <v>CDC-5547</v>
          </cell>
          <cell r="E567">
            <v>102601110</v>
          </cell>
          <cell r="F567">
            <v>7927</v>
          </cell>
          <cell r="G567">
            <v>7939</v>
          </cell>
        </row>
        <row r="568">
          <cell r="D568" t="str">
            <v>CDC-5547</v>
          </cell>
          <cell r="E568">
            <v>102601110</v>
          </cell>
          <cell r="F568">
            <v>7927</v>
          </cell>
          <cell r="G568">
            <v>7939</v>
          </cell>
        </row>
        <row r="569">
          <cell r="D569" t="str">
            <v>CDC-3639</v>
          </cell>
          <cell r="E569">
            <v>102601024</v>
          </cell>
          <cell r="F569">
            <v>7927</v>
          </cell>
          <cell r="G569">
            <v>9845</v>
          </cell>
        </row>
        <row r="570">
          <cell r="D570" t="str">
            <v>CDC-3639</v>
          </cell>
          <cell r="E570">
            <v>102601024</v>
          </cell>
          <cell r="F570">
            <v>7927</v>
          </cell>
          <cell r="G570">
            <v>9845</v>
          </cell>
        </row>
        <row r="571">
          <cell r="D571" t="str">
            <v>CDC-3639</v>
          </cell>
          <cell r="E571">
            <v>102601024</v>
          </cell>
          <cell r="F571">
            <v>7927</v>
          </cell>
          <cell r="G571">
            <v>9845</v>
          </cell>
        </row>
        <row r="572">
          <cell r="D572" t="str">
            <v>CDC-5902</v>
          </cell>
          <cell r="E572">
            <v>102601018</v>
          </cell>
          <cell r="F572">
            <v>7927</v>
          </cell>
          <cell r="G572">
            <v>9840</v>
          </cell>
        </row>
        <row r="573">
          <cell r="D573" t="str">
            <v>CDC-5902</v>
          </cell>
          <cell r="E573">
            <v>102601018</v>
          </cell>
          <cell r="F573">
            <v>7927</v>
          </cell>
          <cell r="G573">
            <v>9840</v>
          </cell>
        </row>
        <row r="574">
          <cell r="D574" t="str">
            <v>CDC-5902</v>
          </cell>
          <cell r="E574">
            <v>102601018</v>
          </cell>
          <cell r="F574">
            <v>7927</v>
          </cell>
          <cell r="G574">
            <v>9840</v>
          </cell>
        </row>
        <row r="575">
          <cell r="D575" t="str">
            <v>CDC-0598</v>
          </cell>
          <cell r="E575">
            <v>102601001</v>
          </cell>
          <cell r="F575">
            <v>7927</v>
          </cell>
          <cell r="G575">
            <v>9824</v>
          </cell>
        </row>
        <row r="576">
          <cell r="D576" t="str">
            <v>CDC-0598</v>
          </cell>
          <cell r="E576">
            <v>102601001</v>
          </cell>
          <cell r="F576">
            <v>7927</v>
          </cell>
          <cell r="G576">
            <v>9824</v>
          </cell>
        </row>
        <row r="577">
          <cell r="D577" t="str">
            <v>CDC-0598</v>
          </cell>
          <cell r="E577">
            <v>102601001</v>
          </cell>
          <cell r="F577">
            <v>7927</v>
          </cell>
          <cell r="G577">
            <v>9824</v>
          </cell>
        </row>
        <row r="578">
          <cell r="D578" t="str">
            <v>CDC-1080</v>
          </cell>
          <cell r="E578">
            <v>102601002</v>
          </cell>
          <cell r="F578">
            <v>7927</v>
          </cell>
          <cell r="G578">
            <v>9825</v>
          </cell>
        </row>
        <row r="579">
          <cell r="D579" t="str">
            <v>CDC-1080</v>
          </cell>
          <cell r="E579">
            <v>102601002</v>
          </cell>
          <cell r="F579">
            <v>7927</v>
          </cell>
          <cell r="G579">
            <v>9825</v>
          </cell>
        </row>
        <row r="580">
          <cell r="D580" t="str">
            <v>CDC-7274</v>
          </cell>
          <cell r="E580">
            <v>102601034</v>
          </cell>
          <cell r="F580">
            <v>7927</v>
          </cell>
          <cell r="G580">
            <v>9854</v>
          </cell>
        </row>
        <row r="581">
          <cell r="D581" t="str">
            <v>CDC-7274</v>
          </cell>
          <cell r="E581">
            <v>102601034</v>
          </cell>
          <cell r="F581">
            <v>7927</v>
          </cell>
          <cell r="G581">
            <v>9854</v>
          </cell>
        </row>
        <row r="582">
          <cell r="D582" t="str">
            <v>CDC-7274</v>
          </cell>
          <cell r="E582">
            <v>102601034</v>
          </cell>
          <cell r="F582">
            <v>7927</v>
          </cell>
          <cell r="G582">
            <v>9854</v>
          </cell>
        </row>
        <row r="583">
          <cell r="D583" t="str">
            <v>CDC-7462</v>
          </cell>
          <cell r="E583">
            <v>102601036</v>
          </cell>
          <cell r="F583">
            <v>7927</v>
          </cell>
          <cell r="G583">
            <v>10371</v>
          </cell>
        </row>
        <row r="584">
          <cell r="D584" t="str">
            <v>CDC-7462</v>
          </cell>
          <cell r="E584">
            <v>102601036</v>
          </cell>
          <cell r="F584">
            <v>7927</v>
          </cell>
          <cell r="G584">
            <v>10371</v>
          </cell>
        </row>
        <row r="585">
          <cell r="D585" t="str">
            <v>CDC-7462</v>
          </cell>
          <cell r="E585">
            <v>102601036</v>
          </cell>
          <cell r="F585">
            <v>7927</v>
          </cell>
          <cell r="G585">
            <v>10371</v>
          </cell>
        </row>
        <row r="586">
          <cell r="D586" t="str">
            <v>CDC-3052</v>
          </cell>
          <cell r="E586">
            <v>102601029</v>
          </cell>
          <cell r="F586">
            <v>7927</v>
          </cell>
          <cell r="G586">
            <v>9850</v>
          </cell>
        </row>
        <row r="587">
          <cell r="D587" t="str">
            <v>CDC-3052</v>
          </cell>
          <cell r="E587">
            <v>102601029</v>
          </cell>
          <cell r="F587">
            <v>7927</v>
          </cell>
          <cell r="G587">
            <v>9850</v>
          </cell>
        </row>
        <row r="588">
          <cell r="D588" t="str">
            <v>CDC-3052</v>
          </cell>
          <cell r="E588">
            <v>102601029</v>
          </cell>
          <cell r="F588">
            <v>7927</v>
          </cell>
          <cell r="G588">
            <v>9850</v>
          </cell>
        </row>
        <row r="589">
          <cell r="D589" t="str">
            <v>CDC-7275</v>
          </cell>
          <cell r="E589">
            <v>102601035</v>
          </cell>
          <cell r="F589">
            <v>7927</v>
          </cell>
          <cell r="G589">
            <v>9855</v>
          </cell>
        </row>
        <row r="590">
          <cell r="D590" t="str">
            <v>CDC-7275</v>
          </cell>
          <cell r="E590">
            <v>102601035</v>
          </cell>
          <cell r="F590">
            <v>7927</v>
          </cell>
          <cell r="G590">
            <v>9855</v>
          </cell>
        </row>
        <row r="591">
          <cell r="D591" t="str">
            <v>CDC-7275</v>
          </cell>
          <cell r="E591">
            <v>102601035</v>
          </cell>
          <cell r="F591">
            <v>7927</v>
          </cell>
          <cell r="G591">
            <v>9855</v>
          </cell>
        </row>
        <row r="592">
          <cell r="D592" t="str">
            <v>CDC-12138</v>
          </cell>
          <cell r="E592">
            <v>102601251</v>
          </cell>
          <cell r="F592">
            <v>7927</v>
          </cell>
          <cell r="G592">
            <v>87917</v>
          </cell>
        </row>
        <row r="593">
          <cell r="D593" t="str">
            <v>CDC-12138</v>
          </cell>
          <cell r="E593">
            <v>102601251</v>
          </cell>
          <cell r="F593">
            <v>7927</v>
          </cell>
          <cell r="G593">
            <v>87917</v>
          </cell>
        </row>
        <row r="594">
          <cell r="D594" t="str">
            <v>CDC-12138</v>
          </cell>
          <cell r="E594">
            <v>102601251</v>
          </cell>
          <cell r="F594">
            <v>7927</v>
          </cell>
          <cell r="G594">
            <v>87917</v>
          </cell>
        </row>
        <row r="595">
          <cell r="D595" t="str">
            <v>CDC-5897</v>
          </cell>
          <cell r="E595">
            <v>102601247</v>
          </cell>
          <cell r="F595">
            <v>7927</v>
          </cell>
          <cell r="G595">
            <v>10901</v>
          </cell>
        </row>
        <row r="596">
          <cell r="D596" t="str">
            <v>CDC-5897</v>
          </cell>
          <cell r="E596">
            <v>102601247</v>
          </cell>
          <cell r="F596">
            <v>7927</v>
          </cell>
          <cell r="G596">
            <v>10901</v>
          </cell>
        </row>
        <row r="597">
          <cell r="D597" t="str">
            <v>CDC-5897</v>
          </cell>
          <cell r="E597">
            <v>102601247</v>
          </cell>
          <cell r="F597">
            <v>7927</v>
          </cell>
          <cell r="G597">
            <v>10901</v>
          </cell>
        </row>
        <row r="598">
          <cell r="D598" t="str">
            <v>CDC-9212</v>
          </cell>
          <cell r="E598">
            <v>102601200</v>
          </cell>
          <cell r="F598">
            <v>7927</v>
          </cell>
          <cell r="G598">
            <v>7948</v>
          </cell>
        </row>
        <row r="599">
          <cell r="D599" t="str">
            <v>CDC-9212</v>
          </cell>
          <cell r="E599">
            <v>102601200</v>
          </cell>
          <cell r="F599">
            <v>7927</v>
          </cell>
          <cell r="G599">
            <v>7948</v>
          </cell>
        </row>
        <row r="600">
          <cell r="D600" t="str">
            <v>CDC-9212</v>
          </cell>
          <cell r="E600">
            <v>102601200</v>
          </cell>
          <cell r="F600">
            <v>7927</v>
          </cell>
          <cell r="G600">
            <v>7948</v>
          </cell>
        </row>
        <row r="601">
          <cell r="D601" t="str">
            <v>CDC-6702</v>
          </cell>
          <cell r="E601">
            <v>102601033</v>
          </cell>
          <cell r="F601">
            <v>7927</v>
          </cell>
          <cell r="G601">
            <v>9853</v>
          </cell>
        </row>
        <row r="602">
          <cell r="D602" t="str">
            <v>CDC-6702</v>
          </cell>
          <cell r="E602">
            <v>102601033</v>
          </cell>
          <cell r="F602">
            <v>7927</v>
          </cell>
          <cell r="G602">
            <v>9853</v>
          </cell>
        </row>
        <row r="603">
          <cell r="D603" t="str">
            <v>CDC-6702</v>
          </cell>
          <cell r="E603">
            <v>102601033</v>
          </cell>
          <cell r="F603">
            <v>7927</v>
          </cell>
          <cell r="G603">
            <v>9853</v>
          </cell>
        </row>
        <row r="604">
          <cell r="D604" t="str">
            <v>CDC-0279</v>
          </cell>
          <cell r="E604">
            <v>102601220</v>
          </cell>
          <cell r="F604">
            <v>7927</v>
          </cell>
          <cell r="G604">
            <v>7950</v>
          </cell>
        </row>
        <row r="605">
          <cell r="D605" t="str">
            <v>CDC-0279</v>
          </cell>
          <cell r="E605">
            <v>102601220</v>
          </cell>
          <cell r="F605">
            <v>7927</v>
          </cell>
          <cell r="G605">
            <v>7950</v>
          </cell>
        </row>
        <row r="606">
          <cell r="D606" t="str">
            <v>CDC-0279</v>
          </cell>
          <cell r="E606">
            <v>102601220</v>
          </cell>
          <cell r="F606">
            <v>7927</v>
          </cell>
          <cell r="G606">
            <v>7950</v>
          </cell>
        </row>
        <row r="607">
          <cell r="D607" t="str">
            <v>CDC-9329</v>
          </cell>
          <cell r="E607">
            <v>102601041</v>
          </cell>
          <cell r="F607">
            <v>7927</v>
          </cell>
          <cell r="G607">
            <v>80623</v>
          </cell>
        </row>
        <row r="608">
          <cell r="D608" t="str">
            <v>CDC-9329</v>
          </cell>
          <cell r="E608">
            <v>102601041</v>
          </cell>
          <cell r="F608">
            <v>7927</v>
          </cell>
          <cell r="G608">
            <v>80623</v>
          </cell>
        </row>
        <row r="609">
          <cell r="D609" t="str">
            <v>CDC-9329</v>
          </cell>
          <cell r="E609">
            <v>102601041</v>
          </cell>
          <cell r="F609">
            <v>7927</v>
          </cell>
          <cell r="G609">
            <v>80623</v>
          </cell>
        </row>
        <row r="610">
          <cell r="D610" t="str">
            <v>CDC-1569</v>
          </cell>
          <cell r="E610">
            <v>102601007</v>
          </cell>
          <cell r="F610">
            <v>7927</v>
          </cell>
          <cell r="G610">
            <v>9830</v>
          </cell>
        </row>
        <row r="611">
          <cell r="D611" t="str">
            <v>CDC-1569</v>
          </cell>
          <cell r="E611">
            <v>102601007</v>
          </cell>
          <cell r="F611">
            <v>7927</v>
          </cell>
          <cell r="G611">
            <v>9830</v>
          </cell>
        </row>
        <row r="612">
          <cell r="D612" t="str">
            <v>CDC-1569</v>
          </cell>
          <cell r="E612">
            <v>102601007</v>
          </cell>
          <cell r="F612">
            <v>7927</v>
          </cell>
          <cell r="G612">
            <v>9830</v>
          </cell>
        </row>
        <row r="613">
          <cell r="D613" t="str">
            <v>CDC-4162</v>
          </cell>
          <cell r="E613">
            <v>102601240</v>
          </cell>
          <cell r="F613">
            <v>7927</v>
          </cell>
          <cell r="G613">
            <v>7957</v>
          </cell>
        </row>
        <row r="614">
          <cell r="D614" t="str">
            <v>CDC-4162</v>
          </cell>
          <cell r="E614">
            <v>102601240</v>
          </cell>
          <cell r="F614">
            <v>7927</v>
          </cell>
          <cell r="G614">
            <v>7957</v>
          </cell>
        </row>
        <row r="615">
          <cell r="D615" t="str">
            <v>CDC-4162</v>
          </cell>
          <cell r="E615">
            <v>102601240</v>
          </cell>
          <cell r="F615">
            <v>7927</v>
          </cell>
          <cell r="G615">
            <v>7957</v>
          </cell>
        </row>
        <row r="616">
          <cell r="D616" t="str">
            <v>CDC-5541</v>
          </cell>
          <cell r="E616">
            <v>102601028</v>
          </cell>
          <cell r="F616">
            <v>7927</v>
          </cell>
          <cell r="G616">
            <v>9849</v>
          </cell>
        </row>
        <row r="617">
          <cell r="D617" t="str">
            <v>CDC-5541</v>
          </cell>
          <cell r="E617">
            <v>102601028</v>
          </cell>
          <cell r="F617">
            <v>7927</v>
          </cell>
          <cell r="G617">
            <v>9849</v>
          </cell>
        </row>
        <row r="618">
          <cell r="D618" t="str">
            <v>CDC-5541</v>
          </cell>
          <cell r="E618">
            <v>102601028</v>
          </cell>
          <cell r="F618">
            <v>7927</v>
          </cell>
          <cell r="G618">
            <v>9849</v>
          </cell>
        </row>
        <row r="619">
          <cell r="D619" t="str">
            <v>CDC-6218</v>
          </cell>
          <cell r="E619">
            <v>102601032</v>
          </cell>
          <cell r="F619">
            <v>7927</v>
          </cell>
          <cell r="G619">
            <v>9852</v>
          </cell>
        </row>
        <row r="620">
          <cell r="D620" t="str">
            <v>CDC-6218</v>
          </cell>
          <cell r="E620">
            <v>102601032</v>
          </cell>
          <cell r="F620">
            <v>7927</v>
          </cell>
          <cell r="G620">
            <v>9852</v>
          </cell>
        </row>
        <row r="621">
          <cell r="D621" t="str">
            <v>CDC-6218</v>
          </cell>
          <cell r="E621">
            <v>102601032</v>
          </cell>
          <cell r="F621">
            <v>7927</v>
          </cell>
          <cell r="G621">
            <v>9852</v>
          </cell>
        </row>
        <row r="622">
          <cell r="D622" t="str">
            <v>CDC-5586</v>
          </cell>
          <cell r="E622">
            <v>102601027</v>
          </cell>
          <cell r="F622">
            <v>7927</v>
          </cell>
          <cell r="G622">
            <v>9848</v>
          </cell>
        </row>
        <row r="623">
          <cell r="D623" t="str">
            <v>CDC-5586</v>
          </cell>
          <cell r="E623">
            <v>102601027</v>
          </cell>
          <cell r="F623">
            <v>7927</v>
          </cell>
          <cell r="G623">
            <v>9848</v>
          </cell>
        </row>
        <row r="624">
          <cell r="D624" t="str">
            <v>CDC-5586</v>
          </cell>
          <cell r="E624">
            <v>102601027</v>
          </cell>
          <cell r="F624">
            <v>7927</v>
          </cell>
          <cell r="G624">
            <v>9848</v>
          </cell>
        </row>
        <row r="625">
          <cell r="D625" t="str">
            <v>CDC-11368</v>
          </cell>
          <cell r="E625">
            <v>103120002</v>
          </cell>
          <cell r="F625">
            <v>80839</v>
          </cell>
          <cell r="G625">
            <v>85227</v>
          </cell>
        </row>
        <row r="626">
          <cell r="D626" t="str">
            <v>CDC-11368</v>
          </cell>
          <cell r="E626">
            <v>103120002</v>
          </cell>
          <cell r="F626">
            <v>80839</v>
          </cell>
          <cell r="G626">
            <v>85227</v>
          </cell>
        </row>
        <row r="627">
          <cell r="D627" t="str">
            <v>CDC-11368</v>
          </cell>
          <cell r="E627">
            <v>103120002</v>
          </cell>
          <cell r="F627">
            <v>80839</v>
          </cell>
          <cell r="G627">
            <v>85227</v>
          </cell>
        </row>
        <row r="628">
          <cell r="D628" t="str">
            <v>CDC-11368</v>
          </cell>
          <cell r="E628">
            <v>103120002</v>
          </cell>
          <cell r="F628">
            <v>80839</v>
          </cell>
          <cell r="G628">
            <v>85227</v>
          </cell>
        </row>
        <row r="629">
          <cell r="D629" t="str">
            <v>CDC-11368</v>
          </cell>
          <cell r="E629">
            <v>103120002</v>
          </cell>
          <cell r="F629">
            <v>80839</v>
          </cell>
          <cell r="G629">
            <v>85227</v>
          </cell>
        </row>
        <row r="630">
          <cell r="D630" t="str">
            <v>CDC-11368</v>
          </cell>
          <cell r="E630">
            <v>103120002</v>
          </cell>
          <cell r="F630">
            <v>80839</v>
          </cell>
          <cell r="G630">
            <v>85227</v>
          </cell>
        </row>
        <row r="631">
          <cell r="D631" t="str">
            <v>CDC-11368</v>
          </cell>
          <cell r="E631">
            <v>103120002</v>
          </cell>
          <cell r="F631">
            <v>80839</v>
          </cell>
          <cell r="G631">
            <v>85227</v>
          </cell>
        </row>
        <row r="632">
          <cell r="D632" t="str">
            <v>CDC-11368</v>
          </cell>
          <cell r="E632">
            <v>103120002</v>
          </cell>
          <cell r="F632">
            <v>80839</v>
          </cell>
          <cell r="G632">
            <v>85227</v>
          </cell>
        </row>
        <row r="633">
          <cell r="D633" t="str">
            <v>CDC-11368</v>
          </cell>
          <cell r="E633">
            <v>103120002</v>
          </cell>
          <cell r="F633">
            <v>80839</v>
          </cell>
          <cell r="G633">
            <v>85227</v>
          </cell>
        </row>
        <row r="634">
          <cell r="D634" t="str">
            <v>CDC-11368</v>
          </cell>
          <cell r="E634">
            <v>103120002</v>
          </cell>
          <cell r="F634">
            <v>80839</v>
          </cell>
          <cell r="G634">
            <v>85227</v>
          </cell>
        </row>
        <row r="635">
          <cell r="D635" t="e">
            <v>#N/A</v>
          </cell>
          <cell r="E635">
            <v>73308001</v>
          </cell>
          <cell r="F635">
            <v>92382</v>
          </cell>
          <cell r="G635">
            <v>92383</v>
          </cell>
        </row>
        <row r="636">
          <cell r="D636" t="e">
            <v>#N/A</v>
          </cell>
          <cell r="E636">
            <v>73308001</v>
          </cell>
          <cell r="F636">
            <v>92382</v>
          </cell>
          <cell r="G636">
            <v>92383</v>
          </cell>
        </row>
        <row r="637">
          <cell r="D637" t="e">
            <v>#N/A</v>
          </cell>
          <cell r="E637">
            <v>73308001</v>
          </cell>
          <cell r="F637">
            <v>92382</v>
          </cell>
          <cell r="G637">
            <v>92383</v>
          </cell>
        </row>
        <row r="638">
          <cell r="D638" t="e">
            <v>#N/A</v>
          </cell>
          <cell r="E638">
            <v>73308001</v>
          </cell>
          <cell r="F638">
            <v>92382</v>
          </cell>
          <cell r="G638">
            <v>92383</v>
          </cell>
        </row>
        <row r="639">
          <cell r="D639" t="e">
            <v>#N/A</v>
          </cell>
          <cell r="E639">
            <v>73308001</v>
          </cell>
          <cell r="F639">
            <v>92382</v>
          </cell>
          <cell r="G639">
            <v>92383</v>
          </cell>
        </row>
        <row r="640">
          <cell r="D640" t="e">
            <v>#N/A</v>
          </cell>
          <cell r="E640">
            <v>73308001</v>
          </cell>
          <cell r="F640">
            <v>92382</v>
          </cell>
          <cell r="G640">
            <v>92383</v>
          </cell>
        </row>
        <row r="641">
          <cell r="D641" t="e">
            <v>#N/A</v>
          </cell>
          <cell r="E641">
            <v>73308001</v>
          </cell>
          <cell r="F641">
            <v>92382</v>
          </cell>
          <cell r="G641">
            <v>92383</v>
          </cell>
        </row>
        <row r="642">
          <cell r="D642" t="e">
            <v>#N/A</v>
          </cell>
          <cell r="E642">
            <v>73308001</v>
          </cell>
          <cell r="F642">
            <v>92382</v>
          </cell>
          <cell r="G642">
            <v>92383</v>
          </cell>
        </row>
        <row r="643">
          <cell r="D643" t="str">
            <v>CDC-14124</v>
          </cell>
          <cell r="E643">
            <v>73568001</v>
          </cell>
          <cell r="F643">
            <v>90078</v>
          </cell>
          <cell r="G643">
            <v>90079</v>
          </cell>
        </row>
        <row r="644">
          <cell r="D644" t="str">
            <v>CDC-14124</v>
          </cell>
          <cell r="E644">
            <v>73568001</v>
          </cell>
          <cell r="F644">
            <v>90078</v>
          </cell>
          <cell r="G644">
            <v>90079</v>
          </cell>
        </row>
        <row r="645">
          <cell r="D645" t="str">
            <v>CDC-14124</v>
          </cell>
          <cell r="E645">
            <v>73568001</v>
          </cell>
          <cell r="F645">
            <v>90078</v>
          </cell>
          <cell r="G645">
            <v>90079</v>
          </cell>
        </row>
        <row r="646">
          <cell r="D646" t="str">
            <v>CDC-14124</v>
          </cell>
          <cell r="E646">
            <v>73568001</v>
          </cell>
          <cell r="F646">
            <v>90078</v>
          </cell>
          <cell r="G646">
            <v>90079</v>
          </cell>
        </row>
        <row r="647">
          <cell r="D647" t="str">
            <v>CDC-14124</v>
          </cell>
          <cell r="E647">
            <v>73568001</v>
          </cell>
          <cell r="F647">
            <v>90078</v>
          </cell>
          <cell r="G647">
            <v>90079</v>
          </cell>
        </row>
        <row r="648">
          <cell r="D648" t="str">
            <v>CDC-14124</v>
          </cell>
          <cell r="E648">
            <v>73568001</v>
          </cell>
          <cell r="F648">
            <v>90078</v>
          </cell>
          <cell r="G648">
            <v>90079</v>
          </cell>
        </row>
        <row r="649">
          <cell r="D649" t="str">
            <v>CDC-14124</v>
          </cell>
          <cell r="E649">
            <v>73568001</v>
          </cell>
          <cell r="F649">
            <v>90078</v>
          </cell>
          <cell r="G649">
            <v>90079</v>
          </cell>
        </row>
        <row r="650">
          <cell r="D650" t="str">
            <v>CDC-14124</v>
          </cell>
          <cell r="E650">
            <v>73568001</v>
          </cell>
          <cell r="F650">
            <v>90078</v>
          </cell>
          <cell r="G650">
            <v>90079</v>
          </cell>
        </row>
        <row r="651">
          <cell r="D651" t="str">
            <v>CDC-14124</v>
          </cell>
          <cell r="E651">
            <v>73568001</v>
          </cell>
          <cell r="F651">
            <v>90078</v>
          </cell>
          <cell r="G651">
            <v>90079</v>
          </cell>
        </row>
        <row r="652">
          <cell r="D652" t="str">
            <v>CDC-14124</v>
          </cell>
          <cell r="E652">
            <v>73568001</v>
          </cell>
          <cell r="F652">
            <v>90078</v>
          </cell>
          <cell r="G652">
            <v>90079</v>
          </cell>
        </row>
        <row r="653">
          <cell r="D653" t="str">
            <v>CDC-8443</v>
          </cell>
          <cell r="E653">
            <v>73272023</v>
          </cell>
          <cell r="F653">
            <v>9460</v>
          </cell>
          <cell r="G653">
            <v>80686</v>
          </cell>
        </row>
        <row r="654">
          <cell r="D654" t="str">
            <v>CDC-8443</v>
          </cell>
          <cell r="E654">
            <v>73272023</v>
          </cell>
          <cell r="F654">
            <v>9460</v>
          </cell>
          <cell r="G654">
            <v>80686</v>
          </cell>
        </row>
        <row r="655">
          <cell r="D655" t="str">
            <v>CDC-8443</v>
          </cell>
          <cell r="E655">
            <v>73272023</v>
          </cell>
          <cell r="F655">
            <v>9460</v>
          </cell>
          <cell r="G655">
            <v>80686</v>
          </cell>
        </row>
        <row r="656">
          <cell r="D656" t="str">
            <v>CDC-8443</v>
          </cell>
          <cell r="E656">
            <v>73272023</v>
          </cell>
          <cell r="F656">
            <v>9460</v>
          </cell>
          <cell r="G656">
            <v>80686</v>
          </cell>
        </row>
        <row r="657">
          <cell r="D657" t="str">
            <v>CDC-0590</v>
          </cell>
          <cell r="E657">
            <v>73272001</v>
          </cell>
          <cell r="F657">
            <v>9460</v>
          </cell>
          <cell r="G657">
            <v>9461</v>
          </cell>
        </row>
        <row r="658">
          <cell r="D658" t="str">
            <v>CDC-0590</v>
          </cell>
          <cell r="E658">
            <v>73272001</v>
          </cell>
          <cell r="F658">
            <v>9460</v>
          </cell>
          <cell r="G658">
            <v>9461</v>
          </cell>
        </row>
        <row r="659">
          <cell r="D659" t="str">
            <v>CDC-0590</v>
          </cell>
          <cell r="E659">
            <v>73272001</v>
          </cell>
          <cell r="F659">
            <v>9460</v>
          </cell>
          <cell r="G659">
            <v>9461</v>
          </cell>
        </row>
        <row r="660">
          <cell r="D660" t="str">
            <v>CDC-0590</v>
          </cell>
          <cell r="E660">
            <v>73272001</v>
          </cell>
          <cell r="F660">
            <v>9460</v>
          </cell>
          <cell r="G660">
            <v>9461</v>
          </cell>
        </row>
        <row r="661">
          <cell r="D661" t="str">
            <v>CDC-1627</v>
          </cell>
          <cell r="E661">
            <v>73272016</v>
          </cell>
          <cell r="F661">
            <v>9460</v>
          </cell>
          <cell r="G661">
            <v>9473</v>
          </cell>
        </row>
        <row r="662">
          <cell r="D662" t="str">
            <v>CDC-1627</v>
          </cell>
          <cell r="E662">
            <v>73272016</v>
          </cell>
          <cell r="F662">
            <v>9460</v>
          </cell>
          <cell r="G662">
            <v>9473</v>
          </cell>
        </row>
        <row r="663">
          <cell r="D663" t="str">
            <v>CDC-1627</v>
          </cell>
          <cell r="E663">
            <v>73272016</v>
          </cell>
          <cell r="F663">
            <v>9460</v>
          </cell>
          <cell r="G663">
            <v>9473</v>
          </cell>
        </row>
        <row r="664">
          <cell r="D664" t="str">
            <v>CDC-1627</v>
          </cell>
          <cell r="E664">
            <v>73272016</v>
          </cell>
          <cell r="F664">
            <v>9460</v>
          </cell>
          <cell r="G664">
            <v>9473</v>
          </cell>
        </row>
        <row r="665">
          <cell r="D665" t="str">
            <v>CDC-1220</v>
          </cell>
          <cell r="E665">
            <v>73272027</v>
          </cell>
          <cell r="F665">
            <v>9460</v>
          </cell>
          <cell r="G665">
            <v>89716</v>
          </cell>
        </row>
        <row r="666">
          <cell r="D666" t="str">
            <v>CDC-1220</v>
          </cell>
          <cell r="E666">
            <v>73272027</v>
          </cell>
          <cell r="F666">
            <v>9460</v>
          </cell>
          <cell r="G666">
            <v>89716</v>
          </cell>
        </row>
        <row r="667">
          <cell r="D667" t="str">
            <v>CDC-1220</v>
          </cell>
          <cell r="E667">
            <v>73272027</v>
          </cell>
          <cell r="F667">
            <v>9460</v>
          </cell>
          <cell r="G667">
            <v>89716</v>
          </cell>
        </row>
        <row r="668">
          <cell r="D668" t="str">
            <v>CDC-1720</v>
          </cell>
          <cell r="E668">
            <v>73272021</v>
          </cell>
          <cell r="F668">
            <v>9460</v>
          </cell>
          <cell r="G668">
            <v>78738</v>
          </cell>
        </row>
        <row r="669">
          <cell r="D669" t="str">
            <v>CDC-1720</v>
          </cell>
          <cell r="E669">
            <v>73272021</v>
          </cell>
          <cell r="F669">
            <v>9460</v>
          </cell>
          <cell r="G669">
            <v>78738</v>
          </cell>
        </row>
        <row r="670">
          <cell r="D670" t="str">
            <v>CDC-1720</v>
          </cell>
          <cell r="E670">
            <v>73272021</v>
          </cell>
          <cell r="F670">
            <v>9460</v>
          </cell>
          <cell r="G670">
            <v>78738</v>
          </cell>
        </row>
        <row r="671">
          <cell r="D671" t="str">
            <v>CDC-1720</v>
          </cell>
          <cell r="E671">
            <v>73272021</v>
          </cell>
          <cell r="F671">
            <v>9460</v>
          </cell>
          <cell r="G671">
            <v>78738</v>
          </cell>
        </row>
        <row r="672">
          <cell r="D672" t="str">
            <v>CDC-1106</v>
          </cell>
          <cell r="E672">
            <v>73272009</v>
          </cell>
          <cell r="F672">
            <v>9460</v>
          </cell>
          <cell r="G672">
            <v>9469</v>
          </cell>
        </row>
        <row r="673">
          <cell r="D673" t="str">
            <v>CDC-1106</v>
          </cell>
          <cell r="E673">
            <v>73272009</v>
          </cell>
          <cell r="F673">
            <v>9460</v>
          </cell>
          <cell r="G673">
            <v>9469</v>
          </cell>
        </row>
        <row r="674">
          <cell r="D674" t="str">
            <v>CDC-1106</v>
          </cell>
          <cell r="E674">
            <v>73272009</v>
          </cell>
          <cell r="F674">
            <v>9460</v>
          </cell>
          <cell r="G674">
            <v>9469</v>
          </cell>
        </row>
        <row r="675">
          <cell r="D675" t="str">
            <v>CDC-1106</v>
          </cell>
          <cell r="E675">
            <v>73272009</v>
          </cell>
          <cell r="F675">
            <v>9460</v>
          </cell>
          <cell r="G675">
            <v>9469</v>
          </cell>
        </row>
        <row r="676">
          <cell r="D676" t="e">
            <v>#N/A</v>
          </cell>
          <cell r="E676">
            <v>73272018</v>
          </cell>
          <cell r="F676">
            <v>9460</v>
          </cell>
          <cell r="G676">
            <v>9474</v>
          </cell>
        </row>
        <row r="677">
          <cell r="D677" t="e">
            <v>#N/A</v>
          </cell>
          <cell r="E677">
            <v>73272018</v>
          </cell>
          <cell r="F677">
            <v>9460</v>
          </cell>
          <cell r="G677">
            <v>9474</v>
          </cell>
        </row>
        <row r="678">
          <cell r="D678" t="e">
            <v>#N/A</v>
          </cell>
          <cell r="E678">
            <v>73272018</v>
          </cell>
          <cell r="F678">
            <v>9460</v>
          </cell>
          <cell r="G678">
            <v>9474</v>
          </cell>
        </row>
        <row r="679">
          <cell r="D679" t="e">
            <v>#N/A</v>
          </cell>
          <cell r="E679">
            <v>73272018</v>
          </cell>
          <cell r="F679">
            <v>9460</v>
          </cell>
          <cell r="G679">
            <v>9474</v>
          </cell>
        </row>
        <row r="680">
          <cell r="D680" t="e">
            <v>#N/A</v>
          </cell>
          <cell r="E680">
            <v>73272008</v>
          </cell>
          <cell r="F680">
            <v>9460</v>
          </cell>
          <cell r="G680">
            <v>9468</v>
          </cell>
        </row>
        <row r="681">
          <cell r="D681" t="e">
            <v>#N/A</v>
          </cell>
          <cell r="E681">
            <v>73272008</v>
          </cell>
          <cell r="F681">
            <v>9460</v>
          </cell>
          <cell r="G681">
            <v>9468</v>
          </cell>
        </row>
        <row r="682">
          <cell r="D682" t="e">
            <v>#N/A</v>
          </cell>
          <cell r="E682">
            <v>73272008</v>
          </cell>
          <cell r="F682">
            <v>9460</v>
          </cell>
          <cell r="G682">
            <v>9468</v>
          </cell>
        </row>
        <row r="683">
          <cell r="D683" t="e">
            <v>#N/A</v>
          </cell>
          <cell r="E683">
            <v>73272008</v>
          </cell>
          <cell r="F683">
            <v>9460</v>
          </cell>
          <cell r="G683">
            <v>9468</v>
          </cell>
        </row>
        <row r="684">
          <cell r="D684" t="e">
            <v>#N/A</v>
          </cell>
          <cell r="E684">
            <v>73272013</v>
          </cell>
          <cell r="F684">
            <v>9460</v>
          </cell>
          <cell r="G684">
            <v>80672</v>
          </cell>
        </row>
        <row r="685">
          <cell r="D685" t="e">
            <v>#N/A</v>
          </cell>
          <cell r="E685">
            <v>73272013</v>
          </cell>
          <cell r="F685">
            <v>9460</v>
          </cell>
          <cell r="G685">
            <v>80672</v>
          </cell>
        </row>
        <row r="686">
          <cell r="D686" t="e">
            <v>#N/A</v>
          </cell>
          <cell r="E686">
            <v>73272013</v>
          </cell>
          <cell r="F686">
            <v>9460</v>
          </cell>
          <cell r="G686">
            <v>80672</v>
          </cell>
        </row>
        <row r="687">
          <cell r="D687" t="e">
            <v>#N/A</v>
          </cell>
          <cell r="E687">
            <v>73272013</v>
          </cell>
          <cell r="F687">
            <v>9460</v>
          </cell>
          <cell r="G687">
            <v>80672</v>
          </cell>
        </row>
        <row r="688">
          <cell r="D688" t="str">
            <v>CDC-7014</v>
          </cell>
          <cell r="E688">
            <v>73272012</v>
          </cell>
          <cell r="F688">
            <v>9460</v>
          </cell>
          <cell r="G688">
            <v>80671</v>
          </cell>
        </row>
        <row r="689">
          <cell r="D689" t="str">
            <v>CDC-7014</v>
          </cell>
          <cell r="E689">
            <v>73272012</v>
          </cell>
          <cell r="F689">
            <v>9460</v>
          </cell>
          <cell r="G689">
            <v>80671</v>
          </cell>
        </row>
        <row r="690">
          <cell r="D690" t="str">
            <v>CDC-7014</v>
          </cell>
          <cell r="E690">
            <v>73272012</v>
          </cell>
          <cell r="F690">
            <v>9460</v>
          </cell>
          <cell r="G690">
            <v>80671</v>
          </cell>
        </row>
        <row r="691">
          <cell r="D691" t="str">
            <v>CDC-7014</v>
          </cell>
          <cell r="E691">
            <v>73272012</v>
          </cell>
          <cell r="F691">
            <v>9460</v>
          </cell>
          <cell r="G691">
            <v>80671</v>
          </cell>
        </row>
        <row r="692">
          <cell r="D692" t="str">
            <v>CDC-6624</v>
          </cell>
          <cell r="E692">
            <v>73272019</v>
          </cell>
          <cell r="F692">
            <v>9460</v>
          </cell>
          <cell r="G692">
            <v>9475</v>
          </cell>
        </row>
        <row r="693">
          <cell r="D693" t="str">
            <v>CDC-6624</v>
          </cell>
          <cell r="E693">
            <v>73272019</v>
          </cell>
          <cell r="F693">
            <v>9460</v>
          </cell>
          <cell r="G693">
            <v>9475</v>
          </cell>
        </row>
        <row r="694">
          <cell r="D694" t="str">
            <v>CDC-6624</v>
          </cell>
          <cell r="E694">
            <v>73272019</v>
          </cell>
          <cell r="F694">
            <v>9460</v>
          </cell>
          <cell r="G694">
            <v>9475</v>
          </cell>
        </row>
        <row r="695">
          <cell r="D695" t="str">
            <v>CDC-6624</v>
          </cell>
          <cell r="E695">
            <v>73272019</v>
          </cell>
          <cell r="F695">
            <v>9460</v>
          </cell>
          <cell r="G695">
            <v>9475</v>
          </cell>
        </row>
        <row r="696">
          <cell r="D696" t="str">
            <v>CDC-14185</v>
          </cell>
          <cell r="E696">
            <v>73574001</v>
          </cell>
          <cell r="F696">
            <v>90120</v>
          </cell>
          <cell r="G696">
            <v>90121</v>
          </cell>
        </row>
        <row r="697">
          <cell r="D697" t="str">
            <v>CDC-14185</v>
          </cell>
          <cell r="E697">
            <v>73574001</v>
          </cell>
          <cell r="F697">
            <v>90120</v>
          </cell>
          <cell r="G697">
            <v>90121</v>
          </cell>
        </row>
        <row r="698">
          <cell r="D698" t="str">
            <v>CDC-14185</v>
          </cell>
          <cell r="E698">
            <v>73574001</v>
          </cell>
          <cell r="F698">
            <v>90120</v>
          </cell>
          <cell r="G698">
            <v>90121</v>
          </cell>
        </row>
        <row r="699">
          <cell r="D699" t="str">
            <v>CDC-14185</v>
          </cell>
          <cell r="E699">
            <v>73574001</v>
          </cell>
          <cell r="F699">
            <v>90120</v>
          </cell>
          <cell r="G699">
            <v>90121</v>
          </cell>
        </row>
        <row r="700">
          <cell r="D700" t="str">
            <v>CDC-14185</v>
          </cell>
          <cell r="E700">
            <v>73574001</v>
          </cell>
          <cell r="F700">
            <v>90120</v>
          </cell>
          <cell r="G700">
            <v>90121</v>
          </cell>
        </row>
        <row r="701">
          <cell r="D701" t="str">
            <v>CDC-14185</v>
          </cell>
          <cell r="E701">
            <v>73574001</v>
          </cell>
          <cell r="F701">
            <v>90120</v>
          </cell>
          <cell r="G701">
            <v>90121</v>
          </cell>
        </row>
        <row r="702">
          <cell r="D702" t="str">
            <v>CDC-14185</v>
          </cell>
          <cell r="E702">
            <v>73574001</v>
          </cell>
          <cell r="F702">
            <v>90120</v>
          </cell>
          <cell r="G702">
            <v>90121</v>
          </cell>
        </row>
        <row r="703">
          <cell r="D703" t="str">
            <v>CDC-14185</v>
          </cell>
          <cell r="E703">
            <v>73574001</v>
          </cell>
          <cell r="F703">
            <v>90120</v>
          </cell>
          <cell r="G703">
            <v>90121</v>
          </cell>
        </row>
        <row r="704">
          <cell r="D704" t="str">
            <v>CDC-14193</v>
          </cell>
          <cell r="E704">
            <v>73573001</v>
          </cell>
          <cell r="F704">
            <v>90101</v>
          </cell>
          <cell r="G704">
            <v>90102</v>
          </cell>
        </row>
        <row r="705">
          <cell r="D705" t="str">
            <v>CDC-14193</v>
          </cell>
          <cell r="E705">
            <v>73573001</v>
          </cell>
          <cell r="F705">
            <v>90101</v>
          </cell>
          <cell r="G705">
            <v>90102</v>
          </cell>
        </row>
        <row r="706">
          <cell r="D706" t="str">
            <v>CDC-14193</v>
          </cell>
          <cell r="E706">
            <v>73573001</v>
          </cell>
          <cell r="F706">
            <v>90101</v>
          </cell>
          <cell r="G706">
            <v>90102</v>
          </cell>
        </row>
        <row r="707">
          <cell r="D707" t="str">
            <v>CDC-14193</v>
          </cell>
          <cell r="E707">
            <v>73573001</v>
          </cell>
          <cell r="F707">
            <v>90101</v>
          </cell>
          <cell r="G707">
            <v>90102</v>
          </cell>
        </row>
        <row r="708">
          <cell r="D708" t="str">
            <v>CDC-14193</v>
          </cell>
          <cell r="E708">
            <v>73573001</v>
          </cell>
          <cell r="F708">
            <v>90101</v>
          </cell>
          <cell r="G708">
            <v>90102</v>
          </cell>
        </row>
        <row r="709">
          <cell r="D709" t="str">
            <v>CDC-14193</v>
          </cell>
          <cell r="E709">
            <v>73573001</v>
          </cell>
          <cell r="F709">
            <v>90101</v>
          </cell>
          <cell r="G709">
            <v>90102</v>
          </cell>
        </row>
        <row r="710">
          <cell r="D710" t="str">
            <v>CDC-14193</v>
          </cell>
          <cell r="E710">
            <v>73573001</v>
          </cell>
          <cell r="F710">
            <v>90101</v>
          </cell>
          <cell r="G710">
            <v>90102</v>
          </cell>
        </row>
        <row r="711">
          <cell r="D711" t="str">
            <v>CDC-14193</v>
          </cell>
          <cell r="E711">
            <v>73573001</v>
          </cell>
          <cell r="F711">
            <v>90101</v>
          </cell>
          <cell r="G711">
            <v>90102</v>
          </cell>
        </row>
        <row r="712">
          <cell r="D712" t="e">
            <v>#N/A</v>
          </cell>
          <cell r="E712">
            <v>142601001</v>
          </cell>
          <cell r="F712">
            <v>8230</v>
          </cell>
          <cell r="G712">
            <v>10186</v>
          </cell>
        </row>
        <row r="713">
          <cell r="D713" t="e">
            <v>#N/A</v>
          </cell>
          <cell r="E713">
            <v>142601001</v>
          </cell>
          <cell r="F713">
            <v>8230</v>
          </cell>
          <cell r="G713">
            <v>10186</v>
          </cell>
        </row>
        <row r="714">
          <cell r="D714" t="e">
            <v>#N/A</v>
          </cell>
          <cell r="E714">
            <v>142601001</v>
          </cell>
          <cell r="F714">
            <v>8230</v>
          </cell>
          <cell r="G714">
            <v>10186</v>
          </cell>
        </row>
        <row r="715">
          <cell r="D715" t="e">
            <v>#N/A</v>
          </cell>
          <cell r="E715">
            <v>152603001</v>
          </cell>
          <cell r="F715">
            <v>10224</v>
          </cell>
          <cell r="G715">
            <v>10225</v>
          </cell>
        </row>
        <row r="716">
          <cell r="D716" t="e">
            <v>#N/A</v>
          </cell>
          <cell r="E716">
            <v>152603001</v>
          </cell>
          <cell r="F716">
            <v>10224</v>
          </cell>
          <cell r="G716">
            <v>10225</v>
          </cell>
        </row>
        <row r="717">
          <cell r="D717" t="e">
            <v>#N/A</v>
          </cell>
          <cell r="E717">
            <v>152603001</v>
          </cell>
          <cell r="F717">
            <v>10224</v>
          </cell>
          <cell r="G717">
            <v>10225</v>
          </cell>
        </row>
        <row r="718">
          <cell r="D718" t="e">
            <v>#N/A</v>
          </cell>
          <cell r="E718">
            <v>152603001</v>
          </cell>
          <cell r="F718">
            <v>10224</v>
          </cell>
          <cell r="G718">
            <v>10225</v>
          </cell>
        </row>
        <row r="719">
          <cell r="D719" t="e">
            <v>#N/A</v>
          </cell>
          <cell r="E719">
            <v>152603001</v>
          </cell>
          <cell r="F719">
            <v>10224</v>
          </cell>
          <cell r="G719">
            <v>10225</v>
          </cell>
        </row>
        <row r="720">
          <cell r="D720" t="e">
            <v>#N/A</v>
          </cell>
          <cell r="E720">
            <v>152603001</v>
          </cell>
          <cell r="F720">
            <v>10224</v>
          </cell>
          <cell r="G720">
            <v>10225</v>
          </cell>
        </row>
        <row r="721">
          <cell r="D721" t="str">
            <v>CDC-15578</v>
          </cell>
          <cell r="E721">
            <v>103225001</v>
          </cell>
          <cell r="F721">
            <v>91297</v>
          </cell>
          <cell r="G721">
            <v>91298</v>
          </cell>
        </row>
        <row r="722">
          <cell r="D722" t="str">
            <v>CDC-15578</v>
          </cell>
          <cell r="E722">
            <v>103225001</v>
          </cell>
          <cell r="F722">
            <v>91297</v>
          </cell>
          <cell r="G722">
            <v>91298</v>
          </cell>
        </row>
        <row r="723">
          <cell r="D723" t="str">
            <v>CDC-15578</v>
          </cell>
          <cell r="E723">
            <v>103225001</v>
          </cell>
          <cell r="F723">
            <v>91297</v>
          </cell>
          <cell r="G723">
            <v>91298</v>
          </cell>
        </row>
        <row r="724">
          <cell r="D724" t="str">
            <v>CDC-15578</v>
          </cell>
          <cell r="E724">
            <v>103225001</v>
          </cell>
          <cell r="F724">
            <v>91297</v>
          </cell>
          <cell r="G724">
            <v>91298</v>
          </cell>
        </row>
        <row r="725">
          <cell r="D725" t="str">
            <v>CDC-15578</v>
          </cell>
          <cell r="E725">
            <v>103225001</v>
          </cell>
          <cell r="F725">
            <v>91297</v>
          </cell>
          <cell r="G725">
            <v>91298</v>
          </cell>
        </row>
        <row r="726">
          <cell r="D726" t="str">
            <v>CDC-15578</v>
          </cell>
          <cell r="E726">
            <v>103225001</v>
          </cell>
          <cell r="F726">
            <v>91297</v>
          </cell>
          <cell r="G726">
            <v>91298</v>
          </cell>
        </row>
        <row r="727">
          <cell r="D727" t="str">
            <v>CDC-5460</v>
          </cell>
          <cell r="E727">
            <v>103077001</v>
          </cell>
          <cell r="F727">
            <v>9970</v>
          </cell>
          <cell r="G727">
            <v>9971</v>
          </cell>
        </row>
        <row r="728">
          <cell r="D728" t="str">
            <v>CDC-5460</v>
          </cell>
          <cell r="E728">
            <v>103077001</v>
          </cell>
          <cell r="F728">
            <v>9970</v>
          </cell>
          <cell r="G728">
            <v>9971</v>
          </cell>
        </row>
        <row r="729">
          <cell r="D729" t="str">
            <v>CDC-5460</v>
          </cell>
          <cell r="E729">
            <v>103077001</v>
          </cell>
          <cell r="F729">
            <v>9970</v>
          </cell>
          <cell r="G729">
            <v>9971</v>
          </cell>
        </row>
        <row r="730">
          <cell r="D730" t="str">
            <v>CDC-5460</v>
          </cell>
          <cell r="E730">
            <v>103077001</v>
          </cell>
          <cell r="F730">
            <v>9970</v>
          </cell>
          <cell r="G730">
            <v>9971</v>
          </cell>
        </row>
        <row r="731">
          <cell r="D731" t="str">
            <v>CDC-13636</v>
          </cell>
          <cell r="E731">
            <v>73287001</v>
          </cell>
          <cell r="F731">
            <v>9522</v>
          </cell>
          <cell r="G731">
            <v>9523</v>
          </cell>
        </row>
        <row r="732">
          <cell r="D732" t="str">
            <v>CDC-13636</v>
          </cell>
          <cell r="E732">
            <v>73287001</v>
          </cell>
          <cell r="F732">
            <v>9522</v>
          </cell>
          <cell r="G732">
            <v>9523</v>
          </cell>
        </row>
        <row r="733">
          <cell r="D733" t="str">
            <v>CDC-13636</v>
          </cell>
          <cell r="E733">
            <v>73287001</v>
          </cell>
          <cell r="F733">
            <v>9522</v>
          </cell>
          <cell r="G733">
            <v>9523</v>
          </cell>
        </row>
        <row r="734">
          <cell r="D734" t="str">
            <v>CDC-13636</v>
          </cell>
          <cell r="E734">
            <v>73287001</v>
          </cell>
          <cell r="F734">
            <v>9522</v>
          </cell>
          <cell r="G734">
            <v>9523</v>
          </cell>
        </row>
        <row r="735">
          <cell r="D735" t="str">
            <v>CDC-13636</v>
          </cell>
          <cell r="E735">
            <v>73287001</v>
          </cell>
          <cell r="F735">
            <v>9522</v>
          </cell>
          <cell r="G735">
            <v>9523</v>
          </cell>
        </row>
        <row r="736">
          <cell r="D736" t="str">
            <v>CDC-13636</v>
          </cell>
          <cell r="E736">
            <v>73287001</v>
          </cell>
          <cell r="F736">
            <v>9522</v>
          </cell>
          <cell r="G736">
            <v>9523</v>
          </cell>
        </row>
        <row r="737">
          <cell r="D737" t="str">
            <v>CDC-8379</v>
          </cell>
          <cell r="E737">
            <v>103101004</v>
          </cell>
          <cell r="F737">
            <v>10028</v>
          </cell>
          <cell r="G737">
            <v>80548</v>
          </cell>
        </row>
        <row r="738">
          <cell r="D738" t="str">
            <v>CDC-8379</v>
          </cell>
          <cell r="E738">
            <v>103101004</v>
          </cell>
          <cell r="F738">
            <v>10028</v>
          </cell>
          <cell r="G738">
            <v>80548</v>
          </cell>
        </row>
        <row r="739">
          <cell r="D739" t="str">
            <v>CDC-8379</v>
          </cell>
          <cell r="E739">
            <v>103101004</v>
          </cell>
          <cell r="F739">
            <v>10028</v>
          </cell>
          <cell r="G739">
            <v>80548</v>
          </cell>
        </row>
        <row r="740">
          <cell r="D740" t="str">
            <v>CDC-8379</v>
          </cell>
          <cell r="E740">
            <v>103101004</v>
          </cell>
          <cell r="F740">
            <v>10028</v>
          </cell>
          <cell r="G740">
            <v>80548</v>
          </cell>
        </row>
        <row r="741">
          <cell r="D741" t="str">
            <v>CDC-9483</v>
          </cell>
          <cell r="E741">
            <v>103101005</v>
          </cell>
          <cell r="F741">
            <v>10028</v>
          </cell>
          <cell r="G741">
            <v>80549</v>
          </cell>
        </row>
        <row r="742">
          <cell r="D742" t="str">
            <v>CDC-9483</v>
          </cell>
          <cell r="E742">
            <v>103101005</v>
          </cell>
          <cell r="F742">
            <v>10028</v>
          </cell>
          <cell r="G742">
            <v>80549</v>
          </cell>
        </row>
        <row r="743">
          <cell r="D743" t="str">
            <v>CDC-9483</v>
          </cell>
          <cell r="E743">
            <v>103101005</v>
          </cell>
          <cell r="F743">
            <v>10028</v>
          </cell>
          <cell r="G743">
            <v>80549</v>
          </cell>
        </row>
        <row r="744">
          <cell r="D744" t="str">
            <v>CDC-9483</v>
          </cell>
          <cell r="E744">
            <v>103101005</v>
          </cell>
          <cell r="F744">
            <v>10028</v>
          </cell>
          <cell r="G744">
            <v>80549</v>
          </cell>
        </row>
        <row r="745">
          <cell r="D745" t="str">
            <v>CDC-1928</v>
          </cell>
          <cell r="E745">
            <v>103101001</v>
          </cell>
          <cell r="F745">
            <v>10028</v>
          </cell>
          <cell r="G745">
            <v>10029</v>
          </cell>
        </row>
        <row r="746">
          <cell r="D746" t="str">
            <v>CDC-1928</v>
          </cell>
          <cell r="E746">
            <v>103101001</v>
          </cell>
          <cell r="F746">
            <v>10028</v>
          </cell>
          <cell r="G746">
            <v>10029</v>
          </cell>
        </row>
        <row r="747">
          <cell r="D747" t="str">
            <v>CDC-1928</v>
          </cell>
          <cell r="E747">
            <v>103101001</v>
          </cell>
          <cell r="F747">
            <v>10028</v>
          </cell>
          <cell r="G747">
            <v>10029</v>
          </cell>
        </row>
        <row r="748">
          <cell r="D748" t="str">
            <v>CDC-1928</v>
          </cell>
          <cell r="E748">
            <v>103101001</v>
          </cell>
          <cell r="F748">
            <v>10028</v>
          </cell>
          <cell r="G748">
            <v>10029</v>
          </cell>
        </row>
        <row r="749">
          <cell r="D749" t="str">
            <v>CDC-3164</v>
          </cell>
          <cell r="E749">
            <v>103101002</v>
          </cell>
          <cell r="F749">
            <v>10028</v>
          </cell>
          <cell r="G749">
            <v>10030</v>
          </cell>
        </row>
        <row r="750">
          <cell r="D750" t="str">
            <v>CDC-3164</v>
          </cell>
          <cell r="E750">
            <v>103101002</v>
          </cell>
          <cell r="F750">
            <v>10028</v>
          </cell>
          <cell r="G750">
            <v>10030</v>
          </cell>
        </row>
        <row r="751">
          <cell r="D751" t="str">
            <v>CDC-3164</v>
          </cell>
          <cell r="E751">
            <v>103101002</v>
          </cell>
          <cell r="F751">
            <v>10028</v>
          </cell>
          <cell r="G751">
            <v>10030</v>
          </cell>
        </row>
        <row r="752">
          <cell r="D752" t="str">
            <v>CDC-3164</v>
          </cell>
          <cell r="E752">
            <v>103101002</v>
          </cell>
          <cell r="F752">
            <v>10028</v>
          </cell>
          <cell r="G752">
            <v>10030</v>
          </cell>
        </row>
        <row r="753">
          <cell r="D753" t="str">
            <v>CDC-8140</v>
          </cell>
          <cell r="E753">
            <v>103101003</v>
          </cell>
          <cell r="F753">
            <v>10028</v>
          </cell>
          <cell r="G753">
            <v>78762</v>
          </cell>
        </row>
        <row r="754">
          <cell r="D754" t="str">
            <v>CDC-8140</v>
          </cell>
          <cell r="E754">
            <v>103101003</v>
          </cell>
          <cell r="F754">
            <v>10028</v>
          </cell>
          <cell r="G754">
            <v>78762</v>
          </cell>
        </row>
        <row r="755">
          <cell r="D755" t="str">
            <v>CDC-8140</v>
          </cell>
          <cell r="E755">
            <v>103101003</v>
          </cell>
          <cell r="F755">
            <v>10028</v>
          </cell>
          <cell r="G755">
            <v>78762</v>
          </cell>
        </row>
        <row r="756">
          <cell r="D756" t="str">
            <v>CDC-8140</v>
          </cell>
          <cell r="E756">
            <v>103101003</v>
          </cell>
          <cell r="F756">
            <v>10028</v>
          </cell>
          <cell r="G756">
            <v>78762</v>
          </cell>
        </row>
        <row r="757">
          <cell r="D757" t="str">
            <v>CDC-13970</v>
          </cell>
          <cell r="E757">
            <v>102264001</v>
          </cell>
          <cell r="F757">
            <v>87064</v>
          </cell>
          <cell r="G757">
            <v>87065</v>
          </cell>
        </row>
        <row r="758">
          <cell r="D758" t="str">
            <v>CDC-13970</v>
          </cell>
          <cell r="E758">
            <v>102264001</v>
          </cell>
          <cell r="F758">
            <v>87064</v>
          </cell>
          <cell r="G758">
            <v>87065</v>
          </cell>
        </row>
        <row r="759">
          <cell r="D759" t="str">
            <v>CDC-13970</v>
          </cell>
          <cell r="E759">
            <v>102264001</v>
          </cell>
          <cell r="F759">
            <v>87064</v>
          </cell>
          <cell r="G759">
            <v>87065</v>
          </cell>
        </row>
        <row r="760">
          <cell r="D760" t="str">
            <v>CDC-13970</v>
          </cell>
          <cell r="E760">
            <v>102264001</v>
          </cell>
          <cell r="F760">
            <v>87064</v>
          </cell>
          <cell r="G760">
            <v>87065</v>
          </cell>
        </row>
        <row r="761">
          <cell r="D761" t="str">
            <v>CDC-13970</v>
          </cell>
          <cell r="E761">
            <v>102264001</v>
          </cell>
          <cell r="F761">
            <v>87064</v>
          </cell>
          <cell r="G761">
            <v>87065</v>
          </cell>
        </row>
        <row r="762">
          <cell r="D762" t="str">
            <v>CDC-13970</v>
          </cell>
          <cell r="E762">
            <v>102264001</v>
          </cell>
          <cell r="F762">
            <v>87064</v>
          </cell>
          <cell r="G762">
            <v>87065</v>
          </cell>
        </row>
        <row r="763">
          <cell r="D763" t="e">
            <v>#N/A</v>
          </cell>
          <cell r="E763">
            <v>102241001</v>
          </cell>
          <cell r="F763">
            <v>9760</v>
          </cell>
          <cell r="G763">
            <v>9761</v>
          </cell>
        </row>
        <row r="764">
          <cell r="D764" t="e">
            <v>#N/A</v>
          </cell>
          <cell r="E764">
            <v>102241001</v>
          </cell>
          <cell r="F764">
            <v>9760</v>
          </cell>
          <cell r="G764">
            <v>9761</v>
          </cell>
        </row>
        <row r="765">
          <cell r="D765" t="e">
            <v>#N/A</v>
          </cell>
          <cell r="E765">
            <v>102241001</v>
          </cell>
          <cell r="F765">
            <v>9760</v>
          </cell>
          <cell r="G765">
            <v>9761</v>
          </cell>
        </row>
        <row r="766">
          <cell r="D766" t="e">
            <v>#N/A</v>
          </cell>
          <cell r="E766">
            <v>102241003</v>
          </cell>
          <cell r="F766">
            <v>9760</v>
          </cell>
          <cell r="G766">
            <v>84668</v>
          </cell>
        </row>
        <row r="767">
          <cell r="D767" t="e">
            <v>#N/A</v>
          </cell>
          <cell r="E767">
            <v>102241003</v>
          </cell>
          <cell r="F767">
            <v>9760</v>
          </cell>
          <cell r="G767">
            <v>84668</v>
          </cell>
        </row>
        <row r="768">
          <cell r="D768" t="e">
            <v>#N/A</v>
          </cell>
          <cell r="E768">
            <v>102241003</v>
          </cell>
          <cell r="F768">
            <v>9760</v>
          </cell>
          <cell r="G768">
            <v>84668</v>
          </cell>
        </row>
        <row r="769">
          <cell r="D769" t="e">
            <v>#N/A</v>
          </cell>
          <cell r="E769">
            <v>102241002</v>
          </cell>
          <cell r="F769">
            <v>9760</v>
          </cell>
          <cell r="G769">
            <v>9762</v>
          </cell>
        </row>
        <row r="770">
          <cell r="D770" t="e">
            <v>#N/A</v>
          </cell>
          <cell r="E770">
            <v>102241002</v>
          </cell>
          <cell r="F770">
            <v>9760</v>
          </cell>
          <cell r="G770">
            <v>9762</v>
          </cell>
        </row>
        <row r="771">
          <cell r="D771" t="e">
            <v>#N/A</v>
          </cell>
          <cell r="E771">
            <v>102241002</v>
          </cell>
          <cell r="F771">
            <v>9760</v>
          </cell>
          <cell r="G771">
            <v>9762</v>
          </cell>
        </row>
        <row r="772">
          <cell r="D772" t="str">
            <v>CDC-16800</v>
          </cell>
          <cell r="E772">
            <v>103150001</v>
          </cell>
          <cell r="F772">
            <v>92622</v>
          </cell>
          <cell r="G772">
            <v>92623</v>
          </cell>
        </row>
        <row r="773">
          <cell r="D773" t="str">
            <v>CDC-16800</v>
          </cell>
          <cell r="E773">
            <v>103150001</v>
          </cell>
          <cell r="F773">
            <v>92622</v>
          </cell>
          <cell r="G773">
            <v>92623</v>
          </cell>
        </row>
        <row r="774">
          <cell r="D774" t="str">
            <v>CDC-16800</v>
          </cell>
          <cell r="E774">
            <v>103150001</v>
          </cell>
          <cell r="F774">
            <v>92622</v>
          </cell>
          <cell r="G774">
            <v>92623</v>
          </cell>
        </row>
        <row r="775">
          <cell r="D775" t="str">
            <v>CDC-16800</v>
          </cell>
          <cell r="E775">
            <v>103150001</v>
          </cell>
          <cell r="F775">
            <v>92622</v>
          </cell>
          <cell r="G775">
            <v>92623</v>
          </cell>
        </row>
        <row r="776">
          <cell r="D776" t="str">
            <v>CDC-16800</v>
          </cell>
          <cell r="E776">
            <v>103150001</v>
          </cell>
          <cell r="F776">
            <v>92622</v>
          </cell>
          <cell r="G776">
            <v>92623</v>
          </cell>
        </row>
        <row r="777">
          <cell r="D777" t="str">
            <v>CDC-16800</v>
          </cell>
          <cell r="E777">
            <v>103150001</v>
          </cell>
          <cell r="F777">
            <v>92622</v>
          </cell>
          <cell r="G777">
            <v>92623</v>
          </cell>
        </row>
        <row r="778">
          <cell r="D778" t="str">
            <v>CDC-16800</v>
          </cell>
          <cell r="E778">
            <v>103150001</v>
          </cell>
          <cell r="F778">
            <v>92622</v>
          </cell>
          <cell r="G778">
            <v>92623</v>
          </cell>
        </row>
        <row r="779">
          <cell r="D779" t="str">
            <v>CDC-16800</v>
          </cell>
          <cell r="E779">
            <v>103150001</v>
          </cell>
          <cell r="F779">
            <v>92622</v>
          </cell>
          <cell r="G779">
            <v>92623</v>
          </cell>
        </row>
        <row r="780">
          <cell r="D780" t="str">
            <v>CDC-16800</v>
          </cell>
          <cell r="E780">
            <v>103150001</v>
          </cell>
          <cell r="F780">
            <v>92622</v>
          </cell>
          <cell r="G780">
            <v>92623</v>
          </cell>
        </row>
        <row r="781">
          <cell r="D781" t="str">
            <v>CDC-16800</v>
          </cell>
          <cell r="E781">
            <v>103150001</v>
          </cell>
          <cell r="F781">
            <v>92622</v>
          </cell>
          <cell r="G781">
            <v>92623</v>
          </cell>
        </row>
        <row r="782">
          <cell r="D782" t="str">
            <v>CDC-8368</v>
          </cell>
          <cell r="E782">
            <v>73439001</v>
          </cell>
          <cell r="F782">
            <v>80645</v>
          </cell>
          <cell r="G782">
            <v>80646</v>
          </cell>
        </row>
        <row r="783">
          <cell r="D783" t="str">
            <v>CDC-8368</v>
          </cell>
          <cell r="E783">
            <v>73439001</v>
          </cell>
          <cell r="F783">
            <v>80645</v>
          </cell>
          <cell r="G783">
            <v>80646</v>
          </cell>
        </row>
        <row r="784">
          <cell r="D784" t="str">
            <v>CDC-8368</v>
          </cell>
          <cell r="E784">
            <v>73439001</v>
          </cell>
          <cell r="F784">
            <v>80645</v>
          </cell>
          <cell r="G784">
            <v>80646</v>
          </cell>
        </row>
        <row r="785">
          <cell r="D785" t="str">
            <v>CDC-8368</v>
          </cell>
          <cell r="E785">
            <v>73439001</v>
          </cell>
          <cell r="F785">
            <v>80645</v>
          </cell>
          <cell r="G785">
            <v>80646</v>
          </cell>
        </row>
        <row r="786">
          <cell r="D786" t="str">
            <v>CDC-8368</v>
          </cell>
          <cell r="E786">
            <v>73439001</v>
          </cell>
          <cell r="F786">
            <v>80645</v>
          </cell>
          <cell r="G786">
            <v>80646</v>
          </cell>
        </row>
        <row r="787">
          <cell r="D787" t="str">
            <v>CDC-8368</v>
          </cell>
          <cell r="E787">
            <v>73439001</v>
          </cell>
          <cell r="F787">
            <v>80645</v>
          </cell>
          <cell r="G787">
            <v>80646</v>
          </cell>
        </row>
        <row r="788">
          <cell r="D788" t="str">
            <v>CDC-8368</v>
          </cell>
          <cell r="E788">
            <v>73439001</v>
          </cell>
          <cell r="F788">
            <v>80645</v>
          </cell>
          <cell r="G788">
            <v>80646</v>
          </cell>
        </row>
        <row r="789">
          <cell r="D789" t="str">
            <v>CDC-8368</v>
          </cell>
          <cell r="E789">
            <v>73439001</v>
          </cell>
          <cell r="F789">
            <v>80645</v>
          </cell>
          <cell r="G789">
            <v>80646</v>
          </cell>
        </row>
        <row r="790">
          <cell r="D790" t="str">
            <v>CDC-0238</v>
          </cell>
          <cell r="E790">
            <v>103066001</v>
          </cell>
          <cell r="F790">
            <v>9948</v>
          </cell>
          <cell r="G790">
            <v>9949</v>
          </cell>
        </row>
        <row r="791">
          <cell r="D791" t="str">
            <v>CDC-0238</v>
          </cell>
          <cell r="E791">
            <v>103066001</v>
          </cell>
          <cell r="F791">
            <v>9948</v>
          </cell>
          <cell r="G791">
            <v>9949</v>
          </cell>
        </row>
        <row r="792">
          <cell r="D792" t="str">
            <v>CDC-0238</v>
          </cell>
          <cell r="E792">
            <v>103066001</v>
          </cell>
          <cell r="F792">
            <v>9948</v>
          </cell>
          <cell r="G792">
            <v>9949</v>
          </cell>
        </row>
        <row r="793">
          <cell r="D793" t="str">
            <v>CDC-0238</v>
          </cell>
          <cell r="E793">
            <v>103066001</v>
          </cell>
          <cell r="F793">
            <v>9948</v>
          </cell>
          <cell r="G793">
            <v>9949</v>
          </cell>
        </row>
        <row r="794">
          <cell r="D794" t="str">
            <v>CDC-0238</v>
          </cell>
          <cell r="E794">
            <v>103066001</v>
          </cell>
          <cell r="F794">
            <v>9948</v>
          </cell>
          <cell r="G794">
            <v>9949</v>
          </cell>
        </row>
        <row r="795">
          <cell r="D795" t="str">
            <v>CDC-0238</v>
          </cell>
          <cell r="E795">
            <v>103066001</v>
          </cell>
          <cell r="F795">
            <v>9948</v>
          </cell>
          <cell r="G795">
            <v>9949</v>
          </cell>
        </row>
        <row r="796">
          <cell r="D796" t="str">
            <v>CDC-3410</v>
          </cell>
          <cell r="E796">
            <v>73040001</v>
          </cell>
          <cell r="F796">
            <v>9044</v>
          </cell>
          <cell r="G796">
            <v>9045</v>
          </cell>
        </row>
        <row r="797">
          <cell r="D797" t="str">
            <v>CDC-3410</v>
          </cell>
          <cell r="E797">
            <v>73040001</v>
          </cell>
          <cell r="F797">
            <v>9044</v>
          </cell>
          <cell r="G797">
            <v>9045</v>
          </cell>
        </row>
        <row r="798">
          <cell r="D798" t="str">
            <v>CDC-3410</v>
          </cell>
          <cell r="E798">
            <v>73040001</v>
          </cell>
          <cell r="F798">
            <v>9044</v>
          </cell>
          <cell r="G798">
            <v>9045</v>
          </cell>
        </row>
        <row r="799">
          <cell r="D799" t="str">
            <v>CDC-3410</v>
          </cell>
          <cell r="E799">
            <v>73040001</v>
          </cell>
          <cell r="F799">
            <v>9044</v>
          </cell>
          <cell r="G799">
            <v>9045</v>
          </cell>
        </row>
        <row r="800">
          <cell r="D800" t="str">
            <v>CDC-3410</v>
          </cell>
          <cell r="E800">
            <v>73040001</v>
          </cell>
          <cell r="F800">
            <v>9044</v>
          </cell>
          <cell r="G800">
            <v>9045</v>
          </cell>
        </row>
        <row r="801">
          <cell r="D801" t="str">
            <v>CDC-3410</v>
          </cell>
          <cell r="E801">
            <v>73040001</v>
          </cell>
          <cell r="F801">
            <v>9044</v>
          </cell>
          <cell r="G801">
            <v>9045</v>
          </cell>
        </row>
        <row r="802">
          <cell r="D802" t="str">
            <v>CDC-3410</v>
          </cell>
          <cell r="E802">
            <v>73040001</v>
          </cell>
          <cell r="F802">
            <v>9044</v>
          </cell>
          <cell r="G802">
            <v>9045</v>
          </cell>
        </row>
        <row r="803">
          <cell r="D803" t="str">
            <v>CDC-3410</v>
          </cell>
          <cell r="E803">
            <v>73040001</v>
          </cell>
          <cell r="F803">
            <v>9044</v>
          </cell>
          <cell r="G803">
            <v>9045</v>
          </cell>
        </row>
        <row r="804">
          <cell r="D804" t="str">
            <v>CDC-3410</v>
          </cell>
          <cell r="E804">
            <v>73040001</v>
          </cell>
          <cell r="F804">
            <v>9044</v>
          </cell>
          <cell r="G804">
            <v>9045</v>
          </cell>
        </row>
        <row r="805">
          <cell r="D805" t="str">
            <v>CDC-3410</v>
          </cell>
          <cell r="E805">
            <v>73040001</v>
          </cell>
          <cell r="F805">
            <v>9044</v>
          </cell>
          <cell r="G805">
            <v>9045</v>
          </cell>
        </row>
        <row r="806">
          <cell r="D806" t="str">
            <v>CDC-7774</v>
          </cell>
          <cell r="E806">
            <v>73336001</v>
          </cell>
          <cell r="F806">
            <v>921719</v>
          </cell>
          <cell r="G806">
            <v>80519</v>
          </cell>
        </row>
        <row r="807">
          <cell r="D807" t="str">
            <v>CDC-7774</v>
          </cell>
          <cell r="E807">
            <v>73336001</v>
          </cell>
          <cell r="F807">
            <v>921719</v>
          </cell>
          <cell r="G807">
            <v>80519</v>
          </cell>
        </row>
        <row r="808">
          <cell r="D808" t="str">
            <v>CDC-7774</v>
          </cell>
          <cell r="E808">
            <v>73336001</v>
          </cell>
          <cell r="F808">
            <v>921719</v>
          </cell>
          <cell r="G808">
            <v>80519</v>
          </cell>
        </row>
        <row r="809">
          <cell r="D809" t="str">
            <v>CDC-7774</v>
          </cell>
          <cell r="E809">
            <v>73336001</v>
          </cell>
          <cell r="F809">
            <v>921719</v>
          </cell>
          <cell r="G809">
            <v>80519</v>
          </cell>
        </row>
        <row r="810">
          <cell r="D810" t="str">
            <v>CDC-7774</v>
          </cell>
          <cell r="E810">
            <v>73336001</v>
          </cell>
          <cell r="F810">
            <v>921719</v>
          </cell>
          <cell r="G810">
            <v>80519</v>
          </cell>
        </row>
        <row r="811">
          <cell r="D811" t="str">
            <v>CDC-7774</v>
          </cell>
          <cell r="E811">
            <v>73336001</v>
          </cell>
          <cell r="F811">
            <v>921719</v>
          </cell>
          <cell r="G811">
            <v>80519</v>
          </cell>
        </row>
        <row r="812">
          <cell r="D812" t="str">
            <v>CDC-7774</v>
          </cell>
          <cell r="E812">
            <v>73336001</v>
          </cell>
          <cell r="F812">
            <v>921719</v>
          </cell>
          <cell r="G812">
            <v>80519</v>
          </cell>
        </row>
        <row r="813">
          <cell r="D813" t="str">
            <v>CDC-7774</v>
          </cell>
          <cell r="E813">
            <v>73336001</v>
          </cell>
          <cell r="F813">
            <v>921719</v>
          </cell>
          <cell r="G813">
            <v>80519</v>
          </cell>
        </row>
        <row r="814">
          <cell r="D814" t="str">
            <v>CDC-7774</v>
          </cell>
          <cell r="E814">
            <v>73336001</v>
          </cell>
          <cell r="F814">
            <v>921719</v>
          </cell>
          <cell r="G814">
            <v>80519</v>
          </cell>
        </row>
        <row r="815">
          <cell r="D815" t="str">
            <v>CDC-7774</v>
          </cell>
          <cell r="E815">
            <v>73336001</v>
          </cell>
          <cell r="F815">
            <v>921719</v>
          </cell>
          <cell r="G815">
            <v>80519</v>
          </cell>
        </row>
        <row r="816">
          <cell r="D816" t="str">
            <v>CDC-8494</v>
          </cell>
          <cell r="E816">
            <v>102218001</v>
          </cell>
          <cell r="F816">
            <v>9739</v>
          </cell>
          <cell r="G816">
            <v>9740</v>
          </cell>
        </row>
        <row r="817">
          <cell r="D817" t="str">
            <v>CDC-8494</v>
          </cell>
          <cell r="E817">
            <v>102218001</v>
          </cell>
          <cell r="F817">
            <v>9739</v>
          </cell>
          <cell r="G817">
            <v>9740</v>
          </cell>
        </row>
        <row r="818">
          <cell r="D818" t="str">
            <v>CDC-8494</v>
          </cell>
          <cell r="E818">
            <v>102218001</v>
          </cell>
          <cell r="F818">
            <v>9739</v>
          </cell>
          <cell r="G818">
            <v>9740</v>
          </cell>
        </row>
        <row r="819">
          <cell r="D819" t="str">
            <v>CDC-8494</v>
          </cell>
          <cell r="E819">
            <v>102218001</v>
          </cell>
          <cell r="F819">
            <v>9739</v>
          </cell>
          <cell r="G819">
            <v>9740</v>
          </cell>
        </row>
        <row r="820">
          <cell r="D820" t="str">
            <v>CDC-8494</v>
          </cell>
          <cell r="E820">
            <v>102218001</v>
          </cell>
          <cell r="F820">
            <v>9739</v>
          </cell>
          <cell r="G820">
            <v>9740</v>
          </cell>
        </row>
        <row r="821">
          <cell r="D821" t="str">
            <v>CDC-8494</v>
          </cell>
          <cell r="E821">
            <v>102218001</v>
          </cell>
          <cell r="F821">
            <v>9739</v>
          </cell>
          <cell r="G821">
            <v>9740</v>
          </cell>
        </row>
        <row r="822">
          <cell r="D822" t="str">
            <v>CDC-9344</v>
          </cell>
          <cell r="E822">
            <v>102218002</v>
          </cell>
          <cell r="F822">
            <v>9739</v>
          </cell>
          <cell r="G822">
            <v>80523</v>
          </cell>
        </row>
        <row r="823">
          <cell r="D823" t="str">
            <v>CDC-9344</v>
          </cell>
          <cell r="E823">
            <v>102218002</v>
          </cell>
          <cell r="F823">
            <v>9739</v>
          </cell>
          <cell r="G823">
            <v>80523</v>
          </cell>
        </row>
        <row r="824">
          <cell r="D824" t="str">
            <v>CDC-9344</v>
          </cell>
          <cell r="E824">
            <v>102218002</v>
          </cell>
          <cell r="F824">
            <v>9739</v>
          </cell>
          <cell r="G824">
            <v>80523</v>
          </cell>
        </row>
        <row r="825">
          <cell r="D825" t="str">
            <v>CDC-9344</v>
          </cell>
          <cell r="E825">
            <v>102218002</v>
          </cell>
          <cell r="F825">
            <v>9739</v>
          </cell>
          <cell r="G825">
            <v>80523</v>
          </cell>
        </row>
        <row r="826">
          <cell r="D826" t="str">
            <v>CDC-9344</v>
          </cell>
          <cell r="E826">
            <v>102218002</v>
          </cell>
          <cell r="F826">
            <v>9739</v>
          </cell>
          <cell r="G826">
            <v>80523</v>
          </cell>
        </row>
        <row r="827">
          <cell r="D827" t="str">
            <v>CDC-9344</v>
          </cell>
          <cell r="E827">
            <v>102218002</v>
          </cell>
          <cell r="F827">
            <v>9739</v>
          </cell>
          <cell r="G827">
            <v>80523</v>
          </cell>
        </row>
        <row r="828">
          <cell r="D828" t="str">
            <v>CDC-18883</v>
          </cell>
          <cell r="E828">
            <v>142209001</v>
          </cell>
          <cell r="F828">
            <v>92799</v>
          </cell>
          <cell r="G828">
            <v>92800</v>
          </cell>
        </row>
        <row r="829">
          <cell r="D829" t="str">
            <v>CDC-18883</v>
          </cell>
          <cell r="E829">
            <v>142209001</v>
          </cell>
          <cell r="F829">
            <v>92799</v>
          </cell>
          <cell r="G829">
            <v>92800</v>
          </cell>
        </row>
        <row r="830">
          <cell r="D830" t="str">
            <v>CDC-18883</v>
          </cell>
          <cell r="E830">
            <v>142209001</v>
          </cell>
          <cell r="F830">
            <v>92799</v>
          </cell>
          <cell r="G830">
            <v>92800</v>
          </cell>
        </row>
        <row r="831">
          <cell r="D831" t="str">
            <v>CDC-18883</v>
          </cell>
          <cell r="E831">
            <v>142209001</v>
          </cell>
          <cell r="F831">
            <v>92799</v>
          </cell>
          <cell r="G831">
            <v>92800</v>
          </cell>
        </row>
        <row r="832">
          <cell r="D832" t="str">
            <v>CDC-18883</v>
          </cell>
          <cell r="E832">
            <v>142209001</v>
          </cell>
          <cell r="F832">
            <v>92799</v>
          </cell>
          <cell r="G832">
            <v>92800</v>
          </cell>
        </row>
        <row r="833">
          <cell r="D833" t="str">
            <v>CDC-18883</v>
          </cell>
          <cell r="E833">
            <v>142209001</v>
          </cell>
          <cell r="F833">
            <v>92799</v>
          </cell>
          <cell r="G833">
            <v>92800</v>
          </cell>
        </row>
        <row r="834">
          <cell r="D834" t="str">
            <v>CDC-14909</v>
          </cell>
          <cell r="E834">
            <v>72445001</v>
          </cell>
          <cell r="F834">
            <v>91235</v>
          </cell>
          <cell r="G834">
            <v>91236</v>
          </cell>
        </row>
        <row r="835">
          <cell r="D835" t="str">
            <v>CDC-14909</v>
          </cell>
          <cell r="E835">
            <v>72445001</v>
          </cell>
          <cell r="F835">
            <v>91235</v>
          </cell>
          <cell r="G835">
            <v>91236</v>
          </cell>
        </row>
        <row r="836">
          <cell r="D836" t="str">
            <v>CDC-14909</v>
          </cell>
          <cell r="E836">
            <v>72445001</v>
          </cell>
          <cell r="F836">
            <v>91235</v>
          </cell>
          <cell r="G836">
            <v>91236</v>
          </cell>
        </row>
        <row r="837">
          <cell r="D837" t="str">
            <v>CDC-14909</v>
          </cell>
          <cell r="E837">
            <v>72445001</v>
          </cell>
          <cell r="F837">
            <v>91235</v>
          </cell>
          <cell r="G837">
            <v>91236</v>
          </cell>
        </row>
        <row r="838">
          <cell r="D838" t="str">
            <v>CDC-14909</v>
          </cell>
          <cell r="E838">
            <v>72445001</v>
          </cell>
          <cell r="F838">
            <v>91235</v>
          </cell>
          <cell r="G838">
            <v>91236</v>
          </cell>
        </row>
        <row r="839">
          <cell r="D839" t="str">
            <v>CDC-14909</v>
          </cell>
          <cell r="E839">
            <v>72445001</v>
          </cell>
          <cell r="F839">
            <v>91235</v>
          </cell>
          <cell r="G839">
            <v>91236</v>
          </cell>
        </row>
        <row r="840">
          <cell r="D840" t="str">
            <v>CDC-13756</v>
          </cell>
          <cell r="E840">
            <v>133021003</v>
          </cell>
          <cell r="F840">
            <v>79355</v>
          </cell>
          <cell r="G840">
            <v>89661</v>
          </cell>
        </row>
        <row r="841">
          <cell r="D841" t="str">
            <v>CDC-13756</v>
          </cell>
          <cell r="E841">
            <v>133021003</v>
          </cell>
          <cell r="F841">
            <v>79355</v>
          </cell>
          <cell r="G841">
            <v>89661</v>
          </cell>
        </row>
        <row r="842">
          <cell r="D842" t="str">
            <v>CDC-13756</v>
          </cell>
          <cell r="E842">
            <v>133021003</v>
          </cell>
          <cell r="F842">
            <v>79355</v>
          </cell>
          <cell r="G842">
            <v>89661</v>
          </cell>
        </row>
        <row r="843">
          <cell r="D843" t="str">
            <v>CDC-13756</v>
          </cell>
          <cell r="E843">
            <v>133021003</v>
          </cell>
          <cell r="F843">
            <v>79355</v>
          </cell>
          <cell r="G843">
            <v>89661</v>
          </cell>
        </row>
        <row r="844">
          <cell r="D844" t="str">
            <v>CDC-13756</v>
          </cell>
          <cell r="E844">
            <v>133021003</v>
          </cell>
          <cell r="F844">
            <v>79355</v>
          </cell>
          <cell r="G844">
            <v>89661</v>
          </cell>
        </row>
        <row r="845">
          <cell r="D845" t="str">
            <v>CDC-13756</v>
          </cell>
          <cell r="E845">
            <v>133021003</v>
          </cell>
          <cell r="F845">
            <v>79355</v>
          </cell>
          <cell r="G845">
            <v>89661</v>
          </cell>
        </row>
        <row r="846">
          <cell r="D846" t="e">
            <v>#N/A</v>
          </cell>
          <cell r="E846">
            <v>52201001</v>
          </cell>
          <cell r="F846">
            <v>8598</v>
          </cell>
          <cell r="G846">
            <v>8599</v>
          </cell>
        </row>
        <row r="847">
          <cell r="D847" t="e">
            <v>#N/A</v>
          </cell>
          <cell r="E847">
            <v>52201001</v>
          </cell>
          <cell r="F847">
            <v>8598</v>
          </cell>
          <cell r="G847">
            <v>8599</v>
          </cell>
        </row>
        <row r="848">
          <cell r="D848" t="e">
            <v>#N/A</v>
          </cell>
          <cell r="E848">
            <v>52201001</v>
          </cell>
          <cell r="F848">
            <v>8598</v>
          </cell>
          <cell r="G848">
            <v>8599</v>
          </cell>
        </row>
        <row r="849">
          <cell r="D849" t="e">
            <v>#N/A</v>
          </cell>
          <cell r="E849">
            <v>52201001</v>
          </cell>
          <cell r="F849">
            <v>8598</v>
          </cell>
          <cell r="G849">
            <v>8599</v>
          </cell>
        </row>
        <row r="850">
          <cell r="D850" t="e">
            <v>#N/A</v>
          </cell>
          <cell r="E850">
            <v>52201001</v>
          </cell>
          <cell r="F850">
            <v>8598</v>
          </cell>
          <cell r="G850">
            <v>8599</v>
          </cell>
        </row>
        <row r="851">
          <cell r="D851" t="e">
            <v>#N/A</v>
          </cell>
          <cell r="E851">
            <v>52201001</v>
          </cell>
          <cell r="F851">
            <v>8598</v>
          </cell>
          <cell r="G851">
            <v>8599</v>
          </cell>
        </row>
        <row r="852">
          <cell r="D852" t="e">
            <v>#N/A</v>
          </cell>
          <cell r="E852">
            <v>52201001</v>
          </cell>
          <cell r="F852">
            <v>8598</v>
          </cell>
          <cell r="G852">
            <v>8599</v>
          </cell>
        </row>
        <row r="853">
          <cell r="D853" t="e">
            <v>#N/A</v>
          </cell>
          <cell r="E853">
            <v>52201001</v>
          </cell>
          <cell r="F853">
            <v>8598</v>
          </cell>
          <cell r="G853">
            <v>8599</v>
          </cell>
        </row>
        <row r="854">
          <cell r="D854" t="str">
            <v>CDC-15380</v>
          </cell>
          <cell r="E854">
            <v>100208105</v>
          </cell>
          <cell r="F854">
            <v>4405</v>
          </cell>
          <cell r="G854">
            <v>79249</v>
          </cell>
        </row>
        <row r="855">
          <cell r="D855" t="str">
            <v>CDC-15380</v>
          </cell>
          <cell r="E855">
            <v>100208105</v>
          </cell>
          <cell r="F855">
            <v>4405</v>
          </cell>
          <cell r="G855">
            <v>79249</v>
          </cell>
        </row>
        <row r="856">
          <cell r="D856" t="str">
            <v>CDC-15380</v>
          </cell>
          <cell r="E856">
            <v>100208105</v>
          </cell>
          <cell r="F856">
            <v>4405</v>
          </cell>
          <cell r="G856">
            <v>79249</v>
          </cell>
        </row>
        <row r="857">
          <cell r="D857" t="str">
            <v>CDC-15380</v>
          </cell>
          <cell r="E857">
            <v>100208105</v>
          </cell>
          <cell r="F857">
            <v>4405</v>
          </cell>
          <cell r="G857">
            <v>79249</v>
          </cell>
        </row>
        <row r="858">
          <cell r="D858" t="str">
            <v>CDC-15380</v>
          </cell>
          <cell r="E858">
            <v>100208105</v>
          </cell>
          <cell r="F858">
            <v>4405</v>
          </cell>
          <cell r="G858">
            <v>79249</v>
          </cell>
        </row>
        <row r="859">
          <cell r="D859" t="str">
            <v>CDC-15380</v>
          </cell>
          <cell r="E859">
            <v>100208105</v>
          </cell>
          <cell r="F859">
            <v>4405</v>
          </cell>
          <cell r="G859">
            <v>79249</v>
          </cell>
        </row>
        <row r="860">
          <cell r="D860" t="str">
            <v>CDC-1247</v>
          </cell>
          <cell r="E860">
            <v>73116001</v>
          </cell>
          <cell r="F860">
            <v>9173</v>
          </cell>
          <cell r="G860">
            <v>9174</v>
          </cell>
        </row>
        <row r="861">
          <cell r="D861" t="str">
            <v>CDC-1247</v>
          </cell>
          <cell r="E861">
            <v>73116001</v>
          </cell>
          <cell r="F861">
            <v>9173</v>
          </cell>
          <cell r="G861">
            <v>9174</v>
          </cell>
        </row>
        <row r="862">
          <cell r="D862" t="str">
            <v>CDC-1247</v>
          </cell>
          <cell r="E862">
            <v>73116001</v>
          </cell>
          <cell r="F862">
            <v>9173</v>
          </cell>
          <cell r="G862">
            <v>9174</v>
          </cell>
        </row>
        <row r="863">
          <cell r="D863" t="str">
            <v>CDC-1247</v>
          </cell>
          <cell r="E863">
            <v>73116001</v>
          </cell>
          <cell r="F863">
            <v>9173</v>
          </cell>
          <cell r="G863">
            <v>9174</v>
          </cell>
        </row>
        <row r="864">
          <cell r="D864" t="str">
            <v>CDC-1247</v>
          </cell>
          <cell r="E864">
            <v>73116001</v>
          </cell>
          <cell r="F864">
            <v>9173</v>
          </cell>
          <cell r="G864">
            <v>9174</v>
          </cell>
        </row>
        <row r="865">
          <cell r="D865" t="str">
            <v>CDC-1247</v>
          </cell>
          <cell r="E865">
            <v>73116001</v>
          </cell>
          <cell r="F865">
            <v>9173</v>
          </cell>
          <cell r="G865">
            <v>9174</v>
          </cell>
        </row>
        <row r="866">
          <cell r="D866" t="str">
            <v>CDC-1247</v>
          </cell>
          <cell r="E866">
            <v>73116001</v>
          </cell>
          <cell r="F866">
            <v>9173</v>
          </cell>
          <cell r="G866">
            <v>9174</v>
          </cell>
        </row>
        <row r="867">
          <cell r="D867" t="str">
            <v>CDC-1247</v>
          </cell>
          <cell r="E867">
            <v>73116001</v>
          </cell>
          <cell r="F867">
            <v>9173</v>
          </cell>
          <cell r="G867">
            <v>9174</v>
          </cell>
        </row>
        <row r="868">
          <cell r="D868" t="str">
            <v>CDC-1247</v>
          </cell>
          <cell r="E868">
            <v>73116001</v>
          </cell>
          <cell r="F868">
            <v>9173</v>
          </cell>
          <cell r="G868">
            <v>9174</v>
          </cell>
        </row>
        <row r="869">
          <cell r="D869" t="str">
            <v>CDC-1247</v>
          </cell>
          <cell r="E869">
            <v>73116001</v>
          </cell>
          <cell r="F869">
            <v>9173</v>
          </cell>
          <cell r="G869">
            <v>9174</v>
          </cell>
        </row>
        <row r="870">
          <cell r="D870" t="str">
            <v>CDC-17400</v>
          </cell>
          <cell r="E870">
            <v>73362001</v>
          </cell>
          <cell r="F870">
            <v>1000333</v>
          </cell>
          <cell r="G870">
            <v>1000334</v>
          </cell>
        </row>
        <row r="871">
          <cell r="D871" t="str">
            <v>CDC-17400</v>
          </cell>
          <cell r="E871">
            <v>73362001</v>
          </cell>
          <cell r="F871">
            <v>1000333</v>
          </cell>
          <cell r="G871">
            <v>1000334</v>
          </cell>
        </row>
        <row r="872">
          <cell r="D872" t="str">
            <v>CDC-17400</v>
          </cell>
          <cell r="E872">
            <v>73362001</v>
          </cell>
          <cell r="F872">
            <v>1000333</v>
          </cell>
          <cell r="G872">
            <v>1000334</v>
          </cell>
        </row>
        <row r="873">
          <cell r="D873" t="str">
            <v>CDC-17400</v>
          </cell>
          <cell r="E873">
            <v>73362001</v>
          </cell>
          <cell r="F873">
            <v>1000333</v>
          </cell>
          <cell r="G873">
            <v>1000334</v>
          </cell>
        </row>
        <row r="874">
          <cell r="D874" t="str">
            <v>CDC-17400</v>
          </cell>
          <cell r="E874">
            <v>73362001</v>
          </cell>
          <cell r="F874">
            <v>1000333</v>
          </cell>
          <cell r="G874">
            <v>1000334</v>
          </cell>
        </row>
        <row r="875">
          <cell r="D875" t="str">
            <v>CDC-17400</v>
          </cell>
          <cell r="E875">
            <v>73362001</v>
          </cell>
          <cell r="F875">
            <v>1000333</v>
          </cell>
          <cell r="G875">
            <v>1000334</v>
          </cell>
        </row>
        <row r="876">
          <cell r="D876" t="str">
            <v>CDC-17644</v>
          </cell>
          <cell r="E876">
            <v>73318001</v>
          </cell>
          <cell r="F876">
            <v>92723</v>
          </cell>
          <cell r="G876">
            <v>92724</v>
          </cell>
        </row>
        <row r="877">
          <cell r="D877" t="str">
            <v>CDC-17644</v>
          </cell>
          <cell r="E877">
            <v>73318001</v>
          </cell>
          <cell r="F877">
            <v>92723</v>
          </cell>
          <cell r="G877">
            <v>92724</v>
          </cell>
        </row>
        <row r="878">
          <cell r="D878" t="str">
            <v>CDC-17644</v>
          </cell>
          <cell r="E878">
            <v>73318001</v>
          </cell>
          <cell r="F878">
            <v>92723</v>
          </cell>
          <cell r="G878">
            <v>92724</v>
          </cell>
        </row>
        <row r="879">
          <cell r="D879" t="e">
            <v>#N/A</v>
          </cell>
          <cell r="E879">
            <v>112603004</v>
          </cell>
          <cell r="F879">
            <v>10103</v>
          </cell>
          <cell r="G879">
            <v>10107</v>
          </cell>
        </row>
        <row r="880">
          <cell r="D880" t="e">
            <v>#N/A</v>
          </cell>
          <cell r="E880">
            <v>112603004</v>
          </cell>
          <cell r="F880">
            <v>10103</v>
          </cell>
          <cell r="G880">
            <v>10107</v>
          </cell>
        </row>
        <row r="881">
          <cell r="D881" t="e">
            <v>#N/A</v>
          </cell>
          <cell r="E881">
            <v>112603004</v>
          </cell>
          <cell r="F881">
            <v>10103</v>
          </cell>
          <cell r="G881">
            <v>10107</v>
          </cell>
        </row>
        <row r="882">
          <cell r="D882" t="e">
            <v>#N/A</v>
          </cell>
          <cell r="E882">
            <v>112603101</v>
          </cell>
          <cell r="F882">
            <v>10103</v>
          </cell>
          <cell r="G882">
            <v>92922</v>
          </cell>
        </row>
        <row r="883">
          <cell r="D883" t="e">
            <v>#N/A</v>
          </cell>
          <cell r="E883">
            <v>112603101</v>
          </cell>
          <cell r="F883">
            <v>10103</v>
          </cell>
          <cell r="G883">
            <v>92922</v>
          </cell>
        </row>
        <row r="884">
          <cell r="D884" t="e">
            <v>#N/A</v>
          </cell>
          <cell r="E884">
            <v>112603101</v>
          </cell>
          <cell r="F884">
            <v>10103</v>
          </cell>
          <cell r="G884">
            <v>92922</v>
          </cell>
        </row>
        <row r="885">
          <cell r="D885" t="e">
            <v>#N/A</v>
          </cell>
          <cell r="E885">
            <v>112603001</v>
          </cell>
          <cell r="F885">
            <v>10103</v>
          </cell>
          <cell r="G885">
            <v>10104</v>
          </cell>
        </row>
        <row r="886">
          <cell r="D886" t="e">
            <v>#N/A</v>
          </cell>
          <cell r="E886">
            <v>112603001</v>
          </cell>
          <cell r="F886">
            <v>10103</v>
          </cell>
          <cell r="G886">
            <v>10104</v>
          </cell>
        </row>
        <row r="887">
          <cell r="D887" t="e">
            <v>#N/A</v>
          </cell>
          <cell r="E887">
            <v>112603001</v>
          </cell>
          <cell r="F887">
            <v>10103</v>
          </cell>
          <cell r="G887">
            <v>10104</v>
          </cell>
        </row>
        <row r="888">
          <cell r="D888" t="e">
            <v>#N/A</v>
          </cell>
          <cell r="E888">
            <v>112603002</v>
          </cell>
          <cell r="F888">
            <v>10103</v>
          </cell>
          <cell r="G888">
            <v>10105</v>
          </cell>
        </row>
        <row r="889">
          <cell r="D889" t="e">
            <v>#N/A</v>
          </cell>
          <cell r="E889">
            <v>112603002</v>
          </cell>
          <cell r="F889">
            <v>10103</v>
          </cell>
          <cell r="G889">
            <v>10105</v>
          </cell>
        </row>
        <row r="890">
          <cell r="D890" t="e">
            <v>#N/A</v>
          </cell>
          <cell r="E890">
            <v>112603002</v>
          </cell>
          <cell r="F890">
            <v>10103</v>
          </cell>
          <cell r="G890">
            <v>10105</v>
          </cell>
        </row>
        <row r="891">
          <cell r="D891" t="e">
            <v>#N/A</v>
          </cell>
          <cell r="E891">
            <v>112603003</v>
          </cell>
          <cell r="F891">
            <v>10103</v>
          </cell>
          <cell r="G891">
            <v>10106</v>
          </cell>
        </row>
        <row r="892">
          <cell r="D892" t="e">
            <v>#N/A</v>
          </cell>
          <cell r="E892">
            <v>112603003</v>
          </cell>
          <cell r="F892">
            <v>10103</v>
          </cell>
          <cell r="G892">
            <v>10106</v>
          </cell>
        </row>
        <row r="893">
          <cell r="D893" t="e">
            <v>#N/A</v>
          </cell>
          <cell r="E893">
            <v>112603003</v>
          </cell>
          <cell r="F893">
            <v>10103</v>
          </cell>
          <cell r="G893">
            <v>10106</v>
          </cell>
        </row>
        <row r="894">
          <cell r="D894" t="str">
            <v>CDC-17859</v>
          </cell>
          <cell r="E894">
            <v>73331001</v>
          </cell>
          <cell r="F894">
            <v>725316</v>
          </cell>
          <cell r="G894">
            <v>790972</v>
          </cell>
        </row>
        <row r="895">
          <cell r="D895" t="str">
            <v>CDC-17859</v>
          </cell>
          <cell r="E895">
            <v>73331001</v>
          </cell>
          <cell r="F895">
            <v>725316</v>
          </cell>
          <cell r="G895">
            <v>790972</v>
          </cell>
        </row>
        <row r="896">
          <cell r="D896" t="str">
            <v>CDC-17859</v>
          </cell>
          <cell r="E896">
            <v>73331001</v>
          </cell>
          <cell r="F896">
            <v>725316</v>
          </cell>
          <cell r="G896">
            <v>790972</v>
          </cell>
        </row>
        <row r="897">
          <cell r="D897" t="str">
            <v>CDC-17859</v>
          </cell>
          <cell r="E897">
            <v>73331001</v>
          </cell>
          <cell r="F897">
            <v>725316</v>
          </cell>
          <cell r="G897">
            <v>790972</v>
          </cell>
        </row>
        <row r="898">
          <cell r="D898" t="str">
            <v>CDC-17859</v>
          </cell>
          <cell r="E898">
            <v>73331001</v>
          </cell>
          <cell r="F898">
            <v>725316</v>
          </cell>
          <cell r="G898">
            <v>790972</v>
          </cell>
        </row>
        <row r="899">
          <cell r="D899" t="str">
            <v>CDC-17859</v>
          </cell>
          <cell r="E899">
            <v>73331001</v>
          </cell>
          <cell r="F899">
            <v>725316</v>
          </cell>
          <cell r="G899">
            <v>790972</v>
          </cell>
        </row>
        <row r="900">
          <cell r="D900" t="str">
            <v>CDC-17859</v>
          </cell>
          <cell r="E900">
            <v>73331001</v>
          </cell>
          <cell r="F900">
            <v>725316</v>
          </cell>
          <cell r="G900">
            <v>790972</v>
          </cell>
        </row>
        <row r="901">
          <cell r="D901" t="str">
            <v>CDC-17859</v>
          </cell>
          <cell r="E901">
            <v>73331001</v>
          </cell>
          <cell r="F901">
            <v>725316</v>
          </cell>
          <cell r="G901">
            <v>790972</v>
          </cell>
        </row>
        <row r="902">
          <cell r="D902" t="str">
            <v>CDC-6138</v>
          </cell>
          <cell r="E902">
            <v>73485001</v>
          </cell>
          <cell r="F902">
            <v>80728</v>
          </cell>
          <cell r="G902">
            <v>80729</v>
          </cell>
        </row>
        <row r="903">
          <cell r="D903" t="str">
            <v>CDC-6138</v>
          </cell>
          <cell r="E903">
            <v>73485001</v>
          </cell>
          <cell r="F903">
            <v>80728</v>
          </cell>
          <cell r="G903">
            <v>80729</v>
          </cell>
        </row>
        <row r="904">
          <cell r="D904" t="str">
            <v>CDC-6138</v>
          </cell>
          <cell r="E904">
            <v>73485001</v>
          </cell>
          <cell r="F904">
            <v>80728</v>
          </cell>
          <cell r="G904">
            <v>80729</v>
          </cell>
        </row>
        <row r="905">
          <cell r="D905" t="str">
            <v>CDC-6138</v>
          </cell>
          <cell r="E905">
            <v>73485001</v>
          </cell>
          <cell r="F905">
            <v>80728</v>
          </cell>
          <cell r="G905">
            <v>80729</v>
          </cell>
        </row>
        <row r="906">
          <cell r="D906" t="str">
            <v>CDC-6138</v>
          </cell>
          <cell r="E906">
            <v>73485001</v>
          </cell>
          <cell r="F906">
            <v>80728</v>
          </cell>
          <cell r="G906">
            <v>80729</v>
          </cell>
        </row>
        <row r="907">
          <cell r="D907" t="str">
            <v>CDC-6138</v>
          </cell>
          <cell r="E907">
            <v>73485001</v>
          </cell>
          <cell r="F907">
            <v>80728</v>
          </cell>
          <cell r="G907">
            <v>80729</v>
          </cell>
        </row>
        <row r="908">
          <cell r="D908" t="str">
            <v>CDC-6138</v>
          </cell>
          <cell r="E908">
            <v>73485001</v>
          </cell>
          <cell r="F908">
            <v>80728</v>
          </cell>
          <cell r="G908">
            <v>80729</v>
          </cell>
        </row>
        <row r="909">
          <cell r="D909" t="str">
            <v>CDC-6138</v>
          </cell>
          <cell r="E909">
            <v>73485001</v>
          </cell>
          <cell r="F909">
            <v>80728</v>
          </cell>
          <cell r="G909">
            <v>80729</v>
          </cell>
        </row>
        <row r="910">
          <cell r="D910" t="str">
            <v>CDC-18832</v>
          </cell>
          <cell r="E910">
            <v>73367001</v>
          </cell>
          <cell r="F910">
            <v>1001128</v>
          </cell>
          <cell r="G910">
            <v>1001131</v>
          </cell>
        </row>
        <row r="911">
          <cell r="D911" t="str">
            <v>CDC-18832</v>
          </cell>
          <cell r="E911">
            <v>73367001</v>
          </cell>
          <cell r="F911">
            <v>1001128</v>
          </cell>
          <cell r="G911">
            <v>1001131</v>
          </cell>
        </row>
        <row r="912">
          <cell r="D912" t="str">
            <v>CDC-18832</v>
          </cell>
          <cell r="E912">
            <v>73367001</v>
          </cell>
          <cell r="F912">
            <v>1001128</v>
          </cell>
          <cell r="G912">
            <v>1001131</v>
          </cell>
        </row>
        <row r="913">
          <cell r="D913" t="str">
            <v>CDC-18832</v>
          </cell>
          <cell r="E913">
            <v>73367001</v>
          </cell>
          <cell r="F913">
            <v>1001128</v>
          </cell>
          <cell r="G913">
            <v>1001131</v>
          </cell>
        </row>
        <row r="914">
          <cell r="D914" t="str">
            <v>CDC-18832</v>
          </cell>
          <cell r="E914">
            <v>73367001</v>
          </cell>
          <cell r="F914">
            <v>1001128</v>
          </cell>
          <cell r="G914">
            <v>1001131</v>
          </cell>
        </row>
        <row r="915">
          <cell r="D915" t="str">
            <v>CDC-18832</v>
          </cell>
          <cell r="E915">
            <v>73367001</v>
          </cell>
          <cell r="F915">
            <v>1001128</v>
          </cell>
          <cell r="G915">
            <v>1001131</v>
          </cell>
        </row>
        <row r="916">
          <cell r="D916" t="str">
            <v>CDC-17004</v>
          </cell>
          <cell r="E916">
            <v>73321001</v>
          </cell>
          <cell r="F916">
            <v>92784</v>
          </cell>
          <cell r="G916">
            <v>92785</v>
          </cell>
        </row>
        <row r="917">
          <cell r="D917" t="str">
            <v>CDC-17004</v>
          </cell>
          <cell r="E917">
            <v>73321001</v>
          </cell>
          <cell r="F917">
            <v>92784</v>
          </cell>
          <cell r="G917">
            <v>92785</v>
          </cell>
        </row>
        <row r="918">
          <cell r="D918" t="str">
            <v>CDC-17004</v>
          </cell>
          <cell r="E918">
            <v>73321001</v>
          </cell>
          <cell r="F918">
            <v>92784</v>
          </cell>
          <cell r="G918">
            <v>92785</v>
          </cell>
        </row>
        <row r="919">
          <cell r="D919" t="str">
            <v>CDC-17004</v>
          </cell>
          <cell r="E919">
            <v>73321001</v>
          </cell>
          <cell r="F919">
            <v>92784</v>
          </cell>
          <cell r="G919">
            <v>92785</v>
          </cell>
        </row>
        <row r="920">
          <cell r="D920" t="str">
            <v>CDC-17004</v>
          </cell>
          <cell r="E920">
            <v>73321001</v>
          </cell>
          <cell r="F920">
            <v>92784</v>
          </cell>
          <cell r="G920">
            <v>92785</v>
          </cell>
        </row>
        <row r="921">
          <cell r="D921" t="str">
            <v>CDC-17004</v>
          </cell>
          <cell r="E921">
            <v>73321001</v>
          </cell>
          <cell r="F921">
            <v>92784</v>
          </cell>
          <cell r="G921">
            <v>92785</v>
          </cell>
        </row>
        <row r="922">
          <cell r="D922" t="str">
            <v>CDC-17004</v>
          </cell>
          <cell r="E922">
            <v>73321001</v>
          </cell>
          <cell r="F922">
            <v>92784</v>
          </cell>
          <cell r="G922">
            <v>92785</v>
          </cell>
        </row>
        <row r="923">
          <cell r="D923" t="str">
            <v>CDC-17004</v>
          </cell>
          <cell r="E923">
            <v>73321001</v>
          </cell>
          <cell r="F923">
            <v>92784</v>
          </cell>
          <cell r="G923">
            <v>92785</v>
          </cell>
        </row>
        <row r="924">
          <cell r="D924" t="str">
            <v>CDC-17004</v>
          </cell>
          <cell r="E924">
            <v>73321001</v>
          </cell>
          <cell r="F924">
            <v>92784</v>
          </cell>
          <cell r="G924">
            <v>92785</v>
          </cell>
        </row>
        <row r="925">
          <cell r="D925" t="str">
            <v>CDC-17004</v>
          </cell>
          <cell r="E925">
            <v>73321001</v>
          </cell>
          <cell r="F925">
            <v>92784</v>
          </cell>
          <cell r="G925">
            <v>92785</v>
          </cell>
        </row>
        <row r="926">
          <cell r="D926" t="str">
            <v>CDC-17566</v>
          </cell>
          <cell r="E926">
            <v>73321002</v>
          </cell>
          <cell r="F926">
            <v>92784</v>
          </cell>
          <cell r="G926">
            <v>784213</v>
          </cell>
        </row>
        <row r="927">
          <cell r="D927" t="str">
            <v>CDC-17566</v>
          </cell>
          <cell r="E927">
            <v>73321002</v>
          </cell>
          <cell r="F927">
            <v>92784</v>
          </cell>
          <cell r="G927">
            <v>784213</v>
          </cell>
        </row>
        <row r="928">
          <cell r="D928" t="str">
            <v>CDC-17566</v>
          </cell>
          <cell r="E928">
            <v>73321002</v>
          </cell>
          <cell r="F928">
            <v>92784</v>
          </cell>
          <cell r="G928">
            <v>784213</v>
          </cell>
        </row>
        <row r="929">
          <cell r="D929" t="str">
            <v>CDC-17566</v>
          </cell>
          <cell r="E929">
            <v>73321002</v>
          </cell>
          <cell r="F929">
            <v>92784</v>
          </cell>
          <cell r="G929">
            <v>784213</v>
          </cell>
        </row>
        <row r="930">
          <cell r="D930" t="str">
            <v>CDC-17566</v>
          </cell>
          <cell r="E930">
            <v>73321002</v>
          </cell>
          <cell r="F930">
            <v>92784</v>
          </cell>
          <cell r="G930">
            <v>784213</v>
          </cell>
        </row>
        <row r="931">
          <cell r="D931" t="str">
            <v>CDC-17566</v>
          </cell>
          <cell r="E931">
            <v>73321002</v>
          </cell>
          <cell r="F931">
            <v>92784</v>
          </cell>
          <cell r="G931">
            <v>784213</v>
          </cell>
        </row>
        <row r="932">
          <cell r="D932" t="str">
            <v>CDC-17566</v>
          </cell>
          <cell r="E932">
            <v>73321002</v>
          </cell>
          <cell r="F932">
            <v>92784</v>
          </cell>
          <cell r="G932">
            <v>784213</v>
          </cell>
        </row>
        <row r="933">
          <cell r="D933" t="str">
            <v>CDC-17566</v>
          </cell>
          <cell r="E933">
            <v>73321002</v>
          </cell>
          <cell r="F933">
            <v>92784</v>
          </cell>
          <cell r="G933">
            <v>784213</v>
          </cell>
        </row>
        <row r="934">
          <cell r="D934" t="str">
            <v>CDC-17566</v>
          </cell>
          <cell r="E934">
            <v>73321002</v>
          </cell>
          <cell r="F934">
            <v>92784</v>
          </cell>
          <cell r="G934">
            <v>784213</v>
          </cell>
        </row>
        <row r="935">
          <cell r="D935" t="str">
            <v>CDC-17566</v>
          </cell>
          <cell r="E935">
            <v>73321002</v>
          </cell>
          <cell r="F935">
            <v>92784</v>
          </cell>
          <cell r="G935">
            <v>784213</v>
          </cell>
        </row>
        <row r="936">
          <cell r="D936" t="str">
            <v>CDC-3186</v>
          </cell>
          <cell r="E936">
            <v>143009001</v>
          </cell>
          <cell r="F936">
            <v>10207</v>
          </cell>
          <cell r="G936">
            <v>10208</v>
          </cell>
        </row>
        <row r="937">
          <cell r="D937" t="str">
            <v>CDC-3186</v>
          </cell>
          <cell r="E937">
            <v>143009001</v>
          </cell>
          <cell r="F937">
            <v>10207</v>
          </cell>
          <cell r="G937">
            <v>10208</v>
          </cell>
        </row>
        <row r="938">
          <cell r="D938" t="str">
            <v>CDC-3186</v>
          </cell>
          <cell r="E938">
            <v>143009001</v>
          </cell>
          <cell r="F938">
            <v>10207</v>
          </cell>
          <cell r="G938">
            <v>10208</v>
          </cell>
        </row>
        <row r="939">
          <cell r="D939" t="str">
            <v>CDC-3186</v>
          </cell>
          <cell r="E939">
            <v>143009001</v>
          </cell>
          <cell r="F939">
            <v>10207</v>
          </cell>
          <cell r="G939">
            <v>10208</v>
          </cell>
        </row>
        <row r="940">
          <cell r="D940" t="str">
            <v>CDC-3186</v>
          </cell>
          <cell r="E940">
            <v>143009001</v>
          </cell>
          <cell r="F940">
            <v>10207</v>
          </cell>
          <cell r="G940">
            <v>10208</v>
          </cell>
        </row>
        <row r="941">
          <cell r="D941" t="str">
            <v>CDC-3186</v>
          </cell>
          <cell r="E941">
            <v>143009001</v>
          </cell>
          <cell r="F941">
            <v>10207</v>
          </cell>
          <cell r="G941">
            <v>10208</v>
          </cell>
        </row>
        <row r="942">
          <cell r="D942" t="str">
            <v>CDC-3186</v>
          </cell>
          <cell r="E942">
            <v>143009001</v>
          </cell>
          <cell r="F942">
            <v>10207</v>
          </cell>
          <cell r="G942">
            <v>10208</v>
          </cell>
        </row>
        <row r="943">
          <cell r="D943" t="str">
            <v>CDC-3186</v>
          </cell>
          <cell r="E943">
            <v>143009001</v>
          </cell>
          <cell r="F943">
            <v>10207</v>
          </cell>
          <cell r="G943">
            <v>10208</v>
          </cell>
        </row>
        <row r="944">
          <cell r="D944" t="str">
            <v>CDC-9645</v>
          </cell>
          <cell r="E944">
            <v>143009002</v>
          </cell>
          <cell r="F944">
            <v>10207</v>
          </cell>
          <cell r="G944">
            <v>80531</v>
          </cell>
        </row>
        <row r="945">
          <cell r="D945" t="str">
            <v>CDC-9645</v>
          </cell>
          <cell r="E945">
            <v>143009002</v>
          </cell>
          <cell r="F945">
            <v>10207</v>
          </cell>
          <cell r="G945">
            <v>80531</v>
          </cell>
        </row>
        <row r="946">
          <cell r="D946" t="str">
            <v>CDC-9645</v>
          </cell>
          <cell r="E946">
            <v>143009002</v>
          </cell>
          <cell r="F946">
            <v>10207</v>
          </cell>
          <cell r="G946">
            <v>80531</v>
          </cell>
        </row>
        <row r="947">
          <cell r="D947" t="str">
            <v>CDC-9645</v>
          </cell>
          <cell r="E947">
            <v>143009002</v>
          </cell>
          <cell r="F947">
            <v>10207</v>
          </cell>
          <cell r="G947">
            <v>80531</v>
          </cell>
        </row>
        <row r="948">
          <cell r="D948" t="str">
            <v>CDC-9645</v>
          </cell>
          <cell r="E948">
            <v>143009002</v>
          </cell>
          <cell r="F948">
            <v>10207</v>
          </cell>
          <cell r="G948">
            <v>80531</v>
          </cell>
        </row>
        <row r="949">
          <cell r="D949" t="str">
            <v>CDC-9645</v>
          </cell>
          <cell r="E949">
            <v>143009002</v>
          </cell>
          <cell r="F949">
            <v>10207</v>
          </cell>
          <cell r="G949">
            <v>80531</v>
          </cell>
        </row>
        <row r="950">
          <cell r="D950" t="str">
            <v>CDC-9645</v>
          </cell>
          <cell r="E950">
            <v>143009002</v>
          </cell>
          <cell r="F950">
            <v>10207</v>
          </cell>
          <cell r="G950">
            <v>80531</v>
          </cell>
        </row>
        <row r="951">
          <cell r="D951" t="str">
            <v>CDC-9645</v>
          </cell>
          <cell r="E951">
            <v>143009002</v>
          </cell>
          <cell r="F951">
            <v>10207</v>
          </cell>
          <cell r="G951">
            <v>80531</v>
          </cell>
        </row>
        <row r="952">
          <cell r="D952" t="str">
            <v>CDC-15544</v>
          </cell>
          <cell r="E952">
            <v>73562002</v>
          </cell>
          <cell r="F952">
            <v>89779</v>
          </cell>
          <cell r="G952">
            <v>90853</v>
          </cell>
        </row>
        <row r="953">
          <cell r="D953" t="str">
            <v>CDC-15544</v>
          </cell>
          <cell r="E953">
            <v>73562002</v>
          </cell>
          <cell r="F953">
            <v>89779</v>
          </cell>
          <cell r="G953">
            <v>90853</v>
          </cell>
        </row>
        <row r="954">
          <cell r="D954" t="str">
            <v>CDC-15544</v>
          </cell>
          <cell r="E954">
            <v>73562002</v>
          </cell>
          <cell r="F954">
            <v>89779</v>
          </cell>
          <cell r="G954">
            <v>90853</v>
          </cell>
        </row>
        <row r="955">
          <cell r="D955" t="str">
            <v>CDC-15544</v>
          </cell>
          <cell r="E955">
            <v>73562002</v>
          </cell>
          <cell r="F955">
            <v>89779</v>
          </cell>
          <cell r="G955">
            <v>90853</v>
          </cell>
        </row>
        <row r="956">
          <cell r="D956" t="str">
            <v>CDC-15544</v>
          </cell>
          <cell r="E956">
            <v>73562002</v>
          </cell>
          <cell r="F956">
            <v>89779</v>
          </cell>
          <cell r="G956">
            <v>90853</v>
          </cell>
        </row>
        <row r="957">
          <cell r="D957" t="str">
            <v>CDC-15544</v>
          </cell>
          <cell r="E957">
            <v>73562002</v>
          </cell>
          <cell r="F957">
            <v>89779</v>
          </cell>
          <cell r="G957">
            <v>90853</v>
          </cell>
        </row>
        <row r="958">
          <cell r="D958" t="str">
            <v>CDC-13819</v>
          </cell>
          <cell r="E958">
            <v>73562001</v>
          </cell>
          <cell r="F958">
            <v>89779</v>
          </cell>
          <cell r="G958">
            <v>89780</v>
          </cell>
        </row>
        <row r="959">
          <cell r="D959" t="str">
            <v>CDC-13819</v>
          </cell>
          <cell r="E959">
            <v>73562001</v>
          </cell>
          <cell r="F959">
            <v>89779</v>
          </cell>
          <cell r="G959">
            <v>89780</v>
          </cell>
        </row>
        <row r="960">
          <cell r="D960" t="str">
            <v>CDC-13819</v>
          </cell>
          <cell r="E960">
            <v>73562001</v>
          </cell>
          <cell r="F960">
            <v>89779</v>
          </cell>
          <cell r="G960">
            <v>89780</v>
          </cell>
        </row>
        <row r="961">
          <cell r="D961" t="str">
            <v>CDC-13819</v>
          </cell>
          <cell r="E961">
            <v>73562001</v>
          </cell>
          <cell r="F961">
            <v>89779</v>
          </cell>
          <cell r="G961">
            <v>89780</v>
          </cell>
        </row>
        <row r="962">
          <cell r="D962" t="str">
            <v>CDC-13819</v>
          </cell>
          <cell r="E962">
            <v>73562001</v>
          </cell>
          <cell r="F962">
            <v>89779</v>
          </cell>
          <cell r="G962">
            <v>89780</v>
          </cell>
        </row>
        <row r="963">
          <cell r="D963" t="str">
            <v>CDC-13819</v>
          </cell>
          <cell r="E963">
            <v>73562001</v>
          </cell>
          <cell r="F963">
            <v>89779</v>
          </cell>
          <cell r="G963">
            <v>89780</v>
          </cell>
        </row>
        <row r="964">
          <cell r="D964" t="str">
            <v>CDC-16775</v>
          </cell>
          <cell r="E964">
            <v>71973001</v>
          </cell>
          <cell r="F964">
            <v>92323</v>
          </cell>
          <cell r="G964">
            <v>92324</v>
          </cell>
        </row>
        <row r="965">
          <cell r="D965" t="str">
            <v>CDC-16775</v>
          </cell>
          <cell r="E965">
            <v>71973001</v>
          </cell>
          <cell r="F965">
            <v>92323</v>
          </cell>
          <cell r="G965">
            <v>92324</v>
          </cell>
        </row>
        <row r="966">
          <cell r="D966" t="str">
            <v>CDC-16775</v>
          </cell>
          <cell r="E966">
            <v>71973001</v>
          </cell>
          <cell r="F966">
            <v>92323</v>
          </cell>
          <cell r="G966">
            <v>92324</v>
          </cell>
        </row>
        <row r="967">
          <cell r="D967" t="str">
            <v>CDC-16775</v>
          </cell>
          <cell r="E967">
            <v>71973001</v>
          </cell>
          <cell r="F967">
            <v>92323</v>
          </cell>
          <cell r="G967">
            <v>92324</v>
          </cell>
        </row>
        <row r="968">
          <cell r="D968" t="str">
            <v>CDC-16775</v>
          </cell>
          <cell r="E968">
            <v>71973001</v>
          </cell>
          <cell r="F968">
            <v>92323</v>
          </cell>
          <cell r="G968">
            <v>92324</v>
          </cell>
        </row>
        <row r="969">
          <cell r="D969" t="str">
            <v>CDC-16775</v>
          </cell>
          <cell r="E969">
            <v>71973001</v>
          </cell>
          <cell r="F969">
            <v>92323</v>
          </cell>
          <cell r="G969">
            <v>92324</v>
          </cell>
        </row>
        <row r="970">
          <cell r="D970" t="str">
            <v>CDC-18032</v>
          </cell>
          <cell r="E970">
            <v>101989001</v>
          </cell>
          <cell r="F970">
            <v>1000084</v>
          </cell>
          <cell r="G970">
            <v>1000085</v>
          </cell>
        </row>
        <row r="971">
          <cell r="D971" t="str">
            <v>CDC-18032</v>
          </cell>
          <cell r="E971">
            <v>101989001</v>
          </cell>
          <cell r="F971">
            <v>1000084</v>
          </cell>
          <cell r="G971">
            <v>1000085</v>
          </cell>
        </row>
        <row r="972">
          <cell r="D972" t="str">
            <v>CDC-18032</v>
          </cell>
          <cell r="E972">
            <v>101989001</v>
          </cell>
          <cell r="F972">
            <v>1000084</v>
          </cell>
          <cell r="G972">
            <v>1000085</v>
          </cell>
        </row>
        <row r="973">
          <cell r="D973" t="str">
            <v>CDC-18032</v>
          </cell>
          <cell r="E973">
            <v>101989001</v>
          </cell>
          <cell r="F973">
            <v>1000084</v>
          </cell>
          <cell r="G973">
            <v>1000085</v>
          </cell>
        </row>
        <row r="974">
          <cell r="D974" t="str">
            <v>CDC-14548</v>
          </cell>
          <cell r="E974">
            <v>73577001</v>
          </cell>
          <cell r="F974">
            <v>90152</v>
          </cell>
          <cell r="G974">
            <v>90153</v>
          </cell>
        </row>
        <row r="975">
          <cell r="D975" t="str">
            <v>CDC-14548</v>
          </cell>
          <cell r="E975">
            <v>73577001</v>
          </cell>
          <cell r="F975">
            <v>90152</v>
          </cell>
          <cell r="G975">
            <v>90153</v>
          </cell>
        </row>
        <row r="976">
          <cell r="D976" t="str">
            <v>CDC-14548</v>
          </cell>
          <cell r="E976">
            <v>73577001</v>
          </cell>
          <cell r="F976">
            <v>90152</v>
          </cell>
          <cell r="G976">
            <v>90153</v>
          </cell>
        </row>
        <row r="977">
          <cell r="D977" t="str">
            <v>CDC-14548</v>
          </cell>
          <cell r="E977">
            <v>73577001</v>
          </cell>
          <cell r="F977">
            <v>90152</v>
          </cell>
          <cell r="G977">
            <v>90153</v>
          </cell>
        </row>
        <row r="978">
          <cell r="D978" t="str">
            <v>CDC-14548</v>
          </cell>
          <cell r="E978">
            <v>73577001</v>
          </cell>
          <cell r="F978">
            <v>90152</v>
          </cell>
          <cell r="G978">
            <v>90153</v>
          </cell>
        </row>
        <row r="979">
          <cell r="D979" t="str">
            <v>CDC-14548</v>
          </cell>
          <cell r="E979">
            <v>73577001</v>
          </cell>
          <cell r="F979">
            <v>90152</v>
          </cell>
          <cell r="G979">
            <v>90153</v>
          </cell>
        </row>
        <row r="980">
          <cell r="D980" t="str">
            <v>CDC-14548</v>
          </cell>
          <cell r="E980">
            <v>73577001</v>
          </cell>
          <cell r="F980">
            <v>90152</v>
          </cell>
          <cell r="G980">
            <v>90153</v>
          </cell>
        </row>
        <row r="981">
          <cell r="D981" t="str">
            <v>CDC-14548</v>
          </cell>
          <cell r="E981">
            <v>73577001</v>
          </cell>
          <cell r="F981">
            <v>90152</v>
          </cell>
          <cell r="G981">
            <v>90153</v>
          </cell>
        </row>
        <row r="982">
          <cell r="D982" t="str">
            <v>CDC-11703</v>
          </cell>
          <cell r="E982">
            <v>73541001</v>
          </cell>
          <cell r="F982">
            <v>88410</v>
          </cell>
          <cell r="G982">
            <v>88418</v>
          </cell>
        </row>
        <row r="983">
          <cell r="D983" t="str">
            <v>CDC-11703</v>
          </cell>
          <cell r="E983">
            <v>73541001</v>
          </cell>
          <cell r="F983">
            <v>88410</v>
          </cell>
          <cell r="G983">
            <v>88418</v>
          </cell>
        </row>
        <row r="984">
          <cell r="D984" t="str">
            <v>CDC-11703</v>
          </cell>
          <cell r="E984">
            <v>73541001</v>
          </cell>
          <cell r="F984">
            <v>88410</v>
          </cell>
          <cell r="G984">
            <v>88418</v>
          </cell>
        </row>
        <row r="985">
          <cell r="D985" t="str">
            <v>CDC-11703</v>
          </cell>
          <cell r="E985">
            <v>73541001</v>
          </cell>
          <cell r="F985">
            <v>88410</v>
          </cell>
          <cell r="G985">
            <v>88418</v>
          </cell>
        </row>
        <row r="986">
          <cell r="D986" t="str">
            <v>CDC-11703</v>
          </cell>
          <cell r="E986">
            <v>73541001</v>
          </cell>
          <cell r="F986">
            <v>88410</v>
          </cell>
          <cell r="G986">
            <v>88418</v>
          </cell>
        </row>
        <row r="987">
          <cell r="D987" t="str">
            <v>CDC-11703</v>
          </cell>
          <cell r="E987">
            <v>73541001</v>
          </cell>
          <cell r="F987">
            <v>88410</v>
          </cell>
          <cell r="G987">
            <v>88418</v>
          </cell>
        </row>
        <row r="988">
          <cell r="D988" t="e">
            <v>#N/A</v>
          </cell>
          <cell r="E988">
            <v>83027001</v>
          </cell>
          <cell r="F988">
            <v>9617</v>
          </cell>
          <cell r="G988">
            <v>93013</v>
          </cell>
        </row>
        <row r="989">
          <cell r="D989" t="e">
            <v>#N/A</v>
          </cell>
          <cell r="E989">
            <v>83027001</v>
          </cell>
          <cell r="F989">
            <v>9617</v>
          </cell>
          <cell r="G989">
            <v>93013</v>
          </cell>
        </row>
        <row r="990">
          <cell r="D990" t="e">
            <v>#N/A</v>
          </cell>
          <cell r="E990">
            <v>83027001</v>
          </cell>
          <cell r="F990">
            <v>9617</v>
          </cell>
          <cell r="G990">
            <v>93013</v>
          </cell>
        </row>
        <row r="991">
          <cell r="D991" t="e">
            <v>#N/A</v>
          </cell>
          <cell r="E991">
            <v>83027001</v>
          </cell>
          <cell r="F991">
            <v>9617</v>
          </cell>
          <cell r="G991">
            <v>93013</v>
          </cell>
        </row>
        <row r="992">
          <cell r="D992" t="e">
            <v>#N/A</v>
          </cell>
          <cell r="E992">
            <v>83027001</v>
          </cell>
          <cell r="F992">
            <v>9617</v>
          </cell>
          <cell r="G992">
            <v>93013</v>
          </cell>
        </row>
        <row r="993">
          <cell r="D993" t="e">
            <v>#N/A</v>
          </cell>
          <cell r="E993">
            <v>83027001</v>
          </cell>
          <cell r="F993">
            <v>9617</v>
          </cell>
          <cell r="G993">
            <v>93013</v>
          </cell>
        </row>
        <row r="994">
          <cell r="D994" t="str">
            <v>CDC-17869</v>
          </cell>
          <cell r="E994">
            <v>103156001</v>
          </cell>
          <cell r="F994">
            <v>188924</v>
          </cell>
          <cell r="G994">
            <v>818718</v>
          </cell>
        </row>
        <row r="995">
          <cell r="D995" t="str">
            <v>CDC-17869</v>
          </cell>
          <cell r="E995">
            <v>103156001</v>
          </cell>
          <cell r="F995">
            <v>188924</v>
          </cell>
          <cell r="G995">
            <v>818718</v>
          </cell>
        </row>
        <row r="996">
          <cell r="D996" t="str">
            <v>CDC-17869</v>
          </cell>
          <cell r="E996">
            <v>103156001</v>
          </cell>
          <cell r="F996">
            <v>188924</v>
          </cell>
          <cell r="G996">
            <v>818718</v>
          </cell>
        </row>
        <row r="997">
          <cell r="D997" t="str">
            <v>CDC-17869</v>
          </cell>
          <cell r="E997">
            <v>103156001</v>
          </cell>
          <cell r="F997">
            <v>188924</v>
          </cell>
          <cell r="G997">
            <v>818718</v>
          </cell>
        </row>
        <row r="998">
          <cell r="D998" t="str">
            <v>CDC-17869</v>
          </cell>
          <cell r="E998">
            <v>103156001</v>
          </cell>
          <cell r="F998">
            <v>188924</v>
          </cell>
          <cell r="G998">
            <v>818718</v>
          </cell>
        </row>
        <row r="999">
          <cell r="D999" t="str">
            <v>CDC-17869</v>
          </cell>
          <cell r="E999">
            <v>103156001</v>
          </cell>
          <cell r="F999">
            <v>188924</v>
          </cell>
          <cell r="G999">
            <v>818718</v>
          </cell>
        </row>
        <row r="1000">
          <cell r="D1000" t="str">
            <v>CDC-17869</v>
          </cell>
          <cell r="E1000">
            <v>103156001</v>
          </cell>
          <cell r="F1000">
            <v>188924</v>
          </cell>
          <cell r="G1000">
            <v>818718</v>
          </cell>
        </row>
        <row r="1001">
          <cell r="D1001" t="str">
            <v>CDC-17869</v>
          </cell>
          <cell r="E1001">
            <v>103156001</v>
          </cell>
          <cell r="F1001">
            <v>188924</v>
          </cell>
          <cell r="G1001">
            <v>818718</v>
          </cell>
        </row>
        <row r="1002">
          <cell r="D1002" t="str">
            <v>CDC-17869</v>
          </cell>
          <cell r="E1002">
            <v>103156001</v>
          </cell>
          <cell r="F1002">
            <v>188924</v>
          </cell>
          <cell r="G1002">
            <v>818718</v>
          </cell>
        </row>
        <row r="1003">
          <cell r="D1003" t="str">
            <v>CDC-17869</v>
          </cell>
          <cell r="E1003">
            <v>103156001</v>
          </cell>
          <cell r="F1003">
            <v>188924</v>
          </cell>
          <cell r="G1003">
            <v>818718</v>
          </cell>
        </row>
        <row r="1004">
          <cell r="D1004" t="str">
            <v>CDC-9423</v>
          </cell>
          <cell r="E1004">
            <v>73291002</v>
          </cell>
          <cell r="F1004">
            <v>9530</v>
          </cell>
          <cell r="G1004">
            <v>80538</v>
          </cell>
        </row>
        <row r="1005">
          <cell r="D1005" t="str">
            <v>CDC-9423</v>
          </cell>
          <cell r="E1005">
            <v>73291002</v>
          </cell>
          <cell r="F1005">
            <v>9530</v>
          </cell>
          <cell r="G1005">
            <v>80538</v>
          </cell>
        </row>
        <row r="1006">
          <cell r="D1006" t="str">
            <v>CDC-9423</v>
          </cell>
          <cell r="E1006">
            <v>73291002</v>
          </cell>
          <cell r="F1006">
            <v>9530</v>
          </cell>
          <cell r="G1006">
            <v>80538</v>
          </cell>
        </row>
        <row r="1007">
          <cell r="D1007" t="str">
            <v>CDC-9423</v>
          </cell>
          <cell r="E1007">
            <v>73291002</v>
          </cell>
          <cell r="F1007">
            <v>9530</v>
          </cell>
          <cell r="G1007">
            <v>80538</v>
          </cell>
        </row>
        <row r="1008">
          <cell r="D1008" t="str">
            <v>CDC-9423</v>
          </cell>
          <cell r="E1008">
            <v>73291002</v>
          </cell>
          <cell r="F1008">
            <v>9530</v>
          </cell>
          <cell r="G1008">
            <v>80538</v>
          </cell>
        </row>
        <row r="1009">
          <cell r="D1009" t="str">
            <v>CDC-9423</v>
          </cell>
          <cell r="E1009">
            <v>73291002</v>
          </cell>
          <cell r="F1009">
            <v>9530</v>
          </cell>
          <cell r="G1009">
            <v>80538</v>
          </cell>
        </row>
        <row r="1010">
          <cell r="D1010" t="str">
            <v>CDC-10285</v>
          </cell>
          <cell r="E1010">
            <v>103119001</v>
          </cell>
          <cell r="F1010">
            <v>80858</v>
          </cell>
          <cell r="G1010">
            <v>80859</v>
          </cell>
        </row>
        <row r="1011">
          <cell r="D1011" t="str">
            <v>CDC-10285</v>
          </cell>
          <cell r="E1011">
            <v>103119001</v>
          </cell>
          <cell r="F1011">
            <v>80858</v>
          </cell>
          <cell r="G1011">
            <v>80859</v>
          </cell>
        </row>
        <row r="1012">
          <cell r="D1012" t="str">
            <v>CDC-10285</v>
          </cell>
          <cell r="E1012">
            <v>103119001</v>
          </cell>
          <cell r="F1012">
            <v>80858</v>
          </cell>
          <cell r="G1012">
            <v>80859</v>
          </cell>
        </row>
        <row r="1013">
          <cell r="D1013" t="str">
            <v>CDC-10285</v>
          </cell>
          <cell r="E1013">
            <v>103119001</v>
          </cell>
          <cell r="F1013">
            <v>80858</v>
          </cell>
          <cell r="G1013">
            <v>80859</v>
          </cell>
        </row>
        <row r="1014">
          <cell r="D1014" t="str">
            <v>CDC-10285</v>
          </cell>
          <cell r="E1014">
            <v>103119001</v>
          </cell>
          <cell r="F1014">
            <v>80858</v>
          </cell>
          <cell r="G1014">
            <v>80859</v>
          </cell>
        </row>
        <row r="1015">
          <cell r="D1015" t="str">
            <v>CDC-10285</v>
          </cell>
          <cell r="E1015">
            <v>103119001</v>
          </cell>
          <cell r="F1015">
            <v>80858</v>
          </cell>
          <cell r="G1015">
            <v>80859</v>
          </cell>
        </row>
        <row r="1016">
          <cell r="D1016" t="str">
            <v>CDC-14047</v>
          </cell>
          <cell r="E1016">
            <v>143023001</v>
          </cell>
          <cell r="F1016">
            <v>90464</v>
          </cell>
          <cell r="G1016">
            <v>90465</v>
          </cell>
        </row>
        <row r="1017">
          <cell r="D1017" t="str">
            <v>CDC-14047</v>
          </cell>
          <cell r="E1017">
            <v>143023001</v>
          </cell>
          <cell r="F1017">
            <v>90464</v>
          </cell>
          <cell r="G1017">
            <v>90465</v>
          </cell>
        </row>
        <row r="1018">
          <cell r="D1018" t="str">
            <v>CDC-14047</v>
          </cell>
          <cell r="E1018">
            <v>143023001</v>
          </cell>
          <cell r="F1018">
            <v>90464</v>
          </cell>
          <cell r="G1018">
            <v>90465</v>
          </cell>
        </row>
        <row r="1019">
          <cell r="D1019" t="str">
            <v>CDC-14047</v>
          </cell>
          <cell r="E1019">
            <v>143023001</v>
          </cell>
          <cell r="F1019">
            <v>90464</v>
          </cell>
          <cell r="G1019">
            <v>90465</v>
          </cell>
        </row>
        <row r="1020">
          <cell r="D1020" t="str">
            <v>CDC-14047</v>
          </cell>
          <cell r="E1020">
            <v>143023001</v>
          </cell>
          <cell r="F1020">
            <v>90464</v>
          </cell>
          <cell r="G1020">
            <v>90465</v>
          </cell>
        </row>
        <row r="1021">
          <cell r="D1021" t="str">
            <v>CDC-14047</v>
          </cell>
          <cell r="E1021">
            <v>143023001</v>
          </cell>
          <cell r="F1021">
            <v>90464</v>
          </cell>
          <cell r="G1021">
            <v>90465</v>
          </cell>
        </row>
        <row r="1022">
          <cell r="D1022" t="str">
            <v>CDC-15659</v>
          </cell>
          <cell r="E1022">
            <v>103223001</v>
          </cell>
          <cell r="F1022">
            <v>91120</v>
          </cell>
          <cell r="G1022">
            <v>91121</v>
          </cell>
        </row>
        <row r="1023">
          <cell r="D1023" t="str">
            <v>CDC-15659</v>
          </cell>
          <cell r="E1023">
            <v>103223001</v>
          </cell>
          <cell r="F1023">
            <v>91120</v>
          </cell>
          <cell r="G1023">
            <v>91121</v>
          </cell>
        </row>
        <row r="1024">
          <cell r="D1024" t="str">
            <v>CDC-15659</v>
          </cell>
          <cell r="E1024">
            <v>103223001</v>
          </cell>
          <cell r="F1024">
            <v>91120</v>
          </cell>
          <cell r="G1024">
            <v>91121</v>
          </cell>
        </row>
        <row r="1025">
          <cell r="D1025" t="str">
            <v>CDC-15659</v>
          </cell>
          <cell r="E1025">
            <v>103223001</v>
          </cell>
          <cell r="F1025">
            <v>91120</v>
          </cell>
          <cell r="G1025">
            <v>91121</v>
          </cell>
        </row>
        <row r="1026">
          <cell r="D1026" t="str">
            <v>CDC-15659</v>
          </cell>
          <cell r="E1026">
            <v>103223001</v>
          </cell>
          <cell r="F1026">
            <v>91120</v>
          </cell>
          <cell r="G1026">
            <v>91121</v>
          </cell>
        </row>
        <row r="1027">
          <cell r="D1027" t="str">
            <v>CDC-15659</v>
          </cell>
          <cell r="E1027">
            <v>103223001</v>
          </cell>
          <cell r="F1027">
            <v>91120</v>
          </cell>
          <cell r="G1027">
            <v>91121</v>
          </cell>
        </row>
        <row r="1028">
          <cell r="D1028" t="str">
            <v>CDC-15659</v>
          </cell>
          <cell r="E1028">
            <v>103223001</v>
          </cell>
          <cell r="F1028">
            <v>91120</v>
          </cell>
          <cell r="G1028">
            <v>91121</v>
          </cell>
        </row>
        <row r="1029">
          <cell r="D1029" t="str">
            <v>CDC-15659</v>
          </cell>
          <cell r="E1029">
            <v>103223001</v>
          </cell>
          <cell r="F1029">
            <v>91120</v>
          </cell>
          <cell r="G1029">
            <v>91121</v>
          </cell>
        </row>
        <row r="1030">
          <cell r="D1030" t="str">
            <v>CDC-12970</v>
          </cell>
          <cell r="E1030">
            <v>103131001</v>
          </cell>
          <cell r="F1030">
            <v>89253</v>
          </cell>
          <cell r="G1030">
            <v>89254</v>
          </cell>
        </row>
        <row r="1031">
          <cell r="D1031" t="str">
            <v>CDC-12970</v>
          </cell>
          <cell r="E1031">
            <v>103131001</v>
          </cell>
          <cell r="F1031">
            <v>89253</v>
          </cell>
          <cell r="G1031">
            <v>89254</v>
          </cell>
        </row>
        <row r="1032">
          <cell r="D1032" t="str">
            <v>CDC-12970</v>
          </cell>
          <cell r="E1032">
            <v>103131001</v>
          </cell>
          <cell r="F1032">
            <v>89253</v>
          </cell>
          <cell r="G1032">
            <v>89254</v>
          </cell>
        </row>
        <row r="1033">
          <cell r="D1033" t="str">
            <v>CDC-12970</v>
          </cell>
          <cell r="E1033">
            <v>103131001</v>
          </cell>
          <cell r="F1033">
            <v>89253</v>
          </cell>
          <cell r="G1033">
            <v>89254</v>
          </cell>
        </row>
        <row r="1034">
          <cell r="D1034" t="str">
            <v>CDC-12970</v>
          </cell>
          <cell r="E1034">
            <v>103131001</v>
          </cell>
          <cell r="F1034">
            <v>89253</v>
          </cell>
          <cell r="G1034">
            <v>89254</v>
          </cell>
        </row>
        <row r="1035">
          <cell r="D1035" t="str">
            <v>CDC-12970</v>
          </cell>
          <cell r="E1035">
            <v>103131001</v>
          </cell>
          <cell r="F1035">
            <v>89253</v>
          </cell>
          <cell r="G1035">
            <v>89254</v>
          </cell>
        </row>
        <row r="1036">
          <cell r="D1036" t="str">
            <v>CDC-12970</v>
          </cell>
          <cell r="E1036">
            <v>103131001</v>
          </cell>
          <cell r="F1036">
            <v>89253</v>
          </cell>
          <cell r="G1036">
            <v>89254</v>
          </cell>
        </row>
        <row r="1037">
          <cell r="D1037" t="str">
            <v>CDC-12970</v>
          </cell>
          <cell r="E1037">
            <v>103131001</v>
          </cell>
          <cell r="F1037">
            <v>89253</v>
          </cell>
          <cell r="G1037">
            <v>89254</v>
          </cell>
        </row>
        <row r="1038">
          <cell r="D1038" t="str">
            <v>CDC-10283</v>
          </cell>
          <cell r="E1038">
            <v>73491001</v>
          </cell>
          <cell r="F1038">
            <v>80921</v>
          </cell>
          <cell r="G1038">
            <v>80922</v>
          </cell>
        </row>
        <row r="1039">
          <cell r="D1039" t="str">
            <v>CDC-10283</v>
          </cell>
          <cell r="E1039">
            <v>73491001</v>
          </cell>
          <cell r="F1039">
            <v>80921</v>
          </cell>
          <cell r="G1039">
            <v>80922</v>
          </cell>
        </row>
        <row r="1040">
          <cell r="D1040" t="str">
            <v>CDC-10283</v>
          </cell>
          <cell r="E1040">
            <v>73491001</v>
          </cell>
          <cell r="F1040">
            <v>80921</v>
          </cell>
          <cell r="G1040">
            <v>80922</v>
          </cell>
        </row>
        <row r="1041">
          <cell r="D1041" t="str">
            <v>CDC-10283</v>
          </cell>
          <cell r="E1041">
            <v>73491001</v>
          </cell>
          <cell r="F1041">
            <v>80921</v>
          </cell>
          <cell r="G1041">
            <v>80922</v>
          </cell>
        </row>
        <row r="1042">
          <cell r="D1042" t="str">
            <v>CDC-10283</v>
          </cell>
          <cell r="E1042">
            <v>73491001</v>
          </cell>
          <cell r="F1042">
            <v>80921</v>
          </cell>
          <cell r="G1042">
            <v>80922</v>
          </cell>
        </row>
        <row r="1043">
          <cell r="D1043" t="str">
            <v>CDC-10283</v>
          </cell>
          <cell r="E1043">
            <v>73491001</v>
          </cell>
          <cell r="F1043">
            <v>80921</v>
          </cell>
          <cell r="G1043">
            <v>80922</v>
          </cell>
        </row>
        <row r="1044">
          <cell r="D1044" t="str">
            <v>CDC-12778</v>
          </cell>
          <cell r="E1044">
            <v>73546001</v>
          </cell>
          <cell r="F1044">
            <v>89387</v>
          </cell>
          <cell r="G1044">
            <v>89388</v>
          </cell>
        </row>
        <row r="1045">
          <cell r="D1045" t="str">
            <v>CDC-12778</v>
          </cell>
          <cell r="E1045">
            <v>73546001</v>
          </cell>
          <cell r="F1045">
            <v>89387</v>
          </cell>
          <cell r="G1045">
            <v>89388</v>
          </cell>
        </row>
        <row r="1046">
          <cell r="D1046" t="str">
            <v>CDC-12778</v>
          </cell>
          <cell r="E1046">
            <v>73546001</v>
          </cell>
          <cell r="F1046">
            <v>89387</v>
          </cell>
          <cell r="G1046">
            <v>89388</v>
          </cell>
        </row>
        <row r="1047">
          <cell r="D1047" t="str">
            <v>CDC-12778</v>
          </cell>
          <cell r="E1047">
            <v>73546001</v>
          </cell>
          <cell r="F1047">
            <v>89387</v>
          </cell>
          <cell r="G1047">
            <v>89388</v>
          </cell>
        </row>
        <row r="1048">
          <cell r="D1048" t="str">
            <v>CDC-12778</v>
          </cell>
          <cell r="E1048">
            <v>73546001</v>
          </cell>
          <cell r="F1048">
            <v>89387</v>
          </cell>
          <cell r="G1048">
            <v>89388</v>
          </cell>
        </row>
        <row r="1049">
          <cell r="D1049" t="str">
            <v>CDC-12778</v>
          </cell>
          <cell r="E1049">
            <v>73546001</v>
          </cell>
          <cell r="F1049">
            <v>89387</v>
          </cell>
          <cell r="G1049">
            <v>89388</v>
          </cell>
        </row>
        <row r="1050">
          <cell r="D1050" t="str">
            <v>CDC-9323</v>
          </cell>
          <cell r="E1050">
            <v>103041001</v>
          </cell>
          <cell r="F1050">
            <v>9904</v>
          </cell>
          <cell r="G1050">
            <v>9905</v>
          </cell>
        </row>
        <row r="1051">
          <cell r="D1051" t="str">
            <v>CDC-9323</v>
          </cell>
          <cell r="E1051">
            <v>103041001</v>
          </cell>
          <cell r="F1051">
            <v>9904</v>
          </cell>
          <cell r="G1051">
            <v>9905</v>
          </cell>
        </row>
        <row r="1052">
          <cell r="D1052" t="str">
            <v>CDC-9323</v>
          </cell>
          <cell r="E1052">
            <v>103041001</v>
          </cell>
          <cell r="F1052">
            <v>9904</v>
          </cell>
          <cell r="G1052">
            <v>9905</v>
          </cell>
        </row>
        <row r="1053">
          <cell r="D1053" t="str">
            <v>CDC-9323</v>
          </cell>
          <cell r="E1053">
            <v>103041001</v>
          </cell>
          <cell r="F1053">
            <v>9904</v>
          </cell>
          <cell r="G1053">
            <v>9905</v>
          </cell>
        </row>
        <row r="1054">
          <cell r="D1054" t="str">
            <v>CDC-9323</v>
          </cell>
          <cell r="E1054">
            <v>103041001</v>
          </cell>
          <cell r="F1054">
            <v>9904</v>
          </cell>
          <cell r="G1054">
            <v>9905</v>
          </cell>
        </row>
        <row r="1055">
          <cell r="D1055" t="str">
            <v>CDC-9323</v>
          </cell>
          <cell r="E1055">
            <v>103041001</v>
          </cell>
          <cell r="F1055">
            <v>9904</v>
          </cell>
          <cell r="G1055">
            <v>9905</v>
          </cell>
        </row>
        <row r="1056">
          <cell r="D1056" t="str">
            <v>CDC-8462</v>
          </cell>
          <cell r="E1056">
            <v>73446001</v>
          </cell>
          <cell r="F1056">
            <v>80723</v>
          </cell>
          <cell r="G1056">
            <v>80724</v>
          </cell>
        </row>
        <row r="1057">
          <cell r="D1057" t="str">
            <v>CDC-8462</v>
          </cell>
          <cell r="E1057">
            <v>73446001</v>
          </cell>
          <cell r="F1057">
            <v>80723</v>
          </cell>
          <cell r="G1057">
            <v>80724</v>
          </cell>
        </row>
        <row r="1058">
          <cell r="D1058" t="str">
            <v>CDC-8462</v>
          </cell>
          <cell r="E1058">
            <v>73446001</v>
          </cell>
          <cell r="F1058">
            <v>80723</v>
          </cell>
          <cell r="G1058">
            <v>80724</v>
          </cell>
        </row>
        <row r="1059">
          <cell r="D1059" t="str">
            <v>CDC-8462</v>
          </cell>
          <cell r="E1059">
            <v>73446001</v>
          </cell>
          <cell r="F1059">
            <v>80723</v>
          </cell>
          <cell r="G1059">
            <v>80724</v>
          </cell>
        </row>
        <row r="1060">
          <cell r="D1060" t="str">
            <v>CDC-8462</v>
          </cell>
          <cell r="E1060">
            <v>73446001</v>
          </cell>
          <cell r="F1060">
            <v>80723</v>
          </cell>
          <cell r="G1060">
            <v>80724</v>
          </cell>
        </row>
        <row r="1061">
          <cell r="D1061" t="str">
            <v>CDC-8462</v>
          </cell>
          <cell r="E1061">
            <v>73446001</v>
          </cell>
          <cell r="F1061">
            <v>80723</v>
          </cell>
          <cell r="G1061">
            <v>80724</v>
          </cell>
        </row>
        <row r="1062">
          <cell r="D1062" t="str">
            <v>CDC-8462</v>
          </cell>
          <cell r="E1062">
            <v>73446001</v>
          </cell>
          <cell r="F1062">
            <v>80723</v>
          </cell>
          <cell r="G1062">
            <v>80724</v>
          </cell>
        </row>
        <row r="1063">
          <cell r="D1063" t="str">
            <v>CDC-8462</v>
          </cell>
          <cell r="E1063">
            <v>73446001</v>
          </cell>
          <cell r="F1063">
            <v>80723</v>
          </cell>
          <cell r="G1063">
            <v>80724</v>
          </cell>
        </row>
        <row r="1064">
          <cell r="D1064" t="e">
            <v>#N/A</v>
          </cell>
          <cell r="E1064">
            <v>73476001</v>
          </cell>
          <cell r="F1064">
            <v>79869</v>
          </cell>
          <cell r="G1064">
            <v>79870</v>
          </cell>
        </row>
        <row r="1065">
          <cell r="D1065" t="e">
            <v>#N/A</v>
          </cell>
          <cell r="E1065">
            <v>73476001</v>
          </cell>
          <cell r="F1065">
            <v>79869</v>
          </cell>
          <cell r="G1065">
            <v>79870</v>
          </cell>
        </row>
        <row r="1066">
          <cell r="D1066" t="e">
            <v>#N/A</v>
          </cell>
          <cell r="E1066">
            <v>73476001</v>
          </cell>
          <cell r="F1066">
            <v>79869</v>
          </cell>
          <cell r="G1066">
            <v>79870</v>
          </cell>
        </row>
        <row r="1067">
          <cell r="D1067" t="e">
            <v>#N/A</v>
          </cell>
          <cell r="E1067">
            <v>73476001</v>
          </cell>
          <cell r="F1067">
            <v>79869</v>
          </cell>
          <cell r="G1067">
            <v>79870</v>
          </cell>
        </row>
        <row r="1068">
          <cell r="D1068" t="e">
            <v>#N/A</v>
          </cell>
          <cell r="E1068">
            <v>73476001</v>
          </cell>
          <cell r="F1068">
            <v>79869</v>
          </cell>
          <cell r="G1068">
            <v>79870</v>
          </cell>
        </row>
        <row r="1069">
          <cell r="D1069" t="e">
            <v>#N/A</v>
          </cell>
          <cell r="E1069">
            <v>73476001</v>
          </cell>
          <cell r="F1069">
            <v>79869</v>
          </cell>
          <cell r="G1069">
            <v>79870</v>
          </cell>
        </row>
        <row r="1070">
          <cell r="D1070" t="e">
            <v>#N/A</v>
          </cell>
          <cell r="E1070">
            <v>73476001</v>
          </cell>
          <cell r="F1070">
            <v>79869</v>
          </cell>
          <cell r="G1070">
            <v>79870</v>
          </cell>
        </row>
        <row r="1071">
          <cell r="D1071" t="e">
            <v>#N/A</v>
          </cell>
          <cell r="E1071">
            <v>73476001</v>
          </cell>
          <cell r="F1071">
            <v>79869</v>
          </cell>
          <cell r="G1071">
            <v>79870</v>
          </cell>
        </row>
        <row r="1072">
          <cell r="D1072" t="e">
            <v>#N/A</v>
          </cell>
          <cell r="E1072">
            <v>73476001</v>
          </cell>
          <cell r="F1072">
            <v>79869</v>
          </cell>
          <cell r="G1072">
            <v>79870</v>
          </cell>
        </row>
        <row r="1073">
          <cell r="D1073" t="e">
            <v>#N/A</v>
          </cell>
          <cell r="E1073">
            <v>73476001</v>
          </cell>
          <cell r="F1073">
            <v>79869</v>
          </cell>
          <cell r="G1073">
            <v>79870</v>
          </cell>
        </row>
        <row r="1074">
          <cell r="D1074" t="str">
            <v>CDC-17899</v>
          </cell>
          <cell r="E1074">
            <v>73333001</v>
          </cell>
          <cell r="F1074">
            <v>468011</v>
          </cell>
          <cell r="G1074">
            <v>327735</v>
          </cell>
        </row>
        <row r="1075">
          <cell r="D1075" t="str">
            <v>CDC-17899</v>
          </cell>
          <cell r="E1075">
            <v>73333001</v>
          </cell>
          <cell r="F1075">
            <v>468011</v>
          </cell>
          <cell r="G1075">
            <v>327735</v>
          </cell>
        </row>
        <row r="1076">
          <cell r="D1076" t="str">
            <v>CDC-17899</v>
          </cell>
          <cell r="E1076">
            <v>73333001</v>
          </cell>
          <cell r="F1076">
            <v>468011</v>
          </cell>
          <cell r="G1076">
            <v>327735</v>
          </cell>
        </row>
        <row r="1077">
          <cell r="D1077" t="str">
            <v>CDC-17899</v>
          </cell>
          <cell r="E1077">
            <v>73333001</v>
          </cell>
          <cell r="F1077">
            <v>468011</v>
          </cell>
          <cell r="G1077">
            <v>327735</v>
          </cell>
        </row>
        <row r="1078">
          <cell r="D1078" t="str">
            <v>CDC-17899</v>
          </cell>
          <cell r="E1078">
            <v>73333001</v>
          </cell>
          <cell r="F1078">
            <v>468011</v>
          </cell>
          <cell r="G1078">
            <v>327735</v>
          </cell>
        </row>
        <row r="1079">
          <cell r="D1079" t="str">
            <v>CDC-17899</v>
          </cell>
          <cell r="E1079">
            <v>73333001</v>
          </cell>
          <cell r="F1079">
            <v>468011</v>
          </cell>
          <cell r="G1079">
            <v>327735</v>
          </cell>
        </row>
        <row r="1080">
          <cell r="D1080" t="str">
            <v>CDC-7779</v>
          </cell>
          <cell r="E1080">
            <v>73443001</v>
          </cell>
          <cell r="F1080">
            <v>80528</v>
          </cell>
          <cell r="G1080">
            <v>80529</v>
          </cell>
        </row>
        <row r="1081">
          <cell r="D1081" t="str">
            <v>CDC-7779</v>
          </cell>
          <cell r="E1081">
            <v>73443001</v>
          </cell>
          <cell r="F1081">
            <v>80528</v>
          </cell>
          <cell r="G1081">
            <v>80529</v>
          </cell>
        </row>
        <row r="1082">
          <cell r="D1082" t="str">
            <v>CDC-7779</v>
          </cell>
          <cell r="E1082">
            <v>73443001</v>
          </cell>
          <cell r="F1082">
            <v>80528</v>
          </cell>
          <cell r="G1082">
            <v>80529</v>
          </cell>
        </row>
        <row r="1083">
          <cell r="D1083" t="str">
            <v>CDC-7779</v>
          </cell>
          <cell r="E1083">
            <v>73443001</v>
          </cell>
          <cell r="F1083">
            <v>80528</v>
          </cell>
          <cell r="G1083">
            <v>80529</v>
          </cell>
        </row>
        <row r="1084">
          <cell r="D1084" t="str">
            <v>CDC-7779</v>
          </cell>
          <cell r="E1084">
            <v>73443001</v>
          </cell>
          <cell r="F1084">
            <v>80528</v>
          </cell>
          <cell r="G1084">
            <v>80529</v>
          </cell>
        </row>
        <row r="1085">
          <cell r="D1085" t="str">
            <v>CDC-7779</v>
          </cell>
          <cell r="E1085">
            <v>73443001</v>
          </cell>
          <cell r="F1085">
            <v>80528</v>
          </cell>
          <cell r="G1085">
            <v>80529</v>
          </cell>
        </row>
        <row r="1086">
          <cell r="D1086" t="str">
            <v>CDC-7779</v>
          </cell>
          <cell r="E1086">
            <v>73443001</v>
          </cell>
          <cell r="F1086">
            <v>80528</v>
          </cell>
          <cell r="G1086">
            <v>80529</v>
          </cell>
        </row>
        <row r="1087">
          <cell r="D1087" t="str">
            <v>CDC-7779</v>
          </cell>
          <cell r="E1087">
            <v>73443001</v>
          </cell>
          <cell r="F1087">
            <v>80528</v>
          </cell>
          <cell r="G1087">
            <v>80529</v>
          </cell>
        </row>
        <row r="1088">
          <cell r="D1088" t="str">
            <v>CDC-7779</v>
          </cell>
          <cell r="E1088">
            <v>73443001</v>
          </cell>
          <cell r="F1088">
            <v>80528</v>
          </cell>
          <cell r="G1088">
            <v>80529</v>
          </cell>
        </row>
        <row r="1089">
          <cell r="D1089" t="str">
            <v>CDC-7779</v>
          </cell>
          <cell r="E1089">
            <v>73443001</v>
          </cell>
          <cell r="F1089">
            <v>80528</v>
          </cell>
          <cell r="G1089">
            <v>80529</v>
          </cell>
        </row>
        <row r="1090">
          <cell r="D1090" t="str">
            <v>CDC-9818</v>
          </cell>
          <cell r="E1090">
            <v>73473001</v>
          </cell>
          <cell r="F1090">
            <v>80627</v>
          </cell>
          <cell r="G1090">
            <v>80628</v>
          </cell>
        </row>
        <row r="1091">
          <cell r="D1091" t="str">
            <v>CDC-9818</v>
          </cell>
          <cell r="E1091">
            <v>73473001</v>
          </cell>
          <cell r="F1091">
            <v>80627</v>
          </cell>
          <cell r="G1091">
            <v>80628</v>
          </cell>
        </row>
        <row r="1092">
          <cell r="D1092" t="str">
            <v>CDC-9818</v>
          </cell>
          <cell r="E1092">
            <v>73473001</v>
          </cell>
          <cell r="F1092">
            <v>80627</v>
          </cell>
          <cell r="G1092">
            <v>80628</v>
          </cell>
        </row>
        <row r="1093">
          <cell r="D1093" t="str">
            <v>CDC-9818</v>
          </cell>
          <cell r="E1093">
            <v>73473001</v>
          </cell>
          <cell r="F1093">
            <v>80627</v>
          </cell>
          <cell r="G1093">
            <v>80628</v>
          </cell>
        </row>
        <row r="1094">
          <cell r="D1094" t="str">
            <v>CDC-9818</v>
          </cell>
          <cell r="E1094">
            <v>73473001</v>
          </cell>
          <cell r="F1094">
            <v>80627</v>
          </cell>
          <cell r="G1094">
            <v>80628</v>
          </cell>
        </row>
        <row r="1095">
          <cell r="D1095" t="str">
            <v>CDC-16218</v>
          </cell>
          <cell r="E1095">
            <v>73369001</v>
          </cell>
          <cell r="F1095">
            <v>1001142</v>
          </cell>
          <cell r="G1095">
            <v>1001162</v>
          </cell>
        </row>
        <row r="1096">
          <cell r="D1096" t="str">
            <v>CDC-16218</v>
          </cell>
          <cell r="E1096">
            <v>73369001</v>
          </cell>
          <cell r="F1096">
            <v>1001142</v>
          </cell>
          <cell r="G1096">
            <v>1001162</v>
          </cell>
        </row>
        <row r="1097">
          <cell r="D1097" t="str">
            <v>CDC-16218</v>
          </cell>
          <cell r="E1097">
            <v>73369001</v>
          </cell>
          <cell r="F1097">
            <v>1001142</v>
          </cell>
          <cell r="G1097">
            <v>1001162</v>
          </cell>
        </row>
        <row r="1098">
          <cell r="D1098" t="str">
            <v>CDC-16218</v>
          </cell>
          <cell r="E1098">
            <v>73369001</v>
          </cell>
          <cell r="F1098">
            <v>1001142</v>
          </cell>
          <cell r="G1098">
            <v>1001162</v>
          </cell>
        </row>
        <row r="1099">
          <cell r="D1099" t="str">
            <v>CDC-16218</v>
          </cell>
          <cell r="E1099">
            <v>73369001</v>
          </cell>
          <cell r="F1099">
            <v>1001142</v>
          </cell>
          <cell r="G1099">
            <v>1001162</v>
          </cell>
        </row>
        <row r="1100">
          <cell r="D1100" t="str">
            <v>CDC-16218</v>
          </cell>
          <cell r="E1100">
            <v>73369001</v>
          </cell>
          <cell r="F1100">
            <v>1001142</v>
          </cell>
          <cell r="G1100">
            <v>1001162</v>
          </cell>
        </row>
        <row r="1101">
          <cell r="D1101" t="str">
            <v>CDC-12197</v>
          </cell>
          <cell r="E1101">
            <v>73029002</v>
          </cell>
          <cell r="F1101">
            <v>9030</v>
          </cell>
          <cell r="G1101">
            <v>87901</v>
          </cell>
        </row>
        <row r="1102">
          <cell r="D1102" t="str">
            <v>CDC-12197</v>
          </cell>
          <cell r="E1102">
            <v>73029002</v>
          </cell>
          <cell r="F1102">
            <v>9030</v>
          </cell>
          <cell r="G1102">
            <v>87901</v>
          </cell>
        </row>
        <row r="1103">
          <cell r="D1103" t="str">
            <v>CDC-12197</v>
          </cell>
          <cell r="E1103">
            <v>73029002</v>
          </cell>
          <cell r="F1103">
            <v>9030</v>
          </cell>
          <cell r="G1103">
            <v>87901</v>
          </cell>
        </row>
        <row r="1104">
          <cell r="D1104" t="str">
            <v>CDC-12197</v>
          </cell>
          <cell r="E1104">
            <v>73029002</v>
          </cell>
          <cell r="F1104">
            <v>9030</v>
          </cell>
          <cell r="G1104">
            <v>87901</v>
          </cell>
        </row>
        <row r="1105">
          <cell r="D1105" t="str">
            <v>CDC-12197</v>
          </cell>
          <cell r="E1105">
            <v>73029002</v>
          </cell>
          <cell r="F1105">
            <v>9030</v>
          </cell>
          <cell r="G1105">
            <v>87901</v>
          </cell>
        </row>
        <row r="1106">
          <cell r="D1106" t="str">
            <v>CDC-12197</v>
          </cell>
          <cell r="E1106">
            <v>73029002</v>
          </cell>
          <cell r="F1106">
            <v>9030</v>
          </cell>
          <cell r="G1106">
            <v>87901</v>
          </cell>
        </row>
        <row r="1107">
          <cell r="D1107" t="str">
            <v>CDC-12197</v>
          </cell>
          <cell r="E1107">
            <v>73029002</v>
          </cell>
          <cell r="F1107">
            <v>9030</v>
          </cell>
          <cell r="G1107">
            <v>87901</v>
          </cell>
        </row>
        <row r="1108">
          <cell r="D1108" t="str">
            <v>CDC-12197</v>
          </cell>
          <cell r="E1108">
            <v>73029002</v>
          </cell>
          <cell r="F1108">
            <v>9030</v>
          </cell>
          <cell r="G1108">
            <v>87901</v>
          </cell>
        </row>
        <row r="1109">
          <cell r="D1109" t="str">
            <v>CDC-17594</v>
          </cell>
          <cell r="E1109">
            <v>73539002</v>
          </cell>
          <cell r="F1109">
            <v>88358</v>
          </cell>
          <cell r="G1109">
            <v>761607</v>
          </cell>
        </row>
        <row r="1110">
          <cell r="D1110" t="str">
            <v>CDC-17594</v>
          </cell>
          <cell r="E1110">
            <v>73539002</v>
          </cell>
          <cell r="F1110">
            <v>88358</v>
          </cell>
          <cell r="G1110">
            <v>761607</v>
          </cell>
        </row>
        <row r="1111">
          <cell r="D1111" t="str">
            <v>CDC-17594</v>
          </cell>
          <cell r="E1111">
            <v>73539002</v>
          </cell>
          <cell r="F1111">
            <v>88358</v>
          </cell>
          <cell r="G1111">
            <v>761607</v>
          </cell>
        </row>
        <row r="1112">
          <cell r="D1112" t="str">
            <v>CDC-17594</v>
          </cell>
          <cell r="E1112">
            <v>73539002</v>
          </cell>
          <cell r="F1112">
            <v>88358</v>
          </cell>
          <cell r="G1112">
            <v>761607</v>
          </cell>
        </row>
        <row r="1113">
          <cell r="D1113" t="str">
            <v>CDC-17594</v>
          </cell>
          <cell r="E1113">
            <v>73539002</v>
          </cell>
          <cell r="F1113">
            <v>88358</v>
          </cell>
          <cell r="G1113">
            <v>761607</v>
          </cell>
        </row>
        <row r="1114">
          <cell r="D1114" t="str">
            <v>CDC-17594</v>
          </cell>
          <cell r="E1114">
            <v>73539002</v>
          </cell>
          <cell r="F1114">
            <v>88358</v>
          </cell>
          <cell r="G1114">
            <v>761607</v>
          </cell>
        </row>
        <row r="1115">
          <cell r="D1115" t="str">
            <v>CDC-18401</v>
          </cell>
          <cell r="E1115">
            <v>73355001</v>
          </cell>
          <cell r="F1115">
            <v>1000206</v>
          </cell>
          <cell r="G1115">
            <v>1000212</v>
          </cell>
        </row>
        <row r="1116">
          <cell r="D1116" t="str">
            <v>CDC-18401</v>
          </cell>
          <cell r="E1116">
            <v>73355001</v>
          </cell>
          <cell r="F1116">
            <v>1000206</v>
          </cell>
          <cell r="G1116">
            <v>1000212</v>
          </cell>
        </row>
        <row r="1117">
          <cell r="D1117" t="str">
            <v>CDC-18401</v>
          </cell>
          <cell r="E1117">
            <v>73355001</v>
          </cell>
          <cell r="F1117">
            <v>1000206</v>
          </cell>
          <cell r="G1117">
            <v>1000212</v>
          </cell>
        </row>
        <row r="1118">
          <cell r="D1118" t="str">
            <v>CDC-18401</v>
          </cell>
          <cell r="E1118">
            <v>73355001</v>
          </cell>
          <cell r="F1118">
            <v>1000206</v>
          </cell>
          <cell r="G1118">
            <v>1000212</v>
          </cell>
        </row>
        <row r="1119">
          <cell r="D1119" t="str">
            <v>CDC-18401</v>
          </cell>
          <cell r="E1119">
            <v>73355001</v>
          </cell>
          <cell r="F1119">
            <v>1000206</v>
          </cell>
          <cell r="G1119">
            <v>1000212</v>
          </cell>
        </row>
        <row r="1120">
          <cell r="D1120" t="str">
            <v>CDC-18401</v>
          </cell>
          <cell r="E1120">
            <v>73355001</v>
          </cell>
          <cell r="F1120">
            <v>1000206</v>
          </cell>
          <cell r="G1120">
            <v>1000212</v>
          </cell>
        </row>
        <row r="1121">
          <cell r="D1121" t="str">
            <v>CDC-14239</v>
          </cell>
          <cell r="E1121">
            <v>73218004</v>
          </cell>
          <cell r="F1121">
            <v>9343</v>
          </cell>
          <cell r="G1121">
            <v>80518</v>
          </cell>
        </row>
        <row r="1122">
          <cell r="D1122" t="str">
            <v>CDC-14239</v>
          </cell>
          <cell r="E1122">
            <v>73218004</v>
          </cell>
          <cell r="F1122">
            <v>9343</v>
          </cell>
          <cell r="G1122">
            <v>80518</v>
          </cell>
        </row>
        <row r="1123">
          <cell r="D1123" t="str">
            <v>CDC-14239</v>
          </cell>
          <cell r="E1123">
            <v>73218004</v>
          </cell>
          <cell r="F1123">
            <v>9343</v>
          </cell>
          <cell r="G1123">
            <v>80518</v>
          </cell>
        </row>
        <row r="1124">
          <cell r="D1124" t="str">
            <v>CDC-14239</v>
          </cell>
          <cell r="E1124">
            <v>73218004</v>
          </cell>
          <cell r="F1124">
            <v>9343</v>
          </cell>
          <cell r="G1124">
            <v>80518</v>
          </cell>
        </row>
        <row r="1125">
          <cell r="D1125" t="str">
            <v>CDC-14239</v>
          </cell>
          <cell r="E1125">
            <v>73218004</v>
          </cell>
          <cell r="F1125">
            <v>9343</v>
          </cell>
          <cell r="G1125">
            <v>80518</v>
          </cell>
        </row>
        <row r="1126">
          <cell r="D1126" t="str">
            <v>CDC-14239</v>
          </cell>
          <cell r="E1126">
            <v>73218004</v>
          </cell>
          <cell r="F1126">
            <v>9343</v>
          </cell>
          <cell r="G1126">
            <v>80518</v>
          </cell>
        </row>
        <row r="1127">
          <cell r="D1127" t="str">
            <v>CDC-14239</v>
          </cell>
          <cell r="E1127">
            <v>73218004</v>
          </cell>
          <cell r="F1127">
            <v>9343</v>
          </cell>
          <cell r="G1127">
            <v>80518</v>
          </cell>
        </row>
        <row r="1128">
          <cell r="D1128" t="str">
            <v>CDC-14239</v>
          </cell>
          <cell r="E1128">
            <v>73218004</v>
          </cell>
          <cell r="F1128">
            <v>9343</v>
          </cell>
          <cell r="G1128">
            <v>80518</v>
          </cell>
        </row>
        <row r="1129">
          <cell r="D1129" t="str">
            <v>CDC-14239</v>
          </cell>
          <cell r="E1129">
            <v>73218004</v>
          </cell>
          <cell r="F1129">
            <v>9343</v>
          </cell>
          <cell r="G1129">
            <v>80518</v>
          </cell>
        </row>
        <row r="1130">
          <cell r="D1130" t="str">
            <v>CDC-14239</v>
          </cell>
          <cell r="E1130">
            <v>73218004</v>
          </cell>
          <cell r="F1130">
            <v>9343</v>
          </cell>
          <cell r="G1130">
            <v>80518</v>
          </cell>
        </row>
        <row r="1131">
          <cell r="D1131" t="str">
            <v>CDC-10874</v>
          </cell>
          <cell r="E1131">
            <v>73218006</v>
          </cell>
          <cell r="F1131">
            <v>9343</v>
          </cell>
          <cell r="G1131">
            <v>84664</v>
          </cell>
        </row>
        <row r="1132">
          <cell r="D1132" t="str">
            <v>CDC-10874</v>
          </cell>
          <cell r="E1132">
            <v>73218006</v>
          </cell>
          <cell r="F1132">
            <v>9343</v>
          </cell>
          <cell r="G1132">
            <v>84664</v>
          </cell>
        </row>
        <row r="1133">
          <cell r="D1133" t="str">
            <v>CDC-10874</v>
          </cell>
          <cell r="E1133">
            <v>73218006</v>
          </cell>
          <cell r="F1133">
            <v>9343</v>
          </cell>
          <cell r="G1133">
            <v>84664</v>
          </cell>
        </row>
        <row r="1134">
          <cell r="D1134" t="str">
            <v>CDC-10874</v>
          </cell>
          <cell r="E1134">
            <v>73218006</v>
          </cell>
          <cell r="F1134">
            <v>9343</v>
          </cell>
          <cell r="G1134">
            <v>84664</v>
          </cell>
        </row>
        <row r="1135">
          <cell r="D1135" t="str">
            <v>CDC-10874</v>
          </cell>
          <cell r="E1135">
            <v>73218006</v>
          </cell>
          <cell r="F1135">
            <v>9343</v>
          </cell>
          <cell r="G1135">
            <v>84664</v>
          </cell>
        </row>
        <row r="1136">
          <cell r="D1136" t="str">
            <v>CDC-10874</v>
          </cell>
          <cell r="E1136">
            <v>73218006</v>
          </cell>
          <cell r="F1136">
            <v>9343</v>
          </cell>
          <cell r="G1136">
            <v>84664</v>
          </cell>
        </row>
        <row r="1137">
          <cell r="D1137" t="str">
            <v>CDC-10874</v>
          </cell>
          <cell r="E1137">
            <v>73218006</v>
          </cell>
          <cell r="F1137">
            <v>9343</v>
          </cell>
          <cell r="G1137">
            <v>84664</v>
          </cell>
        </row>
        <row r="1138">
          <cell r="D1138" t="str">
            <v>CDC-10874</v>
          </cell>
          <cell r="E1138">
            <v>73218006</v>
          </cell>
          <cell r="F1138">
            <v>9343</v>
          </cell>
          <cell r="G1138">
            <v>84664</v>
          </cell>
        </row>
        <row r="1139">
          <cell r="D1139" t="str">
            <v>CDC-10874</v>
          </cell>
          <cell r="E1139">
            <v>73218006</v>
          </cell>
          <cell r="F1139">
            <v>9343</v>
          </cell>
          <cell r="G1139">
            <v>84664</v>
          </cell>
        </row>
        <row r="1140">
          <cell r="D1140" t="str">
            <v>CDC-10874</v>
          </cell>
          <cell r="E1140">
            <v>73218006</v>
          </cell>
          <cell r="F1140">
            <v>9343</v>
          </cell>
          <cell r="G1140">
            <v>84664</v>
          </cell>
        </row>
        <row r="1141">
          <cell r="D1141" t="str">
            <v>CDC-16783</v>
          </cell>
          <cell r="E1141">
            <v>73565001</v>
          </cell>
          <cell r="F1141">
            <v>89934</v>
          </cell>
          <cell r="G1141">
            <v>89935</v>
          </cell>
        </row>
        <row r="1142">
          <cell r="D1142" t="str">
            <v>CDC-16783</v>
          </cell>
          <cell r="E1142">
            <v>73565001</v>
          </cell>
          <cell r="F1142">
            <v>89934</v>
          </cell>
          <cell r="G1142">
            <v>89935</v>
          </cell>
        </row>
        <row r="1143">
          <cell r="D1143" t="str">
            <v>CDC-16783</v>
          </cell>
          <cell r="E1143">
            <v>73565001</v>
          </cell>
          <cell r="F1143">
            <v>89934</v>
          </cell>
          <cell r="G1143">
            <v>89935</v>
          </cell>
        </row>
        <row r="1144">
          <cell r="D1144" t="str">
            <v>CDC-16783</v>
          </cell>
          <cell r="E1144">
            <v>73565001</v>
          </cell>
          <cell r="F1144">
            <v>89934</v>
          </cell>
          <cell r="G1144">
            <v>89935</v>
          </cell>
        </row>
        <row r="1145">
          <cell r="D1145" t="str">
            <v>CDC-16783</v>
          </cell>
          <cell r="E1145">
            <v>73565001</v>
          </cell>
          <cell r="F1145">
            <v>89934</v>
          </cell>
          <cell r="G1145">
            <v>89935</v>
          </cell>
        </row>
        <row r="1146">
          <cell r="D1146" t="str">
            <v>CDC-16783</v>
          </cell>
          <cell r="E1146">
            <v>73565001</v>
          </cell>
          <cell r="F1146">
            <v>89934</v>
          </cell>
          <cell r="G1146">
            <v>89935</v>
          </cell>
        </row>
        <row r="1147">
          <cell r="D1147" t="str">
            <v>CDC-16783</v>
          </cell>
          <cell r="E1147">
            <v>73565001</v>
          </cell>
          <cell r="F1147">
            <v>89934</v>
          </cell>
          <cell r="G1147">
            <v>89935</v>
          </cell>
        </row>
        <row r="1148">
          <cell r="D1148" t="str">
            <v>CDC-16783</v>
          </cell>
          <cell r="E1148">
            <v>73565001</v>
          </cell>
          <cell r="F1148">
            <v>89934</v>
          </cell>
          <cell r="G1148">
            <v>89935</v>
          </cell>
        </row>
        <row r="1149">
          <cell r="D1149" t="str">
            <v>CDC-3828</v>
          </cell>
          <cell r="E1149">
            <v>103062001</v>
          </cell>
          <cell r="F1149">
            <v>9940</v>
          </cell>
          <cell r="G1149">
            <v>9941</v>
          </cell>
        </row>
        <row r="1150">
          <cell r="D1150" t="str">
            <v>CDC-3828</v>
          </cell>
          <cell r="E1150">
            <v>103062001</v>
          </cell>
          <cell r="F1150">
            <v>9940</v>
          </cell>
          <cell r="G1150">
            <v>9941</v>
          </cell>
        </row>
        <row r="1151">
          <cell r="D1151" t="str">
            <v>CDC-3828</v>
          </cell>
          <cell r="E1151">
            <v>103062001</v>
          </cell>
          <cell r="F1151">
            <v>9940</v>
          </cell>
          <cell r="G1151">
            <v>9941</v>
          </cell>
        </row>
        <row r="1152">
          <cell r="D1152" t="str">
            <v>CDC-3828</v>
          </cell>
          <cell r="E1152">
            <v>103062001</v>
          </cell>
          <cell r="F1152">
            <v>9940</v>
          </cell>
          <cell r="G1152">
            <v>9941</v>
          </cell>
        </row>
        <row r="1153">
          <cell r="D1153" t="str">
            <v>CDC-3828</v>
          </cell>
          <cell r="E1153">
            <v>103062001</v>
          </cell>
          <cell r="F1153">
            <v>9940</v>
          </cell>
          <cell r="G1153">
            <v>9941</v>
          </cell>
        </row>
        <row r="1154">
          <cell r="D1154" t="str">
            <v>CDC-3828</v>
          </cell>
          <cell r="E1154">
            <v>103062001</v>
          </cell>
          <cell r="F1154">
            <v>9940</v>
          </cell>
          <cell r="G1154">
            <v>9941</v>
          </cell>
        </row>
        <row r="1155">
          <cell r="D1155" t="str">
            <v>CDC-15217</v>
          </cell>
          <cell r="E1155">
            <v>103220001</v>
          </cell>
          <cell r="F1155">
            <v>90788</v>
          </cell>
          <cell r="G1155">
            <v>90789</v>
          </cell>
        </row>
        <row r="1156">
          <cell r="D1156" t="str">
            <v>CDC-15217</v>
          </cell>
          <cell r="E1156">
            <v>103220001</v>
          </cell>
          <cell r="F1156">
            <v>90788</v>
          </cell>
          <cell r="G1156">
            <v>90789</v>
          </cell>
        </row>
        <row r="1157">
          <cell r="D1157" t="str">
            <v>CDC-15217</v>
          </cell>
          <cell r="E1157">
            <v>103220001</v>
          </cell>
          <cell r="F1157">
            <v>90788</v>
          </cell>
          <cell r="G1157">
            <v>90789</v>
          </cell>
        </row>
        <row r="1158">
          <cell r="D1158" t="str">
            <v>CDC-15217</v>
          </cell>
          <cell r="E1158">
            <v>103220001</v>
          </cell>
          <cell r="F1158">
            <v>90788</v>
          </cell>
          <cell r="G1158">
            <v>90789</v>
          </cell>
        </row>
        <row r="1159">
          <cell r="D1159" t="str">
            <v>CDC-15217</v>
          </cell>
          <cell r="E1159">
            <v>103220001</v>
          </cell>
          <cell r="F1159">
            <v>90788</v>
          </cell>
          <cell r="G1159">
            <v>90789</v>
          </cell>
        </row>
        <row r="1160">
          <cell r="D1160" t="str">
            <v>CDC-15217</v>
          </cell>
          <cell r="E1160">
            <v>103220001</v>
          </cell>
          <cell r="F1160">
            <v>90788</v>
          </cell>
          <cell r="G1160">
            <v>90789</v>
          </cell>
        </row>
        <row r="1161">
          <cell r="D1161" t="str">
            <v>CDC-15217</v>
          </cell>
          <cell r="E1161">
            <v>103220001</v>
          </cell>
          <cell r="F1161">
            <v>90788</v>
          </cell>
          <cell r="G1161">
            <v>90789</v>
          </cell>
        </row>
        <row r="1162">
          <cell r="D1162" t="str">
            <v>CDC-15217</v>
          </cell>
          <cell r="E1162">
            <v>103220001</v>
          </cell>
          <cell r="F1162">
            <v>90788</v>
          </cell>
          <cell r="G1162">
            <v>90789</v>
          </cell>
        </row>
        <row r="1163">
          <cell r="D1163" t="str">
            <v>CDC-15025</v>
          </cell>
          <cell r="E1163">
            <v>93017001</v>
          </cell>
          <cell r="F1163">
            <v>84678</v>
          </cell>
          <cell r="G1163">
            <v>84679</v>
          </cell>
        </row>
        <row r="1164">
          <cell r="D1164" t="str">
            <v>CDC-15025</v>
          </cell>
          <cell r="E1164">
            <v>93017001</v>
          </cell>
          <cell r="F1164">
            <v>84678</v>
          </cell>
          <cell r="G1164">
            <v>84679</v>
          </cell>
        </row>
        <row r="1165">
          <cell r="D1165" t="str">
            <v>CDC-15025</v>
          </cell>
          <cell r="E1165">
            <v>93017001</v>
          </cell>
          <cell r="F1165">
            <v>84678</v>
          </cell>
          <cell r="G1165">
            <v>84679</v>
          </cell>
        </row>
        <row r="1166">
          <cell r="D1166" t="str">
            <v>CDC-15025</v>
          </cell>
          <cell r="E1166">
            <v>93017001</v>
          </cell>
          <cell r="F1166">
            <v>84678</v>
          </cell>
          <cell r="G1166">
            <v>84679</v>
          </cell>
        </row>
        <row r="1167">
          <cell r="D1167" t="str">
            <v>CDC-15025</v>
          </cell>
          <cell r="E1167">
            <v>93017001</v>
          </cell>
          <cell r="F1167">
            <v>84678</v>
          </cell>
          <cell r="G1167">
            <v>84679</v>
          </cell>
        </row>
        <row r="1168">
          <cell r="D1168" t="str">
            <v>CDC-15025</v>
          </cell>
          <cell r="E1168">
            <v>93017001</v>
          </cell>
          <cell r="F1168">
            <v>84678</v>
          </cell>
          <cell r="G1168">
            <v>84679</v>
          </cell>
        </row>
        <row r="1169">
          <cell r="D1169" t="str">
            <v>CDC-12941</v>
          </cell>
          <cell r="E1169">
            <v>73519002</v>
          </cell>
          <cell r="F1169">
            <v>86678</v>
          </cell>
          <cell r="G1169">
            <v>91143</v>
          </cell>
        </row>
        <row r="1170">
          <cell r="D1170" t="str">
            <v>CDC-12941</v>
          </cell>
          <cell r="E1170">
            <v>73519002</v>
          </cell>
          <cell r="F1170">
            <v>86678</v>
          </cell>
          <cell r="G1170">
            <v>91143</v>
          </cell>
        </row>
        <row r="1171">
          <cell r="D1171" t="str">
            <v>CDC-12941</v>
          </cell>
          <cell r="E1171">
            <v>73519002</v>
          </cell>
          <cell r="F1171">
            <v>86678</v>
          </cell>
          <cell r="G1171">
            <v>91143</v>
          </cell>
        </row>
        <row r="1172">
          <cell r="D1172" t="str">
            <v>CDC-12941</v>
          </cell>
          <cell r="E1172">
            <v>73519002</v>
          </cell>
          <cell r="F1172">
            <v>86678</v>
          </cell>
          <cell r="G1172">
            <v>91143</v>
          </cell>
        </row>
        <row r="1173">
          <cell r="D1173" t="str">
            <v>CDC-12941</v>
          </cell>
          <cell r="E1173">
            <v>73519002</v>
          </cell>
          <cell r="F1173">
            <v>86678</v>
          </cell>
          <cell r="G1173">
            <v>91143</v>
          </cell>
        </row>
        <row r="1174">
          <cell r="D1174" t="str">
            <v>CDC-12941</v>
          </cell>
          <cell r="E1174">
            <v>73519002</v>
          </cell>
          <cell r="F1174">
            <v>86678</v>
          </cell>
          <cell r="G1174">
            <v>91143</v>
          </cell>
        </row>
        <row r="1175">
          <cell r="D1175" t="str">
            <v>CDC-12399</v>
          </cell>
          <cell r="E1175">
            <v>73214032</v>
          </cell>
          <cell r="F1175">
            <v>10040</v>
          </cell>
          <cell r="G1175">
            <v>91333</v>
          </cell>
        </row>
        <row r="1176">
          <cell r="D1176" t="str">
            <v>CDC-12399</v>
          </cell>
          <cell r="E1176">
            <v>73214032</v>
          </cell>
          <cell r="F1176">
            <v>10040</v>
          </cell>
          <cell r="G1176">
            <v>91333</v>
          </cell>
        </row>
        <row r="1177">
          <cell r="D1177" t="str">
            <v>CDC-12399</v>
          </cell>
          <cell r="E1177">
            <v>73214032</v>
          </cell>
          <cell r="F1177">
            <v>10040</v>
          </cell>
          <cell r="G1177">
            <v>91333</v>
          </cell>
        </row>
        <row r="1178">
          <cell r="D1178" t="str">
            <v>CDC-13015</v>
          </cell>
          <cell r="E1178">
            <v>73214015</v>
          </cell>
          <cell r="F1178">
            <v>10040</v>
          </cell>
          <cell r="G1178">
            <v>84189</v>
          </cell>
        </row>
        <row r="1179">
          <cell r="D1179" t="str">
            <v>CDC-13015</v>
          </cell>
          <cell r="E1179">
            <v>73214015</v>
          </cell>
          <cell r="F1179">
            <v>10040</v>
          </cell>
          <cell r="G1179">
            <v>84189</v>
          </cell>
        </row>
        <row r="1180">
          <cell r="D1180" t="str">
            <v>CDC-13015</v>
          </cell>
          <cell r="E1180">
            <v>73214015</v>
          </cell>
          <cell r="F1180">
            <v>10040</v>
          </cell>
          <cell r="G1180">
            <v>84189</v>
          </cell>
        </row>
        <row r="1181">
          <cell r="D1181" t="str">
            <v>CDC-13015</v>
          </cell>
          <cell r="E1181">
            <v>73214015</v>
          </cell>
          <cell r="F1181">
            <v>10040</v>
          </cell>
          <cell r="G1181">
            <v>84189</v>
          </cell>
        </row>
        <row r="1182">
          <cell r="D1182" t="str">
            <v>CDC-12424</v>
          </cell>
          <cell r="E1182">
            <v>73214014</v>
          </cell>
          <cell r="F1182">
            <v>10040</v>
          </cell>
          <cell r="G1182">
            <v>84190</v>
          </cell>
        </row>
        <row r="1183">
          <cell r="D1183" t="str">
            <v>CDC-12424</v>
          </cell>
          <cell r="E1183">
            <v>73214014</v>
          </cell>
          <cell r="F1183">
            <v>10040</v>
          </cell>
          <cell r="G1183">
            <v>84190</v>
          </cell>
        </row>
        <row r="1184">
          <cell r="D1184" t="str">
            <v>CDC-12424</v>
          </cell>
          <cell r="E1184">
            <v>73214014</v>
          </cell>
          <cell r="F1184">
            <v>10040</v>
          </cell>
          <cell r="G1184">
            <v>84190</v>
          </cell>
        </row>
        <row r="1185">
          <cell r="D1185" t="str">
            <v>CDC-12998</v>
          </cell>
          <cell r="E1185">
            <v>73214034</v>
          </cell>
          <cell r="F1185">
            <v>10040</v>
          </cell>
          <cell r="G1185">
            <v>92680</v>
          </cell>
        </row>
        <row r="1186">
          <cell r="D1186" t="str">
            <v>CDC-12998</v>
          </cell>
          <cell r="E1186">
            <v>73214034</v>
          </cell>
          <cell r="F1186">
            <v>10040</v>
          </cell>
          <cell r="G1186">
            <v>92680</v>
          </cell>
        </row>
        <row r="1187">
          <cell r="D1187" t="str">
            <v>CDC-12998</v>
          </cell>
          <cell r="E1187">
            <v>73214034</v>
          </cell>
          <cell r="F1187">
            <v>10040</v>
          </cell>
          <cell r="G1187">
            <v>92680</v>
          </cell>
        </row>
        <row r="1188">
          <cell r="D1188" t="str">
            <v>CDC-8575</v>
          </cell>
          <cell r="E1188">
            <v>73214024</v>
          </cell>
          <cell r="F1188">
            <v>10040</v>
          </cell>
          <cell r="G1188">
            <v>89724</v>
          </cell>
        </row>
        <row r="1189">
          <cell r="D1189" t="str">
            <v>CDC-8575</v>
          </cell>
          <cell r="E1189">
            <v>73214024</v>
          </cell>
          <cell r="F1189">
            <v>10040</v>
          </cell>
          <cell r="G1189">
            <v>89724</v>
          </cell>
        </row>
        <row r="1190">
          <cell r="D1190" t="str">
            <v>CDC-8575</v>
          </cell>
          <cell r="E1190">
            <v>73214024</v>
          </cell>
          <cell r="F1190">
            <v>10040</v>
          </cell>
          <cell r="G1190">
            <v>89724</v>
          </cell>
        </row>
        <row r="1191">
          <cell r="D1191" t="str">
            <v>CDC-8575</v>
          </cell>
          <cell r="E1191">
            <v>73214024</v>
          </cell>
          <cell r="F1191">
            <v>10040</v>
          </cell>
          <cell r="G1191">
            <v>89724</v>
          </cell>
        </row>
        <row r="1192">
          <cell r="D1192" t="str">
            <v>CDC-2098</v>
          </cell>
          <cell r="E1192">
            <v>103105012</v>
          </cell>
          <cell r="F1192">
            <v>10040</v>
          </cell>
          <cell r="G1192">
            <v>80823</v>
          </cell>
        </row>
        <row r="1193">
          <cell r="D1193" t="str">
            <v>CDC-2098</v>
          </cell>
          <cell r="E1193">
            <v>103105012</v>
          </cell>
          <cell r="F1193">
            <v>10040</v>
          </cell>
          <cell r="G1193">
            <v>80823</v>
          </cell>
        </row>
        <row r="1194">
          <cell r="D1194" t="str">
            <v>CDC-2098</v>
          </cell>
          <cell r="E1194">
            <v>103105012</v>
          </cell>
          <cell r="F1194">
            <v>10040</v>
          </cell>
          <cell r="G1194">
            <v>80823</v>
          </cell>
        </row>
        <row r="1195">
          <cell r="D1195" t="str">
            <v>CDC-2098</v>
          </cell>
          <cell r="E1195">
            <v>103105012</v>
          </cell>
          <cell r="F1195">
            <v>10040</v>
          </cell>
          <cell r="G1195">
            <v>80823</v>
          </cell>
        </row>
        <row r="1196">
          <cell r="D1196" t="str">
            <v>CDC-5858</v>
          </cell>
          <cell r="E1196">
            <v>103105009</v>
          </cell>
          <cell r="F1196">
            <v>10040</v>
          </cell>
          <cell r="G1196">
            <v>80578</v>
          </cell>
        </row>
        <row r="1197">
          <cell r="D1197" t="str">
            <v>CDC-5858</v>
          </cell>
          <cell r="E1197">
            <v>103105009</v>
          </cell>
          <cell r="F1197">
            <v>10040</v>
          </cell>
          <cell r="G1197">
            <v>80578</v>
          </cell>
        </row>
        <row r="1198">
          <cell r="D1198" t="str">
            <v>CDC-5858</v>
          </cell>
          <cell r="E1198">
            <v>103105009</v>
          </cell>
          <cell r="F1198">
            <v>10040</v>
          </cell>
          <cell r="G1198">
            <v>80578</v>
          </cell>
        </row>
        <row r="1199">
          <cell r="D1199" t="str">
            <v>CDC-5858</v>
          </cell>
          <cell r="E1199">
            <v>103105009</v>
          </cell>
          <cell r="F1199">
            <v>10040</v>
          </cell>
          <cell r="G1199">
            <v>80578</v>
          </cell>
        </row>
        <row r="1200">
          <cell r="D1200" t="str">
            <v>CDC-1949</v>
          </cell>
          <cell r="E1200">
            <v>103105017</v>
          </cell>
          <cell r="F1200">
            <v>10040</v>
          </cell>
          <cell r="G1200">
            <v>90058</v>
          </cell>
        </row>
        <row r="1201">
          <cell r="D1201" t="str">
            <v>CDC-1949</v>
          </cell>
          <cell r="E1201">
            <v>103105017</v>
          </cell>
          <cell r="F1201">
            <v>10040</v>
          </cell>
          <cell r="G1201">
            <v>90058</v>
          </cell>
        </row>
        <row r="1202">
          <cell r="D1202" t="str">
            <v>CDC-1949</v>
          </cell>
          <cell r="E1202">
            <v>103105017</v>
          </cell>
          <cell r="F1202">
            <v>10040</v>
          </cell>
          <cell r="G1202">
            <v>90058</v>
          </cell>
        </row>
        <row r="1203">
          <cell r="D1203" t="str">
            <v>CDC-1949</v>
          </cell>
          <cell r="E1203">
            <v>103105017</v>
          </cell>
          <cell r="F1203">
            <v>10040</v>
          </cell>
          <cell r="G1203">
            <v>90058</v>
          </cell>
        </row>
        <row r="1204">
          <cell r="D1204" t="str">
            <v>CDC-9332</v>
          </cell>
          <cell r="E1204">
            <v>103105019</v>
          </cell>
          <cell r="F1204">
            <v>10040</v>
          </cell>
          <cell r="G1204">
            <v>90804</v>
          </cell>
        </row>
        <row r="1205">
          <cell r="D1205" t="str">
            <v>CDC-9332</v>
          </cell>
          <cell r="E1205">
            <v>103105019</v>
          </cell>
          <cell r="F1205">
            <v>10040</v>
          </cell>
          <cell r="G1205">
            <v>90804</v>
          </cell>
        </row>
        <row r="1206">
          <cell r="D1206" t="str">
            <v>CDC-9332</v>
          </cell>
          <cell r="E1206">
            <v>103105019</v>
          </cell>
          <cell r="F1206">
            <v>10040</v>
          </cell>
          <cell r="G1206">
            <v>90804</v>
          </cell>
        </row>
        <row r="1207">
          <cell r="D1207" t="e">
            <v>#N/A</v>
          </cell>
          <cell r="E1207">
            <v>103105023</v>
          </cell>
          <cell r="F1207">
            <v>10040</v>
          </cell>
          <cell r="G1207">
            <v>92456</v>
          </cell>
        </row>
        <row r="1208">
          <cell r="D1208" t="e">
            <v>#N/A</v>
          </cell>
          <cell r="E1208">
            <v>103105023</v>
          </cell>
          <cell r="F1208">
            <v>10040</v>
          </cell>
          <cell r="G1208">
            <v>92456</v>
          </cell>
        </row>
        <row r="1209">
          <cell r="D1209" t="e">
            <v>#N/A</v>
          </cell>
          <cell r="E1209">
            <v>103105023</v>
          </cell>
          <cell r="F1209">
            <v>10040</v>
          </cell>
          <cell r="G1209">
            <v>92456</v>
          </cell>
        </row>
        <row r="1210">
          <cell r="D1210" t="str">
            <v>CDC-10287</v>
          </cell>
          <cell r="E1210">
            <v>103105015</v>
          </cell>
          <cell r="F1210">
            <v>10040</v>
          </cell>
          <cell r="G1210">
            <v>89745</v>
          </cell>
        </row>
        <row r="1211">
          <cell r="D1211" t="str">
            <v>CDC-10287</v>
          </cell>
          <cell r="E1211">
            <v>103105015</v>
          </cell>
          <cell r="F1211">
            <v>10040</v>
          </cell>
          <cell r="G1211">
            <v>89745</v>
          </cell>
        </row>
        <row r="1212">
          <cell r="D1212" t="str">
            <v>CDC-10287</v>
          </cell>
          <cell r="E1212">
            <v>103105015</v>
          </cell>
          <cell r="F1212">
            <v>10040</v>
          </cell>
          <cell r="G1212">
            <v>89745</v>
          </cell>
        </row>
        <row r="1213">
          <cell r="D1213" t="str">
            <v>CDC-11248</v>
          </cell>
          <cell r="E1213">
            <v>103105027</v>
          </cell>
          <cell r="F1213">
            <v>10040</v>
          </cell>
          <cell r="G1213">
            <v>92363</v>
          </cell>
        </row>
        <row r="1214">
          <cell r="D1214" t="str">
            <v>CDC-11248</v>
          </cell>
          <cell r="E1214">
            <v>103105027</v>
          </cell>
          <cell r="F1214">
            <v>10040</v>
          </cell>
          <cell r="G1214">
            <v>92363</v>
          </cell>
        </row>
        <row r="1215">
          <cell r="D1215" t="str">
            <v>CDC-11248</v>
          </cell>
          <cell r="E1215">
            <v>103105027</v>
          </cell>
          <cell r="F1215">
            <v>10040</v>
          </cell>
          <cell r="G1215">
            <v>92363</v>
          </cell>
        </row>
        <row r="1216">
          <cell r="D1216" t="str">
            <v>CDC-11248</v>
          </cell>
          <cell r="E1216">
            <v>103105027</v>
          </cell>
          <cell r="F1216">
            <v>10040</v>
          </cell>
          <cell r="G1216">
            <v>92363</v>
          </cell>
        </row>
        <row r="1217">
          <cell r="D1217" t="str">
            <v>CDC-17323</v>
          </cell>
          <cell r="E1217">
            <v>103105028</v>
          </cell>
          <cell r="F1217">
            <v>10040</v>
          </cell>
          <cell r="G1217">
            <v>92666</v>
          </cell>
        </row>
        <row r="1218">
          <cell r="D1218" t="str">
            <v>CDC-17323</v>
          </cell>
          <cell r="E1218">
            <v>103105028</v>
          </cell>
          <cell r="F1218">
            <v>10040</v>
          </cell>
          <cell r="G1218">
            <v>92666</v>
          </cell>
        </row>
        <row r="1219">
          <cell r="D1219" t="str">
            <v>CDC-17323</v>
          </cell>
          <cell r="E1219">
            <v>103105028</v>
          </cell>
          <cell r="F1219">
            <v>10040</v>
          </cell>
          <cell r="G1219">
            <v>92666</v>
          </cell>
        </row>
        <row r="1220">
          <cell r="D1220" t="str">
            <v>CDC-13164</v>
          </cell>
          <cell r="E1220">
            <v>103105022</v>
          </cell>
          <cell r="F1220">
            <v>10040</v>
          </cell>
          <cell r="G1220">
            <v>90939</v>
          </cell>
        </row>
        <row r="1221">
          <cell r="D1221" t="str">
            <v>CDC-13164</v>
          </cell>
          <cell r="E1221">
            <v>103105022</v>
          </cell>
          <cell r="F1221">
            <v>10040</v>
          </cell>
          <cell r="G1221">
            <v>90939</v>
          </cell>
        </row>
        <row r="1222">
          <cell r="D1222" t="str">
            <v>CDC-13164</v>
          </cell>
          <cell r="E1222">
            <v>103105022</v>
          </cell>
          <cell r="F1222">
            <v>10040</v>
          </cell>
          <cell r="G1222">
            <v>90939</v>
          </cell>
        </row>
        <row r="1223">
          <cell r="D1223" t="str">
            <v>CDC-13164</v>
          </cell>
          <cell r="E1223">
            <v>103105022</v>
          </cell>
          <cell r="F1223">
            <v>10040</v>
          </cell>
          <cell r="G1223">
            <v>90939</v>
          </cell>
        </row>
        <row r="1224">
          <cell r="D1224" t="str">
            <v>CDC-13789</v>
          </cell>
          <cell r="E1224">
            <v>103105021</v>
          </cell>
          <cell r="F1224">
            <v>10040</v>
          </cell>
          <cell r="G1224">
            <v>90935</v>
          </cell>
        </row>
        <row r="1225">
          <cell r="D1225" t="str">
            <v>CDC-13789</v>
          </cell>
          <cell r="E1225">
            <v>103105021</v>
          </cell>
          <cell r="F1225">
            <v>10040</v>
          </cell>
          <cell r="G1225">
            <v>90935</v>
          </cell>
        </row>
        <row r="1226">
          <cell r="D1226" t="str">
            <v>CDC-13789</v>
          </cell>
          <cell r="E1226">
            <v>103105021</v>
          </cell>
          <cell r="F1226">
            <v>10040</v>
          </cell>
          <cell r="G1226">
            <v>90935</v>
          </cell>
        </row>
        <row r="1227">
          <cell r="D1227" t="str">
            <v>CDC-13789</v>
          </cell>
          <cell r="E1227">
            <v>103105021</v>
          </cell>
          <cell r="F1227">
            <v>10040</v>
          </cell>
          <cell r="G1227">
            <v>90935</v>
          </cell>
        </row>
        <row r="1228">
          <cell r="D1228" t="str">
            <v>CDC-1093</v>
          </cell>
          <cell r="E1228">
            <v>103105001</v>
          </cell>
          <cell r="F1228">
            <v>10040</v>
          </cell>
          <cell r="G1228">
            <v>10041</v>
          </cell>
        </row>
        <row r="1229">
          <cell r="D1229" t="str">
            <v>CDC-1093</v>
          </cell>
          <cell r="E1229">
            <v>103105001</v>
          </cell>
          <cell r="F1229">
            <v>10040</v>
          </cell>
          <cell r="G1229">
            <v>10041</v>
          </cell>
        </row>
        <row r="1230">
          <cell r="D1230" t="str">
            <v>CDC-1093</v>
          </cell>
          <cell r="E1230">
            <v>103105001</v>
          </cell>
          <cell r="F1230">
            <v>10040</v>
          </cell>
          <cell r="G1230">
            <v>10041</v>
          </cell>
        </row>
        <row r="1231">
          <cell r="D1231" t="str">
            <v>CDC-1093</v>
          </cell>
          <cell r="E1231">
            <v>103105001</v>
          </cell>
          <cell r="F1231">
            <v>10040</v>
          </cell>
          <cell r="G1231">
            <v>10041</v>
          </cell>
        </row>
        <row r="1232">
          <cell r="D1232" t="str">
            <v>CDC-1466</v>
          </cell>
          <cell r="E1232">
            <v>103105007</v>
          </cell>
          <cell r="F1232">
            <v>10040</v>
          </cell>
          <cell r="G1232">
            <v>78764</v>
          </cell>
        </row>
        <row r="1233">
          <cell r="D1233" t="str">
            <v>CDC-1466</v>
          </cell>
          <cell r="E1233">
            <v>103105007</v>
          </cell>
          <cell r="F1233">
            <v>10040</v>
          </cell>
          <cell r="G1233">
            <v>78764</v>
          </cell>
        </row>
        <row r="1234">
          <cell r="D1234" t="str">
            <v>CDC-1466</v>
          </cell>
          <cell r="E1234">
            <v>103105007</v>
          </cell>
          <cell r="F1234">
            <v>10040</v>
          </cell>
          <cell r="G1234">
            <v>78764</v>
          </cell>
        </row>
        <row r="1235">
          <cell r="D1235" t="str">
            <v>CDC-1466</v>
          </cell>
          <cell r="E1235">
            <v>103105007</v>
          </cell>
          <cell r="F1235">
            <v>10040</v>
          </cell>
          <cell r="G1235">
            <v>78764</v>
          </cell>
        </row>
        <row r="1236">
          <cell r="D1236" t="str">
            <v>CDC-1539</v>
          </cell>
          <cell r="E1236">
            <v>103105013</v>
          </cell>
          <cell r="F1236">
            <v>10040</v>
          </cell>
          <cell r="G1236">
            <v>80824</v>
          </cell>
        </row>
        <row r="1237">
          <cell r="D1237" t="str">
            <v>CDC-1539</v>
          </cell>
          <cell r="E1237">
            <v>103105013</v>
          </cell>
          <cell r="F1237">
            <v>10040</v>
          </cell>
          <cell r="G1237">
            <v>80824</v>
          </cell>
        </row>
        <row r="1238">
          <cell r="D1238" t="str">
            <v>CDC-1539</v>
          </cell>
          <cell r="E1238">
            <v>103105013</v>
          </cell>
          <cell r="F1238">
            <v>10040</v>
          </cell>
          <cell r="G1238">
            <v>80824</v>
          </cell>
        </row>
        <row r="1239">
          <cell r="D1239" t="str">
            <v>CDC-1539</v>
          </cell>
          <cell r="E1239">
            <v>103105013</v>
          </cell>
          <cell r="F1239">
            <v>10040</v>
          </cell>
          <cell r="G1239">
            <v>80824</v>
          </cell>
        </row>
        <row r="1240">
          <cell r="D1240" t="str">
            <v>CDC-13068</v>
          </cell>
          <cell r="E1240">
            <v>73105001</v>
          </cell>
          <cell r="F1240">
            <v>10040</v>
          </cell>
          <cell r="G1240">
            <v>1000403</v>
          </cell>
        </row>
        <row r="1241">
          <cell r="D1241" t="str">
            <v>CDC-13068</v>
          </cell>
          <cell r="E1241">
            <v>73105001</v>
          </cell>
          <cell r="F1241">
            <v>10040</v>
          </cell>
          <cell r="G1241">
            <v>1000403</v>
          </cell>
        </row>
        <row r="1242">
          <cell r="D1242" t="str">
            <v>CDC-13068</v>
          </cell>
          <cell r="E1242">
            <v>73105001</v>
          </cell>
          <cell r="F1242">
            <v>10040</v>
          </cell>
          <cell r="G1242">
            <v>1000403</v>
          </cell>
        </row>
        <row r="1243">
          <cell r="D1243" t="str">
            <v>CDC-12402</v>
          </cell>
          <cell r="E1243">
            <v>73214005</v>
          </cell>
          <cell r="F1243">
            <v>10040</v>
          </cell>
          <cell r="G1243">
            <v>80611</v>
          </cell>
        </row>
        <row r="1244">
          <cell r="D1244" t="str">
            <v>CDC-12402</v>
          </cell>
          <cell r="E1244">
            <v>73214005</v>
          </cell>
          <cell r="F1244">
            <v>10040</v>
          </cell>
          <cell r="G1244">
            <v>80611</v>
          </cell>
        </row>
        <row r="1245">
          <cell r="D1245" t="str">
            <v>CDC-12402</v>
          </cell>
          <cell r="E1245">
            <v>73214005</v>
          </cell>
          <cell r="F1245">
            <v>10040</v>
          </cell>
          <cell r="G1245">
            <v>80611</v>
          </cell>
        </row>
        <row r="1246">
          <cell r="D1246" t="str">
            <v>CDC-12402</v>
          </cell>
          <cell r="E1246">
            <v>73214005</v>
          </cell>
          <cell r="F1246">
            <v>10040</v>
          </cell>
          <cell r="G1246">
            <v>80611</v>
          </cell>
        </row>
        <row r="1247">
          <cell r="D1247" t="str">
            <v>CDC-8398</v>
          </cell>
          <cell r="E1247">
            <v>103105024</v>
          </cell>
          <cell r="F1247">
            <v>10040</v>
          </cell>
          <cell r="G1247">
            <v>91931</v>
          </cell>
        </row>
        <row r="1248">
          <cell r="D1248" t="str">
            <v>CDC-8398</v>
          </cell>
          <cell r="E1248">
            <v>103105024</v>
          </cell>
          <cell r="F1248">
            <v>10040</v>
          </cell>
          <cell r="G1248">
            <v>91931</v>
          </cell>
        </row>
        <row r="1249">
          <cell r="D1249" t="str">
            <v>CDC-8398</v>
          </cell>
          <cell r="E1249">
            <v>103105024</v>
          </cell>
          <cell r="F1249">
            <v>10040</v>
          </cell>
          <cell r="G1249">
            <v>91931</v>
          </cell>
        </row>
        <row r="1250">
          <cell r="D1250" t="str">
            <v>CDC-2100</v>
          </cell>
          <cell r="E1250">
            <v>73114001</v>
          </cell>
          <cell r="F1250">
            <v>9171</v>
          </cell>
          <cell r="G1250">
            <v>9172</v>
          </cell>
        </row>
        <row r="1251">
          <cell r="D1251" t="str">
            <v>CDC-2100</v>
          </cell>
          <cell r="E1251">
            <v>73114001</v>
          </cell>
          <cell r="F1251">
            <v>9171</v>
          </cell>
          <cell r="G1251">
            <v>9172</v>
          </cell>
        </row>
        <row r="1252">
          <cell r="D1252" t="str">
            <v>CDC-2100</v>
          </cell>
          <cell r="E1252">
            <v>73114001</v>
          </cell>
          <cell r="F1252">
            <v>9171</v>
          </cell>
          <cell r="G1252">
            <v>9172</v>
          </cell>
        </row>
        <row r="1253">
          <cell r="D1253" t="str">
            <v>CDC-2100</v>
          </cell>
          <cell r="E1253">
            <v>73114001</v>
          </cell>
          <cell r="F1253">
            <v>9171</v>
          </cell>
          <cell r="G1253">
            <v>9172</v>
          </cell>
        </row>
        <row r="1254">
          <cell r="D1254" t="str">
            <v>CDC-2100</v>
          </cell>
          <cell r="E1254">
            <v>73114001</v>
          </cell>
          <cell r="F1254">
            <v>9171</v>
          </cell>
          <cell r="G1254">
            <v>9172</v>
          </cell>
        </row>
        <row r="1255">
          <cell r="D1255" t="str">
            <v>CDC-2100</v>
          </cell>
          <cell r="E1255">
            <v>73114001</v>
          </cell>
          <cell r="F1255">
            <v>9171</v>
          </cell>
          <cell r="G1255">
            <v>9172</v>
          </cell>
        </row>
        <row r="1256">
          <cell r="D1256" t="str">
            <v>CDC-2100</v>
          </cell>
          <cell r="E1256">
            <v>73114001</v>
          </cell>
          <cell r="F1256">
            <v>9171</v>
          </cell>
          <cell r="G1256">
            <v>9172</v>
          </cell>
        </row>
        <row r="1257">
          <cell r="D1257" t="str">
            <v>CDC-2100</v>
          </cell>
          <cell r="E1257">
            <v>73114001</v>
          </cell>
          <cell r="F1257">
            <v>9171</v>
          </cell>
          <cell r="G1257">
            <v>9172</v>
          </cell>
        </row>
        <row r="1258">
          <cell r="D1258" t="str">
            <v>CDC-8884</v>
          </cell>
          <cell r="E1258">
            <v>103121002</v>
          </cell>
          <cell r="F1258">
            <v>80835</v>
          </cell>
          <cell r="G1258">
            <v>80837</v>
          </cell>
        </row>
        <row r="1259">
          <cell r="D1259" t="str">
            <v>CDC-8884</v>
          </cell>
          <cell r="E1259">
            <v>103121002</v>
          </cell>
          <cell r="F1259">
            <v>80835</v>
          </cell>
          <cell r="G1259">
            <v>80837</v>
          </cell>
        </row>
        <row r="1260">
          <cell r="D1260" t="str">
            <v>CDC-8884</v>
          </cell>
          <cell r="E1260">
            <v>103121002</v>
          </cell>
          <cell r="F1260">
            <v>80835</v>
          </cell>
          <cell r="G1260">
            <v>80837</v>
          </cell>
        </row>
        <row r="1261">
          <cell r="D1261" t="str">
            <v>CDC-8884</v>
          </cell>
          <cell r="E1261">
            <v>103121002</v>
          </cell>
          <cell r="F1261">
            <v>80835</v>
          </cell>
          <cell r="G1261">
            <v>80837</v>
          </cell>
        </row>
        <row r="1262">
          <cell r="D1262" t="str">
            <v>CDC-8884</v>
          </cell>
          <cell r="E1262">
            <v>103121002</v>
          </cell>
          <cell r="F1262">
            <v>80835</v>
          </cell>
          <cell r="G1262">
            <v>80837</v>
          </cell>
        </row>
        <row r="1263">
          <cell r="D1263" t="e">
            <v>#N/A</v>
          </cell>
          <cell r="E1263">
            <v>102139001</v>
          </cell>
          <cell r="F1263">
            <v>7921</v>
          </cell>
          <cell r="G1263">
            <v>7922</v>
          </cell>
        </row>
        <row r="1264">
          <cell r="D1264" t="e">
            <v>#N/A</v>
          </cell>
          <cell r="E1264">
            <v>102139001</v>
          </cell>
          <cell r="F1264">
            <v>7921</v>
          </cell>
          <cell r="G1264">
            <v>7922</v>
          </cell>
        </row>
        <row r="1265">
          <cell r="D1265" t="e">
            <v>#N/A</v>
          </cell>
          <cell r="E1265">
            <v>102139001</v>
          </cell>
          <cell r="F1265">
            <v>7921</v>
          </cell>
          <cell r="G1265">
            <v>7922</v>
          </cell>
        </row>
        <row r="1266">
          <cell r="D1266" t="e">
            <v>#N/A</v>
          </cell>
          <cell r="E1266">
            <v>102139001</v>
          </cell>
          <cell r="F1266">
            <v>7921</v>
          </cell>
          <cell r="G1266">
            <v>7922</v>
          </cell>
        </row>
        <row r="1267">
          <cell r="D1267" t="str">
            <v>CDC-16851</v>
          </cell>
          <cell r="E1267">
            <v>73315001</v>
          </cell>
          <cell r="F1267">
            <v>92700</v>
          </cell>
          <cell r="G1267">
            <v>92701</v>
          </cell>
        </row>
        <row r="1268">
          <cell r="D1268" t="str">
            <v>CDC-16851</v>
          </cell>
          <cell r="E1268">
            <v>73315001</v>
          </cell>
          <cell r="F1268">
            <v>92700</v>
          </cell>
          <cell r="G1268">
            <v>92701</v>
          </cell>
        </row>
        <row r="1269">
          <cell r="D1269" t="str">
            <v>CDC-16851</v>
          </cell>
          <cell r="E1269">
            <v>73315001</v>
          </cell>
          <cell r="F1269">
            <v>92700</v>
          </cell>
          <cell r="G1269">
            <v>92701</v>
          </cell>
        </row>
        <row r="1270">
          <cell r="D1270" t="str">
            <v>CDC-16851</v>
          </cell>
          <cell r="E1270">
            <v>73315001</v>
          </cell>
          <cell r="F1270">
            <v>92700</v>
          </cell>
          <cell r="G1270">
            <v>92701</v>
          </cell>
        </row>
        <row r="1271">
          <cell r="D1271" t="str">
            <v>CDC-16851</v>
          </cell>
          <cell r="E1271">
            <v>73315001</v>
          </cell>
          <cell r="F1271">
            <v>92700</v>
          </cell>
          <cell r="G1271">
            <v>92701</v>
          </cell>
        </row>
        <row r="1272">
          <cell r="D1272" t="str">
            <v>CDC-16851</v>
          </cell>
          <cell r="E1272">
            <v>73315001</v>
          </cell>
          <cell r="F1272">
            <v>92700</v>
          </cell>
          <cell r="G1272">
            <v>92701</v>
          </cell>
        </row>
        <row r="1273">
          <cell r="D1273" t="str">
            <v>CDC-16851</v>
          </cell>
          <cell r="E1273">
            <v>73315001</v>
          </cell>
          <cell r="F1273">
            <v>92700</v>
          </cell>
          <cell r="G1273">
            <v>92701</v>
          </cell>
        </row>
        <row r="1274">
          <cell r="D1274" t="str">
            <v>CDC-16851</v>
          </cell>
          <cell r="E1274">
            <v>73315001</v>
          </cell>
          <cell r="F1274">
            <v>92700</v>
          </cell>
          <cell r="G1274">
            <v>92701</v>
          </cell>
        </row>
        <row r="1275">
          <cell r="D1275" t="str">
            <v>CDC-7971</v>
          </cell>
          <cell r="E1275">
            <v>103114015</v>
          </cell>
          <cell r="F1275">
            <v>80496</v>
          </cell>
          <cell r="G1275">
            <v>90082</v>
          </cell>
        </row>
        <row r="1276">
          <cell r="D1276" t="str">
            <v>CDC-7971</v>
          </cell>
          <cell r="E1276">
            <v>103114015</v>
          </cell>
          <cell r="F1276">
            <v>80496</v>
          </cell>
          <cell r="G1276">
            <v>90082</v>
          </cell>
        </row>
        <row r="1277">
          <cell r="D1277" t="str">
            <v>CDC-7971</v>
          </cell>
          <cell r="E1277">
            <v>103114015</v>
          </cell>
          <cell r="F1277">
            <v>80496</v>
          </cell>
          <cell r="G1277">
            <v>90082</v>
          </cell>
        </row>
        <row r="1278">
          <cell r="D1278" t="str">
            <v>CDC-7971</v>
          </cell>
          <cell r="E1278">
            <v>103114015</v>
          </cell>
          <cell r="F1278">
            <v>80496</v>
          </cell>
          <cell r="G1278">
            <v>90082</v>
          </cell>
        </row>
        <row r="1279">
          <cell r="D1279" t="e">
            <v>#N/A</v>
          </cell>
          <cell r="E1279">
            <v>103114018</v>
          </cell>
          <cell r="F1279">
            <v>80496</v>
          </cell>
          <cell r="G1279">
            <v>92064</v>
          </cell>
        </row>
        <row r="1280">
          <cell r="D1280" t="e">
            <v>#N/A</v>
          </cell>
          <cell r="E1280">
            <v>103114018</v>
          </cell>
          <cell r="F1280">
            <v>80496</v>
          </cell>
          <cell r="G1280">
            <v>92064</v>
          </cell>
        </row>
        <row r="1281">
          <cell r="D1281" t="e">
            <v>#N/A</v>
          </cell>
          <cell r="E1281">
            <v>103114018</v>
          </cell>
          <cell r="F1281">
            <v>80496</v>
          </cell>
          <cell r="G1281">
            <v>92064</v>
          </cell>
        </row>
        <row r="1282">
          <cell r="D1282" t="str">
            <v>CDC-8277</v>
          </cell>
          <cell r="E1282">
            <v>103114019</v>
          </cell>
          <cell r="F1282">
            <v>80496</v>
          </cell>
          <cell r="G1282">
            <v>92653</v>
          </cell>
        </row>
        <row r="1283">
          <cell r="D1283" t="str">
            <v>CDC-8277</v>
          </cell>
          <cell r="E1283">
            <v>103114019</v>
          </cell>
          <cell r="F1283">
            <v>80496</v>
          </cell>
          <cell r="G1283">
            <v>92653</v>
          </cell>
        </row>
        <row r="1284">
          <cell r="D1284" t="str">
            <v>CDC-8277</v>
          </cell>
          <cell r="E1284">
            <v>103114019</v>
          </cell>
          <cell r="F1284">
            <v>80496</v>
          </cell>
          <cell r="G1284">
            <v>92653</v>
          </cell>
        </row>
        <row r="1285">
          <cell r="D1285" t="str">
            <v>CDC-1956</v>
          </cell>
          <cell r="E1285">
            <v>103114002</v>
          </cell>
          <cell r="F1285">
            <v>80496</v>
          </cell>
          <cell r="G1285">
            <v>80498</v>
          </cell>
        </row>
        <row r="1286">
          <cell r="D1286" t="str">
            <v>CDC-1956</v>
          </cell>
          <cell r="E1286">
            <v>103114002</v>
          </cell>
          <cell r="F1286">
            <v>80496</v>
          </cell>
          <cell r="G1286">
            <v>80498</v>
          </cell>
        </row>
        <row r="1287">
          <cell r="D1287" t="str">
            <v>CDC-1956</v>
          </cell>
          <cell r="E1287">
            <v>103114002</v>
          </cell>
          <cell r="F1287">
            <v>80496</v>
          </cell>
          <cell r="G1287">
            <v>80498</v>
          </cell>
        </row>
        <row r="1288">
          <cell r="D1288" t="str">
            <v>CDC-1956</v>
          </cell>
          <cell r="E1288">
            <v>103114002</v>
          </cell>
          <cell r="F1288">
            <v>80496</v>
          </cell>
          <cell r="G1288">
            <v>80498</v>
          </cell>
        </row>
        <row r="1289">
          <cell r="D1289" t="str">
            <v>CDC-1781</v>
          </cell>
          <cell r="E1289">
            <v>103114001</v>
          </cell>
          <cell r="F1289">
            <v>80496</v>
          </cell>
          <cell r="G1289">
            <v>80497</v>
          </cell>
        </row>
        <row r="1290">
          <cell r="D1290" t="str">
            <v>CDC-1781</v>
          </cell>
          <cell r="E1290">
            <v>103114001</v>
          </cell>
          <cell r="F1290">
            <v>80496</v>
          </cell>
          <cell r="G1290">
            <v>80497</v>
          </cell>
        </row>
        <row r="1291">
          <cell r="D1291" t="str">
            <v>CDC-1781</v>
          </cell>
          <cell r="E1291">
            <v>103114001</v>
          </cell>
          <cell r="F1291">
            <v>80496</v>
          </cell>
          <cell r="G1291">
            <v>80497</v>
          </cell>
        </row>
        <row r="1292">
          <cell r="D1292" t="str">
            <v>CDC-1781</v>
          </cell>
          <cell r="E1292">
            <v>103114001</v>
          </cell>
          <cell r="F1292">
            <v>80496</v>
          </cell>
          <cell r="G1292">
            <v>80497</v>
          </cell>
        </row>
        <row r="1293">
          <cell r="D1293" t="str">
            <v>CDC-1988</v>
          </cell>
          <cell r="E1293">
            <v>103114003</v>
          </cell>
          <cell r="F1293">
            <v>80496</v>
          </cell>
          <cell r="G1293">
            <v>80499</v>
          </cell>
        </row>
        <row r="1294">
          <cell r="D1294" t="str">
            <v>CDC-1988</v>
          </cell>
          <cell r="E1294">
            <v>103114003</v>
          </cell>
          <cell r="F1294">
            <v>80496</v>
          </cell>
          <cell r="G1294">
            <v>80499</v>
          </cell>
        </row>
        <row r="1295">
          <cell r="D1295" t="str">
            <v>CDC-1988</v>
          </cell>
          <cell r="E1295">
            <v>103114003</v>
          </cell>
          <cell r="F1295">
            <v>80496</v>
          </cell>
          <cell r="G1295">
            <v>80499</v>
          </cell>
        </row>
        <row r="1296">
          <cell r="D1296" t="str">
            <v>CDC-1988</v>
          </cell>
          <cell r="E1296">
            <v>103114003</v>
          </cell>
          <cell r="F1296">
            <v>80496</v>
          </cell>
          <cell r="G1296">
            <v>80499</v>
          </cell>
        </row>
        <row r="1297">
          <cell r="D1297" t="str">
            <v>CDC-1997</v>
          </cell>
          <cell r="E1297">
            <v>103114004</v>
          </cell>
          <cell r="F1297">
            <v>80496</v>
          </cell>
          <cell r="G1297">
            <v>80500</v>
          </cell>
        </row>
        <row r="1298">
          <cell r="D1298" t="str">
            <v>CDC-1997</v>
          </cell>
          <cell r="E1298">
            <v>103114004</v>
          </cell>
          <cell r="F1298">
            <v>80496</v>
          </cell>
          <cell r="G1298">
            <v>80500</v>
          </cell>
        </row>
        <row r="1299">
          <cell r="D1299" t="str">
            <v>CDC-1997</v>
          </cell>
          <cell r="E1299">
            <v>103114004</v>
          </cell>
          <cell r="F1299">
            <v>80496</v>
          </cell>
          <cell r="G1299">
            <v>80500</v>
          </cell>
        </row>
        <row r="1300">
          <cell r="D1300" t="str">
            <v>CDC-1997</v>
          </cell>
          <cell r="E1300">
            <v>103114004</v>
          </cell>
          <cell r="F1300">
            <v>80496</v>
          </cell>
          <cell r="G1300">
            <v>80500</v>
          </cell>
        </row>
        <row r="1301">
          <cell r="D1301" t="str">
            <v>CDC-1870</v>
          </cell>
          <cell r="E1301">
            <v>103114010</v>
          </cell>
          <cell r="F1301">
            <v>80496</v>
          </cell>
          <cell r="G1301">
            <v>80696</v>
          </cell>
        </row>
        <row r="1302">
          <cell r="D1302" t="str">
            <v>CDC-1870</v>
          </cell>
          <cell r="E1302">
            <v>103114010</v>
          </cell>
          <cell r="F1302">
            <v>80496</v>
          </cell>
          <cell r="G1302">
            <v>80696</v>
          </cell>
        </row>
        <row r="1303">
          <cell r="D1303" t="str">
            <v>CDC-1870</v>
          </cell>
          <cell r="E1303">
            <v>103114010</v>
          </cell>
          <cell r="F1303">
            <v>80496</v>
          </cell>
          <cell r="G1303">
            <v>80696</v>
          </cell>
        </row>
        <row r="1304">
          <cell r="D1304" t="str">
            <v>CDC-1870</v>
          </cell>
          <cell r="E1304">
            <v>103114010</v>
          </cell>
          <cell r="F1304">
            <v>80496</v>
          </cell>
          <cell r="G1304">
            <v>80696</v>
          </cell>
        </row>
        <row r="1305">
          <cell r="D1305" t="str">
            <v>CDC-1929</v>
          </cell>
          <cell r="E1305">
            <v>103114009</v>
          </cell>
          <cell r="F1305">
            <v>80496</v>
          </cell>
          <cell r="G1305">
            <v>80695</v>
          </cell>
        </row>
        <row r="1306">
          <cell r="D1306" t="str">
            <v>CDC-1929</v>
          </cell>
          <cell r="E1306">
            <v>103114009</v>
          </cell>
          <cell r="F1306">
            <v>80496</v>
          </cell>
          <cell r="G1306">
            <v>80695</v>
          </cell>
        </row>
        <row r="1307">
          <cell r="D1307" t="str">
            <v>CDC-1929</v>
          </cell>
          <cell r="E1307">
            <v>103114009</v>
          </cell>
          <cell r="F1307">
            <v>80496</v>
          </cell>
          <cell r="G1307">
            <v>80695</v>
          </cell>
        </row>
        <row r="1308">
          <cell r="D1308" t="str">
            <v>CDC-1929</v>
          </cell>
          <cell r="E1308">
            <v>103114009</v>
          </cell>
          <cell r="F1308">
            <v>80496</v>
          </cell>
          <cell r="G1308">
            <v>80695</v>
          </cell>
        </row>
        <row r="1309">
          <cell r="D1309" t="str">
            <v>CDC-13511</v>
          </cell>
          <cell r="E1309">
            <v>103205001</v>
          </cell>
          <cell r="F1309">
            <v>89875</v>
          </cell>
          <cell r="G1309">
            <v>89876</v>
          </cell>
        </row>
        <row r="1310">
          <cell r="D1310" t="str">
            <v>CDC-13511</v>
          </cell>
          <cell r="E1310">
            <v>103205001</v>
          </cell>
          <cell r="F1310">
            <v>89875</v>
          </cell>
          <cell r="G1310">
            <v>89876</v>
          </cell>
        </row>
        <row r="1311">
          <cell r="D1311" t="str">
            <v>CDC-13511</v>
          </cell>
          <cell r="E1311">
            <v>103205001</v>
          </cell>
          <cell r="F1311">
            <v>89875</v>
          </cell>
          <cell r="G1311">
            <v>89876</v>
          </cell>
        </row>
        <row r="1312">
          <cell r="D1312" t="str">
            <v>CDC-18079</v>
          </cell>
          <cell r="E1312">
            <v>73338001</v>
          </cell>
          <cell r="F1312">
            <v>969135</v>
          </cell>
          <cell r="G1312">
            <v>90113</v>
          </cell>
        </row>
        <row r="1313">
          <cell r="D1313" t="str">
            <v>CDC-18079</v>
          </cell>
          <cell r="E1313">
            <v>73338001</v>
          </cell>
          <cell r="F1313">
            <v>969135</v>
          </cell>
          <cell r="G1313">
            <v>90113</v>
          </cell>
        </row>
        <row r="1314">
          <cell r="D1314" t="str">
            <v>CDC-18079</v>
          </cell>
          <cell r="E1314">
            <v>73338001</v>
          </cell>
          <cell r="F1314">
            <v>969135</v>
          </cell>
          <cell r="G1314">
            <v>90113</v>
          </cell>
        </row>
        <row r="1315">
          <cell r="D1315" t="str">
            <v>CDC-18079</v>
          </cell>
          <cell r="E1315">
            <v>73338001</v>
          </cell>
          <cell r="F1315">
            <v>969135</v>
          </cell>
          <cell r="G1315">
            <v>90113</v>
          </cell>
        </row>
        <row r="1316">
          <cell r="D1316" t="str">
            <v>CDC-18079</v>
          </cell>
          <cell r="E1316">
            <v>73338001</v>
          </cell>
          <cell r="F1316">
            <v>969135</v>
          </cell>
          <cell r="G1316">
            <v>90113</v>
          </cell>
        </row>
        <row r="1317">
          <cell r="D1317" t="str">
            <v>CDC-18079</v>
          </cell>
          <cell r="E1317">
            <v>73338001</v>
          </cell>
          <cell r="F1317">
            <v>969135</v>
          </cell>
          <cell r="G1317">
            <v>90113</v>
          </cell>
        </row>
        <row r="1318">
          <cell r="D1318" t="str">
            <v>CDC-9675</v>
          </cell>
          <cell r="E1318">
            <v>103118001</v>
          </cell>
          <cell r="F1318">
            <v>79916</v>
          </cell>
          <cell r="G1318">
            <v>79917</v>
          </cell>
        </row>
        <row r="1319">
          <cell r="D1319" t="str">
            <v>CDC-9675</v>
          </cell>
          <cell r="E1319">
            <v>103118001</v>
          </cell>
          <cell r="F1319">
            <v>79916</v>
          </cell>
          <cell r="G1319">
            <v>79917</v>
          </cell>
        </row>
        <row r="1320">
          <cell r="D1320" t="str">
            <v>CDC-9675</v>
          </cell>
          <cell r="E1320">
            <v>103118001</v>
          </cell>
          <cell r="F1320">
            <v>79916</v>
          </cell>
          <cell r="G1320">
            <v>79917</v>
          </cell>
        </row>
        <row r="1321">
          <cell r="D1321" t="str">
            <v>CDC-9675</v>
          </cell>
          <cell r="E1321">
            <v>103118001</v>
          </cell>
          <cell r="F1321">
            <v>79916</v>
          </cell>
          <cell r="G1321">
            <v>79917</v>
          </cell>
        </row>
        <row r="1322">
          <cell r="D1322" t="str">
            <v>CDC-9675</v>
          </cell>
          <cell r="E1322">
            <v>103118001</v>
          </cell>
          <cell r="F1322">
            <v>79916</v>
          </cell>
          <cell r="G1322">
            <v>79917</v>
          </cell>
        </row>
        <row r="1323">
          <cell r="D1323" t="str">
            <v>CDC-9675</v>
          </cell>
          <cell r="E1323">
            <v>103118001</v>
          </cell>
          <cell r="F1323">
            <v>79916</v>
          </cell>
          <cell r="G1323">
            <v>79917</v>
          </cell>
        </row>
        <row r="1324">
          <cell r="D1324" t="str">
            <v>CDC-9675</v>
          </cell>
          <cell r="E1324">
            <v>103118001</v>
          </cell>
          <cell r="F1324">
            <v>79916</v>
          </cell>
          <cell r="G1324">
            <v>79917</v>
          </cell>
        </row>
        <row r="1325">
          <cell r="D1325" t="str">
            <v>CDC-9675</v>
          </cell>
          <cell r="E1325">
            <v>103118001</v>
          </cell>
          <cell r="F1325">
            <v>79916</v>
          </cell>
          <cell r="G1325">
            <v>79917</v>
          </cell>
        </row>
        <row r="1326">
          <cell r="D1326" t="str">
            <v>CDC-9675</v>
          </cell>
          <cell r="E1326">
            <v>103118001</v>
          </cell>
          <cell r="F1326">
            <v>79916</v>
          </cell>
          <cell r="G1326">
            <v>79917</v>
          </cell>
        </row>
        <row r="1327">
          <cell r="D1327" t="str">
            <v>CDC-9675</v>
          </cell>
          <cell r="E1327">
            <v>103118001</v>
          </cell>
          <cell r="F1327">
            <v>79916</v>
          </cell>
          <cell r="G1327">
            <v>79917</v>
          </cell>
        </row>
        <row r="1328">
          <cell r="D1328" t="str">
            <v>CDC-1025</v>
          </cell>
          <cell r="E1328">
            <v>73135001</v>
          </cell>
          <cell r="F1328">
            <v>9193</v>
          </cell>
          <cell r="G1328">
            <v>9194</v>
          </cell>
        </row>
        <row r="1329">
          <cell r="D1329" t="str">
            <v>CDC-1025</v>
          </cell>
          <cell r="E1329">
            <v>73135001</v>
          </cell>
          <cell r="F1329">
            <v>9193</v>
          </cell>
          <cell r="G1329">
            <v>9194</v>
          </cell>
        </row>
        <row r="1330">
          <cell r="D1330" t="str">
            <v>CDC-1025</v>
          </cell>
          <cell r="E1330">
            <v>73135001</v>
          </cell>
          <cell r="F1330">
            <v>9193</v>
          </cell>
          <cell r="G1330">
            <v>9194</v>
          </cell>
        </row>
        <row r="1331">
          <cell r="D1331" t="str">
            <v>CDC-1025</v>
          </cell>
          <cell r="E1331">
            <v>73135001</v>
          </cell>
          <cell r="F1331">
            <v>9193</v>
          </cell>
          <cell r="G1331">
            <v>9194</v>
          </cell>
        </row>
        <row r="1332">
          <cell r="D1332" t="str">
            <v>CDC-1025</v>
          </cell>
          <cell r="E1332">
            <v>73135001</v>
          </cell>
          <cell r="F1332">
            <v>9193</v>
          </cell>
          <cell r="G1332">
            <v>9194</v>
          </cell>
        </row>
        <row r="1333">
          <cell r="D1333" t="str">
            <v>CDC-1025</v>
          </cell>
          <cell r="E1333">
            <v>73135001</v>
          </cell>
          <cell r="F1333">
            <v>9193</v>
          </cell>
          <cell r="G1333">
            <v>9194</v>
          </cell>
        </row>
        <row r="1334">
          <cell r="D1334" t="str">
            <v>CDC-1025</v>
          </cell>
          <cell r="E1334">
            <v>73135001</v>
          </cell>
          <cell r="F1334">
            <v>9193</v>
          </cell>
          <cell r="G1334">
            <v>9194</v>
          </cell>
        </row>
        <row r="1335">
          <cell r="D1335" t="str">
            <v>CDC-1025</v>
          </cell>
          <cell r="E1335">
            <v>73135001</v>
          </cell>
          <cell r="F1335">
            <v>9193</v>
          </cell>
          <cell r="G1335">
            <v>9194</v>
          </cell>
        </row>
        <row r="1336">
          <cell r="D1336" t="str">
            <v>CDC-17520</v>
          </cell>
          <cell r="E1336">
            <v>73327001</v>
          </cell>
          <cell r="F1336">
            <v>150723</v>
          </cell>
          <cell r="G1336">
            <v>460999</v>
          </cell>
        </row>
        <row r="1337">
          <cell r="D1337" t="str">
            <v>CDC-17520</v>
          </cell>
          <cell r="E1337">
            <v>73327001</v>
          </cell>
          <cell r="F1337">
            <v>150723</v>
          </cell>
          <cell r="G1337">
            <v>460999</v>
          </cell>
        </row>
        <row r="1338">
          <cell r="D1338" t="str">
            <v>CDC-17520</v>
          </cell>
          <cell r="E1338">
            <v>73327001</v>
          </cell>
          <cell r="F1338">
            <v>150723</v>
          </cell>
          <cell r="G1338">
            <v>460999</v>
          </cell>
        </row>
        <row r="1339">
          <cell r="D1339" t="str">
            <v>CDC-17520</v>
          </cell>
          <cell r="E1339">
            <v>73327001</v>
          </cell>
          <cell r="F1339">
            <v>150723</v>
          </cell>
          <cell r="G1339">
            <v>460999</v>
          </cell>
        </row>
        <row r="1340">
          <cell r="D1340" t="str">
            <v>CDC-17520</v>
          </cell>
          <cell r="E1340">
            <v>73327001</v>
          </cell>
          <cell r="F1340">
            <v>150723</v>
          </cell>
          <cell r="G1340">
            <v>460999</v>
          </cell>
        </row>
        <row r="1341">
          <cell r="D1341" t="str">
            <v>CDC-17520</v>
          </cell>
          <cell r="E1341">
            <v>73327001</v>
          </cell>
          <cell r="F1341">
            <v>150723</v>
          </cell>
          <cell r="G1341">
            <v>460999</v>
          </cell>
        </row>
        <row r="1342">
          <cell r="D1342" t="str">
            <v>CDC-17520</v>
          </cell>
          <cell r="E1342">
            <v>73327001</v>
          </cell>
          <cell r="F1342">
            <v>150723</v>
          </cell>
          <cell r="G1342">
            <v>460999</v>
          </cell>
        </row>
        <row r="1343">
          <cell r="D1343" t="str">
            <v>CDC-17520</v>
          </cell>
          <cell r="E1343">
            <v>73327001</v>
          </cell>
          <cell r="F1343">
            <v>150723</v>
          </cell>
          <cell r="G1343">
            <v>460999</v>
          </cell>
        </row>
        <row r="1344">
          <cell r="D1344" t="str">
            <v>CDC-17834</v>
          </cell>
          <cell r="E1344">
            <v>113027001</v>
          </cell>
          <cell r="F1344">
            <v>272472</v>
          </cell>
          <cell r="G1344">
            <v>934629</v>
          </cell>
        </row>
        <row r="1345">
          <cell r="D1345" t="str">
            <v>CDC-17834</v>
          </cell>
          <cell r="E1345">
            <v>113027001</v>
          </cell>
          <cell r="F1345">
            <v>272472</v>
          </cell>
          <cell r="G1345">
            <v>934629</v>
          </cell>
        </row>
        <row r="1346">
          <cell r="D1346" t="str">
            <v>CDC-17834</v>
          </cell>
          <cell r="E1346">
            <v>113027001</v>
          </cell>
          <cell r="F1346">
            <v>272472</v>
          </cell>
          <cell r="G1346">
            <v>934629</v>
          </cell>
        </row>
        <row r="1347">
          <cell r="D1347" t="str">
            <v>CDC-17834</v>
          </cell>
          <cell r="E1347">
            <v>113027001</v>
          </cell>
          <cell r="F1347">
            <v>272472</v>
          </cell>
          <cell r="G1347">
            <v>934629</v>
          </cell>
        </row>
        <row r="1348">
          <cell r="D1348" t="str">
            <v>CDC-17834</v>
          </cell>
          <cell r="E1348">
            <v>113027001</v>
          </cell>
          <cell r="F1348">
            <v>272472</v>
          </cell>
          <cell r="G1348">
            <v>934629</v>
          </cell>
        </row>
        <row r="1349">
          <cell r="D1349" t="str">
            <v>CDC-17834</v>
          </cell>
          <cell r="E1349">
            <v>113027001</v>
          </cell>
          <cell r="F1349">
            <v>272472</v>
          </cell>
          <cell r="G1349">
            <v>934629</v>
          </cell>
        </row>
        <row r="1350">
          <cell r="D1350" t="str">
            <v>CDC-17834</v>
          </cell>
          <cell r="E1350">
            <v>113027001</v>
          </cell>
          <cell r="F1350">
            <v>272472</v>
          </cell>
          <cell r="G1350">
            <v>934629</v>
          </cell>
        </row>
        <row r="1351">
          <cell r="D1351" t="str">
            <v>CDC-17834</v>
          </cell>
          <cell r="E1351">
            <v>113027001</v>
          </cell>
          <cell r="F1351">
            <v>272472</v>
          </cell>
          <cell r="G1351">
            <v>934629</v>
          </cell>
        </row>
        <row r="1352">
          <cell r="D1352" t="str">
            <v>CDC-17834</v>
          </cell>
          <cell r="E1352">
            <v>113027001</v>
          </cell>
          <cell r="F1352">
            <v>272472</v>
          </cell>
          <cell r="G1352">
            <v>934629</v>
          </cell>
        </row>
        <row r="1353">
          <cell r="D1353" t="str">
            <v>CDC-17834</v>
          </cell>
          <cell r="E1353">
            <v>113027001</v>
          </cell>
          <cell r="F1353">
            <v>272472</v>
          </cell>
          <cell r="G1353">
            <v>934629</v>
          </cell>
        </row>
        <row r="1354">
          <cell r="D1354" t="str">
            <v>CDC-1869</v>
          </cell>
          <cell r="E1354">
            <v>72206001</v>
          </cell>
          <cell r="F1354">
            <v>8664</v>
          </cell>
          <cell r="G1354">
            <v>8665</v>
          </cell>
        </row>
        <row r="1355">
          <cell r="D1355" t="str">
            <v>CDC-1869</v>
          </cell>
          <cell r="E1355">
            <v>72206001</v>
          </cell>
          <cell r="F1355">
            <v>8664</v>
          </cell>
          <cell r="G1355">
            <v>8665</v>
          </cell>
        </row>
        <row r="1356">
          <cell r="D1356" t="str">
            <v>CDC-1869</v>
          </cell>
          <cell r="E1356">
            <v>72206001</v>
          </cell>
          <cell r="F1356">
            <v>8664</v>
          </cell>
          <cell r="G1356">
            <v>8665</v>
          </cell>
        </row>
        <row r="1357">
          <cell r="D1357" t="str">
            <v>CDC-1869</v>
          </cell>
          <cell r="E1357">
            <v>72206001</v>
          </cell>
          <cell r="F1357">
            <v>8664</v>
          </cell>
          <cell r="G1357">
            <v>8665</v>
          </cell>
        </row>
        <row r="1358">
          <cell r="D1358" t="str">
            <v>CDC-1869</v>
          </cell>
          <cell r="E1358">
            <v>72206001</v>
          </cell>
          <cell r="F1358">
            <v>8664</v>
          </cell>
          <cell r="G1358">
            <v>8665</v>
          </cell>
        </row>
        <row r="1359">
          <cell r="D1359" t="str">
            <v>CDC-1869</v>
          </cell>
          <cell r="E1359">
            <v>72206001</v>
          </cell>
          <cell r="F1359">
            <v>8664</v>
          </cell>
          <cell r="G1359">
            <v>8665</v>
          </cell>
        </row>
        <row r="1360">
          <cell r="D1360" t="str">
            <v>CDC-9322</v>
          </cell>
          <cell r="E1360">
            <v>73474001</v>
          </cell>
          <cell r="F1360">
            <v>79867</v>
          </cell>
          <cell r="G1360">
            <v>79868</v>
          </cell>
        </row>
        <row r="1361">
          <cell r="D1361" t="str">
            <v>CDC-9322</v>
          </cell>
          <cell r="E1361">
            <v>73474001</v>
          </cell>
          <cell r="F1361">
            <v>79867</v>
          </cell>
          <cell r="G1361">
            <v>79868</v>
          </cell>
        </row>
        <row r="1362">
          <cell r="D1362" t="str">
            <v>CDC-9322</v>
          </cell>
          <cell r="E1362">
            <v>73474001</v>
          </cell>
          <cell r="F1362">
            <v>79867</v>
          </cell>
          <cell r="G1362">
            <v>79868</v>
          </cell>
        </row>
        <row r="1363">
          <cell r="D1363" t="str">
            <v>CDC-9322</v>
          </cell>
          <cell r="E1363">
            <v>73474001</v>
          </cell>
          <cell r="F1363">
            <v>79867</v>
          </cell>
          <cell r="G1363">
            <v>79868</v>
          </cell>
        </row>
        <row r="1364">
          <cell r="D1364" t="str">
            <v>CDC-9322</v>
          </cell>
          <cell r="E1364">
            <v>73474001</v>
          </cell>
          <cell r="F1364">
            <v>79867</v>
          </cell>
          <cell r="G1364">
            <v>79868</v>
          </cell>
        </row>
        <row r="1365">
          <cell r="D1365" t="str">
            <v>CDC-9322</v>
          </cell>
          <cell r="E1365">
            <v>73474001</v>
          </cell>
          <cell r="F1365">
            <v>79867</v>
          </cell>
          <cell r="G1365">
            <v>79868</v>
          </cell>
        </row>
        <row r="1366">
          <cell r="D1366" t="str">
            <v>CDC-5405</v>
          </cell>
          <cell r="E1366">
            <v>73230001</v>
          </cell>
          <cell r="F1366">
            <v>9368</v>
          </cell>
          <cell r="G1366">
            <v>9369</v>
          </cell>
        </row>
        <row r="1367">
          <cell r="D1367" t="str">
            <v>CDC-5405</v>
          </cell>
          <cell r="E1367">
            <v>73230001</v>
          </cell>
          <cell r="F1367">
            <v>9368</v>
          </cell>
          <cell r="G1367">
            <v>9369</v>
          </cell>
        </row>
        <row r="1368">
          <cell r="D1368" t="str">
            <v>CDC-5405</v>
          </cell>
          <cell r="E1368">
            <v>73230001</v>
          </cell>
          <cell r="F1368">
            <v>9368</v>
          </cell>
          <cell r="G1368">
            <v>9369</v>
          </cell>
        </row>
        <row r="1369">
          <cell r="D1369" t="str">
            <v>CDC-5405</v>
          </cell>
          <cell r="E1369">
            <v>73230001</v>
          </cell>
          <cell r="F1369">
            <v>9368</v>
          </cell>
          <cell r="G1369">
            <v>9369</v>
          </cell>
        </row>
        <row r="1370">
          <cell r="D1370" t="str">
            <v>CDC-5405</v>
          </cell>
          <cell r="E1370">
            <v>73230001</v>
          </cell>
          <cell r="F1370">
            <v>9368</v>
          </cell>
          <cell r="G1370">
            <v>9369</v>
          </cell>
        </row>
        <row r="1371">
          <cell r="D1371" t="str">
            <v>CDC-5405</v>
          </cell>
          <cell r="E1371">
            <v>73230001</v>
          </cell>
          <cell r="F1371">
            <v>9368</v>
          </cell>
          <cell r="G1371">
            <v>9369</v>
          </cell>
        </row>
        <row r="1372">
          <cell r="D1372" t="str">
            <v>CDC-5405</v>
          </cell>
          <cell r="E1372">
            <v>73230001</v>
          </cell>
          <cell r="F1372">
            <v>9368</v>
          </cell>
          <cell r="G1372">
            <v>9369</v>
          </cell>
        </row>
        <row r="1373">
          <cell r="D1373" t="str">
            <v>CDC-5405</v>
          </cell>
          <cell r="E1373">
            <v>73230001</v>
          </cell>
          <cell r="F1373">
            <v>9368</v>
          </cell>
          <cell r="G1373">
            <v>9369</v>
          </cell>
        </row>
        <row r="1374">
          <cell r="D1374" t="str">
            <v>CDC-14072</v>
          </cell>
          <cell r="E1374">
            <v>103151001</v>
          </cell>
          <cell r="F1374">
            <v>92709</v>
          </cell>
          <cell r="G1374">
            <v>92710</v>
          </cell>
        </row>
        <row r="1375">
          <cell r="D1375" t="str">
            <v>CDC-14072</v>
          </cell>
          <cell r="E1375">
            <v>103151001</v>
          </cell>
          <cell r="F1375">
            <v>92709</v>
          </cell>
          <cell r="G1375">
            <v>92710</v>
          </cell>
        </row>
        <row r="1376">
          <cell r="D1376" t="str">
            <v>CDC-14072</v>
          </cell>
          <cell r="E1376">
            <v>103151001</v>
          </cell>
          <cell r="F1376">
            <v>92709</v>
          </cell>
          <cell r="G1376">
            <v>92710</v>
          </cell>
        </row>
        <row r="1377">
          <cell r="D1377" t="str">
            <v>CDC-14072</v>
          </cell>
          <cell r="E1377">
            <v>103151001</v>
          </cell>
          <cell r="F1377">
            <v>92709</v>
          </cell>
          <cell r="G1377">
            <v>92710</v>
          </cell>
        </row>
        <row r="1378">
          <cell r="D1378" t="str">
            <v>CDC-14072</v>
          </cell>
          <cell r="E1378">
            <v>103151001</v>
          </cell>
          <cell r="F1378">
            <v>92709</v>
          </cell>
          <cell r="G1378">
            <v>92710</v>
          </cell>
        </row>
        <row r="1379">
          <cell r="D1379" t="str">
            <v>CDC-14072</v>
          </cell>
          <cell r="E1379">
            <v>103151001</v>
          </cell>
          <cell r="F1379">
            <v>92709</v>
          </cell>
          <cell r="G1379">
            <v>92710</v>
          </cell>
        </row>
        <row r="1380">
          <cell r="D1380" t="str">
            <v>CDC-14072</v>
          </cell>
          <cell r="E1380">
            <v>103151001</v>
          </cell>
          <cell r="F1380">
            <v>92709</v>
          </cell>
          <cell r="G1380">
            <v>92710</v>
          </cell>
        </row>
        <row r="1381">
          <cell r="D1381" t="str">
            <v>CDC-14072</v>
          </cell>
          <cell r="E1381">
            <v>103151001</v>
          </cell>
          <cell r="F1381">
            <v>92709</v>
          </cell>
          <cell r="G1381">
            <v>92710</v>
          </cell>
        </row>
        <row r="1382">
          <cell r="D1382" t="str">
            <v>CDC-14072</v>
          </cell>
          <cell r="E1382">
            <v>103151001</v>
          </cell>
          <cell r="F1382">
            <v>92709</v>
          </cell>
          <cell r="G1382">
            <v>92710</v>
          </cell>
        </row>
        <row r="1383">
          <cell r="D1383" t="str">
            <v>CDC-14072</v>
          </cell>
          <cell r="E1383">
            <v>103151001</v>
          </cell>
          <cell r="F1383">
            <v>92709</v>
          </cell>
          <cell r="G1383">
            <v>92710</v>
          </cell>
        </row>
        <row r="1384">
          <cell r="D1384" t="str">
            <v>CDC-16839</v>
          </cell>
          <cell r="E1384">
            <v>73309001</v>
          </cell>
          <cell r="F1384">
            <v>92405</v>
          </cell>
          <cell r="G1384">
            <v>92406</v>
          </cell>
        </row>
        <row r="1385">
          <cell r="D1385" t="str">
            <v>CDC-16839</v>
          </cell>
          <cell r="E1385">
            <v>73309001</v>
          </cell>
          <cell r="F1385">
            <v>92405</v>
          </cell>
          <cell r="G1385">
            <v>92406</v>
          </cell>
        </row>
        <row r="1386">
          <cell r="D1386" t="str">
            <v>CDC-16839</v>
          </cell>
          <cell r="E1386">
            <v>73309001</v>
          </cell>
          <cell r="F1386">
            <v>92405</v>
          </cell>
          <cell r="G1386">
            <v>92406</v>
          </cell>
        </row>
        <row r="1387">
          <cell r="D1387" t="str">
            <v>CDC-16839</v>
          </cell>
          <cell r="E1387">
            <v>73309001</v>
          </cell>
          <cell r="F1387">
            <v>92405</v>
          </cell>
          <cell r="G1387">
            <v>92406</v>
          </cell>
        </row>
        <row r="1388">
          <cell r="D1388" t="str">
            <v>CDC-16839</v>
          </cell>
          <cell r="E1388">
            <v>73309001</v>
          </cell>
          <cell r="F1388">
            <v>92405</v>
          </cell>
          <cell r="G1388">
            <v>92406</v>
          </cell>
        </row>
        <row r="1389">
          <cell r="D1389" t="str">
            <v>CDC-16839</v>
          </cell>
          <cell r="E1389">
            <v>73309001</v>
          </cell>
          <cell r="F1389">
            <v>92405</v>
          </cell>
          <cell r="G1389">
            <v>92406</v>
          </cell>
        </row>
        <row r="1390">
          <cell r="D1390" t="str">
            <v>CDC-16839</v>
          </cell>
          <cell r="E1390">
            <v>73309001</v>
          </cell>
          <cell r="F1390">
            <v>92405</v>
          </cell>
          <cell r="G1390">
            <v>92406</v>
          </cell>
        </row>
        <row r="1391">
          <cell r="D1391" t="str">
            <v>CDC-16839</v>
          </cell>
          <cell r="E1391">
            <v>73309001</v>
          </cell>
          <cell r="F1391">
            <v>92405</v>
          </cell>
          <cell r="G1391">
            <v>92406</v>
          </cell>
        </row>
        <row r="1392">
          <cell r="D1392" t="str">
            <v>CDC-17216</v>
          </cell>
          <cell r="E1392">
            <v>103159001</v>
          </cell>
          <cell r="F1392">
            <v>1000124</v>
          </cell>
          <cell r="G1392">
            <v>1000125</v>
          </cell>
        </row>
        <row r="1393">
          <cell r="D1393" t="str">
            <v>CDC-17216</v>
          </cell>
          <cell r="E1393">
            <v>103159001</v>
          </cell>
          <cell r="F1393">
            <v>1000124</v>
          </cell>
          <cell r="G1393">
            <v>1000125</v>
          </cell>
        </row>
        <row r="1394">
          <cell r="D1394" t="str">
            <v>CDC-17216</v>
          </cell>
          <cell r="E1394">
            <v>103159001</v>
          </cell>
          <cell r="F1394">
            <v>1000124</v>
          </cell>
          <cell r="G1394">
            <v>1000125</v>
          </cell>
        </row>
        <row r="1395">
          <cell r="D1395" t="str">
            <v>CDC-17216</v>
          </cell>
          <cell r="E1395">
            <v>103159001</v>
          </cell>
          <cell r="F1395">
            <v>1000124</v>
          </cell>
          <cell r="G1395">
            <v>1000125</v>
          </cell>
        </row>
        <row r="1396">
          <cell r="D1396" t="str">
            <v>CDC-18272</v>
          </cell>
          <cell r="E1396">
            <v>103230001</v>
          </cell>
          <cell r="F1396">
            <v>91923</v>
          </cell>
          <cell r="G1396">
            <v>91924</v>
          </cell>
        </row>
        <row r="1397">
          <cell r="D1397" t="str">
            <v>CDC-18272</v>
          </cell>
          <cell r="E1397">
            <v>103230001</v>
          </cell>
          <cell r="F1397">
            <v>91923</v>
          </cell>
          <cell r="G1397">
            <v>91924</v>
          </cell>
        </row>
        <row r="1398">
          <cell r="D1398" t="str">
            <v>CDC-18272</v>
          </cell>
          <cell r="E1398">
            <v>103230001</v>
          </cell>
          <cell r="F1398">
            <v>91923</v>
          </cell>
          <cell r="G1398">
            <v>91924</v>
          </cell>
        </row>
        <row r="1399">
          <cell r="D1399" t="str">
            <v>CDC-18272</v>
          </cell>
          <cell r="E1399">
            <v>103230001</v>
          </cell>
          <cell r="F1399">
            <v>91923</v>
          </cell>
          <cell r="G1399">
            <v>91924</v>
          </cell>
        </row>
        <row r="1400">
          <cell r="D1400" t="str">
            <v>CDC-18272</v>
          </cell>
          <cell r="E1400">
            <v>103230001</v>
          </cell>
          <cell r="F1400">
            <v>91923</v>
          </cell>
          <cell r="G1400">
            <v>91924</v>
          </cell>
        </row>
        <row r="1401">
          <cell r="D1401" t="str">
            <v>CDC-18272</v>
          </cell>
          <cell r="E1401">
            <v>103230001</v>
          </cell>
          <cell r="F1401">
            <v>91923</v>
          </cell>
          <cell r="G1401">
            <v>91924</v>
          </cell>
        </row>
        <row r="1402">
          <cell r="D1402" t="str">
            <v>CDC-18272</v>
          </cell>
          <cell r="E1402">
            <v>103230001</v>
          </cell>
          <cell r="F1402">
            <v>91923</v>
          </cell>
          <cell r="G1402">
            <v>91924</v>
          </cell>
        </row>
        <row r="1403">
          <cell r="D1403" t="str">
            <v>CDC-18272</v>
          </cell>
          <cell r="E1403">
            <v>103230001</v>
          </cell>
          <cell r="F1403">
            <v>91923</v>
          </cell>
          <cell r="G1403">
            <v>91924</v>
          </cell>
        </row>
        <row r="1404">
          <cell r="D1404" t="str">
            <v>CDC-18272</v>
          </cell>
          <cell r="E1404">
            <v>103230001</v>
          </cell>
          <cell r="F1404">
            <v>91923</v>
          </cell>
          <cell r="G1404">
            <v>91924</v>
          </cell>
        </row>
        <row r="1405">
          <cell r="D1405" t="str">
            <v>CDC-18272</v>
          </cell>
          <cell r="E1405">
            <v>103230001</v>
          </cell>
          <cell r="F1405">
            <v>91923</v>
          </cell>
          <cell r="G1405">
            <v>91924</v>
          </cell>
        </row>
        <row r="1406">
          <cell r="D1406" t="str">
            <v>CDC-14984</v>
          </cell>
          <cell r="E1406">
            <v>103218001</v>
          </cell>
          <cell r="F1406">
            <v>90512</v>
          </cell>
          <cell r="G1406">
            <v>90513</v>
          </cell>
        </row>
        <row r="1407">
          <cell r="D1407" t="str">
            <v>CDC-14984</v>
          </cell>
          <cell r="E1407">
            <v>103218001</v>
          </cell>
          <cell r="F1407">
            <v>90512</v>
          </cell>
          <cell r="G1407">
            <v>90513</v>
          </cell>
        </row>
        <row r="1408">
          <cell r="D1408" t="str">
            <v>CDC-14984</v>
          </cell>
          <cell r="E1408">
            <v>103218001</v>
          </cell>
          <cell r="F1408">
            <v>90512</v>
          </cell>
          <cell r="G1408">
            <v>90513</v>
          </cell>
        </row>
        <row r="1409">
          <cell r="D1409" t="str">
            <v>CDC-14984</v>
          </cell>
          <cell r="E1409">
            <v>103218001</v>
          </cell>
          <cell r="F1409">
            <v>90512</v>
          </cell>
          <cell r="G1409">
            <v>90513</v>
          </cell>
        </row>
        <row r="1410">
          <cell r="D1410" t="str">
            <v>CDC-14984</v>
          </cell>
          <cell r="E1410">
            <v>103218001</v>
          </cell>
          <cell r="F1410">
            <v>90512</v>
          </cell>
          <cell r="G1410">
            <v>90513</v>
          </cell>
        </row>
        <row r="1411">
          <cell r="D1411" t="str">
            <v>CDC-14984</v>
          </cell>
          <cell r="E1411">
            <v>103218001</v>
          </cell>
          <cell r="F1411">
            <v>90512</v>
          </cell>
          <cell r="G1411">
            <v>90513</v>
          </cell>
        </row>
        <row r="1412">
          <cell r="D1412" t="str">
            <v>CDC-14984</v>
          </cell>
          <cell r="E1412">
            <v>103218001</v>
          </cell>
          <cell r="F1412">
            <v>90512</v>
          </cell>
          <cell r="G1412">
            <v>90513</v>
          </cell>
        </row>
        <row r="1413">
          <cell r="D1413" t="str">
            <v>CDC-14984</v>
          </cell>
          <cell r="E1413">
            <v>103218001</v>
          </cell>
          <cell r="F1413">
            <v>90512</v>
          </cell>
          <cell r="G1413">
            <v>90513</v>
          </cell>
        </row>
        <row r="1414">
          <cell r="D1414" t="str">
            <v>CDC-14984</v>
          </cell>
          <cell r="E1414">
            <v>103218001</v>
          </cell>
          <cell r="F1414">
            <v>90512</v>
          </cell>
          <cell r="G1414">
            <v>90513</v>
          </cell>
        </row>
        <row r="1415">
          <cell r="D1415" t="str">
            <v>CDC-14984</v>
          </cell>
          <cell r="E1415">
            <v>103218001</v>
          </cell>
          <cell r="F1415">
            <v>90512</v>
          </cell>
          <cell r="G1415">
            <v>90513</v>
          </cell>
        </row>
        <row r="1416">
          <cell r="D1416" t="str">
            <v>CDC-16478</v>
          </cell>
          <cell r="E1416">
            <v>73316001</v>
          </cell>
          <cell r="F1416">
            <v>92711</v>
          </cell>
          <cell r="G1416">
            <v>92712</v>
          </cell>
        </row>
        <row r="1417">
          <cell r="D1417" t="str">
            <v>CDC-16478</v>
          </cell>
          <cell r="E1417">
            <v>73316001</v>
          </cell>
          <cell r="F1417">
            <v>92711</v>
          </cell>
          <cell r="G1417">
            <v>92712</v>
          </cell>
        </row>
        <row r="1418">
          <cell r="D1418" t="str">
            <v>CDC-16478</v>
          </cell>
          <cell r="E1418">
            <v>73316001</v>
          </cell>
          <cell r="F1418">
            <v>92711</v>
          </cell>
          <cell r="G1418">
            <v>92712</v>
          </cell>
        </row>
        <row r="1419">
          <cell r="D1419" t="str">
            <v>CDC-16478</v>
          </cell>
          <cell r="E1419">
            <v>73316001</v>
          </cell>
          <cell r="F1419">
            <v>92711</v>
          </cell>
          <cell r="G1419">
            <v>92712</v>
          </cell>
        </row>
        <row r="1420">
          <cell r="D1420" t="str">
            <v>CDC-16478</v>
          </cell>
          <cell r="E1420">
            <v>73316001</v>
          </cell>
          <cell r="F1420">
            <v>92711</v>
          </cell>
          <cell r="G1420">
            <v>92712</v>
          </cell>
        </row>
        <row r="1421">
          <cell r="D1421" t="str">
            <v>CDC-16478</v>
          </cell>
          <cell r="E1421">
            <v>73316001</v>
          </cell>
          <cell r="F1421">
            <v>92711</v>
          </cell>
          <cell r="G1421">
            <v>92712</v>
          </cell>
        </row>
        <row r="1422">
          <cell r="D1422" t="str">
            <v>CDC-17228</v>
          </cell>
          <cell r="E1422">
            <v>73316002</v>
          </cell>
          <cell r="F1422">
            <v>92711</v>
          </cell>
          <cell r="G1422">
            <v>92960</v>
          </cell>
        </row>
        <row r="1423">
          <cell r="D1423" t="str">
            <v>CDC-17228</v>
          </cell>
          <cell r="E1423">
            <v>73316002</v>
          </cell>
          <cell r="F1423">
            <v>92711</v>
          </cell>
          <cell r="G1423">
            <v>92960</v>
          </cell>
        </row>
        <row r="1424">
          <cell r="D1424" t="str">
            <v>CDC-17228</v>
          </cell>
          <cell r="E1424">
            <v>73316002</v>
          </cell>
          <cell r="F1424">
            <v>92711</v>
          </cell>
          <cell r="G1424">
            <v>92960</v>
          </cell>
        </row>
        <row r="1425">
          <cell r="D1425" t="str">
            <v>CDC-17228</v>
          </cell>
          <cell r="E1425">
            <v>73316002</v>
          </cell>
          <cell r="F1425">
            <v>92711</v>
          </cell>
          <cell r="G1425">
            <v>92960</v>
          </cell>
        </row>
        <row r="1426">
          <cell r="D1426" t="str">
            <v>CDC-17228</v>
          </cell>
          <cell r="E1426">
            <v>73316002</v>
          </cell>
          <cell r="F1426">
            <v>92711</v>
          </cell>
          <cell r="G1426">
            <v>92960</v>
          </cell>
        </row>
        <row r="1427">
          <cell r="D1427" t="str">
            <v>CDC-17228</v>
          </cell>
          <cell r="E1427">
            <v>73316002</v>
          </cell>
          <cell r="F1427">
            <v>92711</v>
          </cell>
          <cell r="G1427">
            <v>92960</v>
          </cell>
        </row>
        <row r="1428">
          <cell r="D1428" t="str">
            <v>CDC-18011</v>
          </cell>
          <cell r="E1428">
            <v>73316003</v>
          </cell>
          <cell r="F1428">
            <v>92711</v>
          </cell>
          <cell r="G1428">
            <v>649082</v>
          </cell>
        </row>
        <row r="1429">
          <cell r="D1429" t="str">
            <v>CDC-18011</v>
          </cell>
          <cell r="E1429">
            <v>73316003</v>
          </cell>
          <cell r="F1429">
            <v>92711</v>
          </cell>
          <cell r="G1429">
            <v>649082</v>
          </cell>
        </row>
        <row r="1430">
          <cell r="D1430" t="str">
            <v>CDC-18011</v>
          </cell>
          <cell r="E1430">
            <v>73316003</v>
          </cell>
          <cell r="F1430">
            <v>92711</v>
          </cell>
          <cell r="G1430">
            <v>649082</v>
          </cell>
        </row>
        <row r="1431">
          <cell r="D1431" t="str">
            <v>CDC-18011</v>
          </cell>
          <cell r="E1431">
            <v>73316003</v>
          </cell>
          <cell r="F1431">
            <v>92711</v>
          </cell>
          <cell r="G1431">
            <v>649082</v>
          </cell>
        </row>
        <row r="1432">
          <cell r="D1432" t="str">
            <v>CDC-18011</v>
          </cell>
          <cell r="E1432">
            <v>73316003</v>
          </cell>
          <cell r="F1432">
            <v>92711</v>
          </cell>
          <cell r="G1432">
            <v>649082</v>
          </cell>
        </row>
        <row r="1433">
          <cell r="D1433" t="str">
            <v>CDC-18011</v>
          </cell>
          <cell r="E1433">
            <v>73316003</v>
          </cell>
          <cell r="F1433">
            <v>92711</v>
          </cell>
          <cell r="G1433">
            <v>649082</v>
          </cell>
        </row>
        <row r="1434">
          <cell r="D1434" t="str">
            <v>CDC-13870</v>
          </cell>
          <cell r="E1434">
            <v>73706002</v>
          </cell>
          <cell r="F1434">
            <v>90701</v>
          </cell>
          <cell r="G1434">
            <v>90703</v>
          </cell>
        </row>
        <row r="1435">
          <cell r="D1435" t="str">
            <v>CDC-13870</v>
          </cell>
          <cell r="E1435">
            <v>73706002</v>
          </cell>
          <cell r="F1435">
            <v>90701</v>
          </cell>
          <cell r="G1435">
            <v>90703</v>
          </cell>
        </row>
        <row r="1436">
          <cell r="D1436" t="str">
            <v>CDC-13870</v>
          </cell>
          <cell r="E1436">
            <v>73706002</v>
          </cell>
          <cell r="F1436">
            <v>90701</v>
          </cell>
          <cell r="G1436">
            <v>90703</v>
          </cell>
        </row>
        <row r="1437">
          <cell r="D1437" t="str">
            <v>CDC-13870</v>
          </cell>
          <cell r="E1437">
            <v>73706002</v>
          </cell>
          <cell r="F1437">
            <v>90701</v>
          </cell>
          <cell r="G1437">
            <v>90703</v>
          </cell>
        </row>
        <row r="1438">
          <cell r="D1438" t="str">
            <v>CDC-13870</v>
          </cell>
          <cell r="E1438">
            <v>73706002</v>
          </cell>
          <cell r="F1438">
            <v>90701</v>
          </cell>
          <cell r="G1438">
            <v>90703</v>
          </cell>
        </row>
        <row r="1439">
          <cell r="D1439" t="str">
            <v>CDC-13870</v>
          </cell>
          <cell r="E1439">
            <v>73706002</v>
          </cell>
          <cell r="F1439">
            <v>90701</v>
          </cell>
          <cell r="G1439">
            <v>90703</v>
          </cell>
        </row>
        <row r="1440">
          <cell r="D1440" t="str">
            <v>CDC-15172</v>
          </cell>
          <cell r="E1440">
            <v>73706001</v>
          </cell>
          <cell r="F1440">
            <v>90701</v>
          </cell>
          <cell r="G1440">
            <v>90702</v>
          </cell>
        </row>
        <row r="1441">
          <cell r="D1441" t="str">
            <v>CDC-15172</v>
          </cell>
          <cell r="E1441">
            <v>73706001</v>
          </cell>
          <cell r="F1441">
            <v>90701</v>
          </cell>
          <cell r="G1441">
            <v>90702</v>
          </cell>
        </row>
        <row r="1442">
          <cell r="D1442" t="str">
            <v>CDC-15172</v>
          </cell>
          <cell r="E1442">
            <v>73706001</v>
          </cell>
          <cell r="F1442">
            <v>90701</v>
          </cell>
          <cell r="G1442">
            <v>90702</v>
          </cell>
        </row>
        <row r="1443">
          <cell r="D1443" t="str">
            <v>CDC-15172</v>
          </cell>
          <cell r="E1443">
            <v>73706001</v>
          </cell>
          <cell r="F1443">
            <v>90701</v>
          </cell>
          <cell r="G1443">
            <v>90702</v>
          </cell>
        </row>
        <row r="1444">
          <cell r="D1444" t="str">
            <v>CDC-15172</v>
          </cell>
          <cell r="E1444">
            <v>73706001</v>
          </cell>
          <cell r="F1444">
            <v>90701</v>
          </cell>
          <cell r="G1444">
            <v>90702</v>
          </cell>
        </row>
        <row r="1445">
          <cell r="D1445" t="str">
            <v>CDC-15172</v>
          </cell>
          <cell r="E1445">
            <v>73706001</v>
          </cell>
          <cell r="F1445">
            <v>90701</v>
          </cell>
          <cell r="G1445">
            <v>90702</v>
          </cell>
        </row>
        <row r="1446">
          <cell r="D1446" t="str">
            <v>CDC-15776</v>
          </cell>
          <cell r="E1446">
            <v>83023001</v>
          </cell>
          <cell r="F1446">
            <v>89932</v>
          </cell>
          <cell r="G1446">
            <v>89933</v>
          </cell>
        </row>
        <row r="1447">
          <cell r="D1447" t="str">
            <v>CDC-15776</v>
          </cell>
          <cell r="E1447">
            <v>83023001</v>
          </cell>
          <cell r="F1447">
            <v>89932</v>
          </cell>
          <cell r="G1447">
            <v>89933</v>
          </cell>
        </row>
        <row r="1448">
          <cell r="D1448" t="str">
            <v>CDC-15776</v>
          </cell>
          <cell r="E1448">
            <v>83023001</v>
          </cell>
          <cell r="F1448">
            <v>89932</v>
          </cell>
          <cell r="G1448">
            <v>89933</v>
          </cell>
        </row>
        <row r="1449">
          <cell r="D1449" t="str">
            <v>CDC-15776</v>
          </cell>
          <cell r="E1449">
            <v>83023001</v>
          </cell>
          <cell r="F1449">
            <v>89932</v>
          </cell>
          <cell r="G1449">
            <v>89933</v>
          </cell>
        </row>
        <row r="1450">
          <cell r="D1450" t="str">
            <v>CDC-15776</v>
          </cell>
          <cell r="E1450">
            <v>83023001</v>
          </cell>
          <cell r="F1450">
            <v>89932</v>
          </cell>
          <cell r="G1450">
            <v>89933</v>
          </cell>
        </row>
        <row r="1451">
          <cell r="D1451" t="str">
            <v>CDC-15776</v>
          </cell>
          <cell r="E1451">
            <v>83023001</v>
          </cell>
          <cell r="F1451">
            <v>89932</v>
          </cell>
          <cell r="G1451">
            <v>89933</v>
          </cell>
        </row>
        <row r="1452">
          <cell r="D1452" t="str">
            <v>CDC-15776</v>
          </cell>
          <cell r="E1452">
            <v>83023001</v>
          </cell>
          <cell r="F1452">
            <v>89932</v>
          </cell>
          <cell r="G1452">
            <v>89933</v>
          </cell>
        </row>
        <row r="1453">
          <cell r="D1453" t="str">
            <v>CDC-15776</v>
          </cell>
          <cell r="E1453">
            <v>83023001</v>
          </cell>
          <cell r="F1453">
            <v>89932</v>
          </cell>
          <cell r="G1453">
            <v>89933</v>
          </cell>
        </row>
        <row r="1454">
          <cell r="D1454" t="str">
            <v>CDC-18546</v>
          </cell>
          <cell r="E1454">
            <v>73140001</v>
          </cell>
          <cell r="F1454">
            <v>9199</v>
          </cell>
          <cell r="G1454">
            <v>9200</v>
          </cell>
        </row>
        <row r="1455">
          <cell r="D1455" t="str">
            <v>CDC-18546</v>
          </cell>
          <cell r="E1455">
            <v>73140001</v>
          </cell>
          <cell r="F1455">
            <v>9199</v>
          </cell>
          <cell r="G1455">
            <v>9200</v>
          </cell>
        </row>
        <row r="1456">
          <cell r="D1456" t="str">
            <v>CDC-18546</v>
          </cell>
          <cell r="E1456">
            <v>73140001</v>
          </cell>
          <cell r="F1456">
            <v>9199</v>
          </cell>
          <cell r="G1456">
            <v>9200</v>
          </cell>
        </row>
        <row r="1457">
          <cell r="D1457" t="str">
            <v>CDC-18546</v>
          </cell>
          <cell r="E1457">
            <v>73140001</v>
          </cell>
          <cell r="F1457">
            <v>9199</v>
          </cell>
          <cell r="G1457">
            <v>9200</v>
          </cell>
        </row>
        <row r="1458">
          <cell r="D1458" t="str">
            <v>CDC-18546</v>
          </cell>
          <cell r="E1458">
            <v>73140001</v>
          </cell>
          <cell r="F1458">
            <v>9199</v>
          </cell>
          <cell r="G1458">
            <v>9200</v>
          </cell>
        </row>
        <row r="1459">
          <cell r="D1459" t="str">
            <v>CDC-18546</v>
          </cell>
          <cell r="E1459">
            <v>73140001</v>
          </cell>
          <cell r="F1459">
            <v>9199</v>
          </cell>
          <cell r="G1459">
            <v>9200</v>
          </cell>
        </row>
        <row r="1460">
          <cell r="D1460" t="str">
            <v>CDC-13041</v>
          </cell>
          <cell r="E1460">
            <v>73556001</v>
          </cell>
          <cell r="F1460">
            <v>89670</v>
          </cell>
          <cell r="G1460">
            <v>89671</v>
          </cell>
        </row>
        <row r="1461">
          <cell r="D1461" t="str">
            <v>CDC-13041</v>
          </cell>
          <cell r="E1461">
            <v>73556001</v>
          </cell>
          <cell r="F1461">
            <v>89670</v>
          </cell>
          <cell r="G1461">
            <v>89671</v>
          </cell>
        </row>
        <row r="1462">
          <cell r="D1462" t="str">
            <v>CDC-13041</v>
          </cell>
          <cell r="E1462">
            <v>73556001</v>
          </cell>
          <cell r="F1462">
            <v>89670</v>
          </cell>
          <cell r="G1462">
            <v>89671</v>
          </cell>
        </row>
        <row r="1463">
          <cell r="D1463" t="str">
            <v>CDC-13041</v>
          </cell>
          <cell r="E1463">
            <v>73556001</v>
          </cell>
          <cell r="F1463">
            <v>89670</v>
          </cell>
          <cell r="G1463">
            <v>89671</v>
          </cell>
        </row>
        <row r="1464">
          <cell r="D1464" t="str">
            <v>CDC-13041</v>
          </cell>
          <cell r="E1464">
            <v>73556001</v>
          </cell>
          <cell r="F1464">
            <v>89670</v>
          </cell>
          <cell r="G1464">
            <v>89671</v>
          </cell>
        </row>
        <row r="1465">
          <cell r="D1465" t="str">
            <v>CDC-13041</v>
          </cell>
          <cell r="E1465">
            <v>73556001</v>
          </cell>
          <cell r="F1465">
            <v>89670</v>
          </cell>
          <cell r="G1465">
            <v>89671</v>
          </cell>
        </row>
        <row r="1466">
          <cell r="D1466" t="str">
            <v>CDC-13041</v>
          </cell>
          <cell r="E1466">
            <v>73556001</v>
          </cell>
          <cell r="F1466">
            <v>89670</v>
          </cell>
          <cell r="G1466">
            <v>89671</v>
          </cell>
        </row>
        <row r="1467">
          <cell r="D1467" t="str">
            <v>CDC-13041</v>
          </cell>
          <cell r="E1467">
            <v>73556001</v>
          </cell>
          <cell r="F1467">
            <v>89670</v>
          </cell>
          <cell r="G1467">
            <v>89671</v>
          </cell>
        </row>
        <row r="1468">
          <cell r="D1468" t="str">
            <v>CDC-13041</v>
          </cell>
          <cell r="E1468">
            <v>73556001</v>
          </cell>
          <cell r="F1468">
            <v>89670</v>
          </cell>
          <cell r="G1468">
            <v>89671</v>
          </cell>
        </row>
        <row r="1469">
          <cell r="D1469" t="str">
            <v>CDC-13041</v>
          </cell>
          <cell r="E1469">
            <v>73556001</v>
          </cell>
          <cell r="F1469">
            <v>89670</v>
          </cell>
          <cell r="G1469">
            <v>89671</v>
          </cell>
        </row>
        <row r="1470">
          <cell r="D1470" t="str">
            <v>CDC-10913</v>
          </cell>
          <cell r="E1470">
            <v>73254001</v>
          </cell>
          <cell r="F1470">
            <v>9416</v>
          </cell>
          <cell r="G1470">
            <v>9417</v>
          </cell>
        </row>
        <row r="1471">
          <cell r="D1471" t="str">
            <v>CDC-10913</v>
          </cell>
          <cell r="E1471">
            <v>73254001</v>
          </cell>
          <cell r="F1471">
            <v>9416</v>
          </cell>
          <cell r="G1471">
            <v>9417</v>
          </cell>
        </row>
        <row r="1472">
          <cell r="D1472" t="str">
            <v>CDC-10913</v>
          </cell>
          <cell r="E1472">
            <v>73254001</v>
          </cell>
          <cell r="F1472">
            <v>9416</v>
          </cell>
          <cell r="G1472">
            <v>9417</v>
          </cell>
        </row>
        <row r="1473">
          <cell r="D1473" t="str">
            <v>CDC-10913</v>
          </cell>
          <cell r="E1473">
            <v>73254001</v>
          </cell>
          <cell r="F1473">
            <v>9416</v>
          </cell>
          <cell r="G1473">
            <v>9417</v>
          </cell>
        </row>
        <row r="1474">
          <cell r="D1474" t="str">
            <v>CDC-10913</v>
          </cell>
          <cell r="E1474">
            <v>73254001</v>
          </cell>
          <cell r="F1474">
            <v>9416</v>
          </cell>
          <cell r="G1474">
            <v>9417</v>
          </cell>
        </row>
        <row r="1475">
          <cell r="D1475" t="str">
            <v>CDC-10913</v>
          </cell>
          <cell r="E1475">
            <v>73254001</v>
          </cell>
          <cell r="F1475">
            <v>9416</v>
          </cell>
          <cell r="G1475">
            <v>9417</v>
          </cell>
        </row>
        <row r="1476">
          <cell r="D1476" t="str">
            <v>CDC-9141</v>
          </cell>
          <cell r="E1476">
            <v>73254002</v>
          </cell>
          <cell r="F1476">
            <v>9416</v>
          </cell>
          <cell r="G1476">
            <v>80657</v>
          </cell>
        </row>
        <row r="1477">
          <cell r="D1477" t="str">
            <v>CDC-9141</v>
          </cell>
          <cell r="E1477">
            <v>73254002</v>
          </cell>
          <cell r="F1477">
            <v>9416</v>
          </cell>
          <cell r="G1477">
            <v>80657</v>
          </cell>
        </row>
        <row r="1478">
          <cell r="D1478" t="str">
            <v>CDC-9141</v>
          </cell>
          <cell r="E1478">
            <v>73254002</v>
          </cell>
          <cell r="F1478">
            <v>9416</v>
          </cell>
          <cell r="G1478">
            <v>80657</v>
          </cell>
        </row>
        <row r="1479">
          <cell r="D1479" t="str">
            <v>CDC-9141</v>
          </cell>
          <cell r="E1479">
            <v>73254002</v>
          </cell>
          <cell r="F1479">
            <v>9416</v>
          </cell>
          <cell r="G1479">
            <v>80657</v>
          </cell>
        </row>
        <row r="1480">
          <cell r="D1480" t="str">
            <v>CDC-9141</v>
          </cell>
          <cell r="E1480">
            <v>73254002</v>
          </cell>
          <cell r="F1480">
            <v>9416</v>
          </cell>
          <cell r="G1480">
            <v>80657</v>
          </cell>
        </row>
        <row r="1481">
          <cell r="D1481" t="str">
            <v>CDC-9141</v>
          </cell>
          <cell r="E1481">
            <v>73254002</v>
          </cell>
          <cell r="F1481">
            <v>9416</v>
          </cell>
          <cell r="G1481">
            <v>80657</v>
          </cell>
        </row>
        <row r="1482">
          <cell r="D1482" t="str">
            <v>CDC-1502</v>
          </cell>
          <cell r="E1482">
            <v>72279001</v>
          </cell>
          <cell r="F1482">
            <v>8710</v>
          </cell>
          <cell r="G1482">
            <v>8711</v>
          </cell>
        </row>
        <row r="1483">
          <cell r="D1483" t="str">
            <v>CDC-1502</v>
          </cell>
          <cell r="E1483">
            <v>72279001</v>
          </cell>
          <cell r="F1483">
            <v>8710</v>
          </cell>
          <cell r="G1483">
            <v>8711</v>
          </cell>
        </row>
        <row r="1484">
          <cell r="D1484" t="str">
            <v>CDC-1502</v>
          </cell>
          <cell r="E1484">
            <v>72279001</v>
          </cell>
          <cell r="F1484">
            <v>8710</v>
          </cell>
          <cell r="G1484">
            <v>8711</v>
          </cell>
        </row>
        <row r="1485">
          <cell r="D1485" t="str">
            <v>CDC-1502</v>
          </cell>
          <cell r="E1485">
            <v>72279001</v>
          </cell>
          <cell r="F1485">
            <v>8710</v>
          </cell>
          <cell r="G1485">
            <v>8711</v>
          </cell>
        </row>
        <row r="1486">
          <cell r="D1486" t="str">
            <v>CDC-1502</v>
          </cell>
          <cell r="E1486">
            <v>72279001</v>
          </cell>
          <cell r="F1486">
            <v>8710</v>
          </cell>
          <cell r="G1486">
            <v>8711</v>
          </cell>
        </row>
        <row r="1487">
          <cell r="D1487" t="str">
            <v>CDC-1502</v>
          </cell>
          <cell r="E1487">
            <v>72279001</v>
          </cell>
          <cell r="F1487">
            <v>8710</v>
          </cell>
          <cell r="G1487">
            <v>8711</v>
          </cell>
        </row>
        <row r="1488">
          <cell r="D1488" t="str">
            <v>CDC-1502</v>
          </cell>
          <cell r="E1488">
            <v>72279001</v>
          </cell>
          <cell r="F1488">
            <v>8710</v>
          </cell>
          <cell r="G1488">
            <v>8711</v>
          </cell>
        </row>
        <row r="1489">
          <cell r="D1489" t="str">
            <v>CDC-1502</v>
          </cell>
          <cell r="E1489">
            <v>72279001</v>
          </cell>
          <cell r="F1489">
            <v>8710</v>
          </cell>
          <cell r="G1489">
            <v>8711</v>
          </cell>
        </row>
        <row r="1490">
          <cell r="D1490" t="str">
            <v>CDC-0739</v>
          </cell>
          <cell r="E1490">
            <v>72456001</v>
          </cell>
          <cell r="F1490">
            <v>1000072</v>
          </cell>
          <cell r="G1490">
            <v>1000073</v>
          </cell>
        </row>
        <row r="1491">
          <cell r="D1491" t="str">
            <v>CDC-0739</v>
          </cell>
          <cell r="E1491">
            <v>72456001</v>
          </cell>
          <cell r="F1491">
            <v>1000072</v>
          </cell>
          <cell r="G1491">
            <v>1000073</v>
          </cell>
        </row>
        <row r="1492">
          <cell r="D1492" t="str">
            <v>CDC-0739</v>
          </cell>
          <cell r="E1492">
            <v>72456001</v>
          </cell>
          <cell r="F1492">
            <v>1000072</v>
          </cell>
          <cell r="G1492">
            <v>1000073</v>
          </cell>
        </row>
        <row r="1493">
          <cell r="D1493" t="str">
            <v>CDC-0739</v>
          </cell>
          <cell r="E1493">
            <v>72456001</v>
          </cell>
          <cell r="F1493">
            <v>1000072</v>
          </cell>
          <cell r="G1493">
            <v>1000073</v>
          </cell>
        </row>
        <row r="1494">
          <cell r="D1494" t="str">
            <v>CDC-0739</v>
          </cell>
          <cell r="E1494">
            <v>72456001</v>
          </cell>
          <cell r="F1494">
            <v>1000072</v>
          </cell>
          <cell r="G1494">
            <v>1000073</v>
          </cell>
        </row>
        <row r="1495">
          <cell r="D1495" t="str">
            <v>CDC-0739</v>
          </cell>
          <cell r="E1495">
            <v>72456001</v>
          </cell>
          <cell r="F1495">
            <v>1000072</v>
          </cell>
          <cell r="G1495">
            <v>1000073</v>
          </cell>
        </row>
        <row r="1496">
          <cell r="D1496" t="str">
            <v>CDC-13919</v>
          </cell>
          <cell r="E1496">
            <v>73564001</v>
          </cell>
          <cell r="F1496">
            <v>89873</v>
          </cell>
          <cell r="G1496">
            <v>89874</v>
          </cell>
        </row>
        <row r="1497">
          <cell r="D1497" t="str">
            <v>CDC-13919</v>
          </cell>
          <cell r="E1497">
            <v>73564001</v>
          </cell>
          <cell r="F1497">
            <v>89873</v>
          </cell>
          <cell r="G1497">
            <v>89874</v>
          </cell>
        </row>
        <row r="1498">
          <cell r="D1498" t="str">
            <v>CDC-13919</v>
          </cell>
          <cell r="E1498">
            <v>73564001</v>
          </cell>
          <cell r="F1498">
            <v>89873</v>
          </cell>
          <cell r="G1498">
            <v>89874</v>
          </cell>
        </row>
        <row r="1499">
          <cell r="D1499" t="str">
            <v>CDC-13919</v>
          </cell>
          <cell r="E1499">
            <v>73564001</v>
          </cell>
          <cell r="F1499">
            <v>89873</v>
          </cell>
          <cell r="G1499">
            <v>89874</v>
          </cell>
        </row>
        <row r="1500">
          <cell r="D1500" t="str">
            <v>CDC-13919</v>
          </cell>
          <cell r="E1500">
            <v>73564001</v>
          </cell>
          <cell r="F1500">
            <v>89873</v>
          </cell>
          <cell r="G1500">
            <v>89874</v>
          </cell>
        </row>
        <row r="1501">
          <cell r="D1501" t="str">
            <v>CDC-18054</v>
          </cell>
          <cell r="E1501">
            <v>103215001</v>
          </cell>
          <cell r="F1501">
            <v>90496</v>
          </cell>
          <cell r="G1501">
            <v>90497</v>
          </cell>
        </row>
        <row r="1502">
          <cell r="D1502" t="str">
            <v>CDC-18054</v>
          </cell>
          <cell r="E1502">
            <v>103215001</v>
          </cell>
          <cell r="F1502">
            <v>90496</v>
          </cell>
          <cell r="G1502">
            <v>90497</v>
          </cell>
        </row>
        <row r="1503">
          <cell r="D1503" t="str">
            <v>CDC-18054</v>
          </cell>
          <cell r="E1503">
            <v>103215001</v>
          </cell>
          <cell r="F1503">
            <v>90496</v>
          </cell>
          <cell r="G1503">
            <v>90497</v>
          </cell>
        </row>
        <row r="1504">
          <cell r="D1504" t="str">
            <v>CDC-18054</v>
          </cell>
          <cell r="E1504">
            <v>103215001</v>
          </cell>
          <cell r="F1504">
            <v>90496</v>
          </cell>
          <cell r="G1504">
            <v>90497</v>
          </cell>
        </row>
        <row r="1505">
          <cell r="D1505" t="str">
            <v>CDC-18054</v>
          </cell>
          <cell r="E1505">
            <v>103215001</v>
          </cell>
          <cell r="F1505">
            <v>90496</v>
          </cell>
          <cell r="G1505">
            <v>90497</v>
          </cell>
        </row>
        <row r="1506">
          <cell r="D1506" t="str">
            <v>CDC-18054</v>
          </cell>
          <cell r="E1506">
            <v>103215001</v>
          </cell>
          <cell r="F1506">
            <v>90496</v>
          </cell>
          <cell r="G1506">
            <v>90497</v>
          </cell>
        </row>
        <row r="1507">
          <cell r="D1507" t="str">
            <v>CDC-0500</v>
          </cell>
          <cell r="E1507">
            <v>73301001</v>
          </cell>
          <cell r="F1507">
            <v>91885</v>
          </cell>
          <cell r="G1507">
            <v>91886</v>
          </cell>
        </row>
        <row r="1508">
          <cell r="D1508" t="str">
            <v>CDC-0500</v>
          </cell>
          <cell r="E1508">
            <v>73301001</v>
          </cell>
          <cell r="F1508">
            <v>91885</v>
          </cell>
          <cell r="G1508">
            <v>91886</v>
          </cell>
        </row>
        <row r="1509">
          <cell r="D1509" t="str">
            <v>CDC-0500</v>
          </cell>
          <cell r="E1509">
            <v>73301001</v>
          </cell>
          <cell r="F1509">
            <v>91885</v>
          </cell>
          <cell r="G1509">
            <v>91886</v>
          </cell>
        </row>
        <row r="1510">
          <cell r="D1510" t="str">
            <v>CDC-0500</v>
          </cell>
          <cell r="E1510">
            <v>73301001</v>
          </cell>
          <cell r="F1510">
            <v>91885</v>
          </cell>
          <cell r="G1510">
            <v>91886</v>
          </cell>
        </row>
        <row r="1511">
          <cell r="D1511" t="str">
            <v>CDC-0500</v>
          </cell>
          <cell r="E1511">
            <v>73301001</v>
          </cell>
          <cell r="F1511">
            <v>91885</v>
          </cell>
          <cell r="G1511">
            <v>91886</v>
          </cell>
        </row>
        <row r="1512">
          <cell r="D1512" t="str">
            <v>CDC-0500</v>
          </cell>
          <cell r="E1512">
            <v>73301001</v>
          </cell>
          <cell r="F1512">
            <v>91885</v>
          </cell>
          <cell r="G1512">
            <v>91886</v>
          </cell>
        </row>
        <row r="1513">
          <cell r="D1513" t="str">
            <v>CDC-0500</v>
          </cell>
          <cell r="E1513">
            <v>73301001</v>
          </cell>
          <cell r="F1513">
            <v>91885</v>
          </cell>
          <cell r="G1513">
            <v>91886</v>
          </cell>
        </row>
        <row r="1514">
          <cell r="D1514" t="str">
            <v>CDC-0500</v>
          </cell>
          <cell r="E1514">
            <v>73301001</v>
          </cell>
          <cell r="F1514">
            <v>91885</v>
          </cell>
          <cell r="G1514">
            <v>91886</v>
          </cell>
        </row>
        <row r="1515">
          <cell r="D1515" t="str">
            <v>CDC-0715</v>
          </cell>
          <cell r="E1515">
            <v>73301002</v>
          </cell>
          <cell r="F1515">
            <v>91885</v>
          </cell>
          <cell r="G1515">
            <v>91890</v>
          </cell>
        </row>
        <row r="1516">
          <cell r="D1516" t="str">
            <v>CDC-0715</v>
          </cell>
          <cell r="E1516">
            <v>73301002</v>
          </cell>
          <cell r="F1516">
            <v>91885</v>
          </cell>
          <cell r="G1516">
            <v>91890</v>
          </cell>
        </row>
        <row r="1517">
          <cell r="D1517" t="str">
            <v>CDC-0715</v>
          </cell>
          <cell r="E1517">
            <v>73301002</v>
          </cell>
          <cell r="F1517">
            <v>91885</v>
          </cell>
          <cell r="G1517">
            <v>91890</v>
          </cell>
        </row>
        <row r="1518">
          <cell r="D1518" t="str">
            <v>CDC-0715</v>
          </cell>
          <cell r="E1518">
            <v>73301002</v>
          </cell>
          <cell r="F1518">
            <v>91885</v>
          </cell>
          <cell r="G1518">
            <v>91890</v>
          </cell>
        </row>
        <row r="1519">
          <cell r="D1519" t="str">
            <v>CDC-0715</v>
          </cell>
          <cell r="E1519">
            <v>73301002</v>
          </cell>
          <cell r="F1519">
            <v>91885</v>
          </cell>
          <cell r="G1519">
            <v>91890</v>
          </cell>
        </row>
        <row r="1520">
          <cell r="D1520" t="str">
            <v>CDC-0715</v>
          </cell>
          <cell r="E1520">
            <v>73301002</v>
          </cell>
          <cell r="F1520">
            <v>91885</v>
          </cell>
          <cell r="G1520">
            <v>91890</v>
          </cell>
        </row>
        <row r="1521">
          <cell r="D1521" t="str">
            <v>CDC-0715</v>
          </cell>
          <cell r="E1521">
            <v>73301002</v>
          </cell>
          <cell r="F1521">
            <v>91885</v>
          </cell>
          <cell r="G1521">
            <v>91890</v>
          </cell>
        </row>
        <row r="1522">
          <cell r="D1522" t="str">
            <v>CDC-0715</v>
          </cell>
          <cell r="E1522">
            <v>73301002</v>
          </cell>
          <cell r="F1522">
            <v>91885</v>
          </cell>
          <cell r="G1522">
            <v>91890</v>
          </cell>
        </row>
        <row r="1523">
          <cell r="D1523" t="str">
            <v>CDC-0852</v>
          </cell>
          <cell r="E1523">
            <v>73301003</v>
          </cell>
          <cell r="F1523">
            <v>91885</v>
          </cell>
          <cell r="G1523">
            <v>91891</v>
          </cell>
        </row>
        <row r="1524">
          <cell r="D1524" t="str">
            <v>CDC-0852</v>
          </cell>
          <cell r="E1524">
            <v>73301003</v>
          </cell>
          <cell r="F1524">
            <v>91885</v>
          </cell>
          <cell r="G1524">
            <v>91891</v>
          </cell>
        </row>
        <row r="1525">
          <cell r="D1525" t="str">
            <v>CDC-0852</v>
          </cell>
          <cell r="E1525">
            <v>73301003</v>
          </cell>
          <cell r="F1525">
            <v>91885</v>
          </cell>
          <cell r="G1525">
            <v>91891</v>
          </cell>
        </row>
        <row r="1526">
          <cell r="D1526" t="str">
            <v>CDC-0852</v>
          </cell>
          <cell r="E1526">
            <v>73301003</v>
          </cell>
          <cell r="F1526">
            <v>91885</v>
          </cell>
          <cell r="G1526">
            <v>91891</v>
          </cell>
        </row>
        <row r="1527">
          <cell r="D1527" t="str">
            <v>CDC-0852</v>
          </cell>
          <cell r="E1527">
            <v>73301003</v>
          </cell>
          <cell r="F1527">
            <v>91885</v>
          </cell>
          <cell r="G1527">
            <v>91891</v>
          </cell>
        </row>
        <row r="1528">
          <cell r="D1528" t="str">
            <v>CDC-0852</v>
          </cell>
          <cell r="E1528">
            <v>73301003</v>
          </cell>
          <cell r="F1528">
            <v>91885</v>
          </cell>
          <cell r="G1528">
            <v>91891</v>
          </cell>
        </row>
        <row r="1529">
          <cell r="D1529" t="str">
            <v>CDC-0852</v>
          </cell>
          <cell r="E1529">
            <v>73301003</v>
          </cell>
          <cell r="F1529">
            <v>91885</v>
          </cell>
          <cell r="G1529">
            <v>91891</v>
          </cell>
        </row>
        <row r="1530">
          <cell r="D1530" t="str">
            <v>CDC-0852</v>
          </cell>
          <cell r="E1530">
            <v>73301003</v>
          </cell>
          <cell r="F1530">
            <v>91885</v>
          </cell>
          <cell r="G1530">
            <v>91891</v>
          </cell>
        </row>
        <row r="1531">
          <cell r="D1531" t="str">
            <v>CDC-10968</v>
          </cell>
          <cell r="E1531">
            <v>33201001</v>
          </cell>
          <cell r="F1531">
            <v>84271</v>
          </cell>
          <cell r="G1531">
            <v>84272</v>
          </cell>
        </row>
        <row r="1532">
          <cell r="D1532" t="str">
            <v>CDC-10968</v>
          </cell>
          <cell r="E1532">
            <v>33201001</v>
          </cell>
          <cell r="F1532">
            <v>84271</v>
          </cell>
          <cell r="G1532">
            <v>84272</v>
          </cell>
        </row>
        <row r="1533">
          <cell r="D1533" t="str">
            <v>CDC-10968</v>
          </cell>
          <cell r="E1533">
            <v>33201001</v>
          </cell>
          <cell r="F1533">
            <v>84271</v>
          </cell>
          <cell r="G1533">
            <v>84272</v>
          </cell>
        </row>
        <row r="1534">
          <cell r="D1534" t="str">
            <v>CDC-10968</v>
          </cell>
          <cell r="E1534">
            <v>33201001</v>
          </cell>
          <cell r="F1534">
            <v>84271</v>
          </cell>
          <cell r="G1534">
            <v>84272</v>
          </cell>
        </row>
        <row r="1535">
          <cell r="D1535" t="str">
            <v>CDC-10968</v>
          </cell>
          <cell r="E1535">
            <v>33201001</v>
          </cell>
          <cell r="F1535">
            <v>84271</v>
          </cell>
          <cell r="G1535">
            <v>84272</v>
          </cell>
        </row>
        <row r="1536">
          <cell r="D1536" t="str">
            <v>CDC-10968</v>
          </cell>
          <cell r="E1536">
            <v>33201001</v>
          </cell>
          <cell r="F1536">
            <v>84271</v>
          </cell>
          <cell r="G1536">
            <v>84272</v>
          </cell>
        </row>
        <row r="1537">
          <cell r="D1537" t="str">
            <v>CDC-10968</v>
          </cell>
          <cell r="E1537">
            <v>33201001</v>
          </cell>
          <cell r="F1537">
            <v>84271</v>
          </cell>
          <cell r="G1537">
            <v>84272</v>
          </cell>
        </row>
        <row r="1538">
          <cell r="D1538" t="str">
            <v>CDC-10968</v>
          </cell>
          <cell r="E1538">
            <v>33201001</v>
          </cell>
          <cell r="F1538">
            <v>84271</v>
          </cell>
          <cell r="G1538">
            <v>84272</v>
          </cell>
        </row>
        <row r="1539">
          <cell r="D1539" t="str">
            <v>CDC-10968</v>
          </cell>
          <cell r="E1539">
            <v>33201001</v>
          </cell>
          <cell r="F1539">
            <v>84271</v>
          </cell>
          <cell r="G1539">
            <v>84272</v>
          </cell>
        </row>
        <row r="1540">
          <cell r="D1540" t="str">
            <v>CDC-10968</v>
          </cell>
          <cell r="E1540">
            <v>33201001</v>
          </cell>
          <cell r="F1540">
            <v>84271</v>
          </cell>
          <cell r="G1540">
            <v>84272</v>
          </cell>
        </row>
        <row r="1541">
          <cell r="D1541" t="str">
            <v>CDC-14615</v>
          </cell>
          <cell r="E1541">
            <v>73705001</v>
          </cell>
          <cell r="F1541">
            <v>90664</v>
          </cell>
          <cell r="G1541">
            <v>90665</v>
          </cell>
        </row>
        <row r="1542">
          <cell r="D1542" t="str">
            <v>CDC-14615</v>
          </cell>
          <cell r="E1542">
            <v>73705001</v>
          </cell>
          <cell r="F1542">
            <v>90664</v>
          </cell>
          <cell r="G1542">
            <v>90665</v>
          </cell>
        </row>
        <row r="1543">
          <cell r="D1543" t="str">
            <v>CDC-14615</v>
          </cell>
          <cell r="E1543">
            <v>73705001</v>
          </cell>
          <cell r="F1543">
            <v>90664</v>
          </cell>
          <cell r="G1543">
            <v>90665</v>
          </cell>
        </row>
        <row r="1544">
          <cell r="D1544" t="str">
            <v>CDC-14615</v>
          </cell>
          <cell r="E1544">
            <v>73705001</v>
          </cell>
          <cell r="F1544">
            <v>90664</v>
          </cell>
          <cell r="G1544">
            <v>90665</v>
          </cell>
        </row>
        <row r="1545">
          <cell r="D1545" t="str">
            <v>CDC-14615</v>
          </cell>
          <cell r="E1545">
            <v>73705001</v>
          </cell>
          <cell r="F1545">
            <v>90664</v>
          </cell>
          <cell r="G1545">
            <v>90665</v>
          </cell>
        </row>
        <row r="1546">
          <cell r="D1546" t="str">
            <v>CDC-14615</v>
          </cell>
          <cell r="E1546">
            <v>73705001</v>
          </cell>
          <cell r="F1546">
            <v>90664</v>
          </cell>
          <cell r="G1546">
            <v>90665</v>
          </cell>
        </row>
        <row r="1547">
          <cell r="D1547" t="str">
            <v>CDC-14615</v>
          </cell>
          <cell r="E1547">
            <v>73705001</v>
          </cell>
          <cell r="F1547">
            <v>90664</v>
          </cell>
          <cell r="G1547">
            <v>90665</v>
          </cell>
        </row>
        <row r="1548">
          <cell r="D1548" t="str">
            <v>CDC-14615</v>
          </cell>
          <cell r="E1548">
            <v>73705001</v>
          </cell>
          <cell r="F1548">
            <v>90664</v>
          </cell>
          <cell r="G1548">
            <v>90665</v>
          </cell>
        </row>
        <row r="1549">
          <cell r="D1549" t="str">
            <v>CDC-17223</v>
          </cell>
          <cell r="E1549">
            <v>103155001</v>
          </cell>
          <cell r="F1549">
            <v>54428</v>
          </cell>
          <cell r="G1549">
            <v>486975</v>
          </cell>
        </row>
        <row r="1550">
          <cell r="D1550" t="str">
            <v>CDC-17223</v>
          </cell>
          <cell r="E1550">
            <v>103155001</v>
          </cell>
          <cell r="F1550">
            <v>54428</v>
          </cell>
          <cell r="G1550">
            <v>486975</v>
          </cell>
        </row>
        <row r="1551">
          <cell r="D1551" t="str">
            <v>CDC-17223</v>
          </cell>
          <cell r="E1551">
            <v>103155001</v>
          </cell>
          <cell r="F1551">
            <v>54428</v>
          </cell>
          <cell r="G1551">
            <v>486975</v>
          </cell>
        </row>
        <row r="1552">
          <cell r="D1552" t="str">
            <v>CDC-3824</v>
          </cell>
          <cell r="E1552">
            <v>73134001</v>
          </cell>
          <cell r="F1552">
            <v>9191</v>
          </cell>
          <cell r="G1552">
            <v>9192</v>
          </cell>
        </row>
        <row r="1553">
          <cell r="D1553" t="str">
            <v>CDC-3824</v>
          </cell>
          <cell r="E1553">
            <v>73134001</v>
          </cell>
          <cell r="F1553">
            <v>9191</v>
          </cell>
          <cell r="G1553">
            <v>9192</v>
          </cell>
        </row>
        <row r="1554">
          <cell r="D1554" t="str">
            <v>CDC-3824</v>
          </cell>
          <cell r="E1554">
            <v>73134001</v>
          </cell>
          <cell r="F1554">
            <v>9191</v>
          </cell>
          <cell r="G1554">
            <v>9192</v>
          </cell>
        </row>
        <row r="1555">
          <cell r="D1555" t="str">
            <v>CDC-3824</v>
          </cell>
          <cell r="E1555">
            <v>73134001</v>
          </cell>
          <cell r="F1555">
            <v>9191</v>
          </cell>
          <cell r="G1555">
            <v>9192</v>
          </cell>
        </row>
        <row r="1556">
          <cell r="D1556" t="str">
            <v>CDC-3824</v>
          </cell>
          <cell r="E1556">
            <v>73134001</v>
          </cell>
          <cell r="F1556">
            <v>9191</v>
          </cell>
          <cell r="G1556">
            <v>9192</v>
          </cell>
        </row>
        <row r="1557">
          <cell r="D1557" t="str">
            <v>CDC-3824</v>
          </cell>
          <cell r="E1557">
            <v>73134001</v>
          </cell>
          <cell r="F1557">
            <v>9191</v>
          </cell>
          <cell r="G1557">
            <v>9192</v>
          </cell>
        </row>
        <row r="1558">
          <cell r="D1558" t="str">
            <v>CDC-11043</v>
          </cell>
          <cell r="E1558">
            <v>40240109</v>
          </cell>
          <cell r="F1558">
            <v>4211</v>
          </cell>
          <cell r="G1558">
            <v>89583</v>
          </cell>
        </row>
        <row r="1559">
          <cell r="D1559" t="str">
            <v>CDC-11043</v>
          </cell>
          <cell r="E1559">
            <v>40240109</v>
          </cell>
          <cell r="F1559">
            <v>4211</v>
          </cell>
          <cell r="G1559">
            <v>89583</v>
          </cell>
        </row>
        <row r="1560">
          <cell r="D1560" t="str">
            <v>CDC-11043</v>
          </cell>
          <cell r="E1560">
            <v>40240109</v>
          </cell>
          <cell r="F1560">
            <v>4211</v>
          </cell>
          <cell r="G1560">
            <v>89583</v>
          </cell>
        </row>
        <row r="1561">
          <cell r="D1561" t="str">
            <v>CDC-11043</v>
          </cell>
          <cell r="E1561">
            <v>40240109</v>
          </cell>
          <cell r="F1561">
            <v>4211</v>
          </cell>
          <cell r="G1561">
            <v>89583</v>
          </cell>
        </row>
        <row r="1562">
          <cell r="D1562" t="str">
            <v>CDC-17284</v>
          </cell>
          <cell r="E1562">
            <v>73326001</v>
          </cell>
          <cell r="F1562">
            <v>93024</v>
          </cell>
          <cell r="G1562">
            <v>93025</v>
          </cell>
        </row>
        <row r="1563">
          <cell r="D1563" t="str">
            <v>CDC-17284</v>
          </cell>
          <cell r="E1563">
            <v>73326001</v>
          </cell>
          <cell r="F1563">
            <v>93024</v>
          </cell>
          <cell r="G1563">
            <v>93025</v>
          </cell>
        </row>
        <row r="1564">
          <cell r="D1564" t="str">
            <v>CDC-17284</v>
          </cell>
          <cell r="E1564">
            <v>73326001</v>
          </cell>
          <cell r="F1564">
            <v>93024</v>
          </cell>
          <cell r="G1564">
            <v>93025</v>
          </cell>
        </row>
        <row r="1565">
          <cell r="D1565" t="str">
            <v>CDC-17284</v>
          </cell>
          <cell r="E1565">
            <v>73326001</v>
          </cell>
          <cell r="F1565">
            <v>93024</v>
          </cell>
          <cell r="G1565">
            <v>93025</v>
          </cell>
        </row>
        <row r="1566">
          <cell r="D1566" t="str">
            <v>CDC-17284</v>
          </cell>
          <cell r="E1566">
            <v>73326001</v>
          </cell>
          <cell r="F1566">
            <v>93024</v>
          </cell>
          <cell r="G1566">
            <v>93025</v>
          </cell>
        </row>
        <row r="1567">
          <cell r="D1567" t="str">
            <v>CDC-17284</v>
          </cell>
          <cell r="E1567">
            <v>73326001</v>
          </cell>
          <cell r="F1567">
            <v>93024</v>
          </cell>
          <cell r="G1567">
            <v>93025</v>
          </cell>
        </row>
        <row r="1568">
          <cell r="D1568" t="str">
            <v>CDC-15000</v>
          </cell>
          <cell r="E1568">
            <v>73599001</v>
          </cell>
          <cell r="F1568">
            <v>90516</v>
          </cell>
          <cell r="G1568">
            <v>90517</v>
          </cell>
        </row>
        <row r="1569">
          <cell r="D1569" t="str">
            <v>CDC-15000</v>
          </cell>
          <cell r="E1569">
            <v>73599001</v>
          </cell>
          <cell r="F1569">
            <v>90516</v>
          </cell>
          <cell r="G1569">
            <v>90517</v>
          </cell>
        </row>
        <row r="1570">
          <cell r="D1570" t="str">
            <v>CDC-15000</v>
          </cell>
          <cell r="E1570">
            <v>73599001</v>
          </cell>
          <cell r="F1570">
            <v>90516</v>
          </cell>
          <cell r="G1570">
            <v>90517</v>
          </cell>
        </row>
        <row r="1571">
          <cell r="D1571" t="str">
            <v>CDC-15000</v>
          </cell>
          <cell r="E1571">
            <v>73599001</v>
          </cell>
          <cell r="F1571">
            <v>90516</v>
          </cell>
          <cell r="G1571">
            <v>90517</v>
          </cell>
        </row>
        <row r="1572">
          <cell r="D1572" t="str">
            <v>CDC-15000</v>
          </cell>
          <cell r="E1572">
            <v>73599001</v>
          </cell>
          <cell r="F1572">
            <v>90516</v>
          </cell>
          <cell r="G1572">
            <v>90517</v>
          </cell>
        </row>
        <row r="1573">
          <cell r="D1573" t="str">
            <v>CDC-15000</v>
          </cell>
          <cell r="E1573">
            <v>73599001</v>
          </cell>
          <cell r="F1573">
            <v>90516</v>
          </cell>
          <cell r="G1573">
            <v>90517</v>
          </cell>
        </row>
        <row r="1574">
          <cell r="D1574" t="str">
            <v>CDC-15000</v>
          </cell>
          <cell r="E1574">
            <v>73599001</v>
          </cell>
          <cell r="F1574">
            <v>90516</v>
          </cell>
          <cell r="G1574">
            <v>90517</v>
          </cell>
        </row>
        <row r="1575">
          <cell r="D1575" t="str">
            <v>CDC-15000</v>
          </cell>
          <cell r="E1575">
            <v>73599001</v>
          </cell>
          <cell r="F1575">
            <v>90516</v>
          </cell>
          <cell r="G1575">
            <v>90517</v>
          </cell>
        </row>
        <row r="1576">
          <cell r="D1576" t="str">
            <v>CDC-15000</v>
          </cell>
          <cell r="E1576">
            <v>73599001</v>
          </cell>
          <cell r="F1576">
            <v>90516</v>
          </cell>
          <cell r="G1576">
            <v>90517</v>
          </cell>
        </row>
        <row r="1577">
          <cell r="D1577" t="str">
            <v>CDC-15000</v>
          </cell>
          <cell r="E1577">
            <v>73599001</v>
          </cell>
          <cell r="F1577">
            <v>90516</v>
          </cell>
          <cell r="G1577">
            <v>90517</v>
          </cell>
        </row>
        <row r="1578">
          <cell r="D1578" t="str">
            <v>CDC-18668</v>
          </cell>
          <cell r="E1578">
            <v>73328001</v>
          </cell>
          <cell r="F1578">
            <v>646114</v>
          </cell>
          <cell r="G1578">
            <v>921113</v>
          </cell>
        </row>
        <row r="1579">
          <cell r="D1579" t="str">
            <v>CDC-18668</v>
          </cell>
          <cell r="E1579">
            <v>73328001</v>
          </cell>
          <cell r="F1579">
            <v>646114</v>
          </cell>
          <cell r="G1579">
            <v>921113</v>
          </cell>
        </row>
        <row r="1580">
          <cell r="D1580" t="str">
            <v>CDC-18668</v>
          </cell>
          <cell r="E1580">
            <v>73328001</v>
          </cell>
          <cell r="F1580">
            <v>646114</v>
          </cell>
          <cell r="G1580">
            <v>921113</v>
          </cell>
        </row>
        <row r="1581">
          <cell r="D1581" t="str">
            <v>CDC-18668</v>
          </cell>
          <cell r="E1581">
            <v>73328001</v>
          </cell>
          <cell r="F1581">
            <v>646114</v>
          </cell>
          <cell r="G1581">
            <v>921113</v>
          </cell>
        </row>
        <row r="1582">
          <cell r="D1582" t="str">
            <v>CDC-18668</v>
          </cell>
          <cell r="E1582">
            <v>73328001</v>
          </cell>
          <cell r="F1582">
            <v>646114</v>
          </cell>
          <cell r="G1582">
            <v>921113</v>
          </cell>
        </row>
        <row r="1583">
          <cell r="D1583" t="str">
            <v>CDC-18668</v>
          </cell>
          <cell r="E1583">
            <v>73328001</v>
          </cell>
          <cell r="F1583">
            <v>646114</v>
          </cell>
          <cell r="G1583">
            <v>921113</v>
          </cell>
        </row>
        <row r="1584">
          <cell r="D1584" t="str">
            <v>CDC-18668</v>
          </cell>
          <cell r="E1584">
            <v>73328001</v>
          </cell>
          <cell r="F1584">
            <v>646114</v>
          </cell>
          <cell r="G1584">
            <v>921113</v>
          </cell>
        </row>
        <row r="1585">
          <cell r="D1585" t="str">
            <v>CDC-18668</v>
          </cell>
          <cell r="E1585">
            <v>73328001</v>
          </cell>
          <cell r="F1585">
            <v>646114</v>
          </cell>
          <cell r="G1585">
            <v>921113</v>
          </cell>
        </row>
        <row r="1586">
          <cell r="D1586" t="str">
            <v>CDC-18668</v>
          </cell>
          <cell r="E1586">
            <v>73328001</v>
          </cell>
          <cell r="F1586">
            <v>646114</v>
          </cell>
          <cell r="G1586">
            <v>921113</v>
          </cell>
        </row>
        <row r="1587">
          <cell r="D1587" t="str">
            <v>CDC-17687</v>
          </cell>
          <cell r="E1587">
            <v>73329001</v>
          </cell>
          <cell r="F1587">
            <v>958412</v>
          </cell>
          <cell r="G1587">
            <v>176634</v>
          </cell>
        </row>
        <row r="1588">
          <cell r="D1588" t="str">
            <v>CDC-17687</v>
          </cell>
          <cell r="E1588">
            <v>73329001</v>
          </cell>
          <cell r="F1588">
            <v>958412</v>
          </cell>
          <cell r="G1588">
            <v>176634</v>
          </cell>
        </row>
        <row r="1589">
          <cell r="D1589" t="str">
            <v>CDC-17687</v>
          </cell>
          <cell r="E1589">
            <v>73329001</v>
          </cell>
          <cell r="F1589">
            <v>958412</v>
          </cell>
          <cell r="G1589">
            <v>176634</v>
          </cell>
        </row>
        <row r="1590">
          <cell r="D1590" t="str">
            <v>CDC-17687</v>
          </cell>
          <cell r="E1590">
            <v>73329001</v>
          </cell>
          <cell r="F1590">
            <v>958412</v>
          </cell>
          <cell r="G1590">
            <v>176634</v>
          </cell>
        </row>
        <row r="1591">
          <cell r="D1591" t="str">
            <v>CDC-17687</v>
          </cell>
          <cell r="E1591">
            <v>73329001</v>
          </cell>
          <cell r="F1591">
            <v>958412</v>
          </cell>
          <cell r="G1591">
            <v>176634</v>
          </cell>
        </row>
        <row r="1592">
          <cell r="D1592" t="str">
            <v>CDC-17687</v>
          </cell>
          <cell r="E1592">
            <v>73329001</v>
          </cell>
          <cell r="F1592">
            <v>958412</v>
          </cell>
          <cell r="G1592">
            <v>176634</v>
          </cell>
        </row>
        <row r="1593">
          <cell r="D1593" t="str">
            <v>CDC-17687</v>
          </cell>
          <cell r="E1593">
            <v>73329001</v>
          </cell>
          <cell r="F1593">
            <v>958412</v>
          </cell>
          <cell r="G1593">
            <v>176634</v>
          </cell>
        </row>
        <row r="1594">
          <cell r="D1594" t="str">
            <v>CDC-17687</v>
          </cell>
          <cell r="E1594">
            <v>73329001</v>
          </cell>
          <cell r="F1594">
            <v>958412</v>
          </cell>
          <cell r="G1594">
            <v>176634</v>
          </cell>
        </row>
        <row r="1595">
          <cell r="D1595" t="str">
            <v>CDC-16861</v>
          </cell>
          <cell r="E1595">
            <v>73312001</v>
          </cell>
          <cell r="F1595">
            <v>92624</v>
          </cell>
          <cell r="G1595">
            <v>92625</v>
          </cell>
        </row>
        <row r="1596">
          <cell r="D1596" t="str">
            <v>CDC-16861</v>
          </cell>
          <cell r="E1596">
            <v>73312001</v>
          </cell>
          <cell r="F1596">
            <v>92624</v>
          </cell>
          <cell r="G1596">
            <v>92625</v>
          </cell>
        </row>
        <row r="1597">
          <cell r="D1597" t="str">
            <v>CDC-16861</v>
          </cell>
          <cell r="E1597">
            <v>73312001</v>
          </cell>
          <cell r="F1597">
            <v>92624</v>
          </cell>
          <cell r="G1597">
            <v>92625</v>
          </cell>
        </row>
        <row r="1598">
          <cell r="D1598" t="str">
            <v>CDC-16861</v>
          </cell>
          <cell r="E1598">
            <v>73312001</v>
          </cell>
          <cell r="F1598">
            <v>92624</v>
          </cell>
          <cell r="G1598">
            <v>92625</v>
          </cell>
        </row>
        <row r="1599">
          <cell r="D1599" t="str">
            <v>CDC-16861</v>
          </cell>
          <cell r="E1599">
            <v>73312001</v>
          </cell>
          <cell r="F1599">
            <v>92624</v>
          </cell>
          <cell r="G1599">
            <v>92625</v>
          </cell>
        </row>
        <row r="1600">
          <cell r="D1600" t="str">
            <v>CDC-16861</v>
          </cell>
          <cell r="E1600">
            <v>73312001</v>
          </cell>
          <cell r="F1600">
            <v>92624</v>
          </cell>
          <cell r="G1600">
            <v>92625</v>
          </cell>
        </row>
        <row r="1601">
          <cell r="D1601" t="str">
            <v>CDC-16861</v>
          </cell>
          <cell r="E1601">
            <v>73312001</v>
          </cell>
          <cell r="F1601">
            <v>92624</v>
          </cell>
          <cell r="G1601">
            <v>92625</v>
          </cell>
        </row>
        <row r="1602">
          <cell r="D1602" t="str">
            <v>CDC-16861</v>
          </cell>
          <cell r="E1602">
            <v>73312001</v>
          </cell>
          <cell r="F1602">
            <v>92624</v>
          </cell>
          <cell r="G1602">
            <v>92625</v>
          </cell>
        </row>
        <row r="1603">
          <cell r="D1603" t="str">
            <v>CDC-15619</v>
          </cell>
          <cell r="E1603">
            <v>113022001</v>
          </cell>
          <cell r="F1603">
            <v>91185</v>
          </cell>
          <cell r="G1603">
            <v>91186</v>
          </cell>
        </row>
        <row r="1604">
          <cell r="D1604" t="str">
            <v>CDC-15619</v>
          </cell>
          <cell r="E1604">
            <v>113022001</v>
          </cell>
          <cell r="F1604">
            <v>91185</v>
          </cell>
          <cell r="G1604">
            <v>91186</v>
          </cell>
        </row>
        <row r="1605">
          <cell r="D1605" t="str">
            <v>CDC-15619</v>
          </cell>
          <cell r="E1605">
            <v>113022001</v>
          </cell>
          <cell r="F1605">
            <v>91185</v>
          </cell>
          <cell r="G1605">
            <v>91186</v>
          </cell>
        </row>
        <row r="1606">
          <cell r="D1606" t="str">
            <v>CDC-15619</v>
          </cell>
          <cell r="E1606">
            <v>113022001</v>
          </cell>
          <cell r="F1606">
            <v>91185</v>
          </cell>
          <cell r="G1606">
            <v>91186</v>
          </cell>
        </row>
        <row r="1607">
          <cell r="D1607" t="str">
            <v>CDC-15619</v>
          </cell>
          <cell r="E1607">
            <v>113022001</v>
          </cell>
          <cell r="F1607">
            <v>91185</v>
          </cell>
          <cell r="G1607">
            <v>91186</v>
          </cell>
        </row>
        <row r="1608">
          <cell r="D1608" t="str">
            <v>CDC-15619</v>
          </cell>
          <cell r="E1608">
            <v>113022001</v>
          </cell>
          <cell r="F1608">
            <v>91185</v>
          </cell>
          <cell r="G1608">
            <v>91186</v>
          </cell>
        </row>
        <row r="1609">
          <cell r="D1609" t="str">
            <v>CDC-15619</v>
          </cell>
          <cell r="E1609">
            <v>113022001</v>
          </cell>
          <cell r="F1609">
            <v>91185</v>
          </cell>
          <cell r="G1609">
            <v>91186</v>
          </cell>
        </row>
        <row r="1610">
          <cell r="D1610" t="str">
            <v>CDC-15619</v>
          </cell>
          <cell r="E1610">
            <v>113022001</v>
          </cell>
          <cell r="F1610">
            <v>91185</v>
          </cell>
          <cell r="G1610">
            <v>91186</v>
          </cell>
        </row>
        <row r="1611">
          <cell r="D1611" t="str">
            <v>CDC-17806</v>
          </cell>
          <cell r="E1611">
            <v>73340001</v>
          </cell>
          <cell r="F1611">
            <v>487305</v>
          </cell>
          <cell r="G1611">
            <v>662985</v>
          </cell>
        </row>
        <row r="1612">
          <cell r="D1612" t="str">
            <v>CDC-17806</v>
          </cell>
          <cell r="E1612">
            <v>73340001</v>
          </cell>
          <cell r="F1612">
            <v>487305</v>
          </cell>
          <cell r="G1612">
            <v>662985</v>
          </cell>
        </row>
        <row r="1613">
          <cell r="D1613" t="str">
            <v>CDC-17806</v>
          </cell>
          <cell r="E1613">
            <v>73340001</v>
          </cell>
          <cell r="F1613">
            <v>487305</v>
          </cell>
          <cell r="G1613">
            <v>662985</v>
          </cell>
        </row>
        <row r="1614">
          <cell r="D1614" t="str">
            <v>CDC-17806</v>
          </cell>
          <cell r="E1614">
            <v>73340001</v>
          </cell>
          <cell r="F1614">
            <v>487305</v>
          </cell>
          <cell r="G1614">
            <v>662985</v>
          </cell>
        </row>
        <row r="1615">
          <cell r="D1615" t="str">
            <v>CDC-17806</v>
          </cell>
          <cell r="E1615">
            <v>73340001</v>
          </cell>
          <cell r="F1615">
            <v>487305</v>
          </cell>
          <cell r="G1615">
            <v>662985</v>
          </cell>
        </row>
        <row r="1616">
          <cell r="D1616" t="str">
            <v>CDC-17806</v>
          </cell>
          <cell r="E1616">
            <v>73340001</v>
          </cell>
          <cell r="F1616">
            <v>487305</v>
          </cell>
          <cell r="G1616">
            <v>662985</v>
          </cell>
        </row>
        <row r="1617">
          <cell r="D1617" t="str">
            <v>CDC-11816</v>
          </cell>
          <cell r="E1617">
            <v>103202001</v>
          </cell>
          <cell r="F1617">
            <v>87073</v>
          </cell>
          <cell r="G1617">
            <v>87074</v>
          </cell>
        </row>
        <row r="1618">
          <cell r="D1618" t="str">
            <v>CDC-11816</v>
          </cell>
          <cell r="E1618">
            <v>103202001</v>
          </cell>
          <cell r="F1618">
            <v>87073</v>
          </cell>
          <cell r="G1618">
            <v>87074</v>
          </cell>
        </row>
        <row r="1619">
          <cell r="D1619" t="str">
            <v>CDC-11816</v>
          </cell>
          <cell r="E1619">
            <v>103202001</v>
          </cell>
          <cell r="F1619">
            <v>87073</v>
          </cell>
          <cell r="G1619">
            <v>87074</v>
          </cell>
        </row>
        <row r="1620">
          <cell r="D1620" t="str">
            <v>CDC-11816</v>
          </cell>
          <cell r="E1620">
            <v>103202001</v>
          </cell>
          <cell r="F1620">
            <v>87073</v>
          </cell>
          <cell r="G1620">
            <v>87074</v>
          </cell>
        </row>
        <row r="1621">
          <cell r="D1621" t="str">
            <v>CDC-11816</v>
          </cell>
          <cell r="E1621">
            <v>103202001</v>
          </cell>
          <cell r="F1621">
            <v>87073</v>
          </cell>
          <cell r="G1621">
            <v>87074</v>
          </cell>
        </row>
        <row r="1622">
          <cell r="D1622" t="str">
            <v>CDC-11816</v>
          </cell>
          <cell r="E1622">
            <v>103202001</v>
          </cell>
          <cell r="F1622">
            <v>87073</v>
          </cell>
          <cell r="G1622">
            <v>87074</v>
          </cell>
        </row>
        <row r="1623">
          <cell r="D1623" t="str">
            <v>CDC-11816</v>
          </cell>
          <cell r="E1623">
            <v>103202001</v>
          </cell>
          <cell r="F1623">
            <v>87073</v>
          </cell>
          <cell r="G1623">
            <v>87074</v>
          </cell>
        </row>
        <row r="1624">
          <cell r="D1624" t="str">
            <v>CDC-11816</v>
          </cell>
          <cell r="E1624">
            <v>103202001</v>
          </cell>
          <cell r="F1624">
            <v>87073</v>
          </cell>
          <cell r="G1624">
            <v>87074</v>
          </cell>
        </row>
        <row r="1625">
          <cell r="D1625" t="str">
            <v>CDC-11603</v>
          </cell>
          <cell r="E1625">
            <v>112265001</v>
          </cell>
          <cell r="F1625">
            <v>87296</v>
          </cell>
          <cell r="G1625">
            <v>87297</v>
          </cell>
        </row>
        <row r="1626">
          <cell r="D1626" t="str">
            <v>CDC-11603</v>
          </cell>
          <cell r="E1626">
            <v>112265001</v>
          </cell>
          <cell r="F1626">
            <v>87296</v>
          </cell>
          <cell r="G1626">
            <v>87297</v>
          </cell>
        </row>
        <row r="1627">
          <cell r="D1627" t="str">
            <v>CDC-11603</v>
          </cell>
          <cell r="E1627">
            <v>112265001</v>
          </cell>
          <cell r="F1627">
            <v>87296</v>
          </cell>
          <cell r="G1627">
            <v>87297</v>
          </cell>
        </row>
        <row r="1628">
          <cell r="D1628" t="str">
            <v>CDC-11603</v>
          </cell>
          <cell r="E1628">
            <v>112265001</v>
          </cell>
          <cell r="F1628">
            <v>87296</v>
          </cell>
          <cell r="G1628">
            <v>87297</v>
          </cell>
        </row>
        <row r="1629">
          <cell r="D1629" t="str">
            <v>CDC-11603</v>
          </cell>
          <cell r="E1629">
            <v>112265001</v>
          </cell>
          <cell r="F1629">
            <v>87296</v>
          </cell>
          <cell r="G1629">
            <v>87297</v>
          </cell>
        </row>
        <row r="1630">
          <cell r="D1630" t="str">
            <v>CDC-11603</v>
          </cell>
          <cell r="E1630">
            <v>112265001</v>
          </cell>
          <cell r="F1630">
            <v>87296</v>
          </cell>
          <cell r="G1630">
            <v>87297</v>
          </cell>
        </row>
        <row r="1631">
          <cell r="D1631" t="str">
            <v>CDC-16068</v>
          </cell>
          <cell r="E1631">
            <v>73307002</v>
          </cell>
          <cell r="F1631">
            <v>92202</v>
          </cell>
          <cell r="G1631">
            <v>191371</v>
          </cell>
        </row>
        <row r="1632">
          <cell r="D1632" t="str">
            <v>CDC-16068</v>
          </cell>
          <cell r="E1632">
            <v>73307002</v>
          </cell>
          <cell r="F1632">
            <v>92202</v>
          </cell>
          <cell r="G1632">
            <v>191371</v>
          </cell>
        </row>
        <row r="1633">
          <cell r="D1633" t="str">
            <v>CDC-16068</v>
          </cell>
          <cell r="E1633">
            <v>73307002</v>
          </cell>
          <cell r="F1633">
            <v>92202</v>
          </cell>
          <cell r="G1633">
            <v>191371</v>
          </cell>
        </row>
        <row r="1634">
          <cell r="D1634" t="str">
            <v>CDC-16068</v>
          </cell>
          <cell r="E1634">
            <v>73307002</v>
          </cell>
          <cell r="F1634">
            <v>92202</v>
          </cell>
          <cell r="G1634">
            <v>191371</v>
          </cell>
        </row>
        <row r="1635">
          <cell r="D1635" t="str">
            <v>CDC-16068</v>
          </cell>
          <cell r="E1635">
            <v>73307002</v>
          </cell>
          <cell r="F1635">
            <v>92202</v>
          </cell>
          <cell r="G1635">
            <v>191371</v>
          </cell>
        </row>
        <row r="1636">
          <cell r="D1636" t="str">
            <v>CDC-16068</v>
          </cell>
          <cell r="E1636">
            <v>73307002</v>
          </cell>
          <cell r="F1636">
            <v>92202</v>
          </cell>
          <cell r="G1636">
            <v>191371</v>
          </cell>
        </row>
        <row r="1637">
          <cell r="D1637" t="str">
            <v>CDC-16068</v>
          </cell>
          <cell r="E1637">
            <v>73307001</v>
          </cell>
          <cell r="F1637">
            <v>92202</v>
          </cell>
          <cell r="G1637">
            <v>92203</v>
          </cell>
        </row>
        <row r="1638">
          <cell r="D1638" t="str">
            <v>CDC-16068</v>
          </cell>
          <cell r="E1638">
            <v>73307001</v>
          </cell>
          <cell r="F1638">
            <v>92202</v>
          </cell>
          <cell r="G1638">
            <v>92203</v>
          </cell>
        </row>
        <row r="1639">
          <cell r="D1639" t="str">
            <v>CDC-16068</v>
          </cell>
          <cell r="E1639">
            <v>73307001</v>
          </cell>
          <cell r="F1639">
            <v>92202</v>
          </cell>
          <cell r="G1639">
            <v>92203</v>
          </cell>
        </row>
        <row r="1640">
          <cell r="D1640" t="str">
            <v>CDC-16068</v>
          </cell>
          <cell r="E1640">
            <v>73307001</v>
          </cell>
          <cell r="F1640">
            <v>92202</v>
          </cell>
          <cell r="G1640">
            <v>92203</v>
          </cell>
        </row>
        <row r="1641">
          <cell r="D1641" t="str">
            <v>CDC-16068</v>
          </cell>
          <cell r="E1641">
            <v>73307001</v>
          </cell>
          <cell r="F1641">
            <v>92202</v>
          </cell>
          <cell r="G1641">
            <v>92203</v>
          </cell>
        </row>
        <row r="1642">
          <cell r="D1642" t="str">
            <v>CDC-16068</v>
          </cell>
          <cell r="E1642">
            <v>73307001</v>
          </cell>
          <cell r="F1642">
            <v>92202</v>
          </cell>
          <cell r="G1642">
            <v>92203</v>
          </cell>
        </row>
        <row r="1643">
          <cell r="D1643" t="str">
            <v>CDC-0636</v>
          </cell>
          <cell r="E1643">
            <v>102231001</v>
          </cell>
          <cell r="F1643">
            <v>9756</v>
          </cell>
          <cell r="G1643">
            <v>9757</v>
          </cell>
        </row>
        <row r="1644">
          <cell r="D1644" t="str">
            <v>CDC-0636</v>
          </cell>
          <cell r="E1644">
            <v>102231001</v>
          </cell>
          <cell r="F1644">
            <v>9756</v>
          </cell>
          <cell r="G1644">
            <v>9757</v>
          </cell>
        </row>
        <row r="1645">
          <cell r="D1645" t="str">
            <v>CDC-0636</v>
          </cell>
          <cell r="E1645">
            <v>102231001</v>
          </cell>
          <cell r="F1645">
            <v>9756</v>
          </cell>
          <cell r="G1645">
            <v>9757</v>
          </cell>
        </row>
        <row r="1646">
          <cell r="D1646" t="str">
            <v>CDC-0636</v>
          </cell>
          <cell r="E1646">
            <v>102231001</v>
          </cell>
          <cell r="F1646">
            <v>9756</v>
          </cell>
          <cell r="G1646">
            <v>9757</v>
          </cell>
        </row>
        <row r="1647">
          <cell r="D1647" t="str">
            <v>CDC-0636</v>
          </cell>
          <cell r="E1647">
            <v>102231001</v>
          </cell>
          <cell r="F1647">
            <v>9756</v>
          </cell>
          <cell r="G1647">
            <v>9757</v>
          </cell>
        </row>
        <row r="1648">
          <cell r="D1648" t="str">
            <v>CDC-0636</v>
          </cell>
          <cell r="E1648">
            <v>102231001</v>
          </cell>
          <cell r="F1648">
            <v>9756</v>
          </cell>
          <cell r="G1648">
            <v>9757</v>
          </cell>
        </row>
        <row r="1649">
          <cell r="D1649" t="str">
            <v>CDC-14985</v>
          </cell>
          <cell r="E1649">
            <v>103217001</v>
          </cell>
          <cell r="F1649">
            <v>90514</v>
          </cell>
          <cell r="G1649">
            <v>90515</v>
          </cell>
        </row>
        <row r="1650">
          <cell r="D1650" t="str">
            <v>CDC-14985</v>
          </cell>
          <cell r="E1650">
            <v>103217001</v>
          </cell>
          <cell r="F1650">
            <v>90514</v>
          </cell>
          <cell r="G1650">
            <v>90515</v>
          </cell>
        </row>
        <row r="1651">
          <cell r="D1651" t="str">
            <v>CDC-14985</v>
          </cell>
          <cell r="E1651">
            <v>103217001</v>
          </cell>
          <cell r="F1651">
            <v>90514</v>
          </cell>
          <cell r="G1651">
            <v>90515</v>
          </cell>
        </row>
        <row r="1652">
          <cell r="D1652" t="str">
            <v>CDC-14985</v>
          </cell>
          <cell r="E1652">
            <v>103217001</v>
          </cell>
          <cell r="F1652">
            <v>90514</v>
          </cell>
          <cell r="G1652">
            <v>90515</v>
          </cell>
        </row>
        <row r="1653">
          <cell r="D1653" t="str">
            <v>CDC-14985</v>
          </cell>
          <cell r="E1653">
            <v>103217001</v>
          </cell>
          <cell r="F1653">
            <v>90514</v>
          </cell>
          <cell r="G1653">
            <v>90515</v>
          </cell>
        </row>
        <row r="1654">
          <cell r="D1654" t="str">
            <v>CDC-14985</v>
          </cell>
          <cell r="E1654">
            <v>103217001</v>
          </cell>
          <cell r="F1654">
            <v>90514</v>
          </cell>
          <cell r="G1654">
            <v>90515</v>
          </cell>
        </row>
        <row r="1655">
          <cell r="D1655" t="str">
            <v>CDC-14985</v>
          </cell>
          <cell r="E1655">
            <v>103217001</v>
          </cell>
          <cell r="F1655">
            <v>90514</v>
          </cell>
          <cell r="G1655">
            <v>90515</v>
          </cell>
        </row>
        <row r="1656">
          <cell r="D1656" t="str">
            <v>CDC-14985</v>
          </cell>
          <cell r="E1656">
            <v>103217001</v>
          </cell>
          <cell r="F1656">
            <v>90514</v>
          </cell>
          <cell r="G1656">
            <v>90515</v>
          </cell>
        </row>
        <row r="1657">
          <cell r="D1657" t="str">
            <v>CDC-14985</v>
          </cell>
          <cell r="E1657">
            <v>103217001</v>
          </cell>
          <cell r="F1657">
            <v>90514</v>
          </cell>
          <cell r="G1657">
            <v>90515</v>
          </cell>
        </row>
        <row r="1658">
          <cell r="D1658" t="str">
            <v>CDC-14985</v>
          </cell>
          <cell r="E1658">
            <v>103217001</v>
          </cell>
          <cell r="F1658">
            <v>90514</v>
          </cell>
          <cell r="G1658">
            <v>90515</v>
          </cell>
        </row>
        <row r="1659">
          <cell r="D1659" t="e">
            <v>#N/A</v>
          </cell>
          <cell r="E1659">
            <v>103149001</v>
          </cell>
          <cell r="F1659">
            <v>92329</v>
          </cell>
          <cell r="G1659">
            <v>92330</v>
          </cell>
        </row>
        <row r="1660">
          <cell r="D1660" t="e">
            <v>#N/A</v>
          </cell>
          <cell r="E1660">
            <v>103149001</v>
          </cell>
          <cell r="F1660">
            <v>92329</v>
          </cell>
          <cell r="G1660">
            <v>92330</v>
          </cell>
        </row>
        <row r="1661">
          <cell r="D1661" t="e">
            <v>#N/A</v>
          </cell>
          <cell r="E1661">
            <v>103149001</v>
          </cell>
          <cell r="F1661">
            <v>92329</v>
          </cell>
          <cell r="G1661">
            <v>92330</v>
          </cell>
        </row>
        <row r="1662">
          <cell r="D1662" t="e">
            <v>#N/A</v>
          </cell>
          <cell r="E1662">
            <v>103149001</v>
          </cell>
          <cell r="F1662">
            <v>92329</v>
          </cell>
          <cell r="G1662">
            <v>92330</v>
          </cell>
        </row>
        <row r="1663">
          <cell r="D1663" t="e">
            <v>#N/A</v>
          </cell>
          <cell r="E1663">
            <v>103149001</v>
          </cell>
          <cell r="F1663">
            <v>92329</v>
          </cell>
          <cell r="G1663">
            <v>92330</v>
          </cell>
        </row>
        <row r="1664">
          <cell r="D1664" t="e">
            <v>#N/A</v>
          </cell>
          <cell r="E1664">
            <v>103149001</v>
          </cell>
          <cell r="F1664">
            <v>92329</v>
          </cell>
          <cell r="G1664">
            <v>92330</v>
          </cell>
        </row>
        <row r="1665">
          <cell r="D1665" t="str">
            <v>CDC-17634</v>
          </cell>
          <cell r="E1665">
            <v>103207005</v>
          </cell>
          <cell r="F1665">
            <v>90095</v>
          </cell>
          <cell r="G1665">
            <v>740776</v>
          </cell>
        </row>
        <row r="1666">
          <cell r="D1666" t="str">
            <v>CDC-17634</v>
          </cell>
          <cell r="E1666">
            <v>103207005</v>
          </cell>
          <cell r="F1666">
            <v>90095</v>
          </cell>
          <cell r="G1666">
            <v>740776</v>
          </cell>
        </row>
        <row r="1667">
          <cell r="D1667" t="str">
            <v>CDC-17634</v>
          </cell>
          <cell r="E1667">
            <v>103207005</v>
          </cell>
          <cell r="F1667">
            <v>90095</v>
          </cell>
          <cell r="G1667">
            <v>740776</v>
          </cell>
        </row>
        <row r="1668">
          <cell r="D1668" t="str">
            <v>CDC-17634</v>
          </cell>
          <cell r="E1668">
            <v>103207005</v>
          </cell>
          <cell r="F1668">
            <v>90095</v>
          </cell>
          <cell r="G1668">
            <v>740776</v>
          </cell>
        </row>
        <row r="1669">
          <cell r="D1669" t="str">
            <v>CDC-17634</v>
          </cell>
          <cell r="E1669">
            <v>103207005</v>
          </cell>
          <cell r="F1669">
            <v>90095</v>
          </cell>
          <cell r="G1669">
            <v>740776</v>
          </cell>
        </row>
        <row r="1670">
          <cell r="D1670" t="str">
            <v>CDC-17634</v>
          </cell>
          <cell r="E1670">
            <v>103207005</v>
          </cell>
          <cell r="F1670">
            <v>90095</v>
          </cell>
          <cell r="G1670">
            <v>740776</v>
          </cell>
        </row>
        <row r="1671">
          <cell r="D1671" t="str">
            <v>CDC-17634</v>
          </cell>
          <cell r="E1671">
            <v>103207005</v>
          </cell>
          <cell r="F1671">
            <v>90095</v>
          </cell>
          <cell r="G1671">
            <v>740776</v>
          </cell>
        </row>
        <row r="1672">
          <cell r="D1672" t="str">
            <v>CDC-17634</v>
          </cell>
          <cell r="E1672">
            <v>103207005</v>
          </cell>
          <cell r="F1672">
            <v>90095</v>
          </cell>
          <cell r="G1672">
            <v>740776</v>
          </cell>
        </row>
        <row r="1673">
          <cell r="D1673" t="str">
            <v>CDC-17634</v>
          </cell>
          <cell r="E1673">
            <v>103207005</v>
          </cell>
          <cell r="F1673">
            <v>90095</v>
          </cell>
          <cell r="G1673">
            <v>740776</v>
          </cell>
        </row>
        <row r="1674">
          <cell r="D1674" t="str">
            <v>CDC-17634</v>
          </cell>
          <cell r="E1674">
            <v>103207005</v>
          </cell>
          <cell r="F1674">
            <v>90095</v>
          </cell>
          <cell r="G1674">
            <v>740776</v>
          </cell>
        </row>
        <row r="1675">
          <cell r="D1675" t="str">
            <v>CDC-17635</v>
          </cell>
          <cell r="E1675">
            <v>103207006</v>
          </cell>
          <cell r="F1675">
            <v>90095</v>
          </cell>
          <cell r="G1675">
            <v>142280</v>
          </cell>
        </row>
        <row r="1676">
          <cell r="D1676" t="str">
            <v>CDC-17635</v>
          </cell>
          <cell r="E1676">
            <v>103207006</v>
          </cell>
          <cell r="F1676">
            <v>90095</v>
          </cell>
          <cell r="G1676">
            <v>142280</v>
          </cell>
        </row>
        <row r="1677">
          <cell r="D1677" t="str">
            <v>CDC-17635</v>
          </cell>
          <cell r="E1677">
            <v>103207006</v>
          </cell>
          <cell r="F1677">
            <v>90095</v>
          </cell>
          <cell r="G1677">
            <v>142280</v>
          </cell>
        </row>
        <row r="1678">
          <cell r="D1678" t="str">
            <v>CDC-17635</v>
          </cell>
          <cell r="E1678">
            <v>103207006</v>
          </cell>
          <cell r="F1678">
            <v>90095</v>
          </cell>
          <cell r="G1678">
            <v>142280</v>
          </cell>
        </row>
        <row r="1679">
          <cell r="D1679" t="str">
            <v>CDC-17635</v>
          </cell>
          <cell r="E1679">
            <v>103207006</v>
          </cell>
          <cell r="F1679">
            <v>90095</v>
          </cell>
          <cell r="G1679">
            <v>142280</v>
          </cell>
        </row>
        <row r="1680">
          <cell r="D1680" t="str">
            <v>CDC-17635</v>
          </cell>
          <cell r="E1680">
            <v>103207006</v>
          </cell>
          <cell r="F1680">
            <v>90095</v>
          </cell>
          <cell r="G1680">
            <v>142280</v>
          </cell>
        </row>
        <row r="1681">
          <cell r="D1681" t="str">
            <v>CDC-17635</v>
          </cell>
          <cell r="E1681">
            <v>103207006</v>
          </cell>
          <cell r="F1681">
            <v>90095</v>
          </cell>
          <cell r="G1681">
            <v>142280</v>
          </cell>
        </row>
        <row r="1682">
          <cell r="D1682" t="str">
            <v>CDC-17635</v>
          </cell>
          <cell r="E1682">
            <v>103207006</v>
          </cell>
          <cell r="F1682">
            <v>90095</v>
          </cell>
          <cell r="G1682">
            <v>142280</v>
          </cell>
        </row>
        <row r="1683">
          <cell r="D1683" t="str">
            <v>CDC-17635</v>
          </cell>
          <cell r="E1683">
            <v>103207006</v>
          </cell>
          <cell r="F1683">
            <v>90095</v>
          </cell>
          <cell r="G1683">
            <v>142280</v>
          </cell>
        </row>
        <row r="1684">
          <cell r="D1684" t="str">
            <v>CDC-17635</v>
          </cell>
          <cell r="E1684">
            <v>103207006</v>
          </cell>
          <cell r="F1684">
            <v>90095</v>
          </cell>
          <cell r="G1684">
            <v>142280</v>
          </cell>
        </row>
        <row r="1685">
          <cell r="D1685" t="str">
            <v>CDC-17636</v>
          </cell>
          <cell r="E1685">
            <v>103207004</v>
          </cell>
          <cell r="F1685">
            <v>90095</v>
          </cell>
          <cell r="G1685">
            <v>273404</v>
          </cell>
        </row>
        <row r="1686">
          <cell r="D1686" t="str">
            <v>CDC-17636</v>
          </cell>
          <cell r="E1686">
            <v>103207004</v>
          </cell>
          <cell r="F1686">
            <v>90095</v>
          </cell>
          <cell r="G1686">
            <v>273404</v>
          </cell>
        </row>
        <row r="1687">
          <cell r="D1687" t="str">
            <v>CDC-17636</v>
          </cell>
          <cell r="E1687">
            <v>103207004</v>
          </cell>
          <cell r="F1687">
            <v>90095</v>
          </cell>
          <cell r="G1687">
            <v>273404</v>
          </cell>
        </row>
        <row r="1688">
          <cell r="D1688" t="str">
            <v>CDC-17636</v>
          </cell>
          <cell r="E1688">
            <v>103207004</v>
          </cell>
          <cell r="F1688">
            <v>90095</v>
          </cell>
          <cell r="G1688">
            <v>273404</v>
          </cell>
        </row>
        <row r="1689">
          <cell r="D1689" t="str">
            <v>CDC-17636</v>
          </cell>
          <cell r="E1689">
            <v>103207004</v>
          </cell>
          <cell r="F1689">
            <v>90095</v>
          </cell>
          <cell r="G1689">
            <v>273404</v>
          </cell>
        </row>
        <row r="1690">
          <cell r="D1690" t="str">
            <v>CDC-17636</v>
          </cell>
          <cell r="E1690">
            <v>103207004</v>
          </cell>
          <cell r="F1690">
            <v>90095</v>
          </cell>
          <cell r="G1690">
            <v>273404</v>
          </cell>
        </row>
        <row r="1691">
          <cell r="D1691" t="str">
            <v>CDC-17636</v>
          </cell>
          <cell r="E1691">
            <v>103207004</v>
          </cell>
          <cell r="F1691">
            <v>90095</v>
          </cell>
          <cell r="G1691">
            <v>273404</v>
          </cell>
        </row>
        <row r="1692">
          <cell r="D1692" t="str">
            <v>CDC-17636</v>
          </cell>
          <cell r="E1692">
            <v>103207004</v>
          </cell>
          <cell r="F1692">
            <v>90095</v>
          </cell>
          <cell r="G1692">
            <v>273404</v>
          </cell>
        </row>
        <row r="1693">
          <cell r="D1693" t="str">
            <v>CDC-17636</v>
          </cell>
          <cell r="E1693">
            <v>103207004</v>
          </cell>
          <cell r="F1693">
            <v>90095</v>
          </cell>
          <cell r="G1693">
            <v>273404</v>
          </cell>
        </row>
        <row r="1694">
          <cell r="D1694" t="str">
            <v>CDC-17636</v>
          </cell>
          <cell r="E1694">
            <v>103207004</v>
          </cell>
          <cell r="F1694">
            <v>90095</v>
          </cell>
          <cell r="G1694">
            <v>273404</v>
          </cell>
        </row>
        <row r="1695">
          <cell r="D1695" t="str">
            <v>CDC-13283</v>
          </cell>
          <cell r="E1695">
            <v>103207001</v>
          </cell>
          <cell r="F1695">
            <v>90095</v>
          </cell>
          <cell r="G1695">
            <v>90096</v>
          </cell>
        </row>
        <row r="1696">
          <cell r="D1696" t="str">
            <v>CDC-13283</v>
          </cell>
          <cell r="E1696">
            <v>103207001</v>
          </cell>
          <cell r="F1696">
            <v>90095</v>
          </cell>
          <cell r="G1696">
            <v>90096</v>
          </cell>
        </row>
        <row r="1697">
          <cell r="D1697" t="str">
            <v>CDC-13283</v>
          </cell>
          <cell r="E1697">
            <v>103207001</v>
          </cell>
          <cell r="F1697">
            <v>90095</v>
          </cell>
          <cell r="G1697">
            <v>90096</v>
          </cell>
        </row>
        <row r="1698">
          <cell r="D1698" t="str">
            <v>CDC-13283</v>
          </cell>
          <cell r="E1698">
            <v>103207001</v>
          </cell>
          <cell r="F1698">
            <v>90095</v>
          </cell>
          <cell r="G1698">
            <v>90096</v>
          </cell>
        </row>
        <row r="1699">
          <cell r="D1699" t="str">
            <v>CDC-13283</v>
          </cell>
          <cell r="E1699">
            <v>103207001</v>
          </cell>
          <cell r="F1699">
            <v>90095</v>
          </cell>
          <cell r="G1699">
            <v>90096</v>
          </cell>
        </row>
        <row r="1700">
          <cell r="D1700" t="str">
            <v>CDC-13283</v>
          </cell>
          <cell r="E1700">
            <v>103207001</v>
          </cell>
          <cell r="F1700">
            <v>90095</v>
          </cell>
          <cell r="G1700">
            <v>90096</v>
          </cell>
        </row>
        <row r="1701">
          <cell r="D1701" t="str">
            <v>CDC-13283</v>
          </cell>
          <cell r="E1701">
            <v>103207001</v>
          </cell>
          <cell r="F1701">
            <v>90095</v>
          </cell>
          <cell r="G1701">
            <v>90096</v>
          </cell>
        </row>
        <row r="1702">
          <cell r="D1702" t="str">
            <v>CDC-13283</v>
          </cell>
          <cell r="E1702">
            <v>103207001</v>
          </cell>
          <cell r="F1702">
            <v>90095</v>
          </cell>
          <cell r="G1702">
            <v>90096</v>
          </cell>
        </row>
        <row r="1703">
          <cell r="D1703" t="str">
            <v>CDC-13283</v>
          </cell>
          <cell r="E1703">
            <v>103207001</v>
          </cell>
          <cell r="F1703">
            <v>90095</v>
          </cell>
          <cell r="G1703">
            <v>90096</v>
          </cell>
        </row>
        <row r="1704">
          <cell r="D1704" t="str">
            <v>CDC-13283</v>
          </cell>
          <cell r="E1704">
            <v>103207001</v>
          </cell>
          <cell r="F1704">
            <v>90095</v>
          </cell>
          <cell r="G1704">
            <v>90096</v>
          </cell>
        </row>
        <row r="1705">
          <cell r="D1705" t="str">
            <v>CDC-17117</v>
          </cell>
          <cell r="E1705">
            <v>103207002</v>
          </cell>
          <cell r="F1705">
            <v>90095</v>
          </cell>
          <cell r="G1705">
            <v>92703</v>
          </cell>
        </row>
        <row r="1706">
          <cell r="D1706" t="str">
            <v>CDC-17117</v>
          </cell>
          <cell r="E1706">
            <v>103207002</v>
          </cell>
          <cell r="F1706">
            <v>90095</v>
          </cell>
          <cell r="G1706">
            <v>92703</v>
          </cell>
        </row>
        <row r="1707">
          <cell r="D1707" t="str">
            <v>CDC-17117</v>
          </cell>
          <cell r="E1707">
            <v>103207002</v>
          </cell>
          <cell r="F1707">
            <v>90095</v>
          </cell>
          <cell r="G1707">
            <v>92703</v>
          </cell>
        </row>
        <row r="1708">
          <cell r="D1708" t="str">
            <v>CDC-17117</v>
          </cell>
          <cell r="E1708">
            <v>103207002</v>
          </cell>
          <cell r="F1708">
            <v>90095</v>
          </cell>
          <cell r="G1708">
            <v>92703</v>
          </cell>
        </row>
        <row r="1709">
          <cell r="D1709" t="str">
            <v>CDC-17117</v>
          </cell>
          <cell r="E1709">
            <v>103207002</v>
          </cell>
          <cell r="F1709">
            <v>90095</v>
          </cell>
          <cell r="G1709">
            <v>92703</v>
          </cell>
        </row>
        <row r="1710">
          <cell r="D1710" t="str">
            <v>CDC-17117</v>
          </cell>
          <cell r="E1710">
            <v>103207002</v>
          </cell>
          <cell r="F1710">
            <v>90095</v>
          </cell>
          <cell r="G1710">
            <v>92703</v>
          </cell>
        </row>
        <row r="1711">
          <cell r="D1711" t="str">
            <v>CDC-17117</v>
          </cell>
          <cell r="E1711">
            <v>103207002</v>
          </cell>
          <cell r="F1711">
            <v>90095</v>
          </cell>
          <cell r="G1711">
            <v>92703</v>
          </cell>
        </row>
        <row r="1712">
          <cell r="D1712" t="str">
            <v>CDC-17117</v>
          </cell>
          <cell r="E1712">
            <v>103207002</v>
          </cell>
          <cell r="F1712">
            <v>90095</v>
          </cell>
          <cell r="G1712">
            <v>92703</v>
          </cell>
        </row>
        <row r="1713">
          <cell r="D1713" t="str">
            <v>CDC-17117</v>
          </cell>
          <cell r="E1713">
            <v>103207002</v>
          </cell>
          <cell r="F1713">
            <v>90095</v>
          </cell>
          <cell r="G1713">
            <v>92703</v>
          </cell>
        </row>
        <row r="1714">
          <cell r="D1714" t="str">
            <v>CDC-17117</v>
          </cell>
          <cell r="E1714">
            <v>103207002</v>
          </cell>
          <cell r="F1714">
            <v>90095</v>
          </cell>
          <cell r="G1714">
            <v>92703</v>
          </cell>
        </row>
        <row r="1715">
          <cell r="D1715" t="str">
            <v>CDC-17633</v>
          </cell>
          <cell r="E1715">
            <v>103207003</v>
          </cell>
          <cell r="F1715">
            <v>90095</v>
          </cell>
          <cell r="G1715">
            <v>454207</v>
          </cell>
        </row>
        <row r="1716">
          <cell r="D1716" t="str">
            <v>CDC-17633</v>
          </cell>
          <cell r="E1716">
            <v>103207003</v>
          </cell>
          <cell r="F1716">
            <v>90095</v>
          </cell>
          <cell r="G1716">
            <v>454207</v>
          </cell>
        </row>
        <row r="1717">
          <cell r="D1717" t="str">
            <v>CDC-17633</v>
          </cell>
          <cell r="E1717">
            <v>103207003</v>
          </cell>
          <cell r="F1717">
            <v>90095</v>
          </cell>
          <cell r="G1717">
            <v>454207</v>
          </cell>
        </row>
        <row r="1718">
          <cell r="D1718" t="str">
            <v>CDC-17633</v>
          </cell>
          <cell r="E1718">
            <v>103207003</v>
          </cell>
          <cell r="F1718">
            <v>90095</v>
          </cell>
          <cell r="G1718">
            <v>454207</v>
          </cell>
        </row>
        <row r="1719">
          <cell r="D1719" t="str">
            <v>CDC-17633</v>
          </cell>
          <cell r="E1719">
            <v>103207003</v>
          </cell>
          <cell r="F1719">
            <v>90095</v>
          </cell>
          <cell r="G1719">
            <v>454207</v>
          </cell>
        </row>
        <row r="1720">
          <cell r="D1720" t="str">
            <v>CDC-17633</v>
          </cell>
          <cell r="E1720">
            <v>103207003</v>
          </cell>
          <cell r="F1720">
            <v>90095</v>
          </cell>
          <cell r="G1720">
            <v>454207</v>
          </cell>
        </row>
        <row r="1721">
          <cell r="D1721" t="str">
            <v>CDC-17633</v>
          </cell>
          <cell r="E1721">
            <v>103207003</v>
          </cell>
          <cell r="F1721">
            <v>90095</v>
          </cell>
          <cell r="G1721">
            <v>454207</v>
          </cell>
        </row>
        <row r="1722">
          <cell r="D1722" t="str">
            <v>CDC-17633</v>
          </cell>
          <cell r="E1722">
            <v>103207003</v>
          </cell>
          <cell r="F1722">
            <v>90095</v>
          </cell>
          <cell r="G1722">
            <v>454207</v>
          </cell>
        </row>
        <row r="1723">
          <cell r="D1723" t="str">
            <v>CDC-17633</v>
          </cell>
          <cell r="E1723">
            <v>103207003</v>
          </cell>
          <cell r="F1723">
            <v>90095</v>
          </cell>
          <cell r="G1723">
            <v>454207</v>
          </cell>
        </row>
        <row r="1724">
          <cell r="D1724" t="str">
            <v>CDC-17633</v>
          </cell>
          <cell r="E1724">
            <v>103207003</v>
          </cell>
          <cell r="F1724">
            <v>90095</v>
          </cell>
          <cell r="G1724">
            <v>454207</v>
          </cell>
        </row>
        <row r="1725">
          <cell r="D1725" t="str">
            <v>CDC-5982</v>
          </cell>
          <cell r="E1725">
            <v>73447001</v>
          </cell>
          <cell r="F1725">
            <v>79019</v>
          </cell>
          <cell r="G1725">
            <v>79020</v>
          </cell>
        </row>
        <row r="1726">
          <cell r="D1726" t="str">
            <v>CDC-5982</v>
          </cell>
          <cell r="E1726">
            <v>73447001</v>
          </cell>
          <cell r="F1726">
            <v>79019</v>
          </cell>
          <cell r="G1726">
            <v>79020</v>
          </cell>
        </row>
        <row r="1727">
          <cell r="D1727" t="str">
            <v>CDC-5982</v>
          </cell>
          <cell r="E1727">
            <v>73447001</v>
          </cell>
          <cell r="F1727">
            <v>79019</v>
          </cell>
          <cell r="G1727">
            <v>79020</v>
          </cell>
        </row>
        <row r="1728">
          <cell r="D1728" t="str">
            <v>CDC-7009</v>
          </cell>
          <cell r="E1728">
            <v>73293001</v>
          </cell>
          <cell r="F1728">
            <v>9534</v>
          </cell>
          <cell r="G1728">
            <v>80542</v>
          </cell>
        </row>
        <row r="1729">
          <cell r="D1729" t="str">
            <v>CDC-7009</v>
          </cell>
          <cell r="E1729">
            <v>73293001</v>
          </cell>
          <cell r="F1729">
            <v>9534</v>
          </cell>
          <cell r="G1729">
            <v>80542</v>
          </cell>
        </row>
        <row r="1730">
          <cell r="D1730" t="str">
            <v>CDC-7009</v>
          </cell>
          <cell r="E1730">
            <v>73293001</v>
          </cell>
          <cell r="F1730">
            <v>9534</v>
          </cell>
          <cell r="G1730">
            <v>80542</v>
          </cell>
        </row>
        <row r="1731">
          <cell r="D1731" t="str">
            <v>CDC-7009</v>
          </cell>
          <cell r="E1731">
            <v>73293001</v>
          </cell>
          <cell r="F1731">
            <v>9534</v>
          </cell>
          <cell r="G1731">
            <v>80542</v>
          </cell>
        </row>
        <row r="1732">
          <cell r="D1732" t="str">
            <v>CDC-7009</v>
          </cell>
          <cell r="E1732">
            <v>73293001</v>
          </cell>
          <cell r="F1732">
            <v>9534</v>
          </cell>
          <cell r="G1732">
            <v>80542</v>
          </cell>
        </row>
        <row r="1733">
          <cell r="D1733" t="str">
            <v>CDC-7009</v>
          </cell>
          <cell r="E1733">
            <v>73293001</v>
          </cell>
          <cell r="F1733">
            <v>9534</v>
          </cell>
          <cell r="G1733">
            <v>80542</v>
          </cell>
        </row>
        <row r="1734">
          <cell r="D1734" t="str">
            <v>CDC-7009</v>
          </cell>
          <cell r="E1734">
            <v>73293001</v>
          </cell>
          <cell r="F1734">
            <v>9534</v>
          </cell>
          <cell r="G1734">
            <v>80542</v>
          </cell>
        </row>
        <row r="1735">
          <cell r="D1735" t="str">
            <v>CDC-7009</v>
          </cell>
          <cell r="E1735">
            <v>73293001</v>
          </cell>
          <cell r="F1735">
            <v>9534</v>
          </cell>
          <cell r="G1735">
            <v>80542</v>
          </cell>
        </row>
        <row r="1736">
          <cell r="D1736" t="str">
            <v>CDC-11276</v>
          </cell>
          <cell r="E1736">
            <v>73536001</v>
          </cell>
          <cell r="F1736">
            <v>87946</v>
          </cell>
          <cell r="G1736">
            <v>87947</v>
          </cell>
        </row>
        <row r="1737">
          <cell r="D1737" t="str">
            <v>CDC-11276</v>
          </cell>
          <cell r="E1737">
            <v>73536001</v>
          </cell>
          <cell r="F1737">
            <v>87946</v>
          </cell>
          <cell r="G1737">
            <v>87947</v>
          </cell>
        </row>
        <row r="1738">
          <cell r="D1738" t="str">
            <v>CDC-11276</v>
          </cell>
          <cell r="E1738">
            <v>73536001</v>
          </cell>
          <cell r="F1738">
            <v>87946</v>
          </cell>
          <cell r="G1738">
            <v>87947</v>
          </cell>
        </row>
        <row r="1739">
          <cell r="D1739" t="str">
            <v>CDC-11276</v>
          </cell>
          <cell r="E1739">
            <v>73536001</v>
          </cell>
          <cell r="F1739">
            <v>87946</v>
          </cell>
          <cell r="G1739">
            <v>87947</v>
          </cell>
        </row>
        <row r="1740">
          <cell r="D1740" t="str">
            <v>CDC-11276</v>
          </cell>
          <cell r="E1740">
            <v>73536001</v>
          </cell>
          <cell r="F1740">
            <v>87946</v>
          </cell>
          <cell r="G1740">
            <v>87947</v>
          </cell>
        </row>
        <row r="1741">
          <cell r="D1741" t="str">
            <v>CDC-11276</v>
          </cell>
          <cell r="E1741">
            <v>73536001</v>
          </cell>
          <cell r="F1741">
            <v>87946</v>
          </cell>
          <cell r="G1741">
            <v>87947</v>
          </cell>
        </row>
        <row r="1742">
          <cell r="D1742" t="str">
            <v>CDC-11276</v>
          </cell>
          <cell r="E1742">
            <v>73536001</v>
          </cell>
          <cell r="F1742">
            <v>87946</v>
          </cell>
          <cell r="G1742">
            <v>87947</v>
          </cell>
        </row>
        <row r="1743">
          <cell r="D1743" t="e">
            <v>#N/A</v>
          </cell>
          <cell r="E1743">
            <v>102602001</v>
          </cell>
          <cell r="F1743">
            <v>7959</v>
          </cell>
          <cell r="G1743">
            <v>9856</v>
          </cell>
        </row>
        <row r="1744">
          <cell r="D1744" t="e">
            <v>#N/A</v>
          </cell>
          <cell r="E1744">
            <v>102602001</v>
          </cell>
          <cell r="F1744">
            <v>7959</v>
          </cell>
          <cell r="G1744">
            <v>9856</v>
          </cell>
        </row>
        <row r="1745">
          <cell r="D1745" t="e">
            <v>#N/A</v>
          </cell>
          <cell r="E1745">
            <v>102602001</v>
          </cell>
          <cell r="F1745">
            <v>7959</v>
          </cell>
          <cell r="G1745">
            <v>9856</v>
          </cell>
        </row>
        <row r="1746">
          <cell r="D1746" t="e">
            <v>#N/A</v>
          </cell>
          <cell r="E1746">
            <v>102602001</v>
          </cell>
          <cell r="F1746">
            <v>7959</v>
          </cell>
          <cell r="G1746">
            <v>9856</v>
          </cell>
        </row>
        <row r="1747">
          <cell r="D1747" t="str">
            <v>CDC-4974</v>
          </cell>
          <cell r="E1747">
            <v>112602010</v>
          </cell>
          <cell r="F1747">
            <v>8066</v>
          </cell>
          <cell r="G1747">
            <v>8067</v>
          </cell>
        </row>
        <row r="1748">
          <cell r="D1748" t="str">
            <v>CDC-4974</v>
          </cell>
          <cell r="E1748">
            <v>112602010</v>
          </cell>
          <cell r="F1748">
            <v>8066</v>
          </cell>
          <cell r="G1748">
            <v>8067</v>
          </cell>
        </row>
        <row r="1749">
          <cell r="D1749" t="str">
            <v>CDC-4974</v>
          </cell>
          <cell r="E1749">
            <v>112602010</v>
          </cell>
          <cell r="F1749">
            <v>8066</v>
          </cell>
          <cell r="G1749">
            <v>8067</v>
          </cell>
        </row>
        <row r="1750">
          <cell r="D1750" t="str">
            <v>CDC-4974</v>
          </cell>
          <cell r="E1750">
            <v>112602010</v>
          </cell>
          <cell r="F1750">
            <v>8066</v>
          </cell>
          <cell r="G1750">
            <v>8067</v>
          </cell>
        </row>
        <row r="1751">
          <cell r="D1751" t="str">
            <v>CDC-4974</v>
          </cell>
          <cell r="E1751">
            <v>112602010</v>
          </cell>
          <cell r="F1751">
            <v>8066</v>
          </cell>
          <cell r="G1751">
            <v>8067</v>
          </cell>
        </row>
        <row r="1752">
          <cell r="D1752" t="str">
            <v>CDC-4974</v>
          </cell>
          <cell r="E1752">
            <v>112602010</v>
          </cell>
          <cell r="F1752">
            <v>8066</v>
          </cell>
          <cell r="G1752">
            <v>8067</v>
          </cell>
        </row>
        <row r="1753">
          <cell r="D1753" t="str">
            <v>CDC-8014</v>
          </cell>
          <cell r="E1753">
            <v>112602001</v>
          </cell>
          <cell r="F1753">
            <v>8066</v>
          </cell>
          <cell r="G1753">
            <v>10086</v>
          </cell>
        </row>
        <row r="1754">
          <cell r="D1754" t="str">
            <v>CDC-8014</v>
          </cell>
          <cell r="E1754">
            <v>112602001</v>
          </cell>
          <cell r="F1754">
            <v>8066</v>
          </cell>
          <cell r="G1754">
            <v>10086</v>
          </cell>
        </row>
        <row r="1755">
          <cell r="D1755" t="str">
            <v>CDC-8014</v>
          </cell>
          <cell r="E1755">
            <v>112602001</v>
          </cell>
          <cell r="F1755">
            <v>8066</v>
          </cell>
          <cell r="G1755">
            <v>10086</v>
          </cell>
        </row>
        <row r="1756">
          <cell r="D1756" t="str">
            <v>CDC-8014</v>
          </cell>
          <cell r="E1756">
            <v>112602001</v>
          </cell>
          <cell r="F1756">
            <v>8066</v>
          </cell>
          <cell r="G1756">
            <v>10086</v>
          </cell>
        </row>
        <row r="1757">
          <cell r="D1757" t="str">
            <v>CDC-8014</v>
          </cell>
          <cell r="E1757">
            <v>112602001</v>
          </cell>
          <cell r="F1757">
            <v>8066</v>
          </cell>
          <cell r="G1757">
            <v>10086</v>
          </cell>
        </row>
        <row r="1758">
          <cell r="D1758" t="str">
            <v>CDC-8014</v>
          </cell>
          <cell r="E1758">
            <v>112602001</v>
          </cell>
          <cell r="F1758">
            <v>8066</v>
          </cell>
          <cell r="G1758">
            <v>10086</v>
          </cell>
        </row>
        <row r="1759">
          <cell r="D1759" t="str">
            <v>CDC-6788</v>
          </cell>
          <cell r="E1759">
            <v>112602040</v>
          </cell>
          <cell r="F1759">
            <v>8066</v>
          </cell>
          <cell r="G1759">
            <v>8070</v>
          </cell>
        </row>
        <row r="1760">
          <cell r="D1760" t="str">
            <v>CDC-6788</v>
          </cell>
          <cell r="E1760">
            <v>112602040</v>
          </cell>
          <cell r="F1760">
            <v>8066</v>
          </cell>
          <cell r="G1760">
            <v>8070</v>
          </cell>
        </row>
        <row r="1761">
          <cell r="D1761" t="str">
            <v>CDC-6788</v>
          </cell>
          <cell r="E1761">
            <v>112602040</v>
          </cell>
          <cell r="F1761">
            <v>8066</v>
          </cell>
          <cell r="G1761">
            <v>8070</v>
          </cell>
        </row>
        <row r="1762">
          <cell r="D1762" t="str">
            <v>CDC-6788</v>
          </cell>
          <cell r="E1762">
            <v>112602040</v>
          </cell>
          <cell r="F1762">
            <v>8066</v>
          </cell>
          <cell r="G1762">
            <v>8070</v>
          </cell>
        </row>
        <row r="1763">
          <cell r="D1763" t="str">
            <v>CDC-6788</v>
          </cell>
          <cell r="E1763">
            <v>112602040</v>
          </cell>
          <cell r="F1763">
            <v>8066</v>
          </cell>
          <cell r="G1763">
            <v>8070</v>
          </cell>
        </row>
        <row r="1764">
          <cell r="D1764" t="str">
            <v>CDC-6788</v>
          </cell>
          <cell r="E1764">
            <v>112602040</v>
          </cell>
          <cell r="F1764">
            <v>8066</v>
          </cell>
          <cell r="G1764">
            <v>8070</v>
          </cell>
        </row>
        <row r="1765">
          <cell r="D1765" t="str">
            <v>CDC-18477</v>
          </cell>
          <cell r="E1765">
            <v>112602060</v>
          </cell>
          <cell r="F1765">
            <v>8066</v>
          </cell>
          <cell r="G1765">
            <v>8072</v>
          </cell>
        </row>
        <row r="1766">
          <cell r="D1766" t="str">
            <v>CDC-18477</v>
          </cell>
          <cell r="E1766">
            <v>112602060</v>
          </cell>
          <cell r="F1766">
            <v>8066</v>
          </cell>
          <cell r="G1766">
            <v>8072</v>
          </cell>
        </row>
        <row r="1767">
          <cell r="D1767" t="str">
            <v>CDC-18477</v>
          </cell>
          <cell r="E1767">
            <v>112602060</v>
          </cell>
          <cell r="F1767">
            <v>8066</v>
          </cell>
          <cell r="G1767">
            <v>8072</v>
          </cell>
        </row>
        <row r="1768">
          <cell r="D1768" t="str">
            <v>CDC-18477</v>
          </cell>
          <cell r="E1768">
            <v>112602060</v>
          </cell>
          <cell r="F1768">
            <v>8066</v>
          </cell>
          <cell r="G1768">
            <v>8072</v>
          </cell>
        </row>
        <row r="1769">
          <cell r="D1769" t="str">
            <v>CDC-18477</v>
          </cell>
          <cell r="E1769">
            <v>112602060</v>
          </cell>
          <cell r="F1769">
            <v>8066</v>
          </cell>
          <cell r="G1769">
            <v>8072</v>
          </cell>
        </row>
        <row r="1770">
          <cell r="D1770" t="str">
            <v>CDC-18477</v>
          </cell>
          <cell r="E1770">
            <v>112602060</v>
          </cell>
          <cell r="F1770">
            <v>8066</v>
          </cell>
          <cell r="G1770">
            <v>8072</v>
          </cell>
        </row>
        <row r="1771">
          <cell r="D1771" t="str">
            <v>CDC-10719</v>
          </cell>
          <cell r="E1771">
            <v>112602015</v>
          </cell>
          <cell r="F1771">
            <v>8066</v>
          </cell>
          <cell r="G1771">
            <v>10098</v>
          </cell>
        </row>
        <row r="1772">
          <cell r="D1772" t="str">
            <v>CDC-10719</v>
          </cell>
          <cell r="E1772">
            <v>112602015</v>
          </cell>
          <cell r="F1772">
            <v>8066</v>
          </cell>
          <cell r="G1772">
            <v>10098</v>
          </cell>
        </row>
        <row r="1773">
          <cell r="D1773" t="str">
            <v>CDC-10719</v>
          </cell>
          <cell r="E1773">
            <v>112602015</v>
          </cell>
          <cell r="F1773">
            <v>8066</v>
          </cell>
          <cell r="G1773">
            <v>10098</v>
          </cell>
        </row>
        <row r="1774">
          <cell r="D1774" t="str">
            <v>CDC-10719</v>
          </cell>
          <cell r="E1774">
            <v>112602015</v>
          </cell>
          <cell r="F1774">
            <v>8066</v>
          </cell>
          <cell r="G1774">
            <v>10098</v>
          </cell>
        </row>
        <row r="1775">
          <cell r="D1775" t="str">
            <v>CDC-10719</v>
          </cell>
          <cell r="E1775">
            <v>112602015</v>
          </cell>
          <cell r="F1775">
            <v>8066</v>
          </cell>
          <cell r="G1775">
            <v>10098</v>
          </cell>
        </row>
        <row r="1776">
          <cell r="D1776" t="str">
            <v>CDC-10719</v>
          </cell>
          <cell r="E1776">
            <v>112602015</v>
          </cell>
          <cell r="F1776">
            <v>8066</v>
          </cell>
          <cell r="G1776">
            <v>10098</v>
          </cell>
        </row>
        <row r="1777">
          <cell r="D1777" t="str">
            <v>CDC-15552</v>
          </cell>
          <cell r="E1777">
            <v>112602090</v>
          </cell>
          <cell r="F1777">
            <v>8066</v>
          </cell>
          <cell r="G1777">
            <v>8074</v>
          </cell>
        </row>
        <row r="1778">
          <cell r="D1778" t="str">
            <v>CDC-15552</v>
          </cell>
          <cell r="E1778">
            <v>112602090</v>
          </cell>
          <cell r="F1778">
            <v>8066</v>
          </cell>
          <cell r="G1778">
            <v>8074</v>
          </cell>
        </row>
        <row r="1779">
          <cell r="D1779" t="str">
            <v>CDC-15552</v>
          </cell>
          <cell r="E1779">
            <v>112602090</v>
          </cell>
          <cell r="F1779">
            <v>8066</v>
          </cell>
          <cell r="G1779">
            <v>8074</v>
          </cell>
        </row>
        <row r="1780">
          <cell r="D1780" t="str">
            <v>CDC-15552</v>
          </cell>
          <cell r="E1780">
            <v>112602090</v>
          </cell>
          <cell r="F1780">
            <v>8066</v>
          </cell>
          <cell r="G1780">
            <v>8074</v>
          </cell>
        </row>
        <row r="1781">
          <cell r="D1781" t="str">
            <v>CDC-15552</v>
          </cell>
          <cell r="E1781">
            <v>112602090</v>
          </cell>
          <cell r="F1781">
            <v>8066</v>
          </cell>
          <cell r="G1781">
            <v>8074</v>
          </cell>
        </row>
        <row r="1782">
          <cell r="D1782" t="str">
            <v>CDC-15552</v>
          </cell>
          <cell r="E1782">
            <v>112602090</v>
          </cell>
          <cell r="F1782">
            <v>8066</v>
          </cell>
          <cell r="G1782">
            <v>8074</v>
          </cell>
        </row>
        <row r="1783">
          <cell r="D1783" t="str">
            <v>CDC-8844</v>
          </cell>
          <cell r="E1783">
            <v>112602100</v>
          </cell>
          <cell r="F1783">
            <v>8066</v>
          </cell>
          <cell r="G1783">
            <v>8075</v>
          </cell>
        </row>
        <row r="1784">
          <cell r="D1784" t="str">
            <v>CDC-8844</v>
          </cell>
          <cell r="E1784">
            <v>112602100</v>
          </cell>
          <cell r="F1784">
            <v>8066</v>
          </cell>
          <cell r="G1784">
            <v>8075</v>
          </cell>
        </row>
        <row r="1785">
          <cell r="D1785" t="str">
            <v>CDC-8844</v>
          </cell>
          <cell r="E1785">
            <v>112602100</v>
          </cell>
          <cell r="F1785">
            <v>8066</v>
          </cell>
          <cell r="G1785">
            <v>8075</v>
          </cell>
        </row>
        <row r="1786">
          <cell r="D1786" t="str">
            <v>CDC-8844</v>
          </cell>
          <cell r="E1786">
            <v>112602100</v>
          </cell>
          <cell r="F1786">
            <v>8066</v>
          </cell>
          <cell r="G1786">
            <v>8075</v>
          </cell>
        </row>
        <row r="1787">
          <cell r="D1787" t="str">
            <v>CDC-8844</v>
          </cell>
          <cell r="E1787">
            <v>112602100</v>
          </cell>
          <cell r="F1787">
            <v>8066</v>
          </cell>
          <cell r="G1787">
            <v>8075</v>
          </cell>
        </row>
        <row r="1788">
          <cell r="D1788" t="str">
            <v>CDC-8844</v>
          </cell>
          <cell r="E1788">
            <v>112602100</v>
          </cell>
          <cell r="F1788">
            <v>8066</v>
          </cell>
          <cell r="G1788">
            <v>8075</v>
          </cell>
        </row>
        <row r="1789">
          <cell r="D1789" t="str">
            <v>CDC-9727</v>
          </cell>
          <cell r="E1789">
            <v>112602007</v>
          </cell>
          <cell r="F1789">
            <v>8066</v>
          </cell>
          <cell r="G1789">
            <v>10092</v>
          </cell>
        </row>
        <row r="1790">
          <cell r="D1790" t="str">
            <v>CDC-9727</v>
          </cell>
          <cell r="E1790">
            <v>112602007</v>
          </cell>
          <cell r="F1790">
            <v>8066</v>
          </cell>
          <cell r="G1790">
            <v>10092</v>
          </cell>
        </row>
        <row r="1791">
          <cell r="D1791" t="str">
            <v>CDC-9727</v>
          </cell>
          <cell r="E1791">
            <v>112602007</v>
          </cell>
          <cell r="F1791">
            <v>8066</v>
          </cell>
          <cell r="G1791">
            <v>10092</v>
          </cell>
        </row>
        <row r="1792">
          <cell r="D1792" t="str">
            <v>CDC-9727</v>
          </cell>
          <cell r="E1792">
            <v>112602007</v>
          </cell>
          <cell r="F1792">
            <v>8066</v>
          </cell>
          <cell r="G1792">
            <v>10092</v>
          </cell>
        </row>
        <row r="1793">
          <cell r="D1793" t="str">
            <v>CDC-9727</v>
          </cell>
          <cell r="E1793">
            <v>112602007</v>
          </cell>
          <cell r="F1793">
            <v>8066</v>
          </cell>
          <cell r="G1793">
            <v>10092</v>
          </cell>
        </row>
        <row r="1794">
          <cell r="D1794" t="str">
            <v>CDC-9727</v>
          </cell>
          <cell r="E1794">
            <v>112602007</v>
          </cell>
          <cell r="F1794">
            <v>8066</v>
          </cell>
          <cell r="G1794">
            <v>10092</v>
          </cell>
        </row>
        <row r="1795">
          <cell r="D1795" t="str">
            <v>CDC-1210</v>
          </cell>
          <cell r="E1795">
            <v>112602120</v>
          </cell>
          <cell r="F1795">
            <v>8066</v>
          </cell>
          <cell r="G1795">
            <v>8077</v>
          </cell>
        </row>
        <row r="1796">
          <cell r="D1796" t="str">
            <v>CDC-1210</v>
          </cell>
          <cell r="E1796">
            <v>112602120</v>
          </cell>
          <cell r="F1796">
            <v>8066</v>
          </cell>
          <cell r="G1796">
            <v>8077</v>
          </cell>
        </row>
        <row r="1797">
          <cell r="D1797" t="str">
            <v>CDC-1210</v>
          </cell>
          <cell r="E1797">
            <v>112602120</v>
          </cell>
          <cell r="F1797">
            <v>8066</v>
          </cell>
          <cell r="G1797">
            <v>8077</v>
          </cell>
        </row>
        <row r="1798">
          <cell r="D1798" t="str">
            <v>CDC-1210</v>
          </cell>
          <cell r="E1798">
            <v>112602120</v>
          </cell>
          <cell r="F1798">
            <v>8066</v>
          </cell>
          <cell r="G1798">
            <v>8077</v>
          </cell>
        </row>
        <row r="1799">
          <cell r="D1799" t="str">
            <v>CDC-8676</v>
          </cell>
          <cell r="E1799">
            <v>112602130</v>
          </cell>
          <cell r="F1799">
            <v>8066</v>
          </cell>
          <cell r="G1799">
            <v>8078</v>
          </cell>
        </row>
        <row r="1800">
          <cell r="D1800" t="str">
            <v>CDC-8676</v>
          </cell>
          <cell r="E1800">
            <v>112602130</v>
          </cell>
          <cell r="F1800">
            <v>8066</v>
          </cell>
          <cell r="G1800">
            <v>8078</v>
          </cell>
        </row>
        <row r="1801">
          <cell r="D1801" t="str">
            <v>CDC-8676</v>
          </cell>
          <cell r="E1801">
            <v>112602130</v>
          </cell>
          <cell r="F1801">
            <v>8066</v>
          </cell>
          <cell r="G1801">
            <v>8078</v>
          </cell>
        </row>
        <row r="1802">
          <cell r="D1802" t="str">
            <v>CDC-8676</v>
          </cell>
          <cell r="E1802">
            <v>112602130</v>
          </cell>
          <cell r="F1802">
            <v>8066</v>
          </cell>
          <cell r="G1802">
            <v>8078</v>
          </cell>
        </row>
        <row r="1803">
          <cell r="D1803" t="str">
            <v>CDC-4976</v>
          </cell>
          <cell r="E1803">
            <v>112602135</v>
          </cell>
          <cell r="F1803">
            <v>8066</v>
          </cell>
          <cell r="G1803">
            <v>8079</v>
          </cell>
        </row>
        <row r="1804">
          <cell r="D1804" t="str">
            <v>CDC-4976</v>
          </cell>
          <cell r="E1804">
            <v>112602135</v>
          </cell>
          <cell r="F1804">
            <v>8066</v>
          </cell>
          <cell r="G1804">
            <v>8079</v>
          </cell>
        </row>
        <row r="1805">
          <cell r="D1805" t="str">
            <v>CDC-4976</v>
          </cell>
          <cell r="E1805">
            <v>112602135</v>
          </cell>
          <cell r="F1805">
            <v>8066</v>
          </cell>
          <cell r="G1805">
            <v>8079</v>
          </cell>
        </row>
        <row r="1806">
          <cell r="D1806" t="str">
            <v>CDC-14018</v>
          </cell>
          <cell r="E1806">
            <v>73563001</v>
          </cell>
          <cell r="F1806">
            <v>89814</v>
          </cell>
          <cell r="G1806">
            <v>89815</v>
          </cell>
        </row>
        <row r="1807">
          <cell r="D1807" t="str">
            <v>CDC-14018</v>
          </cell>
          <cell r="E1807">
            <v>73563001</v>
          </cell>
          <cell r="F1807">
            <v>89814</v>
          </cell>
          <cell r="G1807">
            <v>89815</v>
          </cell>
        </row>
        <row r="1808">
          <cell r="D1808" t="str">
            <v>CDC-14018</v>
          </cell>
          <cell r="E1808">
            <v>73563001</v>
          </cell>
          <cell r="F1808">
            <v>89814</v>
          </cell>
          <cell r="G1808">
            <v>89815</v>
          </cell>
        </row>
        <row r="1809">
          <cell r="D1809" t="str">
            <v>CDC-14018</v>
          </cell>
          <cell r="E1809">
            <v>73563001</v>
          </cell>
          <cell r="F1809">
            <v>89814</v>
          </cell>
          <cell r="G1809">
            <v>89815</v>
          </cell>
        </row>
        <row r="1810">
          <cell r="D1810" t="str">
            <v>CDC-14018</v>
          </cell>
          <cell r="E1810">
            <v>73563001</v>
          </cell>
          <cell r="F1810">
            <v>89814</v>
          </cell>
          <cell r="G1810">
            <v>89815</v>
          </cell>
        </row>
        <row r="1811">
          <cell r="D1811" t="str">
            <v>CDC-14018</v>
          </cell>
          <cell r="E1811">
            <v>73563001</v>
          </cell>
          <cell r="F1811">
            <v>89814</v>
          </cell>
          <cell r="G1811">
            <v>89815</v>
          </cell>
        </row>
        <row r="1812">
          <cell r="D1812" t="str">
            <v>CDC-14018</v>
          </cell>
          <cell r="E1812">
            <v>73563001</v>
          </cell>
          <cell r="F1812">
            <v>89814</v>
          </cell>
          <cell r="G1812">
            <v>89815</v>
          </cell>
        </row>
        <row r="1813">
          <cell r="D1813" t="str">
            <v>CDC-14018</v>
          </cell>
          <cell r="E1813">
            <v>73563001</v>
          </cell>
          <cell r="F1813">
            <v>89814</v>
          </cell>
          <cell r="G1813">
            <v>89815</v>
          </cell>
        </row>
        <row r="1814">
          <cell r="D1814" t="str">
            <v>CDC-14018</v>
          </cell>
          <cell r="E1814">
            <v>73563001</v>
          </cell>
          <cell r="F1814">
            <v>89814</v>
          </cell>
          <cell r="G1814">
            <v>89815</v>
          </cell>
        </row>
        <row r="1815">
          <cell r="D1815" t="str">
            <v>CDC-14018</v>
          </cell>
          <cell r="E1815">
            <v>73563001</v>
          </cell>
          <cell r="F1815">
            <v>89814</v>
          </cell>
          <cell r="G1815">
            <v>89815</v>
          </cell>
        </row>
        <row r="1816">
          <cell r="D1816" t="str">
            <v>CDC-14018</v>
          </cell>
          <cell r="E1816">
            <v>73563001</v>
          </cell>
          <cell r="F1816">
            <v>89814</v>
          </cell>
          <cell r="G1816">
            <v>89815</v>
          </cell>
        </row>
        <row r="1817">
          <cell r="D1817" t="str">
            <v>CDC-14018</v>
          </cell>
          <cell r="E1817">
            <v>73563001</v>
          </cell>
          <cell r="F1817">
            <v>89814</v>
          </cell>
          <cell r="G1817">
            <v>89815</v>
          </cell>
        </row>
        <row r="1818">
          <cell r="D1818" t="str">
            <v>CDC-15879</v>
          </cell>
          <cell r="E1818">
            <v>73571001</v>
          </cell>
          <cell r="F1818">
            <v>90091</v>
          </cell>
          <cell r="G1818">
            <v>90092</v>
          </cell>
        </row>
        <row r="1819">
          <cell r="D1819" t="str">
            <v>CDC-15879</v>
          </cell>
          <cell r="E1819">
            <v>73571001</v>
          </cell>
          <cell r="F1819">
            <v>90091</v>
          </cell>
          <cell r="G1819">
            <v>90092</v>
          </cell>
        </row>
        <row r="1820">
          <cell r="D1820" t="str">
            <v>CDC-15879</v>
          </cell>
          <cell r="E1820">
            <v>73571001</v>
          </cell>
          <cell r="F1820">
            <v>90091</v>
          </cell>
          <cell r="G1820">
            <v>90092</v>
          </cell>
        </row>
        <row r="1821">
          <cell r="D1821" t="str">
            <v>CDC-15879</v>
          </cell>
          <cell r="E1821">
            <v>73571001</v>
          </cell>
          <cell r="F1821">
            <v>90091</v>
          </cell>
          <cell r="G1821">
            <v>90092</v>
          </cell>
        </row>
        <row r="1822">
          <cell r="D1822" t="str">
            <v>CDC-15879</v>
          </cell>
          <cell r="E1822">
            <v>73571001</v>
          </cell>
          <cell r="F1822">
            <v>90091</v>
          </cell>
          <cell r="G1822">
            <v>90092</v>
          </cell>
        </row>
        <row r="1823">
          <cell r="D1823" t="str">
            <v>CDC-15879</v>
          </cell>
          <cell r="E1823">
            <v>73571001</v>
          </cell>
          <cell r="F1823">
            <v>90091</v>
          </cell>
          <cell r="G1823">
            <v>90092</v>
          </cell>
        </row>
        <row r="1824">
          <cell r="D1824" t="str">
            <v>CDC-18365</v>
          </cell>
          <cell r="E1824">
            <v>143021001</v>
          </cell>
          <cell r="F1824">
            <v>88450</v>
          </cell>
          <cell r="G1824">
            <v>88451</v>
          </cell>
        </row>
        <row r="1825">
          <cell r="D1825" t="str">
            <v>CDC-18365</v>
          </cell>
          <cell r="E1825">
            <v>143021001</v>
          </cell>
          <cell r="F1825">
            <v>88450</v>
          </cell>
          <cell r="G1825">
            <v>88451</v>
          </cell>
        </row>
        <row r="1826">
          <cell r="D1826" t="str">
            <v>CDC-18365</v>
          </cell>
          <cell r="E1826">
            <v>143021001</v>
          </cell>
          <cell r="F1826">
            <v>88450</v>
          </cell>
          <cell r="G1826">
            <v>88451</v>
          </cell>
        </row>
        <row r="1827">
          <cell r="D1827" t="str">
            <v>CDC-18365</v>
          </cell>
          <cell r="E1827">
            <v>143021001</v>
          </cell>
          <cell r="F1827">
            <v>88450</v>
          </cell>
          <cell r="G1827">
            <v>88451</v>
          </cell>
        </row>
        <row r="1828">
          <cell r="D1828" t="str">
            <v>CDC-18365</v>
          </cell>
          <cell r="E1828">
            <v>143021001</v>
          </cell>
          <cell r="F1828">
            <v>88450</v>
          </cell>
          <cell r="G1828">
            <v>88451</v>
          </cell>
        </row>
        <row r="1829">
          <cell r="D1829" t="str">
            <v>CDC-18365</v>
          </cell>
          <cell r="E1829">
            <v>143021001</v>
          </cell>
          <cell r="F1829">
            <v>88450</v>
          </cell>
          <cell r="G1829">
            <v>88451</v>
          </cell>
        </row>
        <row r="1830">
          <cell r="D1830" t="str">
            <v>CDC-18365</v>
          </cell>
          <cell r="E1830">
            <v>143021001</v>
          </cell>
          <cell r="F1830">
            <v>88450</v>
          </cell>
          <cell r="G1830">
            <v>88451</v>
          </cell>
        </row>
        <row r="1831">
          <cell r="D1831" t="str">
            <v>CDC-18365</v>
          </cell>
          <cell r="E1831">
            <v>143021001</v>
          </cell>
          <cell r="F1831">
            <v>88450</v>
          </cell>
          <cell r="G1831">
            <v>88451</v>
          </cell>
        </row>
        <row r="1832">
          <cell r="D1832" t="str">
            <v>CDC-8689</v>
          </cell>
          <cell r="E1832">
            <v>73445001</v>
          </cell>
          <cell r="F1832">
            <v>80621</v>
          </cell>
          <cell r="G1832">
            <v>80622</v>
          </cell>
        </row>
        <row r="1833">
          <cell r="D1833" t="str">
            <v>CDC-8689</v>
          </cell>
          <cell r="E1833">
            <v>73445001</v>
          </cell>
          <cell r="F1833">
            <v>80621</v>
          </cell>
          <cell r="G1833">
            <v>80622</v>
          </cell>
        </row>
        <row r="1834">
          <cell r="D1834" t="str">
            <v>CDC-8689</v>
          </cell>
          <cell r="E1834">
            <v>73445001</v>
          </cell>
          <cell r="F1834">
            <v>80621</v>
          </cell>
          <cell r="G1834">
            <v>80622</v>
          </cell>
        </row>
        <row r="1835">
          <cell r="D1835" t="str">
            <v>CDC-8689</v>
          </cell>
          <cell r="E1835">
            <v>73445001</v>
          </cell>
          <cell r="F1835">
            <v>80621</v>
          </cell>
          <cell r="G1835">
            <v>80622</v>
          </cell>
        </row>
        <row r="1836">
          <cell r="D1836" t="str">
            <v>CDC-8689</v>
          </cell>
          <cell r="E1836">
            <v>73445001</v>
          </cell>
          <cell r="F1836">
            <v>80621</v>
          </cell>
          <cell r="G1836">
            <v>80622</v>
          </cell>
        </row>
        <row r="1837">
          <cell r="D1837" t="str">
            <v>CDC-8689</v>
          </cell>
          <cell r="E1837">
            <v>73445001</v>
          </cell>
          <cell r="F1837">
            <v>80621</v>
          </cell>
          <cell r="G1837">
            <v>80622</v>
          </cell>
        </row>
        <row r="1838">
          <cell r="D1838" t="str">
            <v>CDC-14029</v>
          </cell>
          <cell r="E1838">
            <v>73575001</v>
          </cell>
          <cell r="F1838">
            <v>90132</v>
          </cell>
          <cell r="G1838">
            <v>90133</v>
          </cell>
        </row>
        <row r="1839">
          <cell r="D1839" t="str">
            <v>CDC-14029</v>
          </cell>
          <cell r="E1839">
            <v>73575001</v>
          </cell>
          <cell r="F1839">
            <v>90132</v>
          </cell>
          <cell r="G1839">
            <v>90133</v>
          </cell>
        </row>
        <row r="1840">
          <cell r="D1840" t="str">
            <v>CDC-14029</v>
          </cell>
          <cell r="E1840">
            <v>73575001</v>
          </cell>
          <cell r="F1840">
            <v>90132</v>
          </cell>
          <cell r="G1840">
            <v>90133</v>
          </cell>
        </row>
        <row r="1841">
          <cell r="D1841" t="str">
            <v>CDC-14029</v>
          </cell>
          <cell r="E1841">
            <v>73575001</v>
          </cell>
          <cell r="F1841">
            <v>90132</v>
          </cell>
          <cell r="G1841">
            <v>90133</v>
          </cell>
        </row>
        <row r="1842">
          <cell r="D1842" t="str">
            <v>CDC-14029</v>
          </cell>
          <cell r="E1842">
            <v>73575001</v>
          </cell>
          <cell r="F1842">
            <v>90132</v>
          </cell>
          <cell r="G1842">
            <v>90133</v>
          </cell>
        </row>
        <row r="1843">
          <cell r="D1843" t="str">
            <v>CDC-14029</v>
          </cell>
          <cell r="E1843">
            <v>73575001</v>
          </cell>
          <cell r="F1843">
            <v>90132</v>
          </cell>
          <cell r="G1843">
            <v>90133</v>
          </cell>
        </row>
        <row r="1844">
          <cell r="D1844" t="str">
            <v>CDC-16809</v>
          </cell>
          <cell r="E1844">
            <v>73575002</v>
          </cell>
          <cell r="F1844">
            <v>90132</v>
          </cell>
          <cell r="G1844">
            <v>92375</v>
          </cell>
        </row>
        <row r="1845">
          <cell r="D1845" t="str">
            <v>CDC-16809</v>
          </cell>
          <cell r="E1845">
            <v>73575002</v>
          </cell>
          <cell r="F1845">
            <v>90132</v>
          </cell>
          <cell r="G1845">
            <v>92375</v>
          </cell>
        </row>
        <row r="1846">
          <cell r="D1846" t="str">
            <v>CDC-16809</v>
          </cell>
          <cell r="E1846">
            <v>73575002</v>
          </cell>
          <cell r="F1846">
            <v>90132</v>
          </cell>
          <cell r="G1846">
            <v>92375</v>
          </cell>
        </row>
        <row r="1847">
          <cell r="D1847" t="str">
            <v>CDC-16809</v>
          </cell>
          <cell r="E1847">
            <v>73575002</v>
          </cell>
          <cell r="F1847">
            <v>90132</v>
          </cell>
          <cell r="G1847">
            <v>92375</v>
          </cell>
        </row>
        <row r="1848">
          <cell r="D1848" t="str">
            <v>CDC-16809</v>
          </cell>
          <cell r="E1848">
            <v>73575002</v>
          </cell>
          <cell r="F1848">
            <v>90132</v>
          </cell>
          <cell r="G1848">
            <v>92375</v>
          </cell>
        </row>
        <row r="1849">
          <cell r="D1849" t="str">
            <v>CDC-16809</v>
          </cell>
          <cell r="E1849">
            <v>73575002</v>
          </cell>
          <cell r="F1849">
            <v>90132</v>
          </cell>
          <cell r="G1849">
            <v>92375</v>
          </cell>
        </row>
        <row r="1850">
          <cell r="D1850" t="str">
            <v>CDC-14029</v>
          </cell>
          <cell r="E1850">
            <v>73575003</v>
          </cell>
          <cell r="F1850">
            <v>90132</v>
          </cell>
          <cell r="G1850">
            <v>1000556</v>
          </cell>
        </row>
        <row r="1851">
          <cell r="D1851" t="str">
            <v>CDC-14029</v>
          </cell>
          <cell r="E1851">
            <v>73575003</v>
          </cell>
          <cell r="F1851">
            <v>90132</v>
          </cell>
          <cell r="G1851">
            <v>1000556</v>
          </cell>
        </row>
        <row r="1852">
          <cell r="D1852" t="str">
            <v>CDC-14029</v>
          </cell>
          <cell r="E1852">
            <v>73575003</v>
          </cell>
          <cell r="F1852">
            <v>90132</v>
          </cell>
          <cell r="G1852">
            <v>1000556</v>
          </cell>
        </row>
        <row r="1853">
          <cell r="D1853" t="str">
            <v>CDC-14029</v>
          </cell>
          <cell r="E1853">
            <v>73575003</v>
          </cell>
          <cell r="F1853">
            <v>90132</v>
          </cell>
          <cell r="G1853">
            <v>1000556</v>
          </cell>
        </row>
        <row r="1854">
          <cell r="D1854" t="str">
            <v>CDC-14029</v>
          </cell>
          <cell r="E1854">
            <v>73575003</v>
          </cell>
          <cell r="F1854">
            <v>90132</v>
          </cell>
          <cell r="G1854">
            <v>1000556</v>
          </cell>
        </row>
        <row r="1855">
          <cell r="D1855" t="str">
            <v>CDC-14029</v>
          </cell>
          <cell r="E1855">
            <v>73575003</v>
          </cell>
          <cell r="F1855">
            <v>90132</v>
          </cell>
          <cell r="G1855">
            <v>1000556</v>
          </cell>
        </row>
        <row r="1856">
          <cell r="D1856" t="str">
            <v>CDC-14846</v>
          </cell>
          <cell r="E1856">
            <v>133025001</v>
          </cell>
          <cell r="F1856">
            <v>90726</v>
          </cell>
          <cell r="G1856">
            <v>90727</v>
          </cell>
        </row>
        <row r="1857">
          <cell r="D1857" t="str">
            <v>CDC-14846</v>
          </cell>
          <cell r="E1857">
            <v>133025001</v>
          </cell>
          <cell r="F1857">
            <v>90726</v>
          </cell>
          <cell r="G1857">
            <v>90727</v>
          </cell>
        </row>
        <row r="1858">
          <cell r="D1858" t="str">
            <v>CDC-14846</v>
          </cell>
          <cell r="E1858">
            <v>133025001</v>
          </cell>
          <cell r="F1858">
            <v>90726</v>
          </cell>
          <cell r="G1858">
            <v>90727</v>
          </cell>
        </row>
        <row r="1859">
          <cell r="D1859" t="str">
            <v>CDC-14846</v>
          </cell>
          <cell r="E1859">
            <v>133025001</v>
          </cell>
          <cell r="F1859">
            <v>90726</v>
          </cell>
          <cell r="G1859">
            <v>90727</v>
          </cell>
        </row>
        <row r="1860">
          <cell r="D1860" t="str">
            <v>CDC-14846</v>
          </cell>
          <cell r="E1860">
            <v>133025001</v>
          </cell>
          <cell r="F1860">
            <v>90726</v>
          </cell>
          <cell r="G1860">
            <v>90727</v>
          </cell>
        </row>
        <row r="1861">
          <cell r="D1861" t="str">
            <v>CDC-14846</v>
          </cell>
          <cell r="E1861">
            <v>133025001</v>
          </cell>
          <cell r="F1861">
            <v>90726</v>
          </cell>
          <cell r="G1861">
            <v>90727</v>
          </cell>
        </row>
        <row r="1862">
          <cell r="D1862" t="str">
            <v>CDC-14846</v>
          </cell>
          <cell r="E1862">
            <v>133025001</v>
          </cell>
          <cell r="F1862">
            <v>90726</v>
          </cell>
          <cell r="G1862">
            <v>90727</v>
          </cell>
        </row>
        <row r="1863">
          <cell r="D1863" t="str">
            <v>CDC-14846</v>
          </cell>
          <cell r="E1863">
            <v>133025001</v>
          </cell>
          <cell r="F1863">
            <v>90726</v>
          </cell>
          <cell r="G1863">
            <v>90727</v>
          </cell>
        </row>
        <row r="1864">
          <cell r="D1864" t="str">
            <v>CDC-6923</v>
          </cell>
          <cell r="E1864">
            <v>93013001</v>
          </cell>
          <cell r="F1864">
            <v>9684</v>
          </cell>
          <cell r="G1864">
            <v>9685</v>
          </cell>
        </row>
        <row r="1865">
          <cell r="D1865" t="str">
            <v>CDC-6923</v>
          </cell>
          <cell r="E1865">
            <v>93013001</v>
          </cell>
          <cell r="F1865">
            <v>9684</v>
          </cell>
          <cell r="G1865">
            <v>9685</v>
          </cell>
        </row>
        <row r="1866">
          <cell r="D1866" t="str">
            <v>CDC-6923</v>
          </cell>
          <cell r="E1866">
            <v>93013001</v>
          </cell>
          <cell r="F1866">
            <v>9684</v>
          </cell>
          <cell r="G1866">
            <v>9685</v>
          </cell>
        </row>
        <row r="1867">
          <cell r="D1867" t="str">
            <v>CDC-6923</v>
          </cell>
          <cell r="E1867">
            <v>93013001</v>
          </cell>
          <cell r="F1867">
            <v>9684</v>
          </cell>
          <cell r="G1867">
            <v>9685</v>
          </cell>
        </row>
        <row r="1868">
          <cell r="D1868" t="str">
            <v>CDC-6923</v>
          </cell>
          <cell r="E1868">
            <v>93013001</v>
          </cell>
          <cell r="F1868">
            <v>9684</v>
          </cell>
          <cell r="G1868">
            <v>9685</v>
          </cell>
        </row>
        <row r="1869">
          <cell r="D1869" t="str">
            <v>CDC-6923</v>
          </cell>
          <cell r="E1869">
            <v>93013001</v>
          </cell>
          <cell r="F1869">
            <v>9684</v>
          </cell>
          <cell r="G1869">
            <v>9685</v>
          </cell>
        </row>
        <row r="1870">
          <cell r="D1870" t="str">
            <v>CDC-10092</v>
          </cell>
          <cell r="E1870">
            <v>73503001</v>
          </cell>
          <cell r="F1870">
            <v>84316</v>
          </cell>
          <cell r="G1870">
            <v>84317</v>
          </cell>
        </row>
        <row r="1871">
          <cell r="D1871" t="str">
            <v>CDC-10092</v>
          </cell>
          <cell r="E1871">
            <v>73503001</v>
          </cell>
          <cell r="F1871">
            <v>84316</v>
          </cell>
          <cell r="G1871">
            <v>84317</v>
          </cell>
        </row>
        <row r="1872">
          <cell r="D1872" t="str">
            <v>CDC-10092</v>
          </cell>
          <cell r="E1872">
            <v>73503001</v>
          </cell>
          <cell r="F1872">
            <v>84316</v>
          </cell>
          <cell r="G1872">
            <v>84317</v>
          </cell>
        </row>
        <row r="1873">
          <cell r="D1873" t="str">
            <v>CDC-10092</v>
          </cell>
          <cell r="E1873">
            <v>73503001</v>
          </cell>
          <cell r="F1873">
            <v>84316</v>
          </cell>
          <cell r="G1873">
            <v>84317</v>
          </cell>
        </row>
        <row r="1874">
          <cell r="D1874" t="str">
            <v>CDC-9979</v>
          </cell>
          <cell r="E1874">
            <v>71981001</v>
          </cell>
          <cell r="F1874">
            <v>92869</v>
          </cell>
          <cell r="G1874">
            <v>92870</v>
          </cell>
        </row>
        <row r="1875">
          <cell r="D1875" t="str">
            <v>CDC-9979</v>
          </cell>
          <cell r="E1875">
            <v>71981001</v>
          </cell>
          <cell r="F1875">
            <v>92869</v>
          </cell>
          <cell r="G1875">
            <v>92870</v>
          </cell>
        </row>
        <row r="1876">
          <cell r="D1876" t="str">
            <v>CDC-9979</v>
          </cell>
          <cell r="E1876">
            <v>71981001</v>
          </cell>
          <cell r="F1876">
            <v>92869</v>
          </cell>
          <cell r="G1876">
            <v>92870</v>
          </cell>
        </row>
        <row r="1877">
          <cell r="D1877" t="str">
            <v>CDC-9979</v>
          </cell>
          <cell r="E1877">
            <v>71981001</v>
          </cell>
          <cell r="F1877">
            <v>92869</v>
          </cell>
          <cell r="G1877">
            <v>92870</v>
          </cell>
        </row>
        <row r="1878">
          <cell r="D1878" t="str">
            <v>CDC-9979</v>
          </cell>
          <cell r="E1878">
            <v>71981001</v>
          </cell>
          <cell r="F1878">
            <v>92869</v>
          </cell>
          <cell r="G1878">
            <v>92870</v>
          </cell>
        </row>
        <row r="1879">
          <cell r="D1879" t="str">
            <v>CDC-9979</v>
          </cell>
          <cell r="E1879">
            <v>71981001</v>
          </cell>
          <cell r="F1879">
            <v>92869</v>
          </cell>
          <cell r="G1879">
            <v>92870</v>
          </cell>
        </row>
        <row r="1880">
          <cell r="D1880" t="str">
            <v>CDC-9979</v>
          </cell>
          <cell r="E1880">
            <v>71981001</v>
          </cell>
          <cell r="F1880">
            <v>92869</v>
          </cell>
          <cell r="G1880">
            <v>92870</v>
          </cell>
        </row>
        <row r="1881">
          <cell r="D1881" t="str">
            <v>CDC-9979</v>
          </cell>
          <cell r="E1881">
            <v>71981001</v>
          </cell>
          <cell r="F1881">
            <v>92869</v>
          </cell>
          <cell r="G1881">
            <v>92870</v>
          </cell>
        </row>
        <row r="1882">
          <cell r="D1882" t="str">
            <v>CDC-1588</v>
          </cell>
          <cell r="E1882">
            <v>102257001</v>
          </cell>
          <cell r="F1882">
            <v>80749</v>
          </cell>
          <cell r="G1882">
            <v>80750</v>
          </cell>
        </row>
        <row r="1883">
          <cell r="D1883" t="str">
            <v>CDC-1588</v>
          </cell>
          <cell r="E1883">
            <v>102257001</v>
          </cell>
          <cell r="F1883">
            <v>80749</v>
          </cell>
          <cell r="G1883">
            <v>80750</v>
          </cell>
        </row>
        <row r="1884">
          <cell r="D1884" t="str">
            <v>CDC-1588</v>
          </cell>
          <cell r="E1884">
            <v>102257001</v>
          </cell>
          <cell r="F1884">
            <v>80749</v>
          </cell>
          <cell r="G1884">
            <v>80750</v>
          </cell>
        </row>
        <row r="1885">
          <cell r="D1885" t="str">
            <v>CDC-1588</v>
          </cell>
          <cell r="E1885">
            <v>102257001</v>
          </cell>
          <cell r="F1885">
            <v>80749</v>
          </cell>
          <cell r="G1885">
            <v>80750</v>
          </cell>
        </row>
        <row r="1886">
          <cell r="D1886" t="str">
            <v>CDC-1588</v>
          </cell>
          <cell r="E1886">
            <v>102257001</v>
          </cell>
          <cell r="F1886">
            <v>80749</v>
          </cell>
          <cell r="G1886">
            <v>80750</v>
          </cell>
        </row>
        <row r="1887">
          <cell r="D1887" t="str">
            <v>CDC-1588</v>
          </cell>
          <cell r="E1887">
            <v>102257001</v>
          </cell>
          <cell r="F1887">
            <v>80749</v>
          </cell>
          <cell r="G1887">
            <v>80750</v>
          </cell>
        </row>
        <row r="1888">
          <cell r="D1888" t="str">
            <v>CDC-18619</v>
          </cell>
          <cell r="E1888">
            <v>73713001</v>
          </cell>
          <cell r="F1888">
            <v>90837</v>
          </cell>
          <cell r="G1888">
            <v>90838</v>
          </cell>
        </row>
        <row r="1889">
          <cell r="D1889" t="str">
            <v>CDC-18619</v>
          </cell>
          <cell r="E1889">
            <v>73713001</v>
          </cell>
          <cell r="F1889">
            <v>90837</v>
          </cell>
          <cell r="G1889">
            <v>90838</v>
          </cell>
        </row>
        <row r="1890">
          <cell r="D1890" t="str">
            <v>CDC-18619</v>
          </cell>
          <cell r="E1890">
            <v>73713001</v>
          </cell>
          <cell r="F1890">
            <v>90837</v>
          </cell>
          <cell r="G1890">
            <v>90838</v>
          </cell>
        </row>
        <row r="1891">
          <cell r="D1891" t="str">
            <v>CDC-18619</v>
          </cell>
          <cell r="E1891">
            <v>73713001</v>
          </cell>
          <cell r="F1891">
            <v>90837</v>
          </cell>
          <cell r="G1891">
            <v>90838</v>
          </cell>
        </row>
        <row r="1892">
          <cell r="D1892" t="str">
            <v>CDC-18619</v>
          </cell>
          <cell r="E1892">
            <v>73713001</v>
          </cell>
          <cell r="F1892">
            <v>90837</v>
          </cell>
          <cell r="G1892">
            <v>90838</v>
          </cell>
        </row>
        <row r="1893">
          <cell r="D1893" t="str">
            <v>CDC-18619</v>
          </cell>
          <cell r="E1893">
            <v>73713001</v>
          </cell>
          <cell r="F1893">
            <v>90837</v>
          </cell>
          <cell r="G1893">
            <v>90838</v>
          </cell>
        </row>
        <row r="1894">
          <cell r="D1894" t="str">
            <v>CDC-9937</v>
          </cell>
          <cell r="E1894">
            <v>73488001</v>
          </cell>
          <cell r="F1894">
            <v>80730</v>
          </cell>
          <cell r="G1894">
            <v>80731</v>
          </cell>
        </row>
        <row r="1895">
          <cell r="D1895" t="str">
            <v>CDC-9937</v>
          </cell>
          <cell r="E1895">
            <v>73488001</v>
          </cell>
          <cell r="F1895">
            <v>80730</v>
          </cell>
          <cell r="G1895">
            <v>80731</v>
          </cell>
        </row>
        <row r="1896">
          <cell r="D1896" t="str">
            <v>CDC-9937</v>
          </cell>
          <cell r="E1896">
            <v>73488001</v>
          </cell>
          <cell r="F1896">
            <v>80730</v>
          </cell>
          <cell r="G1896">
            <v>80731</v>
          </cell>
        </row>
        <row r="1897">
          <cell r="D1897" t="str">
            <v>CDC-9937</v>
          </cell>
          <cell r="E1897">
            <v>73488001</v>
          </cell>
          <cell r="F1897">
            <v>80730</v>
          </cell>
          <cell r="G1897">
            <v>80731</v>
          </cell>
        </row>
        <row r="1898">
          <cell r="D1898" t="str">
            <v>CDC-9937</v>
          </cell>
          <cell r="E1898">
            <v>73488001</v>
          </cell>
          <cell r="F1898">
            <v>80730</v>
          </cell>
          <cell r="G1898">
            <v>80731</v>
          </cell>
        </row>
        <row r="1899">
          <cell r="D1899" t="str">
            <v>CDC-9937</v>
          </cell>
          <cell r="E1899">
            <v>73488001</v>
          </cell>
          <cell r="F1899">
            <v>80730</v>
          </cell>
          <cell r="G1899">
            <v>80731</v>
          </cell>
        </row>
        <row r="1900">
          <cell r="D1900" t="str">
            <v>CDC-9937</v>
          </cell>
          <cell r="E1900">
            <v>73488001</v>
          </cell>
          <cell r="F1900">
            <v>80730</v>
          </cell>
          <cell r="G1900">
            <v>80731</v>
          </cell>
        </row>
        <row r="1901">
          <cell r="D1901" t="str">
            <v>CDC-9937</v>
          </cell>
          <cell r="E1901">
            <v>73488001</v>
          </cell>
          <cell r="F1901">
            <v>80730</v>
          </cell>
          <cell r="G1901">
            <v>80731</v>
          </cell>
        </row>
        <row r="1902">
          <cell r="D1902" t="e">
            <v>#N/A</v>
          </cell>
          <cell r="E1902">
            <v>112501001</v>
          </cell>
          <cell r="F1902">
            <v>8587</v>
          </cell>
          <cell r="G1902">
            <v>84681</v>
          </cell>
        </row>
        <row r="1903">
          <cell r="D1903" t="e">
            <v>#N/A</v>
          </cell>
          <cell r="E1903">
            <v>112501001</v>
          </cell>
          <cell r="F1903">
            <v>8587</v>
          </cell>
          <cell r="G1903">
            <v>84681</v>
          </cell>
        </row>
        <row r="1904">
          <cell r="D1904" t="e">
            <v>#N/A</v>
          </cell>
          <cell r="E1904">
            <v>42602001</v>
          </cell>
          <cell r="F1904">
            <v>8587</v>
          </cell>
          <cell r="G1904">
            <v>8588</v>
          </cell>
        </row>
        <row r="1905">
          <cell r="D1905" t="e">
            <v>#N/A</v>
          </cell>
          <cell r="E1905">
            <v>42602001</v>
          </cell>
          <cell r="F1905">
            <v>8587</v>
          </cell>
          <cell r="G1905">
            <v>8588</v>
          </cell>
        </row>
        <row r="1906">
          <cell r="D1906" t="e">
            <v>#N/A</v>
          </cell>
          <cell r="E1906">
            <v>42601010</v>
          </cell>
          <cell r="F1906">
            <v>6773</v>
          </cell>
          <cell r="G1906">
            <v>6774</v>
          </cell>
        </row>
        <row r="1907">
          <cell r="D1907" t="e">
            <v>#N/A</v>
          </cell>
          <cell r="E1907">
            <v>42601010</v>
          </cell>
          <cell r="F1907">
            <v>6773</v>
          </cell>
          <cell r="G1907">
            <v>6774</v>
          </cell>
        </row>
        <row r="1908">
          <cell r="D1908" t="e">
            <v>#N/A</v>
          </cell>
          <cell r="E1908">
            <v>42601010</v>
          </cell>
          <cell r="F1908">
            <v>6773</v>
          </cell>
          <cell r="G1908">
            <v>6774</v>
          </cell>
        </row>
        <row r="1909">
          <cell r="D1909" t="e">
            <v>#N/A</v>
          </cell>
          <cell r="E1909">
            <v>42601010</v>
          </cell>
          <cell r="F1909">
            <v>6773</v>
          </cell>
          <cell r="G1909">
            <v>6774</v>
          </cell>
        </row>
        <row r="1910">
          <cell r="D1910" t="e">
            <v>#N/A</v>
          </cell>
          <cell r="E1910">
            <v>42601020</v>
          </cell>
          <cell r="F1910">
            <v>6773</v>
          </cell>
          <cell r="G1910">
            <v>6775</v>
          </cell>
        </row>
        <row r="1911">
          <cell r="D1911" t="e">
            <v>#N/A</v>
          </cell>
          <cell r="E1911">
            <v>42601020</v>
          </cell>
          <cell r="F1911">
            <v>6773</v>
          </cell>
          <cell r="G1911">
            <v>6775</v>
          </cell>
        </row>
        <row r="1912">
          <cell r="D1912" t="e">
            <v>#N/A</v>
          </cell>
          <cell r="E1912">
            <v>42601030</v>
          </cell>
          <cell r="F1912">
            <v>6773</v>
          </cell>
          <cell r="G1912">
            <v>6776</v>
          </cell>
        </row>
        <row r="1913">
          <cell r="D1913" t="e">
            <v>#N/A</v>
          </cell>
          <cell r="E1913">
            <v>42601030</v>
          </cell>
          <cell r="F1913">
            <v>6773</v>
          </cell>
          <cell r="G1913">
            <v>6776</v>
          </cell>
        </row>
        <row r="1914">
          <cell r="D1914" t="e">
            <v>#N/A</v>
          </cell>
          <cell r="E1914">
            <v>42601050</v>
          </cell>
          <cell r="F1914">
            <v>6773</v>
          </cell>
          <cell r="G1914">
            <v>6778</v>
          </cell>
        </row>
        <row r="1915">
          <cell r="D1915" t="e">
            <v>#N/A</v>
          </cell>
          <cell r="E1915">
            <v>42601050</v>
          </cell>
          <cell r="F1915">
            <v>6773</v>
          </cell>
          <cell r="G1915">
            <v>6778</v>
          </cell>
        </row>
        <row r="1916">
          <cell r="D1916" t="str">
            <v>CDC-15206</v>
          </cell>
          <cell r="E1916">
            <v>73704001</v>
          </cell>
          <cell r="F1916">
            <v>90552</v>
          </cell>
          <cell r="G1916">
            <v>90553</v>
          </cell>
        </row>
        <row r="1917">
          <cell r="D1917" t="str">
            <v>CDC-15206</v>
          </cell>
          <cell r="E1917">
            <v>73704001</v>
          </cell>
          <cell r="F1917">
            <v>90552</v>
          </cell>
          <cell r="G1917">
            <v>90553</v>
          </cell>
        </row>
        <row r="1918">
          <cell r="D1918" t="str">
            <v>CDC-15206</v>
          </cell>
          <cell r="E1918">
            <v>73704001</v>
          </cell>
          <cell r="F1918">
            <v>90552</v>
          </cell>
          <cell r="G1918">
            <v>90553</v>
          </cell>
        </row>
        <row r="1919">
          <cell r="D1919" t="str">
            <v>CDC-15206</v>
          </cell>
          <cell r="E1919">
            <v>73704001</v>
          </cell>
          <cell r="F1919">
            <v>90552</v>
          </cell>
          <cell r="G1919">
            <v>90553</v>
          </cell>
        </row>
        <row r="1920">
          <cell r="D1920" t="str">
            <v>CDC-15206</v>
          </cell>
          <cell r="E1920">
            <v>73704001</v>
          </cell>
          <cell r="F1920">
            <v>90552</v>
          </cell>
          <cell r="G1920">
            <v>90553</v>
          </cell>
        </row>
        <row r="1921">
          <cell r="D1921" t="str">
            <v>CDC-15206</v>
          </cell>
          <cell r="E1921">
            <v>73704001</v>
          </cell>
          <cell r="F1921">
            <v>90552</v>
          </cell>
          <cell r="G1921">
            <v>90553</v>
          </cell>
        </row>
        <row r="1922">
          <cell r="D1922" t="str">
            <v>CDC-15206</v>
          </cell>
          <cell r="E1922">
            <v>73704001</v>
          </cell>
          <cell r="F1922">
            <v>90552</v>
          </cell>
          <cell r="G1922">
            <v>90553</v>
          </cell>
        </row>
        <row r="1923">
          <cell r="D1923" t="str">
            <v>CDC-15206</v>
          </cell>
          <cell r="E1923">
            <v>73704001</v>
          </cell>
          <cell r="F1923">
            <v>90552</v>
          </cell>
          <cell r="G1923">
            <v>90553</v>
          </cell>
        </row>
        <row r="1924">
          <cell r="D1924" t="str">
            <v>CDC-15206</v>
          </cell>
          <cell r="E1924">
            <v>73704001</v>
          </cell>
          <cell r="F1924">
            <v>90552</v>
          </cell>
          <cell r="G1924">
            <v>90553</v>
          </cell>
        </row>
        <row r="1925">
          <cell r="D1925" t="str">
            <v>CDC-15206</v>
          </cell>
          <cell r="E1925">
            <v>73704001</v>
          </cell>
          <cell r="F1925">
            <v>90552</v>
          </cell>
          <cell r="G1925">
            <v>90553</v>
          </cell>
        </row>
        <row r="1926">
          <cell r="D1926" t="e">
            <v>#N/A</v>
          </cell>
          <cell r="E1926">
            <v>22203001</v>
          </cell>
          <cell r="F1926">
            <v>8493</v>
          </cell>
          <cell r="G1926">
            <v>8494</v>
          </cell>
        </row>
        <row r="1927">
          <cell r="D1927" t="e">
            <v>#N/A</v>
          </cell>
          <cell r="E1927">
            <v>22203001</v>
          </cell>
          <cell r="F1927">
            <v>8493</v>
          </cell>
          <cell r="G1927">
            <v>8494</v>
          </cell>
        </row>
        <row r="1928">
          <cell r="D1928" t="e">
            <v>#N/A</v>
          </cell>
          <cell r="E1928">
            <v>22203001</v>
          </cell>
          <cell r="F1928">
            <v>8493</v>
          </cell>
          <cell r="G1928">
            <v>8494</v>
          </cell>
        </row>
        <row r="1929">
          <cell r="D1929" t="e">
            <v>#N/A</v>
          </cell>
          <cell r="E1929">
            <v>22203001</v>
          </cell>
          <cell r="F1929">
            <v>8493</v>
          </cell>
          <cell r="G1929">
            <v>8494</v>
          </cell>
        </row>
        <row r="1930">
          <cell r="D1930" t="e">
            <v>#N/A</v>
          </cell>
          <cell r="E1930">
            <v>22203001</v>
          </cell>
          <cell r="F1930">
            <v>8493</v>
          </cell>
          <cell r="G1930">
            <v>8494</v>
          </cell>
        </row>
        <row r="1931">
          <cell r="D1931" t="e">
            <v>#N/A</v>
          </cell>
          <cell r="E1931">
            <v>22203001</v>
          </cell>
          <cell r="F1931">
            <v>8493</v>
          </cell>
          <cell r="G1931">
            <v>8494</v>
          </cell>
        </row>
        <row r="1932">
          <cell r="D1932" t="e">
            <v>#N/A</v>
          </cell>
          <cell r="E1932">
            <v>22203001</v>
          </cell>
          <cell r="F1932">
            <v>8493</v>
          </cell>
          <cell r="G1932">
            <v>8494</v>
          </cell>
        </row>
        <row r="1933">
          <cell r="D1933" t="e">
            <v>#N/A</v>
          </cell>
          <cell r="E1933">
            <v>22203001</v>
          </cell>
          <cell r="F1933">
            <v>8493</v>
          </cell>
          <cell r="G1933">
            <v>8494</v>
          </cell>
        </row>
        <row r="1934">
          <cell r="D1934" t="e">
            <v>#N/A</v>
          </cell>
          <cell r="E1934">
            <v>73580001</v>
          </cell>
          <cell r="F1934">
            <v>90170</v>
          </cell>
          <cell r="G1934">
            <v>90171</v>
          </cell>
        </row>
        <row r="1935">
          <cell r="D1935" t="e">
            <v>#N/A</v>
          </cell>
          <cell r="E1935">
            <v>73580001</v>
          </cell>
          <cell r="F1935">
            <v>90170</v>
          </cell>
          <cell r="G1935">
            <v>90171</v>
          </cell>
        </row>
        <row r="1936">
          <cell r="D1936" t="e">
            <v>#N/A</v>
          </cell>
          <cell r="E1936">
            <v>73580001</v>
          </cell>
          <cell r="F1936">
            <v>90170</v>
          </cell>
          <cell r="G1936">
            <v>90171</v>
          </cell>
        </row>
        <row r="1937">
          <cell r="D1937" t="e">
            <v>#N/A</v>
          </cell>
          <cell r="E1937">
            <v>73580001</v>
          </cell>
          <cell r="F1937">
            <v>90170</v>
          </cell>
          <cell r="G1937">
            <v>90171</v>
          </cell>
        </row>
        <row r="1938">
          <cell r="D1938" t="e">
            <v>#N/A</v>
          </cell>
          <cell r="E1938">
            <v>73580001</v>
          </cell>
          <cell r="F1938">
            <v>90170</v>
          </cell>
          <cell r="G1938">
            <v>90171</v>
          </cell>
        </row>
        <row r="1939">
          <cell r="D1939" t="e">
            <v>#N/A</v>
          </cell>
          <cell r="E1939">
            <v>73580001</v>
          </cell>
          <cell r="F1939">
            <v>90170</v>
          </cell>
          <cell r="G1939">
            <v>90171</v>
          </cell>
        </row>
        <row r="1940">
          <cell r="D1940" t="str">
            <v>CDC-11968</v>
          </cell>
          <cell r="E1940">
            <v>73494001</v>
          </cell>
          <cell r="F1940">
            <v>80919</v>
          </cell>
          <cell r="G1940">
            <v>80920</v>
          </cell>
        </row>
        <row r="1941">
          <cell r="D1941" t="str">
            <v>CDC-11968</v>
          </cell>
          <cell r="E1941">
            <v>73494001</v>
          </cell>
          <cell r="F1941">
            <v>80919</v>
          </cell>
          <cell r="G1941">
            <v>80920</v>
          </cell>
        </row>
        <row r="1942">
          <cell r="D1942" t="str">
            <v>CDC-11968</v>
          </cell>
          <cell r="E1942">
            <v>73494001</v>
          </cell>
          <cell r="F1942">
            <v>80919</v>
          </cell>
          <cell r="G1942">
            <v>80920</v>
          </cell>
        </row>
        <row r="1943">
          <cell r="D1943" t="str">
            <v>CDC-11968</v>
          </cell>
          <cell r="E1943">
            <v>73494001</v>
          </cell>
          <cell r="F1943">
            <v>80919</v>
          </cell>
          <cell r="G1943">
            <v>80920</v>
          </cell>
        </row>
        <row r="1944">
          <cell r="D1944" t="str">
            <v>CDC-11968</v>
          </cell>
          <cell r="E1944">
            <v>73494001</v>
          </cell>
          <cell r="F1944">
            <v>80919</v>
          </cell>
          <cell r="G1944">
            <v>80920</v>
          </cell>
        </row>
        <row r="1945">
          <cell r="D1945" t="str">
            <v>CDC-11968</v>
          </cell>
          <cell r="E1945">
            <v>73494001</v>
          </cell>
          <cell r="F1945">
            <v>80919</v>
          </cell>
          <cell r="G1945">
            <v>80920</v>
          </cell>
        </row>
        <row r="1946">
          <cell r="D1946" t="str">
            <v>CDC-18050</v>
          </cell>
          <cell r="E1946">
            <v>73337001</v>
          </cell>
          <cell r="F1946">
            <v>68867</v>
          </cell>
          <cell r="G1946">
            <v>17296</v>
          </cell>
        </row>
        <row r="1947">
          <cell r="D1947" t="str">
            <v>CDC-18050</v>
          </cell>
          <cell r="E1947">
            <v>73337001</v>
          </cell>
          <cell r="F1947">
            <v>68867</v>
          </cell>
          <cell r="G1947">
            <v>17296</v>
          </cell>
        </row>
        <row r="1948">
          <cell r="D1948" t="str">
            <v>CDC-18050</v>
          </cell>
          <cell r="E1948">
            <v>73337001</v>
          </cell>
          <cell r="F1948">
            <v>68867</v>
          </cell>
          <cell r="G1948">
            <v>17296</v>
          </cell>
        </row>
        <row r="1949">
          <cell r="D1949" t="str">
            <v>CDC-18050</v>
          </cell>
          <cell r="E1949">
            <v>73337001</v>
          </cell>
          <cell r="F1949">
            <v>68867</v>
          </cell>
          <cell r="G1949">
            <v>17296</v>
          </cell>
        </row>
        <row r="1950">
          <cell r="D1950" t="str">
            <v>CDC-18050</v>
          </cell>
          <cell r="E1950">
            <v>73337001</v>
          </cell>
          <cell r="F1950">
            <v>68867</v>
          </cell>
          <cell r="G1950">
            <v>17296</v>
          </cell>
        </row>
        <row r="1951">
          <cell r="D1951" t="str">
            <v>CDC-18050</v>
          </cell>
          <cell r="E1951">
            <v>73337001</v>
          </cell>
          <cell r="F1951">
            <v>68867</v>
          </cell>
          <cell r="G1951">
            <v>17296</v>
          </cell>
        </row>
        <row r="1952">
          <cell r="D1952" t="str">
            <v>CDC-18558</v>
          </cell>
          <cell r="E1952">
            <v>72630192</v>
          </cell>
          <cell r="F1952">
            <v>8870</v>
          </cell>
          <cell r="G1952">
            <v>86878</v>
          </cell>
        </row>
        <row r="1953">
          <cell r="D1953" t="str">
            <v>CDC-18558</v>
          </cell>
          <cell r="E1953">
            <v>72630192</v>
          </cell>
          <cell r="F1953">
            <v>8870</v>
          </cell>
          <cell r="G1953">
            <v>86878</v>
          </cell>
        </row>
        <row r="1954">
          <cell r="D1954" t="str">
            <v>CDC-18558</v>
          </cell>
          <cell r="E1954">
            <v>72630192</v>
          </cell>
          <cell r="F1954">
            <v>8870</v>
          </cell>
          <cell r="G1954">
            <v>86878</v>
          </cell>
        </row>
        <row r="1955">
          <cell r="D1955" t="str">
            <v>CDC-18558</v>
          </cell>
          <cell r="E1955">
            <v>72630192</v>
          </cell>
          <cell r="F1955">
            <v>8870</v>
          </cell>
          <cell r="G1955">
            <v>86878</v>
          </cell>
        </row>
        <row r="1956">
          <cell r="D1956" t="str">
            <v>CDC-18558</v>
          </cell>
          <cell r="E1956">
            <v>72630192</v>
          </cell>
          <cell r="F1956">
            <v>8870</v>
          </cell>
          <cell r="G1956">
            <v>86878</v>
          </cell>
        </row>
        <row r="1957">
          <cell r="D1957" t="str">
            <v>CDC-18558</v>
          </cell>
          <cell r="E1957">
            <v>72630192</v>
          </cell>
          <cell r="F1957">
            <v>8870</v>
          </cell>
          <cell r="G1957">
            <v>86878</v>
          </cell>
        </row>
        <row r="1958">
          <cell r="D1958" t="str">
            <v>CDC-7346</v>
          </cell>
          <cell r="E1958">
            <v>72630019</v>
          </cell>
          <cell r="F1958">
            <v>8870</v>
          </cell>
          <cell r="G1958">
            <v>10355</v>
          </cell>
        </row>
        <row r="1959">
          <cell r="D1959" t="str">
            <v>CDC-7346</v>
          </cell>
          <cell r="E1959">
            <v>72630019</v>
          </cell>
          <cell r="F1959">
            <v>8870</v>
          </cell>
          <cell r="G1959">
            <v>10355</v>
          </cell>
        </row>
        <row r="1960">
          <cell r="D1960" t="str">
            <v>CDC-4709</v>
          </cell>
          <cell r="E1960">
            <v>72630012</v>
          </cell>
          <cell r="F1960">
            <v>8870</v>
          </cell>
          <cell r="G1960">
            <v>8882</v>
          </cell>
        </row>
        <row r="1961">
          <cell r="D1961" t="str">
            <v>CDC-4709</v>
          </cell>
          <cell r="E1961">
            <v>72630012</v>
          </cell>
          <cell r="F1961">
            <v>8870</v>
          </cell>
          <cell r="G1961">
            <v>8882</v>
          </cell>
        </row>
        <row r="1962">
          <cell r="D1962" t="str">
            <v>CDC-4709</v>
          </cell>
          <cell r="E1962">
            <v>72630012</v>
          </cell>
          <cell r="F1962">
            <v>8870</v>
          </cell>
          <cell r="G1962">
            <v>8882</v>
          </cell>
        </row>
        <row r="1963">
          <cell r="D1963" t="str">
            <v>CDC-4709</v>
          </cell>
          <cell r="E1963">
            <v>72630012</v>
          </cell>
          <cell r="F1963">
            <v>8870</v>
          </cell>
          <cell r="G1963">
            <v>8882</v>
          </cell>
        </row>
        <row r="1964">
          <cell r="D1964" t="str">
            <v>CDC-4709</v>
          </cell>
          <cell r="E1964">
            <v>72630012</v>
          </cell>
          <cell r="F1964">
            <v>8870</v>
          </cell>
          <cell r="G1964">
            <v>8882</v>
          </cell>
        </row>
        <row r="1965">
          <cell r="D1965" t="str">
            <v>CDC-4709</v>
          </cell>
          <cell r="E1965">
            <v>72630012</v>
          </cell>
          <cell r="F1965">
            <v>8870</v>
          </cell>
          <cell r="G1965">
            <v>8882</v>
          </cell>
        </row>
        <row r="1966">
          <cell r="D1966" t="str">
            <v>CDC-15893</v>
          </cell>
          <cell r="E1966">
            <v>72630131</v>
          </cell>
          <cell r="F1966">
            <v>8870</v>
          </cell>
          <cell r="G1966">
            <v>91234</v>
          </cell>
        </row>
        <row r="1967">
          <cell r="D1967" t="str">
            <v>CDC-15893</v>
          </cell>
          <cell r="E1967">
            <v>72630131</v>
          </cell>
          <cell r="F1967">
            <v>8870</v>
          </cell>
          <cell r="G1967">
            <v>91234</v>
          </cell>
        </row>
        <row r="1968">
          <cell r="D1968" t="str">
            <v>CDC-15893</v>
          </cell>
          <cell r="E1968">
            <v>72630131</v>
          </cell>
          <cell r="F1968">
            <v>8870</v>
          </cell>
          <cell r="G1968">
            <v>91234</v>
          </cell>
        </row>
        <row r="1969">
          <cell r="D1969" t="str">
            <v>CDC-15893</v>
          </cell>
          <cell r="E1969">
            <v>72630131</v>
          </cell>
          <cell r="F1969">
            <v>8870</v>
          </cell>
          <cell r="G1969">
            <v>91234</v>
          </cell>
        </row>
        <row r="1970">
          <cell r="D1970" t="str">
            <v>CDC-15893</v>
          </cell>
          <cell r="E1970">
            <v>72630131</v>
          </cell>
          <cell r="F1970">
            <v>8870</v>
          </cell>
          <cell r="G1970">
            <v>91234</v>
          </cell>
        </row>
        <row r="1971">
          <cell r="D1971" t="str">
            <v>CDC-15893</v>
          </cell>
          <cell r="E1971">
            <v>72630131</v>
          </cell>
          <cell r="F1971">
            <v>8870</v>
          </cell>
          <cell r="G1971">
            <v>91234</v>
          </cell>
        </row>
        <row r="1972">
          <cell r="D1972" t="str">
            <v>CDC-9609</v>
          </cell>
          <cell r="E1972">
            <v>72630190</v>
          </cell>
          <cell r="F1972">
            <v>8870</v>
          </cell>
          <cell r="G1972">
            <v>79758</v>
          </cell>
        </row>
        <row r="1973">
          <cell r="D1973" t="str">
            <v>CDC-9609</v>
          </cell>
          <cell r="E1973">
            <v>72630190</v>
          </cell>
          <cell r="F1973">
            <v>8870</v>
          </cell>
          <cell r="G1973">
            <v>79758</v>
          </cell>
        </row>
        <row r="1974">
          <cell r="D1974" t="str">
            <v>CDC-9609</v>
          </cell>
          <cell r="E1974">
            <v>72630190</v>
          </cell>
          <cell r="F1974">
            <v>8870</v>
          </cell>
          <cell r="G1974">
            <v>79758</v>
          </cell>
        </row>
        <row r="1975">
          <cell r="D1975" t="str">
            <v>CDC-9609</v>
          </cell>
          <cell r="E1975">
            <v>72630190</v>
          </cell>
          <cell r="F1975">
            <v>8870</v>
          </cell>
          <cell r="G1975">
            <v>79758</v>
          </cell>
        </row>
        <row r="1976">
          <cell r="D1976" t="str">
            <v>CDC-9609</v>
          </cell>
          <cell r="E1976">
            <v>72630190</v>
          </cell>
          <cell r="F1976">
            <v>8870</v>
          </cell>
          <cell r="G1976">
            <v>79758</v>
          </cell>
        </row>
        <row r="1977">
          <cell r="D1977" t="str">
            <v>CDC-9609</v>
          </cell>
          <cell r="E1977">
            <v>72630190</v>
          </cell>
          <cell r="F1977">
            <v>8870</v>
          </cell>
          <cell r="G1977">
            <v>79758</v>
          </cell>
        </row>
        <row r="1978">
          <cell r="D1978" t="str">
            <v>CDC-8105</v>
          </cell>
          <cell r="E1978">
            <v>72630021</v>
          </cell>
          <cell r="F1978">
            <v>8870</v>
          </cell>
          <cell r="G1978">
            <v>78729</v>
          </cell>
        </row>
        <row r="1979">
          <cell r="D1979" t="str">
            <v>CDC-8105</v>
          </cell>
          <cell r="E1979">
            <v>72630021</v>
          </cell>
          <cell r="F1979">
            <v>8870</v>
          </cell>
          <cell r="G1979">
            <v>78729</v>
          </cell>
        </row>
        <row r="1980">
          <cell r="D1980" t="str">
            <v>CDC-8105</v>
          </cell>
          <cell r="E1980">
            <v>72630021</v>
          </cell>
          <cell r="F1980">
            <v>8870</v>
          </cell>
          <cell r="G1980">
            <v>78729</v>
          </cell>
        </row>
        <row r="1981">
          <cell r="D1981" t="str">
            <v>CDC-8105</v>
          </cell>
          <cell r="E1981">
            <v>72630021</v>
          </cell>
          <cell r="F1981">
            <v>8870</v>
          </cell>
          <cell r="G1981">
            <v>78729</v>
          </cell>
        </row>
        <row r="1982">
          <cell r="D1982" t="str">
            <v>CDC-8105</v>
          </cell>
          <cell r="E1982">
            <v>72630021</v>
          </cell>
          <cell r="F1982">
            <v>8870</v>
          </cell>
          <cell r="G1982">
            <v>78729</v>
          </cell>
        </row>
        <row r="1983">
          <cell r="D1983" t="str">
            <v>CDC-8105</v>
          </cell>
          <cell r="E1983">
            <v>72630021</v>
          </cell>
          <cell r="F1983">
            <v>8870</v>
          </cell>
          <cell r="G1983">
            <v>78729</v>
          </cell>
        </row>
        <row r="1984">
          <cell r="D1984" t="str">
            <v>CDC-11565</v>
          </cell>
          <cell r="E1984">
            <v>72630193</v>
          </cell>
          <cell r="F1984">
            <v>8870</v>
          </cell>
          <cell r="G1984">
            <v>86879</v>
          </cell>
        </row>
        <row r="1985">
          <cell r="D1985" t="str">
            <v>CDC-11565</v>
          </cell>
          <cell r="E1985">
            <v>72630193</v>
          </cell>
          <cell r="F1985">
            <v>8870</v>
          </cell>
          <cell r="G1985">
            <v>86879</v>
          </cell>
        </row>
        <row r="1986">
          <cell r="D1986" t="str">
            <v>CDC-7158</v>
          </cell>
          <cell r="E1986">
            <v>72630018</v>
          </cell>
          <cell r="F1986">
            <v>8870</v>
          </cell>
          <cell r="G1986">
            <v>8887</v>
          </cell>
        </row>
        <row r="1987">
          <cell r="D1987" t="str">
            <v>CDC-7158</v>
          </cell>
          <cell r="E1987">
            <v>72630018</v>
          </cell>
          <cell r="F1987">
            <v>8870</v>
          </cell>
          <cell r="G1987">
            <v>8887</v>
          </cell>
        </row>
        <row r="1988">
          <cell r="D1988" t="str">
            <v>CDC-8964</v>
          </cell>
          <cell r="E1988">
            <v>72630022</v>
          </cell>
          <cell r="F1988">
            <v>8870</v>
          </cell>
          <cell r="G1988">
            <v>80690</v>
          </cell>
        </row>
        <row r="1989">
          <cell r="D1989" t="str">
            <v>CDC-8964</v>
          </cell>
          <cell r="E1989">
            <v>72630022</v>
          </cell>
          <cell r="F1989">
            <v>8870</v>
          </cell>
          <cell r="G1989">
            <v>80690</v>
          </cell>
        </row>
        <row r="1990">
          <cell r="D1990" t="str">
            <v>CDC-10965</v>
          </cell>
          <cell r="E1990">
            <v>72635002</v>
          </cell>
          <cell r="F1990">
            <v>8870</v>
          </cell>
          <cell r="G1990">
            <v>84663</v>
          </cell>
        </row>
        <row r="1991">
          <cell r="D1991" t="str">
            <v>CDC-10965</v>
          </cell>
          <cell r="E1991">
            <v>72635002</v>
          </cell>
          <cell r="F1991">
            <v>8870</v>
          </cell>
          <cell r="G1991">
            <v>84663</v>
          </cell>
        </row>
        <row r="1992">
          <cell r="D1992" t="str">
            <v>CDC-10965</v>
          </cell>
          <cell r="E1992">
            <v>72635002</v>
          </cell>
          <cell r="F1992">
            <v>8870</v>
          </cell>
          <cell r="G1992">
            <v>84663</v>
          </cell>
        </row>
        <row r="1993">
          <cell r="D1993" t="str">
            <v>CDC-10965</v>
          </cell>
          <cell r="E1993">
            <v>72635002</v>
          </cell>
          <cell r="F1993">
            <v>8870</v>
          </cell>
          <cell r="G1993">
            <v>84663</v>
          </cell>
        </row>
        <row r="1994">
          <cell r="D1994" t="str">
            <v>CDC-10965</v>
          </cell>
          <cell r="E1994">
            <v>72635002</v>
          </cell>
          <cell r="F1994">
            <v>8870</v>
          </cell>
          <cell r="G1994">
            <v>84663</v>
          </cell>
        </row>
        <row r="1995">
          <cell r="D1995" t="str">
            <v>CDC-10965</v>
          </cell>
          <cell r="E1995">
            <v>72635002</v>
          </cell>
          <cell r="F1995">
            <v>8870</v>
          </cell>
          <cell r="G1995">
            <v>84663</v>
          </cell>
        </row>
        <row r="1996">
          <cell r="D1996" t="str">
            <v>CDC-8046</v>
          </cell>
          <cell r="E1996">
            <v>72630020</v>
          </cell>
          <cell r="F1996">
            <v>8870</v>
          </cell>
          <cell r="G1996">
            <v>78728</v>
          </cell>
        </row>
        <row r="1997">
          <cell r="D1997" t="str">
            <v>CDC-8046</v>
          </cell>
          <cell r="E1997">
            <v>72630020</v>
          </cell>
          <cell r="F1997">
            <v>8870</v>
          </cell>
          <cell r="G1997">
            <v>78728</v>
          </cell>
        </row>
        <row r="1998">
          <cell r="D1998" t="str">
            <v>CDC-8046</v>
          </cell>
          <cell r="E1998">
            <v>72630020</v>
          </cell>
          <cell r="F1998">
            <v>8870</v>
          </cell>
          <cell r="G1998">
            <v>78728</v>
          </cell>
        </row>
        <row r="1999">
          <cell r="D1999" t="str">
            <v>CDC-5171</v>
          </cell>
          <cell r="E1999">
            <v>82209001</v>
          </cell>
          <cell r="F1999">
            <v>79395</v>
          </cell>
          <cell r="G1999">
            <v>79396</v>
          </cell>
        </row>
        <row r="2000">
          <cell r="D2000" t="str">
            <v>CDC-5171</v>
          </cell>
          <cell r="E2000">
            <v>82209001</v>
          </cell>
          <cell r="F2000">
            <v>79395</v>
          </cell>
          <cell r="G2000">
            <v>79396</v>
          </cell>
        </row>
        <row r="2001">
          <cell r="D2001" t="str">
            <v>CDC-5171</v>
          </cell>
          <cell r="E2001">
            <v>82209001</v>
          </cell>
          <cell r="F2001">
            <v>79395</v>
          </cell>
          <cell r="G2001">
            <v>79396</v>
          </cell>
        </row>
        <row r="2002">
          <cell r="D2002" t="str">
            <v>CDC-5171</v>
          </cell>
          <cell r="E2002">
            <v>82209001</v>
          </cell>
          <cell r="F2002">
            <v>79395</v>
          </cell>
          <cell r="G2002">
            <v>79396</v>
          </cell>
        </row>
        <row r="2003">
          <cell r="D2003" t="str">
            <v>CDC-5171</v>
          </cell>
          <cell r="E2003">
            <v>82209001</v>
          </cell>
          <cell r="F2003">
            <v>79395</v>
          </cell>
          <cell r="G2003">
            <v>79396</v>
          </cell>
        </row>
        <row r="2004">
          <cell r="D2004" t="str">
            <v>CDC-5171</v>
          </cell>
          <cell r="E2004">
            <v>82209001</v>
          </cell>
          <cell r="F2004">
            <v>79395</v>
          </cell>
          <cell r="G2004">
            <v>79396</v>
          </cell>
        </row>
        <row r="2005">
          <cell r="D2005" t="str">
            <v>CDC-5171</v>
          </cell>
          <cell r="E2005">
            <v>82209001</v>
          </cell>
          <cell r="F2005">
            <v>79395</v>
          </cell>
          <cell r="G2005">
            <v>79396</v>
          </cell>
        </row>
        <row r="2006">
          <cell r="D2006" t="str">
            <v>CDC-5171</v>
          </cell>
          <cell r="E2006">
            <v>82209001</v>
          </cell>
          <cell r="F2006">
            <v>79395</v>
          </cell>
          <cell r="G2006">
            <v>79396</v>
          </cell>
        </row>
        <row r="2007">
          <cell r="D2007" t="e">
            <v>#N/A</v>
          </cell>
          <cell r="E2007">
            <v>102217001</v>
          </cell>
          <cell r="F2007">
            <v>9737</v>
          </cell>
          <cell r="G2007">
            <v>9738</v>
          </cell>
        </row>
        <row r="2008">
          <cell r="D2008" t="e">
            <v>#N/A</v>
          </cell>
          <cell r="E2008">
            <v>102217001</v>
          </cell>
          <cell r="F2008">
            <v>9737</v>
          </cell>
          <cell r="G2008">
            <v>9738</v>
          </cell>
        </row>
        <row r="2009">
          <cell r="D2009" t="e">
            <v>#N/A</v>
          </cell>
          <cell r="E2009">
            <v>102217001</v>
          </cell>
          <cell r="F2009">
            <v>9737</v>
          </cell>
          <cell r="G2009">
            <v>9738</v>
          </cell>
        </row>
        <row r="2010">
          <cell r="D2010" t="e">
            <v>#N/A</v>
          </cell>
          <cell r="E2010">
            <v>102217001</v>
          </cell>
          <cell r="F2010">
            <v>9737</v>
          </cell>
          <cell r="G2010">
            <v>9738</v>
          </cell>
        </row>
        <row r="2011">
          <cell r="D2011" t="e">
            <v>#N/A</v>
          </cell>
          <cell r="E2011">
            <v>102217001</v>
          </cell>
          <cell r="F2011">
            <v>9737</v>
          </cell>
          <cell r="G2011">
            <v>9738</v>
          </cell>
        </row>
        <row r="2012">
          <cell r="D2012" t="e">
            <v>#N/A</v>
          </cell>
          <cell r="E2012">
            <v>102217001</v>
          </cell>
          <cell r="F2012">
            <v>9737</v>
          </cell>
          <cell r="G2012">
            <v>9738</v>
          </cell>
        </row>
        <row r="2013">
          <cell r="D2013" t="e">
            <v>#N/A</v>
          </cell>
          <cell r="E2013">
            <v>102217001</v>
          </cell>
          <cell r="F2013">
            <v>9737</v>
          </cell>
          <cell r="G2013">
            <v>9738</v>
          </cell>
        </row>
        <row r="2014">
          <cell r="D2014" t="e">
            <v>#N/A</v>
          </cell>
          <cell r="E2014">
            <v>102217001</v>
          </cell>
          <cell r="F2014">
            <v>9737</v>
          </cell>
          <cell r="G2014">
            <v>9738</v>
          </cell>
        </row>
        <row r="2015">
          <cell r="D2015" t="str">
            <v>CDC-16251</v>
          </cell>
          <cell r="E2015">
            <v>83026001</v>
          </cell>
          <cell r="F2015">
            <v>91897</v>
          </cell>
          <cell r="G2015">
            <v>91898</v>
          </cell>
        </row>
        <row r="2016">
          <cell r="D2016" t="str">
            <v>CDC-16251</v>
          </cell>
          <cell r="E2016">
            <v>83026001</v>
          </cell>
          <cell r="F2016">
            <v>91897</v>
          </cell>
          <cell r="G2016">
            <v>91898</v>
          </cell>
        </row>
        <row r="2017">
          <cell r="D2017" t="str">
            <v>CDC-16251</v>
          </cell>
          <cell r="E2017">
            <v>83026001</v>
          </cell>
          <cell r="F2017">
            <v>91897</v>
          </cell>
          <cell r="G2017">
            <v>91898</v>
          </cell>
        </row>
        <row r="2018">
          <cell r="D2018" t="str">
            <v>CDC-16251</v>
          </cell>
          <cell r="E2018">
            <v>83026001</v>
          </cell>
          <cell r="F2018">
            <v>91897</v>
          </cell>
          <cell r="G2018">
            <v>91898</v>
          </cell>
        </row>
        <row r="2019">
          <cell r="D2019" t="str">
            <v>CDC-16251</v>
          </cell>
          <cell r="E2019">
            <v>83026001</v>
          </cell>
          <cell r="F2019">
            <v>91897</v>
          </cell>
          <cell r="G2019">
            <v>91898</v>
          </cell>
        </row>
        <row r="2020">
          <cell r="D2020" t="str">
            <v>CDC-16251</v>
          </cell>
          <cell r="E2020">
            <v>83026001</v>
          </cell>
          <cell r="F2020">
            <v>91897</v>
          </cell>
          <cell r="G2020">
            <v>91898</v>
          </cell>
        </row>
        <row r="2021">
          <cell r="D2021" t="str">
            <v>CDC-16251</v>
          </cell>
          <cell r="E2021">
            <v>83026001</v>
          </cell>
          <cell r="F2021">
            <v>91897</v>
          </cell>
          <cell r="G2021">
            <v>91898</v>
          </cell>
        </row>
        <row r="2022">
          <cell r="D2022" t="str">
            <v>CDC-16251</v>
          </cell>
          <cell r="E2022">
            <v>83026001</v>
          </cell>
          <cell r="F2022">
            <v>91897</v>
          </cell>
          <cell r="G2022">
            <v>91898</v>
          </cell>
        </row>
        <row r="2023">
          <cell r="D2023" t="str">
            <v>CDC-16251</v>
          </cell>
          <cell r="E2023">
            <v>83026001</v>
          </cell>
          <cell r="F2023">
            <v>91897</v>
          </cell>
          <cell r="G2023">
            <v>91898</v>
          </cell>
        </row>
        <row r="2024">
          <cell r="D2024" t="str">
            <v>CDC-16251</v>
          </cell>
          <cell r="E2024">
            <v>83026001</v>
          </cell>
          <cell r="F2024">
            <v>91897</v>
          </cell>
          <cell r="G2024">
            <v>91898</v>
          </cell>
        </row>
        <row r="2025">
          <cell r="D2025" t="str">
            <v>CDC-16251</v>
          </cell>
          <cell r="E2025">
            <v>83026001</v>
          </cell>
          <cell r="F2025">
            <v>91897</v>
          </cell>
          <cell r="G2025">
            <v>91898</v>
          </cell>
        </row>
        <row r="2026">
          <cell r="D2026" t="str">
            <v>CDC-16251</v>
          </cell>
          <cell r="E2026">
            <v>83026001</v>
          </cell>
          <cell r="F2026">
            <v>91897</v>
          </cell>
          <cell r="G2026">
            <v>91898</v>
          </cell>
        </row>
        <row r="2027">
          <cell r="D2027" t="str">
            <v>CDC-16208</v>
          </cell>
          <cell r="E2027">
            <v>73303001</v>
          </cell>
          <cell r="F2027">
            <v>91892</v>
          </cell>
          <cell r="G2027">
            <v>91893</v>
          </cell>
        </row>
        <row r="2028">
          <cell r="D2028" t="str">
            <v>CDC-16208</v>
          </cell>
          <cell r="E2028">
            <v>73303001</v>
          </cell>
          <cell r="F2028">
            <v>91892</v>
          </cell>
          <cell r="G2028">
            <v>91893</v>
          </cell>
        </row>
        <row r="2029">
          <cell r="D2029" t="str">
            <v>CDC-16208</v>
          </cell>
          <cell r="E2029">
            <v>73303001</v>
          </cell>
          <cell r="F2029">
            <v>91892</v>
          </cell>
          <cell r="G2029">
            <v>91893</v>
          </cell>
        </row>
        <row r="2030">
          <cell r="D2030" t="str">
            <v>CDC-16208</v>
          </cell>
          <cell r="E2030">
            <v>73303001</v>
          </cell>
          <cell r="F2030">
            <v>91892</v>
          </cell>
          <cell r="G2030">
            <v>91893</v>
          </cell>
        </row>
        <row r="2031">
          <cell r="D2031" t="str">
            <v>CDC-16208</v>
          </cell>
          <cell r="E2031">
            <v>73303001</v>
          </cell>
          <cell r="F2031">
            <v>91892</v>
          </cell>
          <cell r="G2031">
            <v>91893</v>
          </cell>
        </row>
        <row r="2032">
          <cell r="D2032" t="str">
            <v>CDC-16208</v>
          </cell>
          <cell r="E2032">
            <v>73303001</v>
          </cell>
          <cell r="F2032">
            <v>91892</v>
          </cell>
          <cell r="G2032">
            <v>91893</v>
          </cell>
        </row>
        <row r="2033">
          <cell r="D2033" t="str">
            <v>CDC-14978</v>
          </cell>
          <cell r="E2033">
            <v>72451007</v>
          </cell>
          <cell r="F2033">
            <v>9598</v>
          </cell>
          <cell r="G2033">
            <v>92671</v>
          </cell>
        </row>
        <row r="2034">
          <cell r="D2034" t="str">
            <v>CDC-14978</v>
          </cell>
          <cell r="E2034">
            <v>72451007</v>
          </cell>
          <cell r="F2034">
            <v>9598</v>
          </cell>
          <cell r="G2034">
            <v>92671</v>
          </cell>
        </row>
        <row r="2035">
          <cell r="D2035" t="str">
            <v>CDC-14978</v>
          </cell>
          <cell r="E2035">
            <v>72451007</v>
          </cell>
          <cell r="F2035">
            <v>9598</v>
          </cell>
          <cell r="G2035">
            <v>92671</v>
          </cell>
        </row>
        <row r="2036">
          <cell r="D2036" t="e">
            <v>#N/A</v>
          </cell>
          <cell r="E2036">
            <v>73068001</v>
          </cell>
          <cell r="F2036">
            <v>9092</v>
          </cell>
          <cell r="G2036">
            <v>9093</v>
          </cell>
        </row>
        <row r="2037">
          <cell r="D2037" t="e">
            <v>#N/A</v>
          </cell>
          <cell r="E2037">
            <v>73068001</v>
          </cell>
          <cell r="F2037">
            <v>9092</v>
          </cell>
          <cell r="G2037">
            <v>9093</v>
          </cell>
        </row>
        <row r="2038">
          <cell r="D2038" t="e">
            <v>#N/A</v>
          </cell>
          <cell r="E2038">
            <v>73068001</v>
          </cell>
          <cell r="F2038">
            <v>9092</v>
          </cell>
          <cell r="G2038">
            <v>9093</v>
          </cell>
        </row>
        <row r="2039">
          <cell r="D2039" t="e">
            <v>#N/A</v>
          </cell>
          <cell r="E2039">
            <v>73068001</v>
          </cell>
          <cell r="F2039">
            <v>9092</v>
          </cell>
          <cell r="G2039">
            <v>9093</v>
          </cell>
        </row>
        <row r="2040">
          <cell r="D2040" t="e">
            <v>#N/A</v>
          </cell>
          <cell r="E2040">
            <v>73068001</v>
          </cell>
          <cell r="F2040">
            <v>9092</v>
          </cell>
          <cell r="G2040">
            <v>9093</v>
          </cell>
        </row>
        <row r="2041">
          <cell r="D2041" t="e">
            <v>#N/A</v>
          </cell>
          <cell r="E2041">
            <v>73068001</v>
          </cell>
          <cell r="F2041">
            <v>9092</v>
          </cell>
          <cell r="G2041">
            <v>9093</v>
          </cell>
        </row>
        <row r="2042">
          <cell r="D2042" t="str">
            <v>CDC-1622</v>
          </cell>
          <cell r="E2042">
            <v>73269002</v>
          </cell>
          <cell r="F2042">
            <v>9447</v>
          </cell>
          <cell r="G2042">
            <v>9449</v>
          </cell>
        </row>
        <row r="2043">
          <cell r="D2043" t="str">
            <v>CDC-1622</v>
          </cell>
          <cell r="E2043">
            <v>73269002</v>
          </cell>
          <cell r="F2043">
            <v>9447</v>
          </cell>
          <cell r="G2043">
            <v>9449</v>
          </cell>
        </row>
        <row r="2044">
          <cell r="D2044" t="str">
            <v>CDC-1622</v>
          </cell>
          <cell r="E2044">
            <v>73269002</v>
          </cell>
          <cell r="F2044">
            <v>9447</v>
          </cell>
          <cell r="G2044">
            <v>9449</v>
          </cell>
        </row>
        <row r="2045">
          <cell r="D2045" t="str">
            <v>CDC-1622</v>
          </cell>
          <cell r="E2045">
            <v>73269002</v>
          </cell>
          <cell r="F2045">
            <v>9447</v>
          </cell>
          <cell r="G2045">
            <v>9449</v>
          </cell>
        </row>
        <row r="2046">
          <cell r="D2046" t="str">
            <v>CDC-1622</v>
          </cell>
          <cell r="E2046">
            <v>73269002</v>
          </cell>
          <cell r="F2046">
            <v>9447</v>
          </cell>
          <cell r="G2046">
            <v>9449</v>
          </cell>
        </row>
        <row r="2047">
          <cell r="D2047" t="str">
            <v>CDC-1622</v>
          </cell>
          <cell r="E2047">
            <v>73269002</v>
          </cell>
          <cell r="F2047">
            <v>9447</v>
          </cell>
          <cell r="G2047">
            <v>9449</v>
          </cell>
        </row>
        <row r="2048">
          <cell r="D2048" t="str">
            <v>CDC-14945</v>
          </cell>
          <cell r="E2048">
            <v>73598001</v>
          </cell>
          <cell r="F2048">
            <v>90518</v>
          </cell>
          <cell r="G2048">
            <v>90519</v>
          </cell>
        </row>
        <row r="2049">
          <cell r="D2049" t="str">
            <v>CDC-14945</v>
          </cell>
          <cell r="E2049">
            <v>73598001</v>
          </cell>
          <cell r="F2049">
            <v>90518</v>
          </cell>
          <cell r="G2049">
            <v>90519</v>
          </cell>
        </row>
        <row r="2050">
          <cell r="D2050" t="str">
            <v>CDC-14945</v>
          </cell>
          <cell r="E2050">
            <v>73598001</v>
          </cell>
          <cell r="F2050">
            <v>90518</v>
          </cell>
          <cell r="G2050">
            <v>90519</v>
          </cell>
        </row>
        <row r="2051">
          <cell r="D2051" t="str">
            <v>CDC-14945</v>
          </cell>
          <cell r="E2051">
            <v>73598001</v>
          </cell>
          <cell r="F2051">
            <v>90518</v>
          </cell>
          <cell r="G2051">
            <v>90519</v>
          </cell>
        </row>
        <row r="2052">
          <cell r="D2052" t="str">
            <v>CDC-14945</v>
          </cell>
          <cell r="E2052">
            <v>73598001</v>
          </cell>
          <cell r="F2052">
            <v>90518</v>
          </cell>
          <cell r="G2052">
            <v>90519</v>
          </cell>
        </row>
        <row r="2053">
          <cell r="D2053" t="str">
            <v>CDC-14945</v>
          </cell>
          <cell r="E2053">
            <v>73598001</v>
          </cell>
          <cell r="F2053">
            <v>90518</v>
          </cell>
          <cell r="G2053">
            <v>90519</v>
          </cell>
        </row>
        <row r="2054">
          <cell r="D2054" t="str">
            <v>CDC-14945</v>
          </cell>
          <cell r="E2054">
            <v>73598001</v>
          </cell>
          <cell r="F2054">
            <v>90518</v>
          </cell>
          <cell r="G2054">
            <v>90519</v>
          </cell>
        </row>
        <row r="2055">
          <cell r="D2055" t="str">
            <v>CDC-14945</v>
          </cell>
          <cell r="E2055">
            <v>73598001</v>
          </cell>
          <cell r="F2055">
            <v>90518</v>
          </cell>
          <cell r="G2055">
            <v>90519</v>
          </cell>
        </row>
        <row r="2056">
          <cell r="D2056" t="str">
            <v>CDC-7240</v>
          </cell>
          <cell r="E2056">
            <v>73295001</v>
          </cell>
          <cell r="F2056">
            <v>9537</v>
          </cell>
          <cell r="G2056">
            <v>80675</v>
          </cell>
        </row>
        <row r="2057">
          <cell r="D2057" t="str">
            <v>CDC-7240</v>
          </cell>
          <cell r="E2057">
            <v>73295001</v>
          </cell>
          <cell r="F2057">
            <v>9537</v>
          </cell>
          <cell r="G2057">
            <v>80675</v>
          </cell>
        </row>
        <row r="2058">
          <cell r="D2058" t="str">
            <v>CDC-7240</v>
          </cell>
          <cell r="E2058">
            <v>73295001</v>
          </cell>
          <cell r="F2058">
            <v>9537</v>
          </cell>
          <cell r="G2058">
            <v>80675</v>
          </cell>
        </row>
        <row r="2059">
          <cell r="D2059" t="str">
            <v>CDC-7240</v>
          </cell>
          <cell r="E2059">
            <v>73295001</v>
          </cell>
          <cell r="F2059">
            <v>9537</v>
          </cell>
          <cell r="G2059">
            <v>80675</v>
          </cell>
        </row>
        <row r="2060">
          <cell r="D2060" t="str">
            <v>CDC-7240</v>
          </cell>
          <cell r="E2060">
            <v>73295001</v>
          </cell>
          <cell r="F2060">
            <v>9537</v>
          </cell>
          <cell r="G2060">
            <v>80675</v>
          </cell>
        </row>
        <row r="2061">
          <cell r="D2061" t="str">
            <v>CDC-7240</v>
          </cell>
          <cell r="E2061">
            <v>73295001</v>
          </cell>
          <cell r="F2061">
            <v>9537</v>
          </cell>
          <cell r="G2061">
            <v>80675</v>
          </cell>
        </row>
        <row r="2062">
          <cell r="D2062" t="str">
            <v>CDC-12367</v>
          </cell>
          <cell r="E2062">
            <v>111905001</v>
          </cell>
          <cell r="F2062">
            <v>92764</v>
          </cell>
          <cell r="G2062">
            <v>92765</v>
          </cell>
        </row>
        <row r="2063">
          <cell r="D2063" t="str">
            <v>CDC-12367</v>
          </cell>
          <cell r="E2063">
            <v>111905001</v>
          </cell>
          <cell r="F2063">
            <v>92764</v>
          </cell>
          <cell r="G2063">
            <v>92765</v>
          </cell>
        </row>
        <row r="2064">
          <cell r="D2064" t="str">
            <v>CDC-12367</v>
          </cell>
          <cell r="E2064">
            <v>111905001</v>
          </cell>
          <cell r="F2064">
            <v>92764</v>
          </cell>
          <cell r="G2064">
            <v>92765</v>
          </cell>
        </row>
        <row r="2065">
          <cell r="D2065" t="str">
            <v>CDC-12367</v>
          </cell>
          <cell r="E2065">
            <v>111905001</v>
          </cell>
          <cell r="F2065">
            <v>92764</v>
          </cell>
          <cell r="G2065">
            <v>92765</v>
          </cell>
        </row>
        <row r="2066">
          <cell r="D2066" t="str">
            <v>CDC-12367</v>
          </cell>
          <cell r="E2066">
            <v>111905001</v>
          </cell>
          <cell r="F2066">
            <v>92764</v>
          </cell>
          <cell r="G2066">
            <v>92765</v>
          </cell>
        </row>
        <row r="2067">
          <cell r="D2067" t="str">
            <v>CDC-12367</v>
          </cell>
          <cell r="E2067">
            <v>111905001</v>
          </cell>
          <cell r="F2067">
            <v>92764</v>
          </cell>
          <cell r="G2067">
            <v>92765</v>
          </cell>
        </row>
        <row r="2068">
          <cell r="D2068" t="str">
            <v>CDC-14048</v>
          </cell>
          <cell r="E2068">
            <v>72432002</v>
          </cell>
          <cell r="F2068">
            <v>79827</v>
          </cell>
          <cell r="G2068">
            <v>90463</v>
          </cell>
        </row>
        <row r="2069">
          <cell r="D2069" t="str">
            <v>CDC-14048</v>
          </cell>
          <cell r="E2069">
            <v>72432002</v>
          </cell>
          <cell r="F2069">
            <v>79827</v>
          </cell>
          <cell r="G2069">
            <v>90463</v>
          </cell>
        </row>
        <row r="2070">
          <cell r="D2070" t="str">
            <v>CDC-14048</v>
          </cell>
          <cell r="E2070">
            <v>72432002</v>
          </cell>
          <cell r="F2070">
            <v>79827</v>
          </cell>
          <cell r="G2070">
            <v>90463</v>
          </cell>
        </row>
        <row r="2071">
          <cell r="D2071" t="str">
            <v>CDC-14048</v>
          </cell>
          <cell r="E2071">
            <v>72432002</v>
          </cell>
          <cell r="F2071">
            <v>79827</v>
          </cell>
          <cell r="G2071">
            <v>90463</v>
          </cell>
        </row>
        <row r="2072">
          <cell r="D2072" t="str">
            <v>CDC-14048</v>
          </cell>
          <cell r="E2072">
            <v>72432002</v>
          </cell>
          <cell r="F2072">
            <v>79827</v>
          </cell>
          <cell r="G2072">
            <v>90463</v>
          </cell>
        </row>
        <row r="2073">
          <cell r="D2073" t="str">
            <v>CDC-14048</v>
          </cell>
          <cell r="E2073">
            <v>72432002</v>
          </cell>
          <cell r="F2073">
            <v>79827</v>
          </cell>
          <cell r="G2073">
            <v>90463</v>
          </cell>
        </row>
        <row r="2074">
          <cell r="D2074" t="str">
            <v>CDC-9349</v>
          </cell>
          <cell r="E2074">
            <v>72432001</v>
          </cell>
          <cell r="F2074">
            <v>79827</v>
          </cell>
          <cell r="G2074">
            <v>79828</v>
          </cell>
        </row>
        <row r="2075">
          <cell r="D2075" t="str">
            <v>CDC-9349</v>
          </cell>
          <cell r="E2075">
            <v>72432001</v>
          </cell>
          <cell r="F2075">
            <v>79827</v>
          </cell>
          <cell r="G2075">
            <v>79828</v>
          </cell>
        </row>
        <row r="2076">
          <cell r="D2076" t="str">
            <v>CDC-9349</v>
          </cell>
          <cell r="E2076">
            <v>72432001</v>
          </cell>
          <cell r="F2076">
            <v>79827</v>
          </cell>
          <cell r="G2076">
            <v>79828</v>
          </cell>
        </row>
        <row r="2077">
          <cell r="D2077" t="str">
            <v>CDC-9349</v>
          </cell>
          <cell r="E2077">
            <v>72432001</v>
          </cell>
          <cell r="F2077">
            <v>79827</v>
          </cell>
          <cell r="G2077">
            <v>79828</v>
          </cell>
        </row>
        <row r="2078">
          <cell r="D2078" t="str">
            <v>CDC-9349</v>
          </cell>
          <cell r="E2078">
            <v>72432001</v>
          </cell>
          <cell r="F2078">
            <v>79827</v>
          </cell>
          <cell r="G2078">
            <v>79828</v>
          </cell>
        </row>
        <row r="2079">
          <cell r="D2079" t="str">
            <v>CDC-9349</v>
          </cell>
          <cell r="E2079">
            <v>72432001</v>
          </cell>
          <cell r="F2079">
            <v>79827</v>
          </cell>
          <cell r="G2079">
            <v>79828</v>
          </cell>
        </row>
        <row r="2080">
          <cell r="D2080" t="str">
            <v>CDC-16726</v>
          </cell>
          <cell r="E2080">
            <v>103148001</v>
          </cell>
          <cell r="F2080">
            <v>92305</v>
          </cell>
          <cell r="G2080">
            <v>92306</v>
          </cell>
        </row>
        <row r="2081">
          <cell r="D2081" t="str">
            <v>CDC-16726</v>
          </cell>
          <cell r="E2081">
            <v>103148001</v>
          </cell>
          <cell r="F2081">
            <v>92305</v>
          </cell>
          <cell r="G2081">
            <v>92306</v>
          </cell>
        </row>
        <row r="2082">
          <cell r="D2082" t="str">
            <v>CDC-16726</v>
          </cell>
          <cell r="E2082">
            <v>103148001</v>
          </cell>
          <cell r="F2082">
            <v>92305</v>
          </cell>
          <cell r="G2082">
            <v>92306</v>
          </cell>
        </row>
        <row r="2083">
          <cell r="D2083" t="str">
            <v>CDC-16726</v>
          </cell>
          <cell r="E2083">
            <v>103148001</v>
          </cell>
          <cell r="F2083">
            <v>92305</v>
          </cell>
          <cell r="G2083">
            <v>92306</v>
          </cell>
        </row>
        <row r="2084">
          <cell r="D2084" t="str">
            <v>CDC-16726</v>
          </cell>
          <cell r="E2084">
            <v>103148001</v>
          </cell>
          <cell r="F2084">
            <v>92305</v>
          </cell>
          <cell r="G2084">
            <v>92306</v>
          </cell>
        </row>
        <row r="2085">
          <cell r="D2085" t="str">
            <v>CDC-16726</v>
          </cell>
          <cell r="E2085">
            <v>103148001</v>
          </cell>
          <cell r="F2085">
            <v>92305</v>
          </cell>
          <cell r="G2085">
            <v>92306</v>
          </cell>
        </row>
        <row r="2086">
          <cell r="D2086" t="str">
            <v>CDC-16726</v>
          </cell>
          <cell r="E2086">
            <v>103148001</v>
          </cell>
          <cell r="F2086">
            <v>92305</v>
          </cell>
          <cell r="G2086">
            <v>92306</v>
          </cell>
        </row>
        <row r="2087">
          <cell r="D2087" t="str">
            <v>CDC-16726</v>
          </cell>
          <cell r="E2087">
            <v>103148001</v>
          </cell>
          <cell r="F2087">
            <v>92305</v>
          </cell>
          <cell r="G2087">
            <v>92306</v>
          </cell>
        </row>
        <row r="2088">
          <cell r="D2088" t="str">
            <v>CDC-17260</v>
          </cell>
          <cell r="E2088">
            <v>72455001</v>
          </cell>
          <cell r="F2088">
            <v>308573</v>
          </cell>
          <cell r="G2088">
            <v>624184</v>
          </cell>
        </row>
        <row r="2089">
          <cell r="D2089" t="str">
            <v>CDC-17260</v>
          </cell>
          <cell r="E2089">
            <v>72455001</v>
          </cell>
          <cell r="F2089">
            <v>308573</v>
          </cell>
          <cell r="G2089">
            <v>624184</v>
          </cell>
        </row>
        <row r="2090">
          <cell r="D2090" t="str">
            <v>CDC-17260</v>
          </cell>
          <cell r="E2090">
            <v>72455001</v>
          </cell>
          <cell r="F2090">
            <v>308573</v>
          </cell>
          <cell r="G2090">
            <v>624184</v>
          </cell>
        </row>
        <row r="2091">
          <cell r="D2091" t="str">
            <v>CDC-17260</v>
          </cell>
          <cell r="E2091">
            <v>72455001</v>
          </cell>
          <cell r="F2091">
            <v>308573</v>
          </cell>
          <cell r="G2091">
            <v>624184</v>
          </cell>
        </row>
        <row r="2092">
          <cell r="D2092" t="str">
            <v>CDC-17260</v>
          </cell>
          <cell r="E2092">
            <v>72455001</v>
          </cell>
          <cell r="F2092">
            <v>308573</v>
          </cell>
          <cell r="G2092">
            <v>624184</v>
          </cell>
        </row>
        <row r="2093">
          <cell r="D2093" t="str">
            <v>CDC-17260</v>
          </cell>
          <cell r="E2093">
            <v>72455001</v>
          </cell>
          <cell r="F2093">
            <v>308573</v>
          </cell>
          <cell r="G2093">
            <v>624184</v>
          </cell>
        </row>
        <row r="2094">
          <cell r="D2094" t="str">
            <v>CDC-16681</v>
          </cell>
          <cell r="E2094">
            <v>83024001</v>
          </cell>
          <cell r="F2094">
            <v>90130</v>
          </cell>
          <cell r="G2094">
            <v>90131</v>
          </cell>
        </row>
        <row r="2095">
          <cell r="D2095" t="str">
            <v>CDC-16681</v>
          </cell>
          <cell r="E2095">
            <v>83024001</v>
          </cell>
          <cell r="F2095">
            <v>90130</v>
          </cell>
          <cell r="G2095">
            <v>90131</v>
          </cell>
        </row>
        <row r="2096">
          <cell r="D2096" t="str">
            <v>CDC-16681</v>
          </cell>
          <cell r="E2096">
            <v>83024001</v>
          </cell>
          <cell r="F2096">
            <v>90130</v>
          </cell>
          <cell r="G2096">
            <v>90131</v>
          </cell>
        </row>
        <row r="2097">
          <cell r="D2097" t="str">
            <v>CDC-16681</v>
          </cell>
          <cell r="E2097">
            <v>83024001</v>
          </cell>
          <cell r="F2097">
            <v>90130</v>
          </cell>
          <cell r="G2097">
            <v>90131</v>
          </cell>
        </row>
        <row r="2098">
          <cell r="D2098" t="str">
            <v>CDC-16681</v>
          </cell>
          <cell r="E2098">
            <v>83024001</v>
          </cell>
          <cell r="F2098">
            <v>90130</v>
          </cell>
          <cell r="G2098">
            <v>90131</v>
          </cell>
        </row>
        <row r="2099">
          <cell r="D2099" t="str">
            <v>CDC-16681</v>
          </cell>
          <cell r="E2099">
            <v>83024001</v>
          </cell>
          <cell r="F2099">
            <v>90130</v>
          </cell>
          <cell r="G2099">
            <v>90131</v>
          </cell>
        </row>
        <row r="2100">
          <cell r="D2100" t="str">
            <v>CDC-14884</v>
          </cell>
          <cell r="E2100">
            <v>23015001</v>
          </cell>
          <cell r="F2100">
            <v>90452</v>
          </cell>
          <cell r="G2100">
            <v>90453</v>
          </cell>
        </row>
        <row r="2101">
          <cell r="D2101" t="str">
            <v>CDC-14884</v>
          </cell>
          <cell r="E2101">
            <v>23015001</v>
          </cell>
          <cell r="F2101">
            <v>90452</v>
          </cell>
          <cell r="G2101">
            <v>90453</v>
          </cell>
        </row>
        <row r="2102">
          <cell r="D2102" t="str">
            <v>CDC-14884</v>
          </cell>
          <cell r="E2102">
            <v>23015001</v>
          </cell>
          <cell r="F2102">
            <v>90452</v>
          </cell>
          <cell r="G2102">
            <v>90453</v>
          </cell>
        </row>
        <row r="2103">
          <cell r="D2103" t="str">
            <v>CDC-14884</v>
          </cell>
          <cell r="E2103">
            <v>23015001</v>
          </cell>
          <cell r="F2103">
            <v>90452</v>
          </cell>
          <cell r="G2103">
            <v>90453</v>
          </cell>
        </row>
        <row r="2104">
          <cell r="D2104" t="str">
            <v>CDC-14884</v>
          </cell>
          <cell r="E2104">
            <v>23015001</v>
          </cell>
          <cell r="F2104">
            <v>90452</v>
          </cell>
          <cell r="G2104">
            <v>90453</v>
          </cell>
        </row>
        <row r="2105">
          <cell r="D2105" t="str">
            <v>CDC-14884</v>
          </cell>
          <cell r="E2105">
            <v>23015001</v>
          </cell>
          <cell r="F2105">
            <v>90452</v>
          </cell>
          <cell r="G2105">
            <v>90453</v>
          </cell>
        </row>
        <row r="2106">
          <cell r="D2106" t="str">
            <v>CDC-14884</v>
          </cell>
          <cell r="E2106">
            <v>23015001</v>
          </cell>
          <cell r="F2106">
            <v>90452</v>
          </cell>
          <cell r="G2106">
            <v>90453</v>
          </cell>
        </row>
        <row r="2107">
          <cell r="D2107" t="str">
            <v>CDC-14884</v>
          </cell>
          <cell r="E2107">
            <v>23015001</v>
          </cell>
          <cell r="F2107">
            <v>90452</v>
          </cell>
          <cell r="G2107">
            <v>90453</v>
          </cell>
        </row>
        <row r="2108">
          <cell r="D2108" t="str">
            <v>CDC-10363</v>
          </cell>
          <cell r="E2108">
            <v>73493001</v>
          </cell>
          <cell r="F2108">
            <v>80912</v>
          </cell>
          <cell r="G2108">
            <v>80913</v>
          </cell>
        </row>
        <row r="2109">
          <cell r="D2109" t="str">
            <v>CDC-10363</v>
          </cell>
          <cell r="E2109">
            <v>73493001</v>
          </cell>
          <cell r="F2109">
            <v>80912</v>
          </cell>
          <cell r="G2109">
            <v>80913</v>
          </cell>
        </row>
        <row r="2110">
          <cell r="D2110" t="str">
            <v>CDC-10363</v>
          </cell>
          <cell r="E2110">
            <v>73493001</v>
          </cell>
          <cell r="F2110">
            <v>80912</v>
          </cell>
          <cell r="G2110">
            <v>80913</v>
          </cell>
        </row>
        <row r="2111">
          <cell r="D2111" t="str">
            <v>CDC-10363</v>
          </cell>
          <cell r="E2111">
            <v>73493001</v>
          </cell>
          <cell r="F2111">
            <v>80912</v>
          </cell>
          <cell r="G2111">
            <v>80913</v>
          </cell>
        </row>
        <row r="2112">
          <cell r="D2112" t="str">
            <v>CDC-10363</v>
          </cell>
          <cell r="E2112">
            <v>73493001</v>
          </cell>
          <cell r="F2112">
            <v>80912</v>
          </cell>
          <cell r="G2112">
            <v>80913</v>
          </cell>
        </row>
        <row r="2113">
          <cell r="D2113" t="str">
            <v>CDC-10363</v>
          </cell>
          <cell r="E2113">
            <v>73493001</v>
          </cell>
          <cell r="F2113">
            <v>80912</v>
          </cell>
          <cell r="G2113">
            <v>80913</v>
          </cell>
        </row>
        <row r="2114">
          <cell r="D2114" t="str">
            <v>CDC-18368</v>
          </cell>
          <cell r="E2114">
            <v>73345001</v>
          </cell>
          <cell r="F2114">
            <v>1000061</v>
          </cell>
          <cell r="G2114">
            <v>1000062</v>
          </cell>
        </row>
        <row r="2115">
          <cell r="D2115" t="str">
            <v>CDC-18368</v>
          </cell>
          <cell r="E2115">
            <v>73345001</v>
          </cell>
          <cell r="F2115">
            <v>1000061</v>
          </cell>
          <cell r="G2115">
            <v>1000062</v>
          </cell>
        </row>
        <row r="2116">
          <cell r="D2116" t="str">
            <v>CDC-18368</v>
          </cell>
          <cell r="E2116">
            <v>73345001</v>
          </cell>
          <cell r="F2116">
            <v>1000061</v>
          </cell>
          <cell r="G2116">
            <v>1000062</v>
          </cell>
        </row>
        <row r="2117">
          <cell r="D2117" t="str">
            <v>CDC-18368</v>
          </cell>
          <cell r="E2117">
            <v>73345001</v>
          </cell>
          <cell r="F2117">
            <v>1000061</v>
          </cell>
          <cell r="G2117">
            <v>1000062</v>
          </cell>
        </row>
        <row r="2118">
          <cell r="D2118" t="str">
            <v>CDC-18368</v>
          </cell>
          <cell r="E2118">
            <v>73345001</v>
          </cell>
          <cell r="F2118">
            <v>1000061</v>
          </cell>
          <cell r="G2118">
            <v>1000062</v>
          </cell>
        </row>
        <row r="2119">
          <cell r="D2119" t="str">
            <v>CDC-18368</v>
          </cell>
          <cell r="E2119">
            <v>73345001</v>
          </cell>
          <cell r="F2119">
            <v>1000061</v>
          </cell>
          <cell r="G2119">
            <v>1000062</v>
          </cell>
        </row>
        <row r="2120">
          <cell r="D2120" t="str">
            <v>CDC-15222</v>
          </cell>
          <cell r="E2120">
            <v>73711001</v>
          </cell>
          <cell r="F2120">
            <v>90795</v>
          </cell>
          <cell r="G2120">
            <v>90796</v>
          </cell>
        </row>
        <row r="2121">
          <cell r="D2121" t="str">
            <v>CDC-15222</v>
          </cell>
          <cell r="E2121">
            <v>73711001</v>
          </cell>
          <cell r="F2121">
            <v>90795</v>
          </cell>
          <cell r="G2121">
            <v>90796</v>
          </cell>
        </row>
        <row r="2122">
          <cell r="D2122" t="str">
            <v>CDC-15222</v>
          </cell>
          <cell r="E2122">
            <v>73711001</v>
          </cell>
          <cell r="F2122">
            <v>90795</v>
          </cell>
          <cell r="G2122">
            <v>90796</v>
          </cell>
        </row>
        <row r="2123">
          <cell r="D2123" t="str">
            <v>CDC-15222</v>
          </cell>
          <cell r="E2123">
            <v>73711001</v>
          </cell>
          <cell r="F2123">
            <v>90795</v>
          </cell>
          <cell r="G2123">
            <v>90796</v>
          </cell>
        </row>
        <row r="2124">
          <cell r="D2124" t="str">
            <v>CDC-15222</v>
          </cell>
          <cell r="E2124">
            <v>73711001</v>
          </cell>
          <cell r="F2124">
            <v>90795</v>
          </cell>
          <cell r="G2124">
            <v>90796</v>
          </cell>
        </row>
        <row r="2125">
          <cell r="D2125" t="str">
            <v>CDC-15222</v>
          </cell>
          <cell r="E2125">
            <v>73711001</v>
          </cell>
          <cell r="F2125">
            <v>90795</v>
          </cell>
          <cell r="G2125">
            <v>90796</v>
          </cell>
        </row>
        <row r="2126">
          <cell r="D2126" t="str">
            <v>CDC-15222</v>
          </cell>
          <cell r="E2126">
            <v>73711001</v>
          </cell>
          <cell r="F2126">
            <v>90795</v>
          </cell>
          <cell r="G2126">
            <v>90796</v>
          </cell>
        </row>
        <row r="2127">
          <cell r="D2127" t="str">
            <v>CDC-15222</v>
          </cell>
          <cell r="E2127">
            <v>73711001</v>
          </cell>
          <cell r="F2127">
            <v>90795</v>
          </cell>
          <cell r="G2127">
            <v>90796</v>
          </cell>
        </row>
        <row r="2128">
          <cell r="D2128" t="str">
            <v>CDC-17544</v>
          </cell>
          <cell r="E2128">
            <v>143032001</v>
          </cell>
          <cell r="F2128">
            <v>1000101</v>
          </cell>
          <cell r="G2128">
            <v>1000102</v>
          </cell>
        </row>
        <row r="2129">
          <cell r="D2129" t="str">
            <v>CDC-17544</v>
          </cell>
          <cell r="E2129">
            <v>143032001</v>
          </cell>
          <cell r="F2129">
            <v>1000101</v>
          </cell>
          <cell r="G2129">
            <v>1000102</v>
          </cell>
        </row>
        <row r="2130">
          <cell r="D2130" t="str">
            <v>CDC-17544</v>
          </cell>
          <cell r="E2130">
            <v>143032001</v>
          </cell>
          <cell r="F2130">
            <v>1000101</v>
          </cell>
          <cell r="G2130">
            <v>1000102</v>
          </cell>
        </row>
        <row r="2131">
          <cell r="D2131" t="str">
            <v>CDC-17544</v>
          </cell>
          <cell r="E2131">
            <v>143032001</v>
          </cell>
          <cell r="F2131">
            <v>1000101</v>
          </cell>
          <cell r="G2131">
            <v>1000102</v>
          </cell>
        </row>
        <row r="2132">
          <cell r="D2132" t="str">
            <v>CDC-17544</v>
          </cell>
          <cell r="E2132">
            <v>143032001</v>
          </cell>
          <cell r="F2132">
            <v>1000101</v>
          </cell>
          <cell r="G2132">
            <v>1000102</v>
          </cell>
        </row>
        <row r="2133">
          <cell r="D2133" t="str">
            <v>CDC-17544</v>
          </cell>
          <cell r="E2133">
            <v>143032001</v>
          </cell>
          <cell r="F2133">
            <v>1000101</v>
          </cell>
          <cell r="G2133">
            <v>1000102</v>
          </cell>
        </row>
        <row r="2134">
          <cell r="D2134" t="str">
            <v>CDC-17544</v>
          </cell>
          <cell r="E2134">
            <v>143032001</v>
          </cell>
          <cell r="F2134">
            <v>1000101</v>
          </cell>
          <cell r="G2134">
            <v>1000102</v>
          </cell>
        </row>
        <row r="2135">
          <cell r="D2135" t="str">
            <v>CDC-17544</v>
          </cell>
          <cell r="E2135">
            <v>143032001</v>
          </cell>
          <cell r="F2135">
            <v>1000101</v>
          </cell>
          <cell r="G2135">
            <v>1000102</v>
          </cell>
        </row>
        <row r="2136">
          <cell r="D2136" t="str">
            <v>CDC-17544</v>
          </cell>
          <cell r="E2136">
            <v>143032001</v>
          </cell>
          <cell r="F2136">
            <v>1000101</v>
          </cell>
          <cell r="G2136">
            <v>1000102</v>
          </cell>
        </row>
        <row r="2137">
          <cell r="D2137" t="str">
            <v>CDC-17544</v>
          </cell>
          <cell r="E2137">
            <v>143032001</v>
          </cell>
          <cell r="F2137">
            <v>1000101</v>
          </cell>
          <cell r="G2137">
            <v>1000102</v>
          </cell>
        </row>
        <row r="2138">
          <cell r="D2138" t="str">
            <v>CDC-18231</v>
          </cell>
          <cell r="E2138">
            <v>143032002</v>
          </cell>
          <cell r="F2138">
            <v>1000101</v>
          </cell>
          <cell r="G2138">
            <v>1000103</v>
          </cell>
        </row>
        <row r="2139">
          <cell r="D2139" t="str">
            <v>CDC-18231</v>
          </cell>
          <cell r="E2139">
            <v>143032002</v>
          </cell>
          <cell r="F2139">
            <v>1000101</v>
          </cell>
          <cell r="G2139">
            <v>1000103</v>
          </cell>
        </row>
        <row r="2140">
          <cell r="D2140" t="str">
            <v>CDC-18231</v>
          </cell>
          <cell r="E2140">
            <v>143032002</v>
          </cell>
          <cell r="F2140">
            <v>1000101</v>
          </cell>
          <cell r="G2140">
            <v>1000103</v>
          </cell>
        </row>
        <row r="2141">
          <cell r="D2141" t="str">
            <v>CDC-18231</v>
          </cell>
          <cell r="E2141">
            <v>143032002</v>
          </cell>
          <cell r="F2141">
            <v>1000101</v>
          </cell>
          <cell r="G2141">
            <v>1000103</v>
          </cell>
        </row>
        <row r="2142">
          <cell r="D2142" t="str">
            <v>CDC-18231</v>
          </cell>
          <cell r="E2142">
            <v>143032002</v>
          </cell>
          <cell r="F2142">
            <v>1000101</v>
          </cell>
          <cell r="G2142">
            <v>1000103</v>
          </cell>
        </row>
        <row r="2143">
          <cell r="D2143" t="str">
            <v>CDC-18231</v>
          </cell>
          <cell r="E2143">
            <v>143032002</v>
          </cell>
          <cell r="F2143">
            <v>1000101</v>
          </cell>
          <cell r="G2143">
            <v>1000103</v>
          </cell>
        </row>
        <row r="2144">
          <cell r="D2144" t="str">
            <v>CDC-18231</v>
          </cell>
          <cell r="E2144">
            <v>143032002</v>
          </cell>
          <cell r="F2144">
            <v>1000101</v>
          </cell>
          <cell r="G2144">
            <v>1000103</v>
          </cell>
        </row>
        <row r="2145">
          <cell r="D2145" t="str">
            <v>CDC-18231</v>
          </cell>
          <cell r="E2145">
            <v>143032002</v>
          </cell>
          <cell r="F2145">
            <v>1000101</v>
          </cell>
          <cell r="G2145">
            <v>1000103</v>
          </cell>
        </row>
        <row r="2146">
          <cell r="D2146" t="str">
            <v>CDC-18231</v>
          </cell>
          <cell r="E2146">
            <v>143032002</v>
          </cell>
          <cell r="F2146">
            <v>1000101</v>
          </cell>
          <cell r="G2146">
            <v>1000103</v>
          </cell>
        </row>
        <row r="2147">
          <cell r="D2147" t="str">
            <v>CDC-18231</v>
          </cell>
          <cell r="E2147">
            <v>143032002</v>
          </cell>
          <cell r="F2147">
            <v>1000101</v>
          </cell>
          <cell r="G2147">
            <v>1000103</v>
          </cell>
        </row>
        <row r="2148">
          <cell r="D2148" t="str">
            <v>CDC-18231</v>
          </cell>
          <cell r="E2148">
            <v>143032002</v>
          </cell>
          <cell r="F2148">
            <v>1000101</v>
          </cell>
          <cell r="G2148">
            <v>1000103</v>
          </cell>
        </row>
        <row r="2149">
          <cell r="D2149" t="e">
            <v>#N/A</v>
          </cell>
          <cell r="E2149">
            <v>73332001</v>
          </cell>
          <cell r="F2149">
            <v>699149</v>
          </cell>
          <cell r="G2149">
            <v>350910</v>
          </cell>
        </row>
        <row r="2150">
          <cell r="D2150" t="e">
            <v>#N/A</v>
          </cell>
          <cell r="E2150">
            <v>73332001</v>
          </cell>
          <cell r="F2150">
            <v>699149</v>
          </cell>
          <cell r="G2150">
            <v>350910</v>
          </cell>
        </row>
        <row r="2151">
          <cell r="D2151" t="e">
            <v>#N/A</v>
          </cell>
          <cell r="E2151">
            <v>73332001</v>
          </cell>
          <cell r="F2151">
            <v>699149</v>
          </cell>
          <cell r="G2151">
            <v>350910</v>
          </cell>
        </row>
        <row r="2152">
          <cell r="D2152" t="e">
            <v>#N/A</v>
          </cell>
          <cell r="E2152">
            <v>73332001</v>
          </cell>
          <cell r="F2152">
            <v>699149</v>
          </cell>
          <cell r="G2152">
            <v>350910</v>
          </cell>
        </row>
        <row r="2153">
          <cell r="D2153" t="e">
            <v>#N/A</v>
          </cell>
          <cell r="E2153">
            <v>73332001</v>
          </cell>
          <cell r="F2153">
            <v>699149</v>
          </cell>
          <cell r="G2153">
            <v>350910</v>
          </cell>
        </row>
        <row r="2154">
          <cell r="D2154" t="e">
            <v>#N/A</v>
          </cell>
          <cell r="E2154">
            <v>73332001</v>
          </cell>
          <cell r="F2154">
            <v>699149</v>
          </cell>
          <cell r="G2154">
            <v>350910</v>
          </cell>
        </row>
        <row r="2155">
          <cell r="D2155" t="str">
            <v>CDC-2073</v>
          </cell>
          <cell r="E2155">
            <v>132202001</v>
          </cell>
          <cell r="F2155">
            <v>10132</v>
          </cell>
          <cell r="G2155">
            <v>10133</v>
          </cell>
        </row>
        <row r="2156">
          <cell r="D2156" t="str">
            <v>CDC-2073</v>
          </cell>
          <cell r="E2156">
            <v>132202001</v>
          </cell>
          <cell r="F2156">
            <v>10132</v>
          </cell>
          <cell r="G2156">
            <v>10133</v>
          </cell>
        </row>
        <row r="2157">
          <cell r="D2157" t="str">
            <v>CDC-2073</v>
          </cell>
          <cell r="E2157">
            <v>132202001</v>
          </cell>
          <cell r="F2157">
            <v>10132</v>
          </cell>
          <cell r="G2157">
            <v>10133</v>
          </cell>
        </row>
        <row r="2158">
          <cell r="D2158" t="str">
            <v>CDC-2073</v>
          </cell>
          <cell r="E2158">
            <v>132202001</v>
          </cell>
          <cell r="F2158">
            <v>10132</v>
          </cell>
          <cell r="G2158">
            <v>10133</v>
          </cell>
        </row>
        <row r="2159">
          <cell r="D2159" t="str">
            <v>CDC-2073</v>
          </cell>
          <cell r="E2159">
            <v>132202001</v>
          </cell>
          <cell r="F2159">
            <v>10132</v>
          </cell>
          <cell r="G2159">
            <v>10133</v>
          </cell>
        </row>
        <row r="2160">
          <cell r="D2160" t="str">
            <v>CDC-2073</v>
          </cell>
          <cell r="E2160">
            <v>132202001</v>
          </cell>
          <cell r="F2160">
            <v>10132</v>
          </cell>
          <cell r="G2160">
            <v>10133</v>
          </cell>
        </row>
        <row r="2161">
          <cell r="D2161" t="str">
            <v>CDC-2073</v>
          </cell>
          <cell r="E2161">
            <v>132202001</v>
          </cell>
          <cell r="F2161">
            <v>10132</v>
          </cell>
          <cell r="G2161">
            <v>10133</v>
          </cell>
        </row>
        <row r="2162">
          <cell r="D2162" t="str">
            <v>CDC-2073</v>
          </cell>
          <cell r="E2162">
            <v>132202001</v>
          </cell>
          <cell r="F2162">
            <v>10132</v>
          </cell>
          <cell r="G2162">
            <v>10133</v>
          </cell>
        </row>
        <row r="2163">
          <cell r="D2163" t="str">
            <v>CDC-14288</v>
          </cell>
          <cell r="E2163">
            <v>103212001</v>
          </cell>
          <cell r="F2163">
            <v>90128</v>
          </cell>
          <cell r="G2163">
            <v>90129</v>
          </cell>
        </row>
        <row r="2164">
          <cell r="D2164" t="str">
            <v>CDC-14288</v>
          </cell>
          <cell r="E2164">
            <v>103212001</v>
          </cell>
          <cell r="F2164">
            <v>90128</v>
          </cell>
          <cell r="G2164">
            <v>90129</v>
          </cell>
        </row>
        <row r="2165">
          <cell r="D2165" t="str">
            <v>CDC-14288</v>
          </cell>
          <cell r="E2165">
            <v>103212001</v>
          </cell>
          <cell r="F2165">
            <v>90128</v>
          </cell>
          <cell r="G2165">
            <v>90129</v>
          </cell>
        </row>
        <row r="2166">
          <cell r="D2166" t="str">
            <v>CDC-14288</v>
          </cell>
          <cell r="E2166">
            <v>103212001</v>
          </cell>
          <cell r="F2166">
            <v>90128</v>
          </cell>
          <cell r="G2166">
            <v>90129</v>
          </cell>
        </row>
        <row r="2167">
          <cell r="D2167" t="str">
            <v>CDC-14288</v>
          </cell>
          <cell r="E2167">
            <v>103212001</v>
          </cell>
          <cell r="F2167">
            <v>90128</v>
          </cell>
          <cell r="G2167">
            <v>90129</v>
          </cell>
        </row>
        <row r="2168">
          <cell r="D2168" t="str">
            <v>CDC-14288</v>
          </cell>
          <cell r="E2168">
            <v>103212001</v>
          </cell>
          <cell r="F2168">
            <v>90128</v>
          </cell>
          <cell r="G2168">
            <v>90129</v>
          </cell>
        </row>
        <row r="2169">
          <cell r="D2169" t="str">
            <v>CDC-14288</v>
          </cell>
          <cell r="E2169">
            <v>103212001</v>
          </cell>
          <cell r="F2169">
            <v>90128</v>
          </cell>
          <cell r="G2169">
            <v>90129</v>
          </cell>
        </row>
        <row r="2170">
          <cell r="D2170" t="str">
            <v>CDC-14288</v>
          </cell>
          <cell r="E2170">
            <v>103212001</v>
          </cell>
          <cell r="F2170">
            <v>90128</v>
          </cell>
          <cell r="G2170">
            <v>90129</v>
          </cell>
        </row>
        <row r="2171">
          <cell r="D2171" t="e">
            <v>#N/A</v>
          </cell>
          <cell r="E2171">
            <v>103204001</v>
          </cell>
          <cell r="F2171">
            <v>89877</v>
          </cell>
          <cell r="G2171">
            <v>89878</v>
          </cell>
        </row>
        <row r="2172">
          <cell r="D2172" t="e">
            <v>#N/A</v>
          </cell>
          <cell r="E2172">
            <v>103204001</v>
          </cell>
          <cell r="F2172">
            <v>89877</v>
          </cell>
          <cell r="G2172">
            <v>89878</v>
          </cell>
        </row>
        <row r="2173">
          <cell r="D2173" t="e">
            <v>#N/A</v>
          </cell>
          <cell r="E2173">
            <v>103204001</v>
          </cell>
          <cell r="F2173">
            <v>89877</v>
          </cell>
          <cell r="G2173">
            <v>89878</v>
          </cell>
        </row>
        <row r="2174">
          <cell r="D2174" t="e">
            <v>#N/A</v>
          </cell>
          <cell r="E2174">
            <v>103204001</v>
          </cell>
          <cell r="F2174">
            <v>89877</v>
          </cell>
          <cell r="G2174">
            <v>89878</v>
          </cell>
        </row>
        <row r="2175">
          <cell r="D2175" t="str">
            <v>CDC-13859</v>
          </cell>
          <cell r="E2175">
            <v>103204002</v>
          </cell>
          <cell r="F2175">
            <v>89877</v>
          </cell>
          <cell r="G2175">
            <v>89879</v>
          </cell>
        </row>
        <row r="2176">
          <cell r="D2176" t="str">
            <v>CDC-13859</v>
          </cell>
          <cell r="E2176">
            <v>103204002</v>
          </cell>
          <cell r="F2176">
            <v>89877</v>
          </cell>
          <cell r="G2176">
            <v>89879</v>
          </cell>
        </row>
        <row r="2177">
          <cell r="D2177" t="str">
            <v>CDC-13859</v>
          </cell>
          <cell r="E2177">
            <v>103204002</v>
          </cell>
          <cell r="F2177">
            <v>89877</v>
          </cell>
          <cell r="G2177">
            <v>89879</v>
          </cell>
        </row>
        <row r="2178">
          <cell r="D2178" t="str">
            <v>CDC-13859</v>
          </cell>
          <cell r="E2178">
            <v>103204002</v>
          </cell>
          <cell r="F2178">
            <v>89877</v>
          </cell>
          <cell r="G2178">
            <v>89879</v>
          </cell>
        </row>
        <row r="2179">
          <cell r="D2179" t="str">
            <v>CDC-13863</v>
          </cell>
          <cell r="E2179">
            <v>103204003</v>
          </cell>
          <cell r="F2179">
            <v>89877</v>
          </cell>
          <cell r="G2179">
            <v>89880</v>
          </cell>
        </row>
        <row r="2180">
          <cell r="D2180" t="str">
            <v>CDC-13863</v>
          </cell>
          <cell r="E2180">
            <v>103204003</v>
          </cell>
          <cell r="F2180">
            <v>89877</v>
          </cell>
          <cell r="G2180">
            <v>89880</v>
          </cell>
        </row>
        <row r="2181">
          <cell r="D2181" t="str">
            <v>CDC-13863</v>
          </cell>
          <cell r="E2181">
            <v>103204003</v>
          </cell>
          <cell r="F2181">
            <v>89877</v>
          </cell>
          <cell r="G2181">
            <v>89880</v>
          </cell>
        </row>
        <row r="2182">
          <cell r="D2182" t="e">
            <v>#N/A</v>
          </cell>
          <cell r="E2182">
            <v>103204019</v>
          </cell>
          <cell r="F2182">
            <v>89877</v>
          </cell>
          <cell r="G2182">
            <v>93007</v>
          </cell>
        </row>
        <row r="2183">
          <cell r="D2183" t="e">
            <v>#N/A</v>
          </cell>
          <cell r="E2183">
            <v>103204019</v>
          </cell>
          <cell r="F2183">
            <v>89877</v>
          </cell>
          <cell r="G2183">
            <v>93007</v>
          </cell>
        </row>
        <row r="2184">
          <cell r="D2184" t="e">
            <v>#N/A</v>
          </cell>
          <cell r="E2184">
            <v>103204019</v>
          </cell>
          <cell r="F2184">
            <v>89877</v>
          </cell>
          <cell r="G2184">
            <v>93007</v>
          </cell>
        </row>
        <row r="2185">
          <cell r="D2185" t="str">
            <v>CDC-13856</v>
          </cell>
          <cell r="E2185">
            <v>103204015</v>
          </cell>
          <cell r="F2185">
            <v>89877</v>
          </cell>
          <cell r="G2185">
            <v>90188</v>
          </cell>
        </row>
        <row r="2186">
          <cell r="D2186" t="str">
            <v>CDC-13856</v>
          </cell>
          <cell r="E2186">
            <v>103204015</v>
          </cell>
          <cell r="F2186">
            <v>89877</v>
          </cell>
          <cell r="G2186">
            <v>90188</v>
          </cell>
        </row>
        <row r="2187">
          <cell r="D2187" t="str">
            <v>CDC-13856</v>
          </cell>
          <cell r="E2187">
            <v>103204015</v>
          </cell>
          <cell r="F2187">
            <v>89877</v>
          </cell>
          <cell r="G2187">
            <v>90188</v>
          </cell>
        </row>
        <row r="2188">
          <cell r="D2188" t="e">
            <v>#N/A</v>
          </cell>
          <cell r="E2188">
            <v>103204004</v>
          </cell>
          <cell r="F2188">
            <v>89877</v>
          </cell>
          <cell r="G2188">
            <v>89881</v>
          </cell>
        </row>
        <row r="2189">
          <cell r="D2189" t="e">
            <v>#N/A</v>
          </cell>
          <cell r="E2189">
            <v>103204004</v>
          </cell>
          <cell r="F2189">
            <v>89877</v>
          </cell>
          <cell r="G2189">
            <v>89881</v>
          </cell>
        </row>
        <row r="2190">
          <cell r="D2190" t="e">
            <v>#N/A</v>
          </cell>
          <cell r="E2190">
            <v>103204004</v>
          </cell>
          <cell r="F2190">
            <v>89877</v>
          </cell>
          <cell r="G2190">
            <v>89881</v>
          </cell>
        </row>
        <row r="2191">
          <cell r="D2191" t="e">
            <v>#N/A</v>
          </cell>
          <cell r="E2191">
            <v>103204004</v>
          </cell>
          <cell r="F2191">
            <v>89877</v>
          </cell>
          <cell r="G2191">
            <v>89881</v>
          </cell>
        </row>
        <row r="2192">
          <cell r="D2192" t="str">
            <v>CDC-13861</v>
          </cell>
          <cell r="E2192">
            <v>103204005</v>
          </cell>
          <cell r="F2192">
            <v>89877</v>
          </cell>
          <cell r="G2192">
            <v>89882</v>
          </cell>
        </row>
        <row r="2193">
          <cell r="D2193" t="str">
            <v>CDC-13861</v>
          </cell>
          <cell r="E2193">
            <v>103204005</v>
          </cell>
          <cell r="F2193">
            <v>89877</v>
          </cell>
          <cell r="G2193">
            <v>89882</v>
          </cell>
        </row>
        <row r="2194">
          <cell r="D2194" t="str">
            <v>CDC-13861</v>
          </cell>
          <cell r="E2194">
            <v>103204005</v>
          </cell>
          <cell r="F2194">
            <v>89877</v>
          </cell>
          <cell r="G2194">
            <v>89882</v>
          </cell>
        </row>
        <row r="2195">
          <cell r="D2195" t="str">
            <v>CDC-13861</v>
          </cell>
          <cell r="E2195">
            <v>103204005</v>
          </cell>
          <cell r="F2195">
            <v>89877</v>
          </cell>
          <cell r="G2195">
            <v>89882</v>
          </cell>
        </row>
        <row r="2196">
          <cell r="D2196" t="str">
            <v>CDC-13841</v>
          </cell>
          <cell r="E2196">
            <v>103204007</v>
          </cell>
          <cell r="F2196">
            <v>89877</v>
          </cell>
          <cell r="G2196">
            <v>89884</v>
          </cell>
        </row>
        <row r="2197">
          <cell r="D2197" t="str">
            <v>CDC-13841</v>
          </cell>
          <cell r="E2197">
            <v>103204007</v>
          </cell>
          <cell r="F2197">
            <v>89877</v>
          </cell>
          <cell r="G2197">
            <v>89884</v>
          </cell>
        </row>
        <row r="2198">
          <cell r="D2198" t="str">
            <v>CDC-13841</v>
          </cell>
          <cell r="E2198">
            <v>103204007</v>
          </cell>
          <cell r="F2198">
            <v>89877</v>
          </cell>
          <cell r="G2198">
            <v>89884</v>
          </cell>
        </row>
        <row r="2199">
          <cell r="D2199" t="str">
            <v>CDC-13841</v>
          </cell>
          <cell r="E2199">
            <v>103204007</v>
          </cell>
          <cell r="F2199">
            <v>89877</v>
          </cell>
          <cell r="G2199">
            <v>89884</v>
          </cell>
        </row>
        <row r="2200">
          <cell r="D2200" t="e">
            <v>#N/A</v>
          </cell>
          <cell r="E2200">
            <v>103204017</v>
          </cell>
          <cell r="F2200">
            <v>89877</v>
          </cell>
          <cell r="G2200">
            <v>92046</v>
          </cell>
        </row>
        <row r="2201">
          <cell r="D2201" t="e">
            <v>#N/A</v>
          </cell>
          <cell r="E2201">
            <v>103204017</v>
          </cell>
          <cell r="F2201">
            <v>89877</v>
          </cell>
          <cell r="G2201">
            <v>92046</v>
          </cell>
        </row>
        <row r="2202">
          <cell r="D2202" t="e">
            <v>#N/A</v>
          </cell>
          <cell r="E2202">
            <v>103204017</v>
          </cell>
          <cell r="F2202">
            <v>89877</v>
          </cell>
          <cell r="G2202">
            <v>92046</v>
          </cell>
        </row>
        <row r="2203">
          <cell r="D2203" t="str">
            <v>CDC-13848</v>
          </cell>
          <cell r="E2203">
            <v>103204008</v>
          </cell>
          <cell r="F2203">
            <v>89877</v>
          </cell>
          <cell r="G2203">
            <v>89885</v>
          </cell>
        </row>
        <row r="2204">
          <cell r="D2204" t="str">
            <v>CDC-13848</v>
          </cell>
          <cell r="E2204">
            <v>103204008</v>
          </cell>
          <cell r="F2204">
            <v>89877</v>
          </cell>
          <cell r="G2204">
            <v>89885</v>
          </cell>
        </row>
        <row r="2205">
          <cell r="D2205" t="str">
            <v>CDC-13848</v>
          </cell>
          <cell r="E2205">
            <v>103204008</v>
          </cell>
          <cell r="F2205">
            <v>89877</v>
          </cell>
          <cell r="G2205">
            <v>89885</v>
          </cell>
        </row>
        <row r="2206">
          <cell r="D2206" t="str">
            <v>CDC-13848</v>
          </cell>
          <cell r="E2206">
            <v>103204008</v>
          </cell>
          <cell r="F2206">
            <v>89877</v>
          </cell>
          <cell r="G2206">
            <v>89885</v>
          </cell>
        </row>
        <row r="2207">
          <cell r="D2207" t="str">
            <v>CDC-13849</v>
          </cell>
          <cell r="E2207">
            <v>103204009</v>
          </cell>
          <cell r="F2207">
            <v>89877</v>
          </cell>
          <cell r="G2207">
            <v>89886</v>
          </cell>
        </row>
        <row r="2208">
          <cell r="D2208" t="str">
            <v>CDC-13849</v>
          </cell>
          <cell r="E2208">
            <v>103204009</v>
          </cell>
          <cell r="F2208">
            <v>89877</v>
          </cell>
          <cell r="G2208">
            <v>89886</v>
          </cell>
        </row>
        <row r="2209">
          <cell r="D2209" t="str">
            <v>CDC-13849</v>
          </cell>
          <cell r="E2209">
            <v>103204009</v>
          </cell>
          <cell r="F2209">
            <v>89877</v>
          </cell>
          <cell r="G2209">
            <v>89886</v>
          </cell>
        </row>
        <row r="2210">
          <cell r="D2210" t="str">
            <v>CDC-13849</v>
          </cell>
          <cell r="E2210">
            <v>103204009</v>
          </cell>
          <cell r="F2210">
            <v>89877</v>
          </cell>
          <cell r="G2210">
            <v>89886</v>
          </cell>
        </row>
        <row r="2211">
          <cell r="D2211" t="str">
            <v>CDC-13853</v>
          </cell>
          <cell r="E2211">
            <v>103204010</v>
          </cell>
          <cell r="F2211">
            <v>89877</v>
          </cell>
          <cell r="G2211">
            <v>89887</v>
          </cell>
        </row>
        <row r="2212">
          <cell r="D2212" t="str">
            <v>CDC-13853</v>
          </cell>
          <cell r="E2212">
            <v>103204010</v>
          </cell>
          <cell r="F2212">
            <v>89877</v>
          </cell>
          <cell r="G2212">
            <v>89887</v>
          </cell>
        </row>
        <row r="2213">
          <cell r="D2213" t="str">
            <v>CDC-13853</v>
          </cell>
          <cell r="E2213">
            <v>103204010</v>
          </cell>
          <cell r="F2213">
            <v>89877</v>
          </cell>
          <cell r="G2213">
            <v>89887</v>
          </cell>
        </row>
        <row r="2214">
          <cell r="D2214" t="e">
            <v>#N/A</v>
          </cell>
          <cell r="E2214">
            <v>103204018</v>
          </cell>
          <cell r="F2214">
            <v>89877</v>
          </cell>
          <cell r="G2214">
            <v>92678</v>
          </cell>
        </row>
        <row r="2215">
          <cell r="D2215" t="e">
            <v>#N/A</v>
          </cell>
          <cell r="E2215">
            <v>103204018</v>
          </cell>
          <cell r="F2215">
            <v>89877</v>
          </cell>
          <cell r="G2215">
            <v>92678</v>
          </cell>
        </row>
        <row r="2216">
          <cell r="D2216" t="e">
            <v>#N/A</v>
          </cell>
          <cell r="E2216">
            <v>103204018</v>
          </cell>
          <cell r="F2216">
            <v>89877</v>
          </cell>
          <cell r="G2216">
            <v>92678</v>
          </cell>
        </row>
        <row r="2217">
          <cell r="D2217" t="e">
            <v>#N/A</v>
          </cell>
          <cell r="E2217">
            <v>103204018</v>
          </cell>
          <cell r="F2217">
            <v>89877</v>
          </cell>
          <cell r="G2217">
            <v>92678</v>
          </cell>
        </row>
        <row r="2218">
          <cell r="D2218" t="str">
            <v>CDC-13846</v>
          </cell>
          <cell r="E2218">
            <v>103204011</v>
          </cell>
          <cell r="F2218">
            <v>89877</v>
          </cell>
          <cell r="G2218">
            <v>89888</v>
          </cell>
        </row>
        <row r="2219">
          <cell r="D2219" t="str">
            <v>CDC-13846</v>
          </cell>
          <cell r="E2219">
            <v>103204011</v>
          </cell>
          <cell r="F2219">
            <v>89877</v>
          </cell>
          <cell r="G2219">
            <v>89888</v>
          </cell>
        </row>
        <row r="2220">
          <cell r="D2220" t="str">
            <v>CDC-13846</v>
          </cell>
          <cell r="E2220">
            <v>103204011</v>
          </cell>
          <cell r="F2220">
            <v>89877</v>
          </cell>
          <cell r="G2220">
            <v>89888</v>
          </cell>
        </row>
        <row r="2221">
          <cell r="D2221" t="str">
            <v>CDC-13846</v>
          </cell>
          <cell r="E2221">
            <v>103204011</v>
          </cell>
          <cell r="F2221">
            <v>89877</v>
          </cell>
          <cell r="G2221">
            <v>89888</v>
          </cell>
        </row>
        <row r="2222">
          <cell r="D2222" t="str">
            <v>CDC-13852</v>
          </cell>
          <cell r="E2222">
            <v>103204012</v>
          </cell>
          <cell r="F2222">
            <v>89877</v>
          </cell>
          <cell r="G2222">
            <v>89889</v>
          </cell>
        </row>
        <row r="2223">
          <cell r="D2223" t="str">
            <v>CDC-13852</v>
          </cell>
          <cell r="E2223">
            <v>103204012</v>
          </cell>
          <cell r="F2223">
            <v>89877</v>
          </cell>
          <cell r="G2223">
            <v>89889</v>
          </cell>
        </row>
        <row r="2224">
          <cell r="D2224" t="str">
            <v>CDC-13852</v>
          </cell>
          <cell r="E2224">
            <v>103204012</v>
          </cell>
          <cell r="F2224">
            <v>89877</v>
          </cell>
          <cell r="G2224">
            <v>89889</v>
          </cell>
        </row>
        <row r="2225">
          <cell r="D2225" t="str">
            <v>CDC-13852</v>
          </cell>
          <cell r="E2225">
            <v>103204012</v>
          </cell>
          <cell r="F2225">
            <v>89877</v>
          </cell>
          <cell r="G2225">
            <v>89889</v>
          </cell>
        </row>
        <row r="2226">
          <cell r="D2226" t="str">
            <v>CDC-13843</v>
          </cell>
          <cell r="E2226">
            <v>103204016</v>
          </cell>
          <cell r="F2226">
            <v>89877</v>
          </cell>
          <cell r="G2226">
            <v>90936</v>
          </cell>
        </row>
        <row r="2227">
          <cell r="D2227" t="str">
            <v>CDC-13843</v>
          </cell>
          <cell r="E2227">
            <v>103204016</v>
          </cell>
          <cell r="F2227">
            <v>89877</v>
          </cell>
          <cell r="G2227">
            <v>90936</v>
          </cell>
        </row>
        <row r="2228">
          <cell r="D2228" t="str">
            <v>CDC-13843</v>
          </cell>
          <cell r="E2228">
            <v>103204016</v>
          </cell>
          <cell r="F2228">
            <v>89877</v>
          </cell>
          <cell r="G2228">
            <v>90936</v>
          </cell>
        </row>
        <row r="2229">
          <cell r="D2229" t="e">
            <v>#N/A</v>
          </cell>
          <cell r="E2229">
            <v>103204014</v>
          </cell>
          <cell r="F2229">
            <v>89877</v>
          </cell>
          <cell r="G2229">
            <v>90187</v>
          </cell>
        </row>
        <row r="2230">
          <cell r="D2230" t="e">
            <v>#N/A</v>
          </cell>
          <cell r="E2230">
            <v>103204014</v>
          </cell>
          <cell r="F2230">
            <v>89877</v>
          </cell>
          <cell r="G2230">
            <v>90187</v>
          </cell>
        </row>
        <row r="2231">
          <cell r="D2231" t="e">
            <v>#N/A</v>
          </cell>
          <cell r="E2231">
            <v>103204014</v>
          </cell>
          <cell r="F2231">
            <v>89877</v>
          </cell>
          <cell r="G2231">
            <v>90187</v>
          </cell>
        </row>
        <row r="2232">
          <cell r="D2232" t="str">
            <v>CDC-13839</v>
          </cell>
          <cell r="E2232">
            <v>103204013</v>
          </cell>
          <cell r="F2232">
            <v>89877</v>
          </cell>
          <cell r="G2232">
            <v>89890</v>
          </cell>
        </row>
        <row r="2233">
          <cell r="D2233" t="str">
            <v>CDC-13839</v>
          </cell>
          <cell r="E2233">
            <v>103204013</v>
          </cell>
          <cell r="F2233">
            <v>89877</v>
          </cell>
          <cell r="G2233">
            <v>89890</v>
          </cell>
        </row>
        <row r="2234">
          <cell r="D2234" t="str">
            <v>CDC-13839</v>
          </cell>
          <cell r="E2234">
            <v>103204013</v>
          </cell>
          <cell r="F2234">
            <v>89877</v>
          </cell>
          <cell r="G2234">
            <v>89890</v>
          </cell>
        </row>
        <row r="2235">
          <cell r="D2235" t="str">
            <v>CDC-13839</v>
          </cell>
          <cell r="E2235">
            <v>103204013</v>
          </cell>
          <cell r="F2235">
            <v>89877</v>
          </cell>
          <cell r="G2235">
            <v>89890</v>
          </cell>
        </row>
        <row r="2236">
          <cell r="D2236" t="e">
            <v>#N/A</v>
          </cell>
          <cell r="E2236">
            <v>103204020</v>
          </cell>
          <cell r="F2236">
            <v>89877</v>
          </cell>
          <cell r="G2236">
            <v>286685</v>
          </cell>
        </row>
        <row r="2237">
          <cell r="D2237" t="e">
            <v>#N/A</v>
          </cell>
          <cell r="E2237">
            <v>103204020</v>
          </cell>
          <cell r="F2237">
            <v>89877</v>
          </cell>
          <cell r="G2237">
            <v>286685</v>
          </cell>
        </row>
        <row r="2238">
          <cell r="D2238" t="e">
            <v>#N/A</v>
          </cell>
          <cell r="E2238">
            <v>103204020</v>
          </cell>
          <cell r="F2238">
            <v>89877</v>
          </cell>
          <cell r="G2238">
            <v>286685</v>
          </cell>
        </row>
        <row r="2239">
          <cell r="D2239" t="e">
            <v>#N/A</v>
          </cell>
          <cell r="E2239">
            <v>73313001</v>
          </cell>
          <cell r="F2239">
            <v>92684</v>
          </cell>
          <cell r="G2239">
            <v>92685</v>
          </cell>
        </row>
        <row r="2240">
          <cell r="D2240" t="e">
            <v>#N/A</v>
          </cell>
          <cell r="E2240">
            <v>73313001</v>
          </cell>
          <cell r="F2240">
            <v>92684</v>
          </cell>
          <cell r="G2240">
            <v>92685</v>
          </cell>
        </row>
        <row r="2241">
          <cell r="D2241" t="e">
            <v>#N/A</v>
          </cell>
          <cell r="E2241">
            <v>73313001</v>
          </cell>
          <cell r="F2241">
            <v>92684</v>
          </cell>
          <cell r="G2241">
            <v>92685</v>
          </cell>
        </row>
        <row r="2242">
          <cell r="D2242" t="e">
            <v>#N/A</v>
          </cell>
          <cell r="E2242">
            <v>73313001</v>
          </cell>
          <cell r="F2242">
            <v>92684</v>
          </cell>
          <cell r="G2242">
            <v>92685</v>
          </cell>
        </row>
        <row r="2243">
          <cell r="D2243" t="e">
            <v>#N/A</v>
          </cell>
          <cell r="E2243">
            <v>73313001</v>
          </cell>
          <cell r="F2243">
            <v>92684</v>
          </cell>
          <cell r="G2243">
            <v>92685</v>
          </cell>
        </row>
        <row r="2244">
          <cell r="D2244" t="e">
            <v>#N/A</v>
          </cell>
          <cell r="E2244">
            <v>73313001</v>
          </cell>
          <cell r="F2244">
            <v>92684</v>
          </cell>
          <cell r="G2244">
            <v>92685</v>
          </cell>
        </row>
        <row r="2245">
          <cell r="D2245" t="e">
            <v>#N/A</v>
          </cell>
          <cell r="E2245">
            <v>73313001</v>
          </cell>
          <cell r="F2245">
            <v>92684</v>
          </cell>
          <cell r="G2245">
            <v>92685</v>
          </cell>
        </row>
        <row r="2246">
          <cell r="D2246" t="e">
            <v>#N/A</v>
          </cell>
          <cell r="E2246">
            <v>73313001</v>
          </cell>
          <cell r="F2246">
            <v>92684</v>
          </cell>
          <cell r="G2246">
            <v>92685</v>
          </cell>
        </row>
        <row r="2247">
          <cell r="D2247" t="str">
            <v>CDC-17453</v>
          </cell>
          <cell r="E2247">
            <v>23017001</v>
          </cell>
          <cell r="F2247">
            <v>22148</v>
          </cell>
          <cell r="G2247">
            <v>278198</v>
          </cell>
        </row>
        <row r="2248">
          <cell r="D2248" t="str">
            <v>CDC-17453</v>
          </cell>
          <cell r="E2248">
            <v>23017001</v>
          </cell>
          <cell r="F2248">
            <v>22148</v>
          </cell>
          <cell r="G2248">
            <v>278198</v>
          </cell>
        </row>
        <row r="2249">
          <cell r="D2249" t="str">
            <v>CDC-17453</v>
          </cell>
          <cell r="E2249">
            <v>23017001</v>
          </cell>
          <cell r="F2249">
            <v>22148</v>
          </cell>
          <cell r="G2249">
            <v>278198</v>
          </cell>
        </row>
        <row r="2250">
          <cell r="D2250" t="str">
            <v>CDC-17453</v>
          </cell>
          <cell r="E2250">
            <v>23017001</v>
          </cell>
          <cell r="F2250">
            <v>22148</v>
          </cell>
          <cell r="G2250">
            <v>278198</v>
          </cell>
        </row>
        <row r="2251">
          <cell r="D2251" t="str">
            <v>CDC-17453</v>
          </cell>
          <cell r="E2251">
            <v>23017001</v>
          </cell>
          <cell r="F2251">
            <v>22148</v>
          </cell>
          <cell r="G2251">
            <v>278198</v>
          </cell>
        </row>
        <row r="2252">
          <cell r="D2252" t="str">
            <v>CDC-17453</v>
          </cell>
          <cell r="E2252">
            <v>23017001</v>
          </cell>
          <cell r="F2252">
            <v>22148</v>
          </cell>
          <cell r="G2252">
            <v>278198</v>
          </cell>
        </row>
        <row r="2253">
          <cell r="D2253" t="str">
            <v>CDC-14782</v>
          </cell>
          <cell r="E2253">
            <v>73592001</v>
          </cell>
          <cell r="F2253">
            <v>90436</v>
          </cell>
          <cell r="G2253">
            <v>90437</v>
          </cell>
        </row>
        <row r="2254">
          <cell r="D2254" t="str">
            <v>CDC-14782</v>
          </cell>
          <cell r="E2254">
            <v>73592001</v>
          </cell>
          <cell r="F2254">
            <v>90436</v>
          </cell>
          <cell r="G2254">
            <v>90437</v>
          </cell>
        </row>
        <row r="2255">
          <cell r="D2255" t="str">
            <v>CDC-14782</v>
          </cell>
          <cell r="E2255">
            <v>73592001</v>
          </cell>
          <cell r="F2255">
            <v>90436</v>
          </cell>
          <cell r="G2255">
            <v>90437</v>
          </cell>
        </row>
        <row r="2256">
          <cell r="D2256" t="str">
            <v>CDC-14782</v>
          </cell>
          <cell r="E2256">
            <v>73592001</v>
          </cell>
          <cell r="F2256">
            <v>90436</v>
          </cell>
          <cell r="G2256">
            <v>90437</v>
          </cell>
        </row>
        <row r="2257">
          <cell r="D2257" t="str">
            <v>CDC-14782</v>
          </cell>
          <cell r="E2257">
            <v>73592001</v>
          </cell>
          <cell r="F2257">
            <v>90436</v>
          </cell>
          <cell r="G2257">
            <v>90437</v>
          </cell>
        </row>
        <row r="2258">
          <cell r="D2258" t="str">
            <v>CDC-14782</v>
          </cell>
          <cell r="E2258">
            <v>73592001</v>
          </cell>
          <cell r="F2258">
            <v>90436</v>
          </cell>
          <cell r="G2258">
            <v>90437</v>
          </cell>
        </row>
        <row r="2259">
          <cell r="D2259" t="str">
            <v>CDC-14782</v>
          </cell>
          <cell r="E2259">
            <v>73592001</v>
          </cell>
          <cell r="F2259">
            <v>90436</v>
          </cell>
          <cell r="G2259">
            <v>90437</v>
          </cell>
        </row>
        <row r="2260">
          <cell r="D2260" t="str">
            <v>CDC-14782</v>
          </cell>
          <cell r="E2260">
            <v>73592001</v>
          </cell>
          <cell r="F2260">
            <v>90436</v>
          </cell>
          <cell r="G2260">
            <v>90437</v>
          </cell>
        </row>
        <row r="2261">
          <cell r="D2261" t="str">
            <v>CDC-10827</v>
          </cell>
          <cell r="E2261">
            <v>71986001</v>
          </cell>
          <cell r="F2261">
            <v>139523</v>
          </cell>
          <cell r="G2261">
            <v>79186</v>
          </cell>
        </row>
        <row r="2262">
          <cell r="D2262" t="str">
            <v>CDC-10827</v>
          </cell>
          <cell r="E2262">
            <v>71986001</v>
          </cell>
          <cell r="F2262">
            <v>139523</v>
          </cell>
          <cell r="G2262">
            <v>79186</v>
          </cell>
        </row>
        <row r="2263">
          <cell r="D2263" t="str">
            <v>CDC-10827</v>
          </cell>
          <cell r="E2263">
            <v>71986001</v>
          </cell>
          <cell r="F2263">
            <v>139523</v>
          </cell>
          <cell r="G2263">
            <v>79186</v>
          </cell>
        </row>
        <row r="2264">
          <cell r="D2264" t="str">
            <v>CDC-10827</v>
          </cell>
          <cell r="E2264">
            <v>71986001</v>
          </cell>
          <cell r="F2264">
            <v>139523</v>
          </cell>
          <cell r="G2264">
            <v>79186</v>
          </cell>
        </row>
        <row r="2265">
          <cell r="D2265" t="str">
            <v>CDC-10827</v>
          </cell>
          <cell r="E2265">
            <v>71986001</v>
          </cell>
          <cell r="F2265">
            <v>139523</v>
          </cell>
          <cell r="G2265">
            <v>79186</v>
          </cell>
        </row>
        <row r="2266">
          <cell r="D2266" t="str">
            <v>CDC-10827</v>
          </cell>
          <cell r="E2266">
            <v>71986001</v>
          </cell>
          <cell r="F2266">
            <v>139523</v>
          </cell>
          <cell r="G2266">
            <v>79186</v>
          </cell>
        </row>
        <row r="2267">
          <cell r="D2267" t="e">
            <v>#N/A</v>
          </cell>
          <cell r="E2267">
            <v>142203002</v>
          </cell>
          <cell r="F2267">
            <v>10173</v>
          </cell>
          <cell r="G2267">
            <v>10175</v>
          </cell>
        </row>
        <row r="2268">
          <cell r="D2268" t="e">
            <v>#N/A</v>
          </cell>
          <cell r="E2268">
            <v>142203002</v>
          </cell>
          <cell r="F2268">
            <v>10173</v>
          </cell>
          <cell r="G2268">
            <v>10175</v>
          </cell>
        </row>
        <row r="2269">
          <cell r="D2269" t="e">
            <v>#N/A</v>
          </cell>
          <cell r="E2269">
            <v>142203002</v>
          </cell>
          <cell r="F2269">
            <v>10173</v>
          </cell>
          <cell r="G2269">
            <v>10175</v>
          </cell>
        </row>
        <row r="2270">
          <cell r="D2270" t="e">
            <v>#N/A</v>
          </cell>
          <cell r="E2270">
            <v>142203002</v>
          </cell>
          <cell r="F2270">
            <v>10173</v>
          </cell>
          <cell r="G2270">
            <v>10175</v>
          </cell>
        </row>
        <row r="2271">
          <cell r="D2271" t="e">
            <v>#N/A</v>
          </cell>
          <cell r="E2271">
            <v>142203002</v>
          </cell>
          <cell r="F2271">
            <v>10173</v>
          </cell>
          <cell r="G2271">
            <v>10175</v>
          </cell>
        </row>
        <row r="2272">
          <cell r="D2272" t="e">
            <v>#N/A</v>
          </cell>
          <cell r="E2272">
            <v>142203002</v>
          </cell>
          <cell r="F2272">
            <v>10173</v>
          </cell>
          <cell r="G2272">
            <v>10175</v>
          </cell>
        </row>
        <row r="2273">
          <cell r="D2273" t="e">
            <v>#N/A</v>
          </cell>
          <cell r="E2273">
            <v>142203001</v>
          </cell>
          <cell r="F2273">
            <v>10173</v>
          </cell>
          <cell r="G2273">
            <v>10174</v>
          </cell>
        </row>
        <row r="2274">
          <cell r="D2274" t="e">
            <v>#N/A</v>
          </cell>
          <cell r="E2274">
            <v>142203001</v>
          </cell>
          <cell r="F2274">
            <v>10173</v>
          </cell>
          <cell r="G2274">
            <v>10174</v>
          </cell>
        </row>
        <row r="2275">
          <cell r="D2275" t="e">
            <v>#N/A</v>
          </cell>
          <cell r="E2275">
            <v>142203001</v>
          </cell>
          <cell r="F2275">
            <v>10173</v>
          </cell>
          <cell r="G2275">
            <v>10174</v>
          </cell>
        </row>
        <row r="2276">
          <cell r="D2276" t="e">
            <v>#N/A</v>
          </cell>
          <cell r="E2276">
            <v>142203001</v>
          </cell>
          <cell r="F2276">
            <v>10173</v>
          </cell>
          <cell r="G2276">
            <v>10174</v>
          </cell>
        </row>
        <row r="2277">
          <cell r="D2277" t="e">
            <v>#N/A</v>
          </cell>
          <cell r="E2277">
            <v>142203001</v>
          </cell>
          <cell r="F2277">
            <v>10173</v>
          </cell>
          <cell r="G2277">
            <v>10174</v>
          </cell>
        </row>
        <row r="2278">
          <cell r="D2278" t="e">
            <v>#N/A</v>
          </cell>
          <cell r="E2278">
            <v>142203001</v>
          </cell>
          <cell r="F2278">
            <v>10173</v>
          </cell>
          <cell r="G2278">
            <v>10174</v>
          </cell>
        </row>
        <row r="2279">
          <cell r="D2279" t="str">
            <v>CDC-1192</v>
          </cell>
          <cell r="E2279">
            <v>73197002</v>
          </cell>
          <cell r="F2279">
            <v>9280</v>
          </cell>
          <cell r="G2279">
            <v>9282</v>
          </cell>
        </row>
        <row r="2280">
          <cell r="D2280" t="str">
            <v>CDC-1192</v>
          </cell>
          <cell r="E2280">
            <v>73197002</v>
          </cell>
          <cell r="F2280">
            <v>9280</v>
          </cell>
          <cell r="G2280">
            <v>9282</v>
          </cell>
        </row>
        <row r="2281">
          <cell r="D2281" t="str">
            <v>CDC-1192</v>
          </cell>
          <cell r="E2281">
            <v>73197002</v>
          </cell>
          <cell r="F2281">
            <v>9280</v>
          </cell>
          <cell r="G2281">
            <v>9282</v>
          </cell>
        </row>
        <row r="2282">
          <cell r="D2282" t="str">
            <v>CDC-1192</v>
          </cell>
          <cell r="E2282">
            <v>73197002</v>
          </cell>
          <cell r="F2282">
            <v>9280</v>
          </cell>
          <cell r="G2282">
            <v>9282</v>
          </cell>
        </row>
        <row r="2283">
          <cell r="D2283" t="str">
            <v>CDC-1192</v>
          </cell>
          <cell r="E2283">
            <v>73197002</v>
          </cell>
          <cell r="F2283">
            <v>9280</v>
          </cell>
          <cell r="G2283">
            <v>9282</v>
          </cell>
        </row>
        <row r="2284">
          <cell r="D2284" t="str">
            <v>CDC-1192</v>
          </cell>
          <cell r="E2284">
            <v>73197002</v>
          </cell>
          <cell r="F2284">
            <v>9280</v>
          </cell>
          <cell r="G2284">
            <v>9282</v>
          </cell>
        </row>
        <row r="2285">
          <cell r="D2285" t="str">
            <v>CDC-1192</v>
          </cell>
          <cell r="E2285">
            <v>73197002</v>
          </cell>
          <cell r="F2285">
            <v>9280</v>
          </cell>
          <cell r="G2285">
            <v>9282</v>
          </cell>
        </row>
        <row r="2286">
          <cell r="D2286" t="str">
            <v>CDC-1192</v>
          </cell>
          <cell r="E2286">
            <v>73197002</v>
          </cell>
          <cell r="F2286">
            <v>9280</v>
          </cell>
          <cell r="G2286">
            <v>9282</v>
          </cell>
        </row>
        <row r="2287">
          <cell r="D2287" t="str">
            <v>CDC-0267</v>
          </cell>
          <cell r="E2287">
            <v>73197001</v>
          </cell>
          <cell r="F2287">
            <v>9280</v>
          </cell>
          <cell r="G2287">
            <v>9281</v>
          </cell>
        </row>
        <row r="2288">
          <cell r="D2288" t="str">
            <v>CDC-0267</v>
          </cell>
          <cell r="E2288">
            <v>73197001</v>
          </cell>
          <cell r="F2288">
            <v>9280</v>
          </cell>
          <cell r="G2288">
            <v>9281</v>
          </cell>
        </row>
        <row r="2289">
          <cell r="D2289" t="str">
            <v>CDC-0267</v>
          </cell>
          <cell r="E2289">
            <v>73197001</v>
          </cell>
          <cell r="F2289">
            <v>9280</v>
          </cell>
          <cell r="G2289">
            <v>9281</v>
          </cell>
        </row>
        <row r="2290">
          <cell r="D2290" t="str">
            <v>CDC-0267</v>
          </cell>
          <cell r="E2290">
            <v>73197001</v>
          </cell>
          <cell r="F2290">
            <v>9280</v>
          </cell>
          <cell r="G2290">
            <v>9281</v>
          </cell>
        </row>
        <row r="2291">
          <cell r="D2291" t="str">
            <v>CDC-0267</v>
          </cell>
          <cell r="E2291">
            <v>73197001</v>
          </cell>
          <cell r="F2291">
            <v>9280</v>
          </cell>
          <cell r="G2291">
            <v>9281</v>
          </cell>
        </row>
        <row r="2292">
          <cell r="D2292" t="str">
            <v>CDC-0267</v>
          </cell>
          <cell r="E2292">
            <v>73197001</v>
          </cell>
          <cell r="F2292">
            <v>9280</v>
          </cell>
          <cell r="G2292">
            <v>9281</v>
          </cell>
        </row>
        <row r="2293">
          <cell r="D2293" t="str">
            <v>CDC-0267</v>
          </cell>
          <cell r="E2293">
            <v>73197001</v>
          </cell>
          <cell r="F2293">
            <v>9280</v>
          </cell>
          <cell r="G2293">
            <v>9281</v>
          </cell>
        </row>
        <row r="2294">
          <cell r="D2294" t="str">
            <v>CDC-0267</v>
          </cell>
          <cell r="E2294">
            <v>73197001</v>
          </cell>
          <cell r="F2294">
            <v>9280</v>
          </cell>
          <cell r="G2294">
            <v>9281</v>
          </cell>
        </row>
        <row r="2295">
          <cell r="D2295" t="str">
            <v>CDC-7263</v>
          </cell>
          <cell r="E2295">
            <v>73197003</v>
          </cell>
          <cell r="F2295">
            <v>9280</v>
          </cell>
          <cell r="G2295">
            <v>9283</v>
          </cell>
        </row>
        <row r="2296">
          <cell r="D2296" t="str">
            <v>CDC-7263</v>
          </cell>
          <cell r="E2296">
            <v>73197003</v>
          </cell>
          <cell r="F2296">
            <v>9280</v>
          </cell>
          <cell r="G2296">
            <v>9283</v>
          </cell>
        </row>
        <row r="2297">
          <cell r="D2297" t="str">
            <v>CDC-7263</v>
          </cell>
          <cell r="E2297">
            <v>73197003</v>
          </cell>
          <cell r="F2297">
            <v>9280</v>
          </cell>
          <cell r="G2297">
            <v>9283</v>
          </cell>
        </row>
        <row r="2298">
          <cell r="D2298" t="str">
            <v>CDC-7263</v>
          </cell>
          <cell r="E2298">
            <v>73197003</v>
          </cell>
          <cell r="F2298">
            <v>9280</v>
          </cell>
          <cell r="G2298">
            <v>9283</v>
          </cell>
        </row>
        <row r="2299">
          <cell r="D2299" t="str">
            <v>CDC-7263</v>
          </cell>
          <cell r="E2299">
            <v>73197003</v>
          </cell>
          <cell r="F2299">
            <v>9280</v>
          </cell>
          <cell r="G2299">
            <v>9283</v>
          </cell>
        </row>
        <row r="2300">
          <cell r="D2300" t="str">
            <v>CDC-7263</v>
          </cell>
          <cell r="E2300">
            <v>73197003</v>
          </cell>
          <cell r="F2300">
            <v>9280</v>
          </cell>
          <cell r="G2300">
            <v>9283</v>
          </cell>
        </row>
        <row r="2301">
          <cell r="D2301" t="str">
            <v>CDC-7263</v>
          </cell>
          <cell r="E2301">
            <v>73197003</v>
          </cell>
          <cell r="F2301">
            <v>9280</v>
          </cell>
          <cell r="G2301">
            <v>9283</v>
          </cell>
        </row>
        <row r="2302">
          <cell r="D2302" t="str">
            <v>CDC-7263</v>
          </cell>
          <cell r="E2302">
            <v>73197003</v>
          </cell>
          <cell r="F2302">
            <v>9280</v>
          </cell>
          <cell r="G2302">
            <v>9283</v>
          </cell>
        </row>
        <row r="2303">
          <cell r="D2303" t="str">
            <v>CDC-15273</v>
          </cell>
          <cell r="E2303">
            <v>103216001</v>
          </cell>
          <cell r="F2303">
            <v>90498</v>
          </cell>
          <cell r="G2303">
            <v>90499</v>
          </cell>
        </row>
        <row r="2304">
          <cell r="D2304" t="str">
            <v>CDC-15273</v>
          </cell>
          <cell r="E2304">
            <v>103216001</v>
          </cell>
          <cell r="F2304">
            <v>90498</v>
          </cell>
          <cell r="G2304">
            <v>90499</v>
          </cell>
        </row>
        <row r="2305">
          <cell r="D2305" t="str">
            <v>CDC-15273</v>
          </cell>
          <cell r="E2305">
            <v>103216001</v>
          </cell>
          <cell r="F2305">
            <v>90498</v>
          </cell>
          <cell r="G2305">
            <v>90499</v>
          </cell>
        </row>
        <row r="2306">
          <cell r="D2306" t="str">
            <v>CDC-15273</v>
          </cell>
          <cell r="E2306">
            <v>103216001</v>
          </cell>
          <cell r="F2306">
            <v>90498</v>
          </cell>
          <cell r="G2306">
            <v>90499</v>
          </cell>
        </row>
        <row r="2307">
          <cell r="D2307" t="str">
            <v>CDC-15273</v>
          </cell>
          <cell r="E2307">
            <v>103216001</v>
          </cell>
          <cell r="F2307">
            <v>90498</v>
          </cell>
          <cell r="G2307">
            <v>90499</v>
          </cell>
        </row>
        <row r="2308">
          <cell r="D2308" t="str">
            <v>CDC-15273</v>
          </cell>
          <cell r="E2308">
            <v>103216001</v>
          </cell>
          <cell r="F2308">
            <v>90498</v>
          </cell>
          <cell r="G2308">
            <v>90499</v>
          </cell>
        </row>
        <row r="2309">
          <cell r="D2309" t="str">
            <v>CDC-1194</v>
          </cell>
          <cell r="E2309">
            <v>73004001</v>
          </cell>
          <cell r="F2309">
            <v>8981</v>
          </cell>
          <cell r="G2309">
            <v>8982</v>
          </cell>
        </row>
        <row r="2310">
          <cell r="D2310" t="str">
            <v>CDC-1194</v>
          </cell>
          <cell r="E2310">
            <v>73004001</v>
          </cell>
          <cell r="F2310">
            <v>8981</v>
          </cell>
          <cell r="G2310">
            <v>8982</v>
          </cell>
        </row>
        <row r="2311">
          <cell r="D2311" t="str">
            <v>CDC-1194</v>
          </cell>
          <cell r="E2311">
            <v>73004001</v>
          </cell>
          <cell r="F2311">
            <v>8981</v>
          </cell>
          <cell r="G2311">
            <v>8982</v>
          </cell>
        </row>
        <row r="2312">
          <cell r="D2312" t="str">
            <v>CDC-1194</v>
          </cell>
          <cell r="E2312">
            <v>73004001</v>
          </cell>
          <cell r="F2312">
            <v>8981</v>
          </cell>
          <cell r="G2312">
            <v>8982</v>
          </cell>
        </row>
        <row r="2313">
          <cell r="D2313" t="str">
            <v>CDC-17274</v>
          </cell>
          <cell r="E2313">
            <v>142607017</v>
          </cell>
          <cell r="F2313">
            <v>10187</v>
          </cell>
          <cell r="G2313">
            <v>80572</v>
          </cell>
        </row>
        <row r="2314">
          <cell r="D2314" t="str">
            <v>CDC-17274</v>
          </cell>
          <cell r="E2314">
            <v>142607017</v>
          </cell>
          <cell r="F2314">
            <v>10187</v>
          </cell>
          <cell r="G2314">
            <v>80572</v>
          </cell>
        </row>
        <row r="2315">
          <cell r="D2315" t="str">
            <v>CDC-17274</v>
          </cell>
          <cell r="E2315">
            <v>142607017</v>
          </cell>
          <cell r="F2315">
            <v>10187</v>
          </cell>
          <cell r="G2315">
            <v>80572</v>
          </cell>
        </row>
        <row r="2316">
          <cell r="D2316" t="str">
            <v>CDC-17274</v>
          </cell>
          <cell r="E2316">
            <v>142607017</v>
          </cell>
          <cell r="F2316">
            <v>10187</v>
          </cell>
          <cell r="G2316">
            <v>80572</v>
          </cell>
        </row>
        <row r="2317">
          <cell r="D2317" t="str">
            <v>CDC-17274</v>
          </cell>
          <cell r="E2317">
            <v>142607017</v>
          </cell>
          <cell r="F2317">
            <v>10187</v>
          </cell>
          <cell r="G2317">
            <v>80572</v>
          </cell>
        </row>
        <row r="2318">
          <cell r="D2318" t="str">
            <v>CDC-17274</v>
          </cell>
          <cell r="E2318">
            <v>142607017</v>
          </cell>
          <cell r="F2318">
            <v>10187</v>
          </cell>
          <cell r="G2318">
            <v>80572</v>
          </cell>
        </row>
        <row r="2319">
          <cell r="D2319" t="str">
            <v>CDC-3662</v>
          </cell>
          <cell r="E2319">
            <v>142607012</v>
          </cell>
          <cell r="F2319">
            <v>10187</v>
          </cell>
          <cell r="G2319">
            <v>78777</v>
          </cell>
        </row>
        <row r="2320">
          <cell r="D2320" t="str">
            <v>CDC-3662</v>
          </cell>
          <cell r="E2320">
            <v>142607012</v>
          </cell>
          <cell r="F2320">
            <v>10187</v>
          </cell>
          <cell r="G2320">
            <v>78777</v>
          </cell>
        </row>
        <row r="2321">
          <cell r="D2321" t="str">
            <v>CDC-3662</v>
          </cell>
          <cell r="E2321">
            <v>142607012</v>
          </cell>
          <cell r="F2321">
            <v>10187</v>
          </cell>
          <cell r="G2321">
            <v>78777</v>
          </cell>
        </row>
        <row r="2322">
          <cell r="D2322" t="str">
            <v>CDC-3662</v>
          </cell>
          <cell r="E2322">
            <v>142607012</v>
          </cell>
          <cell r="F2322">
            <v>10187</v>
          </cell>
          <cell r="G2322">
            <v>78777</v>
          </cell>
        </row>
        <row r="2323">
          <cell r="D2323" t="str">
            <v>CDC-3662</v>
          </cell>
          <cell r="E2323">
            <v>142607012</v>
          </cell>
          <cell r="F2323">
            <v>10187</v>
          </cell>
          <cell r="G2323">
            <v>78777</v>
          </cell>
        </row>
        <row r="2324">
          <cell r="D2324" t="str">
            <v>CDC-3662</v>
          </cell>
          <cell r="E2324">
            <v>142607012</v>
          </cell>
          <cell r="F2324">
            <v>10187</v>
          </cell>
          <cell r="G2324">
            <v>78777</v>
          </cell>
        </row>
        <row r="2325">
          <cell r="D2325" t="str">
            <v>CDC-5122</v>
          </cell>
          <cell r="E2325">
            <v>142607008</v>
          </cell>
          <cell r="F2325">
            <v>10187</v>
          </cell>
          <cell r="G2325">
            <v>91271</v>
          </cell>
        </row>
        <row r="2326">
          <cell r="D2326" t="str">
            <v>CDC-5122</v>
          </cell>
          <cell r="E2326">
            <v>142607008</v>
          </cell>
          <cell r="F2326">
            <v>10187</v>
          </cell>
          <cell r="G2326">
            <v>91271</v>
          </cell>
        </row>
        <row r="2327">
          <cell r="D2327" t="str">
            <v>CDC-5122</v>
          </cell>
          <cell r="E2327">
            <v>142607008</v>
          </cell>
          <cell r="F2327">
            <v>10187</v>
          </cell>
          <cell r="G2327">
            <v>91271</v>
          </cell>
        </row>
        <row r="2328">
          <cell r="D2328" t="str">
            <v>CDC-5122</v>
          </cell>
          <cell r="E2328">
            <v>142607008</v>
          </cell>
          <cell r="F2328">
            <v>10187</v>
          </cell>
          <cell r="G2328">
            <v>91271</v>
          </cell>
        </row>
        <row r="2329">
          <cell r="D2329" t="str">
            <v>CDC-5122</v>
          </cell>
          <cell r="E2329">
            <v>142607008</v>
          </cell>
          <cell r="F2329">
            <v>10187</v>
          </cell>
          <cell r="G2329">
            <v>91271</v>
          </cell>
        </row>
        <row r="2330">
          <cell r="D2330" t="str">
            <v>CDC-5122</v>
          </cell>
          <cell r="E2330">
            <v>142607008</v>
          </cell>
          <cell r="F2330">
            <v>10187</v>
          </cell>
          <cell r="G2330">
            <v>91271</v>
          </cell>
        </row>
        <row r="2331">
          <cell r="D2331" t="str">
            <v>CDC-14690</v>
          </cell>
          <cell r="E2331">
            <v>142607021</v>
          </cell>
          <cell r="F2331">
            <v>10187</v>
          </cell>
          <cell r="G2331">
            <v>90414</v>
          </cell>
        </row>
        <row r="2332">
          <cell r="D2332" t="str">
            <v>CDC-14690</v>
          </cell>
          <cell r="E2332">
            <v>142607021</v>
          </cell>
          <cell r="F2332">
            <v>10187</v>
          </cell>
          <cell r="G2332">
            <v>90414</v>
          </cell>
        </row>
        <row r="2333">
          <cell r="D2333" t="str">
            <v>CDC-14690</v>
          </cell>
          <cell r="E2333">
            <v>142607021</v>
          </cell>
          <cell r="F2333">
            <v>10187</v>
          </cell>
          <cell r="G2333">
            <v>90414</v>
          </cell>
        </row>
        <row r="2334">
          <cell r="D2334" t="str">
            <v>CDC-14690</v>
          </cell>
          <cell r="E2334">
            <v>142607021</v>
          </cell>
          <cell r="F2334">
            <v>10187</v>
          </cell>
          <cell r="G2334">
            <v>90414</v>
          </cell>
        </row>
        <row r="2335">
          <cell r="D2335" t="str">
            <v>CDC-14690</v>
          </cell>
          <cell r="E2335">
            <v>142607021</v>
          </cell>
          <cell r="F2335">
            <v>10187</v>
          </cell>
          <cell r="G2335">
            <v>90414</v>
          </cell>
        </row>
        <row r="2336">
          <cell r="D2336" t="str">
            <v>CDC-14690</v>
          </cell>
          <cell r="E2336">
            <v>142607021</v>
          </cell>
          <cell r="F2336">
            <v>10187</v>
          </cell>
          <cell r="G2336">
            <v>90414</v>
          </cell>
        </row>
        <row r="2337">
          <cell r="D2337" t="str">
            <v>CDC-5352</v>
          </cell>
          <cell r="E2337">
            <v>142607016</v>
          </cell>
          <cell r="F2337">
            <v>10187</v>
          </cell>
          <cell r="G2337">
            <v>80571</v>
          </cell>
        </row>
        <row r="2338">
          <cell r="D2338" t="str">
            <v>CDC-5352</v>
          </cell>
          <cell r="E2338">
            <v>142607016</v>
          </cell>
          <cell r="F2338">
            <v>10187</v>
          </cell>
          <cell r="G2338">
            <v>80571</v>
          </cell>
        </row>
        <row r="2339">
          <cell r="D2339" t="str">
            <v>CDC-5352</v>
          </cell>
          <cell r="E2339">
            <v>142607016</v>
          </cell>
          <cell r="F2339">
            <v>10187</v>
          </cell>
          <cell r="G2339">
            <v>80571</v>
          </cell>
        </row>
        <row r="2340">
          <cell r="D2340" t="str">
            <v>CDC-5352</v>
          </cell>
          <cell r="E2340">
            <v>142607016</v>
          </cell>
          <cell r="F2340">
            <v>10187</v>
          </cell>
          <cell r="G2340">
            <v>80571</v>
          </cell>
        </row>
        <row r="2341">
          <cell r="D2341" t="str">
            <v>CDC-5352</v>
          </cell>
          <cell r="E2341">
            <v>142607016</v>
          </cell>
          <cell r="F2341">
            <v>10187</v>
          </cell>
          <cell r="G2341">
            <v>80571</v>
          </cell>
        </row>
        <row r="2342">
          <cell r="D2342" t="str">
            <v>CDC-5352</v>
          </cell>
          <cell r="E2342">
            <v>142607016</v>
          </cell>
          <cell r="F2342">
            <v>10187</v>
          </cell>
          <cell r="G2342">
            <v>80571</v>
          </cell>
        </row>
        <row r="2343">
          <cell r="D2343" t="str">
            <v>CDC-4753</v>
          </cell>
          <cell r="E2343">
            <v>142607004</v>
          </cell>
          <cell r="F2343">
            <v>10187</v>
          </cell>
          <cell r="G2343">
            <v>10191</v>
          </cell>
        </row>
        <row r="2344">
          <cell r="D2344" t="str">
            <v>CDC-4753</v>
          </cell>
          <cell r="E2344">
            <v>142607004</v>
          </cell>
          <cell r="F2344">
            <v>10187</v>
          </cell>
          <cell r="G2344">
            <v>10191</v>
          </cell>
        </row>
        <row r="2345">
          <cell r="D2345" t="str">
            <v>CDC-4753</v>
          </cell>
          <cell r="E2345">
            <v>142607004</v>
          </cell>
          <cell r="F2345">
            <v>10187</v>
          </cell>
          <cell r="G2345">
            <v>10191</v>
          </cell>
        </row>
        <row r="2346">
          <cell r="D2346" t="str">
            <v>CDC-4753</v>
          </cell>
          <cell r="E2346">
            <v>142607004</v>
          </cell>
          <cell r="F2346">
            <v>10187</v>
          </cell>
          <cell r="G2346">
            <v>10191</v>
          </cell>
        </row>
        <row r="2347">
          <cell r="D2347" t="str">
            <v>CDC-4753</v>
          </cell>
          <cell r="E2347">
            <v>142607004</v>
          </cell>
          <cell r="F2347">
            <v>10187</v>
          </cell>
          <cell r="G2347">
            <v>10191</v>
          </cell>
        </row>
        <row r="2348">
          <cell r="D2348" t="str">
            <v>CDC-4753</v>
          </cell>
          <cell r="E2348">
            <v>142607004</v>
          </cell>
          <cell r="F2348">
            <v>10187</v>
          </cell>
          <cell r="G2348">
            <v>10191</v>
          </cell>
        </row>
        <row r="2349">
          <cell r="D2349" t="str">
            <v>CDC-3859</v>
          </cell>
          <cell r="E2349">
            <v>142607018</v>
          </cell>
          <cell r="F2349">
            <v>10187</v>
          </cell>
          <cell r="G2349">
            <v>80573</v>
          </cell>
        </row>
        <row r="2350">
          <cell r="D2350" t="str">
            <v>CDC-3859</v>
          </cell>
          <cell r="E2350">
            <v>142607018</v>
          </cell>
          <cell r="F2350">
            <v>10187</v>
          </cell>
          <cell r="G2350">
            <v>80573</v>
          </cell>
        </row>
        <row r="2351">
          <cell r="D2351" t="str">
            <v>CDC-3859</v>
          </cell>
          <cell r="E2351">
            <v>142607018</v>
          </cell>
          <cell r="F2351">
            <v>10187</v>
          </cell>
          <cell r="G2351">
            <v>80573</v>
          </cell>
        </row>
        <row r="2352">
          <cell r="D2352" t="str">
            <v>CDC-3859</v>
          </cell>
          <cell r="E2352">
            <v>142607018</v>
          </cell>
          <cell r="F2352">
            <v>10187</v>
          </cell>
          <cell r="G2352">
            <v>80573</v>
          </cell>
        </row>
        <row r="2353">
          <cell r="D2353" t="str">
            <v>CDC-3859</v>
          </cell>
          <cell r="E2353">
            <v>142607018</v>
          </cell>
          <cell r="F2353">
            <v>10187</v>
          </cell>
          <cell r="G2353">
            <v>80573</v>
          </cell>
        </row>
        <row r="2354">
          <cell r="D2354" t="str">
            <v>CDC-3859</v>
          </cell>
          <cell r="E2354">
            <v>142607018</v>
          </cell>
          <cell r="F2354">
            <v>10187</v>
          </cell>
          <cell r="G2354">
            <v>80573</v>
          </cell>
        </row>
        <row r="2355">
          <cell r="D2355" t="str">
            <v>CDC-2092</v>
          </cell>
          <cell r="E2355">
            <v>142607001</v>
          </cell>
          <cell r="F2355">
            <v>10187</v>
          </cell>
          <cell r="G2355">
            <v>10188</v>
          </cell>
        </row>
        <row r="2356">
          <cell r="D2356" t="str">
            <v>CDC-2092</v>
          </cell>
          <cell r="E2356">
            <v>142607001</v>
          </cell>
          <cell r="F2356">
            <v>10187</v>
          </cell>
          <cell r="G2356">
            <v>10188</v>
          </cell>
        </row>
        <row r="2357">
          <cell r="D2357" t="str">
            <v>CDC-2092</v>
          </cell>
          <cell r="E2357">
            <v>142607001</v>
          </cell>
          <cell r="F2357">
            <v>10187</v>
          </cell>
          <cell r="G2357">
            <v>10188</v>
          </cell>
        </row>
        <row r="2358">
          <cell r="D2358" t="str">
            <v>CDC-2092</v>
          </cell>
          <cell r="E2358">
            <v>142607001</v>
          </cell>
          <cell r="F2358">
            <v>10187</v>
          </cell>
          <cell r="G2358">
            <v>10188</v>
          </cell>
        </row>
        <row r="2359">
          <cell r="D2359" t="str">
            <v>CDC-2092</v>
          </cell>
          <cell r="E2359">
            <v>142607001</v>
          </cell>
          <cell r="F2359">
            <v>10187</v>
          </cell>
          <cell r="G2359">
            <v>10188</v>
          </cell>
        </row>
        <row r="2360">
          <cell r="D2360" t="str">
            <v>CDC-2092</v>
          </cell>
          <cell r="E2360">
            <v>142607001</v>
          </cell>
          <cell r="F2360">
            <v>10187</v>
          </cell>
          <cell r="G2360">
            <v>10188</v>
          </cell>
        </row>
        <row r="2361">
          <cell r="D2361" t="str">
            <v>CDC-17070</v>
          </cell>
          <cell r="E2361">
            <v>142607019</v>
          </cell>
          <cell r="F2361">
            <v>10187</v>
          </cell>
          <cell r="G2361">
            <v>80574</v>
          </cell>
        </row>
        <row r="2362">
          <cell r="D2362" t="str">
            <v>CDC-17070</v>
          </cell>
          <cell r="E2362">
            <v>142607019</v>
          </cell>
          <cell r="F2362">
            <v>10187</v>
          </cell>
          <cell r="G2362">
            <v>80574</v>
          </cell>
        </row>
        <row r="2363">
          <cell r="D2363" t="str">
            <v>CDC-17070</v>
          </cell>
          <cell r="E2363">
            <v>142607019</v>
          </cell>
          <cell r="F2363">
            <v>10187</v>
          </cell>
          <cell r="G2363">
            <v>80574</v>
          </cell>
        </row>
        <row r="2364">
          <cell r="D2364" t="str">
            <v>CDC-17070</v>
          </cell>
          <cell r="E2364">
            <v>142607019</v>
          </cell>
          <cell r="F2364">
            <v>10187</v>
          </cell>
          <cell r="G2364">
            <v>80574</v>
          </cell>
        </row>
        <row r="2365">
          <cell r="D2365" t="str">
            <v>CDC-17070</v>
          </cell>
          <cell r="E2365">
            <v>142607019</v>
          </cell>
          <cell r="F2365">
            <v>10187</v>
          </cell>
          <cell r="G2365">
            <v>80574</v>
          </cell>
        </row>
        <row r="2366">
          <cell r="D2366" t="str">
            <v>CDC-17070</v>
          </cell>
          <cell r="E2366">
            <v>142607019</v>
          </cell>
          <cell r="F2366">
            <v>10187</v>
          </cell>
          <cell r="G2366">
            <v>80574</v>
          </cell>
        </row>
        <row r="2367">
          <cell r="D2367" t="str">
            <v>CDC-5351</v>
          </cell>
          <cell r="E2367">
            <v>142607007</v>
          </cell>
          <cell r="F2367">
            <v>10187</v>
          </cell>
          <cell r="G2367">
            <v>10194</v>
          </cell>
        </row>
        <row r="2368">
          <cell r="D2368" t="str">
            <v>CDC-5351</v>
          </cell>
          <cell r="E2368">
            <v>142607007</v>
          </cell>
          <cell r="F2368">
            <v>10187</v>
          </cell>
          <cell r="G2368">
            <v>10194</v>
          </cell>
        </row>
        <row r="2369">
          <cell r="D2369" t="str">
            <v>CDC-5351</v>
          </cell>
          <cell r="E2369">
            <v>142607007</v>
          </cell>
          <cell r="F2369">
            <v>10187</v>
          </cell>
          <cell r="G2369">
            <v>10194</v>
          </cell>
        </row>
        <row r="2370">
          <cell r="D2370" t="str">
            <v>CDC-5351</v>
          </cell>
          <cell r="E2370">
            <v>142607007</v>
          </cell>
          <cell r="F2370">
            <v>10187</v>
          </cell>
          <cell r="G2370">
            <v>10194</v>
          </cell>
        </row>
        <row r="2371">
          <cell r="D2371" t="str">
            <v>CDC-5351</v>
          </cell>
          <cell r="E2371">
            <v>142607007</v>
          </cell>
          <cell r="F2371">
            <v>10187</v>
          </cell>
          <cell r="G2371">
            <v>10194</v>
          </cell>
        </row>
        <row r="2372">
          <cell r="D2372" t="str">
            <v>CDC-5351</v>
          </cell>
          <cell r="E2372">
            <v>142607007</v>
          </cell>
          <cell r="F2372">
            <v>10187</v>
          </cell>
          <cell r="G2372">
            <v>10194</v>
          </cell>
        </row>
        <row r="2373">
          <cell r="D2373" t="str">
            <v>CDC-17785</v>
          </cell>
          <cell r="E2373">
            <v>142607005</v>
          </cell>
          <cell r="F2373">
            <v>10187</v>
          </cell>
          <cell r="G2373">
            <v>10192</v>
          </cell>
        </row>
        <row r="2374">
          <cell r="D2374" t="str">
            <v>CDC-17785</v>
          </cell>
          <cell r="E2374">
            <v>142607005</v>
          </cell>
          <cell r="F2374">
            <v>10187</v>
          </cell>
          <cell r="G2374">
            <v>10192</v>
          </cell>
        </row>
        <row r="2375">
          <cell r="D2375" t="str">
            <v>CDC-17785</v>
          </cell>
          <cell r="E2375">
            <v>142607005</v>
          </cell>
          <cell r="F2375">
            <v>10187</v>
          </cell>
          <cell r="G2375">
            <v>10192</v>
          </cell>
        </row>
        <row r="2376">
          <cell r="D2376" t="str">
            <v>CDC-17785</v>
          </cell>
          <cell r="E2376">
            <v>142607005</v>
          </cell>
          <cell r="F2376">
            <v>10187</v>
          </cell>
          <cell r="G2376">
            <v>10192</v>
          </cell>
        </row>
        <row r="2377">
          <cell r="D2377" t="str">
            <v>CDC-17785</v>
          </cell>
          <cell r="E2377">
            <v>142607005</v>
          </cell>
          <cell r="F2377">
            <v>10187</v>
          </cell>
          <cell r="G2377">
            <v>10192</v>
          </cell>
        </row>
        <row r="2378">
          <cell r="D2378" t="str">
            <v>CDC-17785</v>
          </cell>
          <cell r="E2378">
            <v>142607005</v>
          </cell>
          <cell r="F2378">
            <v>10187</v>
          </cell>
          <cell r="G2378">
            <v>10192</v>
          </cell>
        </row>
        <row r="2379">
          <cell r="D2379" t="str">
            <v>CDC-4672</v>
          </cell>
          <cell r="E2379">
            <v>142607020</v>
          </cell>
          <cell r="F2379">
            <v>10187</v>
          </cell>
          <cell r="G2379">
            <v>90106</v>
          </cell>
        </row>
        <row r="2380">
          <cell r="D2380" t="str">
            <v>CDC-4672</v>
          </cell>
          <cell r="E2380">
            <v>142607020</v>
          </cell>
          <cell r="F2380">
            <v>10187</v>
          </cell>
          <cell r="G2380">
            <v>90106</v>
          </cell>
        </row>
        <row r="2381">
          <cell r="D2381" t="str">
            <v>CDC-4672</v>
          </cell>
          <cell r="E2381">
            <v>142607020</v>
          </cell>
          <cell r="F2381">
            <v>10187</v>
          </cell>
          <cell r="G2381">
            <v>90106</v>
          </cell>
        </row>
        <row r="2382">
          <cell r="D2382" t="str">
            <v>CDC-4672</v>
          </cell>
          <cell r="E2382">
            <v>142607020</v>
          </cell>
          <cell r="F2382">
            <v>10187</v>
          </cell>
          <cell r="G2382">
            <v>90106</v>
          </cell>
        </row>
        <row r="2383">
          <cell r="D2383" t="str">
            <v>CDC-4672</v>
          </cell>
          <cell r="E2383">
            <v>142607020</v>
          </cell>
          <cell r="F2383">
            <v>10187</v>
          </cell>
          <cell r="G2383">
            <v>90106</v>
          </cell>
        </row>
        <row r="2384">
          <cell r="D2384" t="str">
            <v>CDC-4672</v>
          </cell>
          <cell r="E2384">
            <v>142607020</v>
          </cell>
          <cell r="F2384">
            <v>10187</v>
          </cell>
          <cell r="G2384">
            <v>90106</v>
          </cell>
        </row>
        <row r="2385">
          <cell r="D2385" t="str">
            <v>CDC-15533</v>
          </cell>
          <cell r="E2385">
            <v>142607022</v>
          </cell>
          <cell r="F2385">
            <v>10187</v>
          </cell>
          <cell r="G2385">
            <v>90809</v>
          </cell>
        </row>
        <row r="2386">
          <cell r="D2386" t="str">
            <v>CDC-15533</v>
          </cell>
          <cell r="E2386">
            <v>142607022</v>
          </cell>
          <cell r="F2386">
            <v>10187</v>
          </cell>
          <cell r="G2386">
            <v>90809</v>
          </cell>
        </row>
        <row r="2387">
          <cell r="D2387" t="str">
            <v>CDC-15533</v>
          </cell>
          <cell r="E2387">
            <v>142607022</v>
          </cell>
          <cell r="F2387">
            <v>10187</v>
          </cell>
          <cell r="G2387">
            <v>90809</v>
          </cell>
        </row>
        <row r="2388">
          <cell r="D2388" t="str">
            <v>CDC-15533</v>
          </cell>
          <cell r="E2388">
            <v>142607022</v>
          </cell>
          <cell r="F2388">
            <v>10187</v>
          </cell>
          <cell r="G2388">
            <v>90809</v>
          </cell>
        </row>
        <row r="2389">
          <cell r="D2389" t="str">
            <v>CDC-15533</v>
          </cell>
          <cell r="E2389">
            <v>142607022</v>
          </cell>
          <cell r="F2389">
            <v>10187</v>
          </cell>
          <cell r="G2389">
            <v>90809</v>
          </cell>
        </row>
        <row r="2390">
          <cell r="D2390" t="str">
            <v>CDC-15533</v>
          </cell>
          <cell r="E2390">
            <v>142607022</v>
          </cell>
          <cell r="F2390">
            <v>10187</v>
          </cell>
          <cell r="G2390">
            <v>90809</v>
          </cell>
        </row>
        <row r="2391">
          <cell r="D2391" t="str">
            <v>CDC-3834</v>
          </cell>
          <cell r="E2391">
            <v>142607009</v>
          </cell>
          <cell r="F2391">
            <v>10187</v>
          </cell>
          <cell r="G2391">
            <v>91272</v>
          </cell>
        </row>
        <row r="2392">
          <cell r="D2392" t="str">
            <v>CDC-3834</v>
          </cell>
          <cell r="E2392">
            <v>142607009</v>
          </cell>
          <cell r="F2392">
            <v>10187</v>
          </cell>
          <cell r="G2392">
            <v>91272</v>
          </cell>
        </row>
        <row r="2393">
          <cell r="D2393" t="str">
            <v>CDC-3834</v>
          </cell>
          <cell r="E2393">
            <v>142607009</v>
          </cell>
          <cell r="F2393">
            <v>10187</v>
          </cell>
          <cell r="G2393">
            <v>91272</v>
          </cell>
        </row>
        <row r="2394">
          <cell r="D2394" t="str">
            <v>CDC-3834</v>
          </cell>
          <cell r="E2394">
            <v>142607009</v>
          </cell>
          <cell r="F2394">
            <v>10187</v>
          </cell>
          <cell r="G2394">
            <v>91272</v>
          </cell>
        </row>
        <row r="2395">
          <cell r="D2395" t="str">
            <v>CDC-3834</v>
          </cell>
          <cell r="E2395">
            <v>142607009</v>
          </cell>
          <cell r="F2395">
            <v>10187</v>
          </cell>
          <cell r="G2395">
            <v>91272</v>
          </cell>
        </row>
        <row r="2396">
          <cell r="D2396" t="str">
            <v>CDC-3834</v>
          </cell>
          <cell r="E2396">
            <v>142607009</v>
          </cell>
          <cell r="F2396">
            <v>10187</v>
          </cell>
          <cell r="G2396">
            <v>91272</v>
          </cell>
        </row>
        <row r="2397">
          <cell r="D2397" t="str">
            <v>CDC-17123</v>
          </cell>
          <cell r="E2397">
            <v>142607025</v>
          </cell>
          <cell r="F2397">
            <v>10187</v>
          </cell>
          <cell r="G2397">
            <v>92668</v>
          </cell>
        </row>
        <row r="2398">
          <cell r="D2398" t="str">
            <v>CDC-17123</v>
          </cell>
          <cell r="E2398">
            <v>142607025</v>
          </cell>
          <cell r="F2398">
            <v>10187</v>
          </cell>
          <cell r="G2398">
            <v>92668</v>
          </cell>
        </row>
        <row r="2399">
          <cell r="D2399" t="str">
            <v>CDC-17123</v>
          </cell>
          <cell r="E2399">
            <v>142607025</v>
          </cell>
          <cell r="F2399">
            <v>10187</v>
          </cell>
          <cell r="G2399">
            <v>92668</v>
          </cell>
        </row>
        <row r="2400">
          <cell r="D2400" t="str">
            <v>CDC-17123</v>
          </cell>
          <cell r="E2400">
            <v>142607025</v>
          </cell>
          <cell r="F2400">
            <v>10187</v>
          </cell>
          <cell r="G2400">
            <v>92668</v>
          </cell>
        </row>
        <row r="2401">
          <cell r="D2401" t="str">
            <v>CDC-17123</v>
          </cell>
          <cell r="E2401">
            <v>142607025</v>
          </cell>
          <cell r="F2401">
            <v>10187</v>
          </cell>
          <cell r="G2401">
            <v>92668</v>
          </cell>
        </row>
        <row r="2402">
          <cell r="D2402" t="str">
            <v>CDC-17123</v>
          </cell>
          <cell r="E2402">
            <v>142607025</v>
          </cell>
          <cell r="F2402">
            <v>10187</v>
          </cell>
          <cell r="G2402">
            <v>92668</v>
          </cell>
        </row>
        <row r="2403">
          <cell r="D2403" t="str">
            <v>CDC-17734</v>
          </cell>
          <cell r="E2403">
            <v>142607026</v>
          </cell>
          <cell r="F2403">
            <v>10187</v>
          </cell>
          <cell r="G2403">
            <v>647485</v>
          </cell>
        </row>
        <row r="2404">
          <cell r="D2404" t="str">
            <v>CDC-17734</v>
          </cell>
          <cell r="E2404">
            <v>142607026</v>
          </cell>
          <cell r="F2404">
            <v>10187</v>
          </cell>
          <cell r="G2404">
            <v>647485</v>
          </cell>
        </row>
        <row r="2405">
          <cell r="D2405" t="str">
            <v>CDC-17734</v>
          </cell>
          <cell r="E2405">
            <v>142607026</v>
          </cell>
          <cell r="F2405">
            <v>10187</v>
          </cell>
          <cell r="G2405">
            <v>647485</v>
          </cell>
        </row>
        <row r="2406">
          <cell r="D2406" t="str">
            <v>CDC-17734</v>
          </cell>
          <cell r="E2406">
            <v>142607026</v>
          </cell>
          <cell r="F2406">
            <v>10187</v>
          </cell>
          <cell r="G2406">
            <v>647485</v>
          </cell>
        </row>
        <row r="2407">
          <cell r="D2407" t="str">
            <v>CDC-17734</v>
          </cell>
          <cell r="E2407">
            <v>142607026</v>
          </cell>
          <cell r="F2407">
            <v>10187</v>
          </cell>
          <cell r="G2407">
            <v>647485</v>
          </cell>
        </row>
        <row r="2408">
          <cell r="D2408" t="str">
            <v>CDC-17734</v>
          </cell>
          <cell r="E2408">
            <v>142607026</v>
          </cell>
          <cell r="F2408">
            <v>10187</v>
          </cell>
          <cell r="G2408">
            <v>647485</v>
          </cell>
        </row>
        <row r="2409">
          <cell r="D2409" t="str">
            <v>CDC-3736</v>
          </cell>
          <cell r="E2409">
            <v>142607010</v>
          </cell>
          <cell r="F2409">
            <v>10187</v>
          </cell>
          <cell r="G2409">
            <v>10195</v>
          </cell>
        </row>
        <row r="2410">
          <cell r="D2410" t="str">
            <v>CDC-3736</v>
          </cell>
          <cell r="E2410">
            <v>142607010</v>
          </cell>
          <cell r="F2410">
            <v>10187</v>
          </cell>
          <cell r="G2410">
            <v>10195</v>
          </cell>
        </row>
        <row r="2411">
          <cell r="D2411" t="str">
            <v>CDC-3736</v>
          </cell>
          <cell r="E2411">
            <v>142607010</v>
          </cell>
          <cell r="F2411">
            <v>10187</v>
          </cell>
          <cell r="G2411">
            <v>10195</v>
          </cell>
        </row>
        <row r="2412">
          <cell r="D2412" t="str">
            <v>CDC-3736</v>
          </cell>
          <cell r="E2412">
            <v>142607010</v>
          </cell>
          <cell r="F2412">
            <v>10187</v>
          </cell>
          <cell r="G2412">
            <v>10195</v>
          </cell>
        </row>
        <row r="2413">
          <cell r="D2413" t="str">
            <v>CDC-3736</v>
          </cell>
          <cell r="E2413">
            <v>142607010</v>
          </cell>
          <cell r="F2413">
            <v>10187</v>
          </cell>
          <cell r="G2413">
            <v>10195</v>
          </cell>
        </row>
        <row r="2414">
          <cell r="D2414" t="str">
            <v>CDC-3736</v>
          </cell>
          <cell r="E2414">
            <v>142607010</v>
          </cell>
          <cell r="F2414">
            <v>10187</v>
          </cell>
          <cell r="G2414">
            <v>10195</v>
          </cell>
        </row>
        <row r="2415">
          <cell r="D2415" t="str">
            <v>CDC-2008</v>
          </cell>
          <cell r="E2415">
            <v>142607002</v>
          </cell>
          <cell r="F2415">
            <v>10187</v>
          </cell>
          <cell r="G2415">
            <v>10189</v>
          </cell>
        </row>
        <row r="2416">
          <cell r="D2416" t="str">
            <v>CDC-2008</v>
          </cell>
          <cell r="E2416">
            <v>142607002</v>
          </cell>
          <cell r="F2416">
            <v>10187</v>
          </cell>
          <cell r="G2416">
            <v>10189</v>
          </cell>
        </row>
        <row r="2417">
          <cell r="D2417" t="str">
            <v>CDC-2008</v>
          </cell>
          <cell r="E2417">
            <v>142607002</v>
          </cell>
          <cell r="F2417">
            <v>10187</v>
          </cell>
          <cell r="G2417">
            <v>10189</v>
          </cell>
        </row>
        <row r="2418">
          <cell r="D2418" t="str">
            <v>CDC-2008</v>
          </cell>
          <cell r="E2418">
            <v>142607002</v>
          </cell>
          <cell r="F2418">
            <v>10187</v>
          </cell>
          <cell r="G2418">
            <v>10189</v>
          </cell>
        </row>
        <row r="2419">
          <cell r="D2419" t="str">
            <v>CDC-2008</v>
          </cell>
          <cell r="E2419">
            <v>142607002</v>
          </cell>
          <cell r="F2419">
            <v>10187</v>
          </cell>
          <cell r="G2419">
            <v>10189</v>
          </cell>
        </row>
        <row r="2420">
          <cell r="D2420" t="str">
            <v>CDC-2008</v>
          </cell>
          <cell r="E2420">
            <v>142607002</v>
          </cell>
          <cell r="F2420">
            <v>10187</v>
          </cell>
          <cell r="G2420">
            <v>10189</v>
          </cell>
        </row>
        <row r="2421">
          <cell r="D2421" t="str">
            <v>CDC-18697</v>
          </cell>
          <cell r="E2421">
            <v>142607027</v>
          </cell>
          <cell r="F2421">
            <v>10187</v>
          </cell>
          <cell r="G2421">
            <v>1000316</v>
          </cell>
        </row>
        <row r="2422">
          <cell r="D2422" t="str">
            <v>CDC-18697</v>
          </cell>
          <cell r="E2422">
            <v>142607027</v>
          </cell>
          <cell r="F2422">
            <v>10187</v>
          </cell>
          <cell r="G2422">
            <v>1000316</v>
          </cell>
        </row>
        <row r="2423">
          <cell r="D2423" t="str">
            <v>CDC-18697</v>
          </cell>
          <cell r="E2423">
            <v>142607027</v>
          </cell>
          <cell r="F2423">
            <v>10187</v>
          </cell>
          <cell r="G2423">
            <v>1000316</v>
          </cell>
        </row>
        <row r="2424">
          <cell r="D2424" t="str">
            <v>CDC-18697</v>
          </cell>
          <cell r="E2424">
            <v>142607027</v>
          </cell>
          <cell r="F2424">
            <v>10187</v>
          </cell>
          <cell r="G2424">
            <v>1000316</v>
          </cell>
        </row>
        <row r="2425">
          <cell r="D2425" t="str">
            <v>CDC-18697</v>
          </cell>
          <cell r="E2425">
            <v>142607027</v>
          </cell>
          <cell r="F2425">
            <v>10187</v>
          </cell>
          <cell r="G2425">
            <v>1000316</v>
          </cell>
        </row>
        <row r="2426">
          <cell r="D2426" t="str">
            <v>CDC-18697</v>
          </cell>
          <cell r="E2426">
            <v>142607027</v>
          </cell>
          <cell r="F2426">
            <v>10187</v>
          </cell>
          <cell r="G2426">
            <v>1000316</v>
          </cell>
        </row>
        <row r="2427">
          <cell r="D2427" t="str">
            <v>CDC-4596</v>
          </cell>
          <cell r="E2427">
            <v>142607011</v>
          </cell>
          <cell r="F2427">
            <v>10187</v>
          </cell>
          <cell r="G2427">
            <v>10196</v>
          </cell>
        </row>
        <row r="2428">
          <cell r="D2428" t="str">
            <v>CDC-4596</v>
          </cell>
          <cell r="E2428">
            <v>142607011</v>
          </cell>
          <cell r="F2428">
            <v>10187</v>
          </cell>
          <cell r="G2428">
            <v>10196</v>
          </cell>
        </row>
        <row r="2429">
          <cell r="D2429" t="str">
            <v>CDC-4596</v>
          </cell>
          <cell r="E2429">
            <v>142607011</v>
          </cell>
          <cell r="F2429">
            <v>10187</v>
          </cell>
          <cell r="G2429">
            <v>10196</v>
          </cell>
        </row>
        <row r="2430">
          <cell r="D2430" t="str">
            <v>CDC-4596</v>
          </cell>
          <cell r="E2430">
            <v>142607011</v>
          </cell>
          <cell r="F2430">
            <v>10187</v>
          </cell>
          <cell r="G2430">
            <v>10196</v>
          </cell>
        </row>
        <row r="2431">
          <cell r="D2431" t="str">
            <v>CDC-4596</v>
          </cell>
          <cell r="E2431">
            <v>142607011</v>
          </cell>
          <cell r="F2431">
            <v>10187</v>
          </cell>
          <cell r="G2431">
            <v>10196</v>
          </cell>
        </row>
        <row r="2432">
          <cell r="D2432" t="str">
            <v>CDC-4596</v>
          </cell>
          <cell r="E2432">
            <v>142607011</v>
          </cell>
          <cell r="F2432">
            <v>10187</v>
          </cell>
          <cell r="G2432">
            <v>10196</v>
          </cell>
        </row>
        <row r="2433">
          <cell r="D2433" t="str">
            <v>CDC-5123</v>
          </cell>
          <cell r="E2433">
            <v>142607003</v>
          </cell>
          <cell r="F2433">
            <v>10187</v>
          </cell>
          <cell r="G2433">
            <v>10190</v>
          </cell>
        </row>
        <row r="2434">
          <cell r="D2434" t="str">
            <v>CDC-5123</v>
          </cell>
          <cell r="E2434">
            <v>142607003</v>
          </cell>
          <cell r="F2434">
            <v>10187</v>
          </cell>
          <cell r="G2434">
            <v>10190</v>
          </cell>
        </row>
        <row r="2435">
          <cell r="D2435" t="str">
            <v>CDC-5123</v>
          </cell>
          <cell r="E2435">
            <v>142607003</v>
          </cell>
          <cell r="F2435">
            <v>10187</v>
          </cell>
          <cell r="G2435">
            <v>10190</v>
          </cell>
        </row>
        <row r="2436">
          <cell r="D2436" t="str">
            <v>CDC-5123</v>
          </cell>
          <cell r="E2436">
            <v>142607003</v>
          </cell>
          <cell r="F2436">
            <v>10187</v>
          </cell>
          <cell r="G2436">
            <v>10190</v>
          </cell>
        </row>
        <row r="2437">
          <cell r="D2437" t="str">
            <v>CDC-5123</v>
          </cell>
          <cell r="E2437">
            <v>142607003</v>
          </cell>
          <cell r="F2437">
            <v>10187</v>
          </cell>
          <cell r="G2437">
            <v>10190</v>
          </cell>
        </row>
        <row r="2438">
          <cell r="D2438" t="str">
            <v>CDC-5123</v>
          </cell>
          <cell r="E2438">
            <v>142607003</v>
          </cell>
          <cell r="F2438">
            <v>10187</v>
          </cell>
          <cell r="G2438">
            <v>10190</v>
          </cell>
        </row>
        <row r="2439">
          <cell r="D2439" t="str">
            <v>CDC-13057</v>
          </cell>
          <cell r="E2439">
            <v>132207001</v>
          </cell>
          <cell r="F2439">
            <v>89733</v>
          </cell>
          <cell r="G2439">
            <v>89734</v>
          </cell>
        </row>
        <row r="2440">
          <cell r="D2440" t="str">
            <v>CDC-13057</v>
          </cell>
          <cell r="E2440">
            <v>132207001</v>
          </cell>
          <cell r="F2440">
            <v>89733</v>
          </cell>
          <cell r="G2440">
            <v>89734</v>
          </cell>
        </row>
        <row r="2441">
          <cell r="D2441" t="str">
            <v>CDC-13057</v>
          </cell>
          <cell r="E2441">
            <v>132207001</v>
          </cell>
          <cell r="F2441">
            <v>89733</v>
          </cell>
          <cell r="G2441">
            <v>89734</v>
          </cell>
        </row>
        <row r="2442">
          <cell r="D2442" t="str">
            <v>CDC-13057</v>
          </cell>
          <cell r="E2442">
            <v>132207001</v>
          </cell>
          <cell r="F2442">
            <v>89733</v>
          </cell>
          <cell r="G2442">
            <v>89734</v>
          </cell>
        </row>
        <row r="2443">
          <cell r="D2443" t="str">
            <v>CDC-13057</v>
          </cell>
          <cell r="E2443">
            <v>132207001</v>
          </cell>
          <cell r="F2443">
            <v>89733</v>
          </cell>
          <cell r="G2443">
            <v>89734</v>
          </cell>
        </row>
        <row r="2444">
          <cell r="D2444" t="str">
            <v>CDC-13057</v>
          </cell>
          <cell r="E2444">
            <v>132207001</v>
          </cell>
          <cell r="F2444">
            <v>89733</v>
          </cell>
          <cell r="G2444">
            <v>89734</v>
          </cell>
        </row>
        <row r="2445">
          <cell r="D2445" t="str">
            <v>CDC-14254</v>
          </cell>
          <cell r="E2445">
            <v>72438001</v>
          </cell>
          <cell r="F2445">
            <v>90055</v>
          </cell>
          <cell r="G2445">
            <v>90056</v>
          </cell>
        </row>
        <row r="2446">
          <cell r="D2446" t="str">
            <v>CDC-14254</v>
          </cell>
          <cell r="E2446">
            <v>72438001</v>
          </cell>
          <cell r="F2446">
            <v>90055</v>
          </cell>
          <cell r="G2446">
            <v>90056</v>
          </cell>
        </row>
        <row r="2447">
          <cell r="D2447" t="str">
            <v>CDC-14254</v>
          </cell>
          <cell r="E2447">
            <v>72438001</v>
          </cell>
          <cell r="F2447">
            <v>90055</v>
          </cell>
          <cell r="G2447">
            <v>90056</v>
          </cell>
        </row>
        <row r="2448">
          <cell r="D2448" t="str">
            <v>CDC-14254</v>
          </cell>
          <cell r="E2448">
            <v>72438001</v>
          </cell>
          <cell r="F2448">
            <v>90055</v>
          </cell>
          <cell r="G2448">
            <v>90056</v>
          </cell>
        </row>
        <row r="2449">
          <cell r="D2449" t="str">
            <v>CDC-18300</v>
          </cell>
          <cell r="E2449">
            <v>103160001</v>
          </cell>
          <cell r="F2449">
            <v>1000128</v>
          </cell>
          <cell r="G2449">
            <v>90435</v>
          </cell>
        </row>
        <row r="2450">
          <cell r="D2450" t="str">
            <v>CDC-18300</v>
          </cell>
          <cell r="E2450">
            <v>103160001</v>
          </cell>
          <cell r="F2450">
            <v>1000128</v>
          </cell>
          <cell r="G2450">
            <v>90435</v>
          </cell>
        </row>
        <row r="2451">
          <cell r="D2451" t="str">
            <v>CDC-18300</v>
          </cell>
          <cell r="E2451">
            <v>103160001</v>
          </cell>
          <cell r="F2451">
            <v>1000128</v>
          </cell>
          <cell r="G2451">
            <v>90435</v>
          </cell>
        </row>
        <row r="2452">
          <cell r="D2452" t="str">
            <v>CDC-18300</v>
          </cell>
          <cell r="E2452">
            <v>103160001</v>
          </cell>
          <cell r="F2452">
            <v>1000128</v>
          </cell>
          <cell r="G2452">
            <v>90435</v>
          </cell>
        </row>
        <row r="2453">
          <cell r="D2453" t="str">
            <v>CDC-18300</v>
          </cell>
          <cell r="E2453">
            <v>103160001</v>
          </cell>
          <cell r="F2453">
            <v>1000128</v>
          </cell>
          <cell r="G2453">
            <v>90435</v>
          </cell>
        </row>
        <row r="2454">
          <cell r="D2454" t="str">
            <v>CDC-18300</v>
          </cell>
          <cell r="E2454">
            <v>103160001</v>
          </cell>
          <cell r="F2454">
            <v>1000128</v>
          </cell>
          <cell r="G2454">
            <v>90435</v>
          </cell>
        </row>
        <row r="2455">
          <cell r="D2455" t="str">
            <v>CDC-3956</v>
          </cell>
          <cell r="E2455">
            <v>102245005</v>
          </cell>
          <cell r="F2455">
            <v>9769</v>
          </cell>
          <cell r="G2455">
            <v>80575</v>
          </cell>
        </row>
        <row r="2456">
          <cell r="D2456" t="str">
            <v>CDC-3956</v>
          </cell>
          <cell r="E2456">
            <v>102245005</v>
          </cell>
          <cell r="F2456">
            <v>9769</v>
          </cell>
          <cell r="G2456">
            <v>80575</v>
          </cell>
        </row>
        <row r="2457">
          <cell r="D2457" t="str">
            <v>CDC-3956</v>
          </cell>
          <cell r="E2457">
            <v>102245005</v>
          </cell>
          <cell r="F2457">
            <v>9769</v>
          </cell>
          <cell r="G2457">
            <v>80575</v>
          </cell>
        </row>
        <row r="2458">
          <cell r="D2458" t="str">
            <v>CDC-3120</v>
          </cell>
          <cell r="E2458">
            <v>102256005</v>
          </cell>
          <cell r="F2458">
            <v>9769</v>
          </cell>
          <cell r="G2458">
            <v>9806</v>
          </cell>
        </row>
        <row r="2459">
          <cell r="D2459" t="str">
            <v>CDC-3120</v>
          </cell>
          <cell r="E2459">
            <v>102256005</v>
          </cell>
          <cell r="F2459">
            <v>9769</v>
          </cell>
          <cell r="G2459">
            <v>9806</v>
          </cell>
        </row>
        <row r="2460">
          <cell r="D2460" t="str">
            <v>CDC-3120</v>
          </cell>
          <cell r="E2460">
            <v>102256005</v>
          </cell>
          <cell r="F2460">
            <v>9769</v>
          </cell>
          <cell r="G2460">
            <v>9806</v>
          </cell>
        </row>
        <row r="2461">
          <cell r="D2461" t="str">
            <v>CDC-3301</v>
          </cell>
          <cell r="E2461">
            <v>102245001</v>
          </cell>
          <cell r="F2461">
            <v>9769</v>
          </cell>
          <cell r="G2461">
            <v>9770</v>
          </cell>
        </row>
        <row r="2462">
          <cell r="D2462" t="str">
            <v>CDC-3301</v>
          </cell>
          <cell r="E2462">
            <v>102245001</v>
          </cell>
          <cell r="F2462">
            <v>9769</v>
          </cell>
          <cell r="G2462">
            <v>9770</v>
          </cell>
        </row>
        <row r="2463">
          <cell r="D2463" t="str">
            <v>CDC-3301</v>
          </cell>
          <cell r="E2463">
            <v>102245001</v>
          </cell>
          <cell r="F2463">
            <v>9769</v>
          </cell>
          <cell r="G2463">
            <v>9770</v>
          </cell>
        </row>
      </sheetData>
      <sheetData sheetId="3">
        <row r="1">
          <cell r="O1" t="str">
            <v>DHSLicense</v>
          </cell>
          <cell r="P1" t="str">
            <v>DESLicense</v>
          </cell>
          <cell r="Q1" t="str">
            <v>FTF CenterID</v>
          </cell>
        </row>
        <row r="2">
          <cell r="O2" t="str">
            <v>CDC16658</v>
          </cell>
          <cell r="Q2">
            <v>2228</v>
          </cell>
        </row>
        <row r="3">
          <cell r="O3" t="str">
            <v>CDC18516</v>
          </cell>
          <cell r="P3" t="str">
            <v>P0028526101</v>
          </cell>
          <cell r="Q3">
            <v>2614</v>
          </cell>
        </row>
        <row r="4">
          <cell r="O4" t="str">
            <v xml:space="preserve">SGH16382 </v>
          </cell>
          <cell r="P4" t="str">
            <v xml:space="preserve">P00280601  </v>
          </cell>
          <cell r="Q4">
            <v>1389</v>
          </cell>
        </row>
        <row r="5">
          <cell r="O5" t="str">
            <v>CDC6172</v>
          </cell>
          <cell r="P5" t="str">
            <v>P00013390</v>
          </cell>
          <cell r="Q5">
            <v>2594</v>
          </cell>
        </row>
        <row r="6">
          <cell r="O6" t="str">
            <v>CDC17677</v>
          </cell>
          <cell r="P6" t="str">
            <v>P00013390</v>
          </cell>
          <cell r="Q6">
            <v>2597</v>
          </cell>
        </row>
        <row r="7">
          <cell r="O7" t="str">
            <v>CDC14314</v>
          </cell>
          <cell r="P7" t="str">
            <v>P00013390</v>
          </cell>
          <cell r="Q7">
            <v>2596</v>
          </cell>
        </row>
        <row r="8">
          <cell r="O8" t="str">
            <v>CDC14313</v>
          </cell>
          <cell r="Q8">
            <v>2687</v>
          </cell>
        </row>
        <row r="9">
          <cell r="O9" t="str">
            <v>CDC13025</v>
          </cell>
          <cell r="P9" t="str">
            <v>P0003424216</v>
          </cell>
          <cell r="Q9">
            <v>3006</v>
          </cell>
        </row>
        <row r="10">
          <cell r="O10" t="str">
            <v>CDC10139</v>
          </cell>
          <cell r="Q10">
            <v>726</v>
          </cell>
        </row>
        <row r="11">
          <cell r="O11" t="str">
            <v>SGH17904</v>
          </cell>
          <cell r="P11" t="str">
            <v xml:space="preserve">P00026910  </v>
          </cell>
          <cell r="Q11">
            <v>2978</v>
          </cell>
        </row>
        <row r="12">
          <cell r="O12" t="str">
            <v>CDC16650</v>
          </cell>
          <cell r="Q12">
            <v>2229</v>
          </cell>
        </row>
        <row r="13">
          <cell r="O13" t="str">
            <v>CDC16876</v>
          </cell>
          <cell r="P13" t="str">
            <v>P0028120201</v>
          </cell>
          <cell r="Q13">
            <v>632</v>
          </cell>
        </row>
        <row r="14">
          <cell r="O14" t="str">
            <v>CDC14047</v>
          </cell>
          <cell r="P14" t="str">
            <v>P0002423601</v>
          </cell>
          <cell r="Q14">
            <v>933</v>
          </cell>
        </row>
        <row r="15">
          <cell r="P15" t="str">
            <v>P00023991</v>
          </cell>
          <cell r="Q15">
            <v>2257</v>
          </cell>
        </row>
        <row r="16">
          <cell r="O16" t="str">
            <v>CDC16807</v>
          </cell>
          <cell r="P16" t="str">
            <v>P0028099101</v>
          </cell>
          <cell r="Q16">
            <v>79</v>
          </cell>
        </row>
        <row r="17">
          <cell r="O17" t="str">
            <v>CDC16522</v>
          </cell>
          <cell r="P17" t="str">
            <v>P0002196502</v>
          </cell>
          <cell r="Q17">
            <v>1365</v>
          </cell>
        </row>
        <row r="18">
          <cell r="O18" t="str">
            <v>CDC13240</v>
          </cell>
          <cell r="P18" t="str">
            <v>P0001856601</v>
          </cell>
          <cell r="Q18">
            <v>88</v>
          </cell>
        </row>
        <row r="19">
          <cell r="O19" t="str">
            <v>SGH14369</v>
          </cell>
          <cell r="P19" t="str">
            <v>P00018550</v>
          </cell>
          <cell r="Q19">
            <v>220</v>
          </cell>
        </row>
        <row r="20">
          <cell r="O20" t="str">
            <v>CDC17844</v>
          </cell>
          <cell r="Q20">
            <v>3026</v>
          </cell>
        </row>
        <row r="21">
          <cell r="O21" t="str">
            <v>SHG13255</v>
          </cell>
          <cell r="P21" t="str">
            <v>P00016237</v>
          </cell>
          <cell r="Q21">
            <v>3118</v>
          </cell>
        </row>
        <row r="22">
          <cell r="O22" t="str">
            <v>CDC14317</v>
          </cell>
          <cell r="P22" t="str">
            <v>P0001339002</v>
          </cell>
          <cell r="Q22">
            <v>1139</v>
          </cell>
        </row>
        <row r="23">
          <cell r="O23" t="str">
            <v>CDC6544</v>
          </cell>
          <cell r="P23" t="str">
            <v>P0001338018</v>
          </cell>
          <cell r="Q23">
            <v>2299</v>
          </cell>
        </row>
        <row r="24">
          <cell r="O24" t="str">
            <v>CDC6543</v>
          </cell>
          <cell r="P24" t="str">
            <v>P0001338016</v>
          </cell>
          <cell r="Q24">
            <v>1296</v>
          </cell>
        </row>
        <row r="25">
          <cell r="O25" t="str">
            <v>CDC4134</v>
          </cell>
          <cell r="Q25">
            <v>2279</v>
          </cell>
        </row>
        <row r="26">
          <cell r="O26" t="str">
            <v>CDC4135</v>
          </cell>
          <cell r="Q26">
            <v>2278</v>
          </cell>
        </row>
        <row r="27">
          <cell r="O27" t="str">
            <v>CDC5854</v>
          </cell>
          <cell r="Q27">
            <v>1919</v>
          </cell>
        </row>
        <row r="28">
          <cell r="O28" t="str">
            <v>SGH11775</v>
          </cell>
          <cell r="P28" t="str">
            <v xml:space="preserve">P00013368  </v>
          </cell>
          <cell r="Q28">
            <v>1261</v>
          </cell>
        </row>
        <row r="29">
          <cell r="O29" t="str">
            <v>SGH11913</v>
          </cell>
          <cell r="P29" t="str">
            <v xml:space="preserve">P00013254  </v>
          </cell>
          <cell r="Q29">
            <v>1239</v>
          </cell>
        </row>
        <row r="30">
          <cell r="O30" t="str">
            <v>CDC12294</v>
          </cell>
          <cell r="Q30">
            <v>2593</v>
          </cell>
        </row>
        <row r="31">
          <cell r="O31" t="str">
            <v>CDC17371</v>
          </cell>
          <cell r="Q31">
            <v>2591</v>
          </cell>
        </row>
        <row r="32">
          <cell r="O32" t="str">
            <v>CDC15330</v>
          </cell>
          <cell r="Q32">
            <v>949</v>
          </cell>
        </row>
        <row r="33">
          <cell r="O33" t="str">
            <v>CDC08108</v>
          </cell>
          <cell r="P33" t="str">
            <v>P0001320801</v>
          </cell>
          <cell r="Q33">
            <v>596</v>
          </cell>
        </row>
        <row r="34">
          <cell r="O34" t="str">
            <v>CDC7009</v>
          </cell>
          <cell r="P34" t="str">
            <v>P0001311401</v>
          </cell>
          <cell r="Q34">
            <v>66</v>
          </cell>
        </row>
        <row r="35">
          <cell r="O35" t="str">
            <v>CDC09645</v>
          </cell>
          <cell r="P35" t="str">
            <v>P0001296002</v>
          </cell>
          <cell r="Q35">
            <v>679</v>
          </cell>
        </row>
        <row r="36">
          <cell r="O36" t="str">
            <v>CDC15540</v>
          </cell>
          <cell r="Q36">
            <v>2756</v>
          </cell>
        </row>
        <row r="37">
          <cell r="O37" t="str">
            <v>CDC17067</v>
          </cell>
          <cell r="Q37">
            <v>2754</v>
          </cell>
        </row>
        <row r="38">
          <cell r="O38" t="str">
            <v>CDC18142</v>
          </cell>
          <cell r="Q38">
            <v>2694</v>
          </cell>
        </row>
        <row r="39">
          <cell r="O39" t="str">
            <v>CDC17065</v>
          </cell>
          <cell r="Q39">
            <v>2726</v>
          </cell>
        </row>
        <row r="40">
          <cell r="O40" t="str">
            <v>CDC18320</v>
          </cell>
          <cell r="Q40">
            <v>3046</v>
          </cell>
        </row>
        <row r="41">
          <cell r="O41" t="str">
            <v>CDC17681</v>
          </cell>
          <cell r="Q41">
            <v>2722</v>
          </cell>
        </row>
        <row r="42">
          <cell r="O42" t="str">
            <v>CDC16668</v>
          </cell>
          <cell r="Q42">
            <v>2723</v>
          </cell>
        </row>
        <row r="43">
          <cell r="O43" t="str">
            <v>CDC18002</v>
          </cell>
          <cell r="Q43">
            <v>3017</v>
          </cell>
        </row>
        <row r="44">
          <cell r="O44" t="str">
            <v>CDC16733</v>
          </cell>
          <cell r="Q44">
            <v>1402</v>
          </cell>
        </row>
        <row r="45">
          <cell r="O45" t="str">
            <v>CDC16669</v>
          </cell>
          <cell r="P45" t="str">
            <v>P0001981007</v>
          </cell>
          <cell r="Q45">
            <v>2650</v>
          </cell>
        </row>
        <row r="46">
          <cell r="O46" t="str">
            <v>CDC15084</v>
          </cell>
          <cell r="Q46">
            <v>1362</v>
          </cell>
        </row>
        <row r="47">
          <cell r="O47" t="str">
            <v>CDC17680</v>
          </cell>
          <cell r="Q47">
            <v>3066</v>
          </cell>
        </row>
        <row r="48">
          <cell r="O48" t="str">
            <v>CDC11703</v>
          </cell>
          <cell r="P48" t="str">
            <v>P0001295101</v>
          </cell>
          <cell r="Q48">
            <v>787</v>
          </cell>
        </row>
        <row r="49">
          <cell r="O49" t="str">
            <v>CDC17068</v>
          </cell>
          <cell r="Q49">
            <v>2755</v>
          </cell>
        </row>
        <row r="50">
          <cell r="O50" t="str">
            <v>CDC00267</v>
          </cell>
          <cell r="P50" t="str">
            <v>P0001291201</v>
          </cell>
          <cell r="Q50">
            <v>1234</v>
          </cell>
        </row>
        <row r="51">
          <cell r="O51" t="str">
            <v>CDC14827</v>
          </cell>
          <cell r="P51" t="str">
            <v>P0001287101</v>
          </cell>
          <cell r="Q51">
            <v>172</v>
          </cell>
        </row>
        <row r="52">
          <cell r="O52" t="str">
            <v>CDC8964</v>
          </cell>
          <cell r="P52" t="str">
            <v>P0001282307</v>
          </cell>
          <cell r="Q52">
            <v>1413</v>
          </cell>
        </row>
        <row r="53">
          <cell r="O53" t="str">
            <v>CDC15893</v>
          </cell>
          <cell r="P53" t="str">
            <v>P0001282304</v>
          </cell>
          <cell r="Q53">
            <v>1410</v>
          </cell>
        </row>
        <row r="54">
          <cell r="O54" t="str">
            <v>CDC08249</v>
          </cell>
          <cell r="P54" t="str">
            <v>P0001279101</v>
          </cell>
          <cell r="Q54">
            <v>188</v>
          </cell>
        </row>
        <row r="55">
          <cell r="O55" t="str">
            <v>CDC09344</v>
          </cell>
          <cell r="P55" t="str">
            <v>P0001269104</v>
          </cell>
          <cell r="Q55">
            <v>5</v>
          </cell>
        </row>
        <row r="56">
          <cell r="O56" t="str">
            <v>CDC8494</v>
          </cell>
          <cell r="P56" t="str">
            <v>P0001269102</v>
          </cell>
          <cell r="Q56">
            <v>325</v>
          </cell>
        </row>
        <row r="57">
          <cell r="O57" t="str">
            <v>CDC17319</v>
          </cell>
          <cell r="P57" t="str">
            <v>P00012132</v>
          </cell>
          <cell r="Q57">
            <v>2769</v>
          </cell>
        </row>
        <row r="58">
          <cell r="O58" t="str">
            <v>SGH17304</v>
          </cell>
          <cell r="P58" t="str">
            <v>P00011808</v>
          </cell>
          <cell r="Q58">
            <v>1948</v>
          </cell>
        </row>
        <row r="59">
          <cell r="O59" t="str">
            <v>CDC3159</v>
          </cell>
          <cell r="Q59">
            <v>1918</v>
          </cell>
        </row>
        <row r="60">
          <cell r="O60" t="str">
            <v>SGH15439</v>
          </cell>
          <cell r="P60" t="str">
            <v>P00010763</v>
          </cell>
          <cell r="Q60">
            <v>222</v>
          </cell>
        </row>
        <row r="61">
          <cell r="O61" t="str">
            <v>SGH12113</v>
          </cell>
          <cell r="P61" t="str">
            <v>P00010612</v>
          </cell>
          <cell r="Q61">
            <v>1141</v>
          </cell>
        </row>
        <row r="62">
          <cell r="O62" t="str">
            <v>CDC11529</v>
          </cell>
          <cell r="Q62">
            <v>1262</v>
          </cell>
        </row>
        <row r="63">
          <cell r="O63" t="str">
            <v>CDC1229</v>
          </cell>
          <cell r="Q63">
            <v>1179</v>
          </cell>
        </row>
        <row r="64">
          <cell r="O64" t="str">
            <v>CDC1770</v>
          </cell>
          <cell r="Q64">
            <v>1164</v>
          </cell>
        </row>
        <row r="65">
          <cell r="O65" t="str">
            <v>CDC17066</v>
          </cell>
          <cell r="Q65">
            <v>2993</v>
          </cell>
        </row>
        <row r="66">
          <cell r="O66" t="str">
            <v>CDC10137</v>
          </cell>
          <cell r="Q66">
            <v>2991</v>
          </cell>
        </row>
        <row r="67">
          <cell r="O67" t="str">
            <v>SGH16594</v>
          </cell>
          <cell r="P67" t="str">
            <v>P00009859</v>
          </cell>
          <cell r="Q67">
            <v>1087</v>
          </cell>
        </row>
        <row r="68">
          <cell r="O68" t="str">
            <v>CDC11765</v>
          </cell>
          <cell r="Q68">
            <v>2783</v>
          </cell>
        </row>
        <row r="69">
          <cell r="O69" t="str">
            <v>CDC4791</v>
          </cell>
          <cell r="Q69">
            <v>2784</v>
          </cell>
        </row>
        <row r="70">
          <cell r="O70" t="str">
            <v>CDC4721</v>
          </cell>
          <cell r="Q70">
            <v>2785</v>
          </cell>
        </row>
        <row r="71">
          <cell r="O71" t="str">
            <v>CDC5314</v>
          </cell>
          <cell r="Q71">
            <v>2992</v>
          </cell>
        </row>
        <row r="72">
          <cell r="O72" t="str">
            <v>CDC4719</v>
          </cell>
          <cell r="Q72">
            <v>2998</v>
          </cell>
        </row>
        <row r="73">
          <cell r="P73" t="str">
            <v>P00009718</v>
          </cell>
          <cell r="Q73">
            <v>1384</v>
          </cell>
        </row>
        <row r="74">
          <cell r="O74" t="str">
            <v>CDC9745</v>
          </cell>
          <cell r="Q74">
            <v>1921</v>
          </cell>
        </row>
        <row r="75">
          <cell r="O75" t="str">
            <v>CDC16068</v>
          </cell>
          <cell r="P75" t="str">
            <v>P00009584</v>
          </cell>
          <cell r="Q75">
            <v>1867</v>
          </cell>
        </row>
        <row r="76">
          <cell r="P76" t="str">
            <v>P00005999</v>
          </cell>
          <cell r="Q76">
            <v>2259</v>
          </cell>
        </row>
        <row r="77">
          <cell r="O77" t="str">
            <v>CDC15094</v>
          </cell>
          <cell r="Q77">
            <v>3109</v>
          </cell>
        </row>
        <row r="78">
          <cell r="O78" t="str">
            <v>CDC4460</v>
          </cell>
          <cell r="Q78">
            <v>3108</v>
          </cell>
        </row>
        <row r="79">
          <cell r="O79" t="str">
            <v>CDC5222</v>
          </cell>
          <cell r="Q79">
            <v>2578</v>
          </cell>
        </row>
        <row r="80">
          <cell r="O80" t="str">
            <v>SGH10789</v>
          </cell>
          <cell r="P80" t="str">
            <v>P00000679</v>
          </cell>
          <cell r="Q80">
            <v>840</v>
          </cell>
        </row>
        <row r="81">
          <cell r="O81" t="str">
            <v>SGH11749</v>
          </cell>
          <cell r="P81" t="str">
            <v>P00000414</v>
          </cell>
          <cell r="Q81">
            <v>255</v>
          </cell>
        </row>
        <row r="82">
          <cell r="O82" t="str">
            <v>SGH10829</v>
          </cell>
          <cell r="P82" t="str">
            <v xml:space="preserve">P00000053  </v>
          </cell>
          <cell r="Q82">
            <v>773</v>
          </cell>
        </row>
        <row r="83">
          <cell r="O83" t="str">
            <v>CDC12281</v>
          </cell>
          <cell r="Q83">
            <v>2247</v>
          </cell>
        </row>
        <row r="84">
          <cell r="O84"/>
          <cell r="Q84">
            <v>1382</v>
          </cell>
        </row>
        <row r="85">
          <cell r="O85"/>
          <cell r="Q85">
            <v>1953</v>
          </cell>
        </row>
        <row r="86">
          <cell r="O86" t="str">
            <v>CDC18315</v>
          </cell>
          <cell r="Q86">
            <v>3004</v>
          </cell>
        </row>
        <row r="87">
          <cell r="O87" t="str">
            <v>CDC18316</v>
          </cell>
          <cell r="Q87">
            <v>3005</v>
          </cell>
        </row>
        <row r="88">
          <cell r="O88" t="str">
            <v>CDC9883</v>
          </cell>
          <cell r="Q88">
            <v>946</v>
          </cell>
        </row>
        <row r="89">
          <cell r="O89" t="str">
            <v>CDC1174</v>
          </cell>
          <cell r="Q89">
            <v>332</v>
          </cell>
        </row>
        <row r="90">
          <cell r="O90" t="str">
            <v>CDC18019</v>
          </cell>
          <cell r="Q90">
            <v>2996</v>
          </cell>
        </row>
        <row r="91">
          <cell r="O91" t="str">
            <v>CDC12279</v>
          </cell>
          <cell r="Q91">
            <v>976</v>
          </cell>
        </row>
        <row r="92">
          <cell r="O92" t="str">
            <v>CDC5026</v>
          </cell>
          <cell r="Q92">
            <v>965</v>
          </cell>
        </row>
        <row r="93">
          <cell r="O93" t="str">
            <v>CDC1167</v>
          </cell>
          <cell r="Q93">
            <v>873</v>
          </cell>
        </row>
        <row r="94">
          <cell r="O94" t="str">
            <v>CDC5025</v>
          </cell>
          <cell r="Q94">
            <v>977</v>
          </cell>
        </row>
        <row r="95">
          <cell r="O95" t="str">
            <v>CDC18280</v>
          </cell>
          <cell r="Q95">
            <v>877</v>
          </cell>
        </row>
        <row r="96">
          <cell r="O96" t="str">
            <v>CDC1172</v>
          </cell>
          <cell r="Q96">
            <v>874</v>
          </cell>
        </row>
        <row r="97">
          <cell r="O97"/>
          <cell r="Q97">
            <v>125</v>
          </cell>
        </row>
        <row r="98">
          <cell r="O98"/>
          <cell r="Q98">
            <v>102</v>
          </cell>
        </row>
        <row r="99">
          <cell r="O99"/>
          <cell r="Q99">
            <v>1158</v>
          </cell>
        </row>
        <row r="100">
          <cell r="O100" t="str">
            <v>CDC17679</v>
          </cell>
          <cell r="Q100">
            <v>3065</v>
          </cell>
        </row>
        <row r="101">
          <cell r="O101"/>
          <cell r="Q101">
            <v>483</v>
          </cell>
        </row>
        <row r="102">
          <cell r="O102" t="str">
            <v>CDC17683</v>
          </cell>
          <cell r="Q102">
            <v>2997</v>
          </cell>
        </row>
        <row r="103">
          <cell r="Q103">
            <v>1954</v>
          </cell>
        </row>
        <row r="104">
          <cell r="O104"/>
          <cell r="Q104">
            <v>1371</v>
          </cell>
        </row>
        <row r="105">
          <cell r="Q105">
            <v>1355</v>
          </cell>
        </row>
        <row r="106">
          <cell r="O106" t="str">
            <v>CDC7158</v>
          </cell>
          <cell r="P106" t="str">
            <v>P0001282313</v>
          </cell>
          <cell r="Q106">
            <v>2681</v>
          </cell>
        </row>
        <row r="107">
          <cell r="O107" t="str">
            <v>CDC8046</v>
          </cell>
          <cell r="P107" t="str">
            <v>P0001282306</v>
          </cell>
          <cell r="Q107">
            <v>2298</v>
          </cell>
        </row>
        <row r="108">
          <cell r="O108" t="str">
            <v>CDC7167</v>
          </cell>
          <cell r="P108" t="str">
            <v>P0001282308</v>
          </cell>
          <cell r="Q108">
            <v>1254</v>
          </cell>
        </row>
        <row r="109">
          <cell r="O109" t="str">
            <v>CDC7346</v>
          </cell>
          <cell r="P109" t="str">
            <v>P0001282320</v>
          </cell>
          <cell r="Q109">
            <v>1133</v>
          </cell>
        </row>
        <row r="110">
          <cell r="O110" t="str">
            <v>CDC9608</v>
          </cell>
          <cell r="P110" t="str">
            <v>P0001282309</v>
          </cell>
          <cell r="Q110">
            <v>1255</v>
          </cell>
        </row>
        <row r="111">
          <cell r="O111" t="str">
            <v>CDC4663</v>
          </cell>
          <cell r="P111" t="str">
            <v>P0001282322</v>
          </cell>
          <cell r="Q111">
            <v>1132</v>
          </cell>
        </row>
        <row r="112">
          <cell r="O112" t="str">
            <v>CDC8463</v>
          </cell>
          <cell r="P112" t="str">
            <v>P0001282323</v>
          </cell>
          <cell r="Q112">
            <v>1412</v>
          </cell>
        </row>
        <row r="113">
          <cell r="O113" t="str">
            <v>CDC9609</v>
          </cell>
          <cell r="P113" t="str">
            <v>P0001282317</v>
          </cell>
          <cell r="Q113">
            <v>1258</v>
          </cell>
        </row>
        <row r="114">
          <cell r="O114" t="str">
            <v>CDC8105</v>
          </cell>
          <cell r="Q114">
            <v>1256</v>
          </cell>
        </row>
        <row r="115">
          <cell r="O115" t="str">
            <v>CDC11565</v>
          </cell>
          <cell r="P115" t="str">
            <v>P0001282310</v>
          </cell>
          <cell r="Q115">
            <v>1408</v>
          </cell>
        </row>
        <row r="116">
          <cell r="O116" t="str">
            <v>CDC3745</v>
          </cell>
          <cell r="P116" t="str">
            <v>P0001282324</v>
          </cell>
          <cell r="Q116">
            <v>1414</v>
          </cell>
        </row>
        <row r="117">
          <cell r="O117" t="str">
            <v>CDC4063</v>
          </cell>
          <cell r="P117" t="str">
            <v>P0001282311</v>
          </cell>
          <cell r="Q117">
            <v>1411</v>
          </cell>
        </row>
        <row r="118">
          <cell r="O118" t="str">
            <v>CDC11649</v>
          </cell>
          <cell r="P118" t="str">
            <v>P0001282312</v>
          </cell>
          <cell r="Q118">
            <v>1406</v>
          </cell>
        </row>
        <row r="119">
          <cell r="O119"/>
          <cell r="Q119">
            <v>2197</v>
          </cell>
        </row>
        <row r="120">
          <cell r="O120" t="str">
            <v>CDC10965</v>
          </cell>
          <cell r="P120" t="str">
            <v>P0001282315</v>
          </cell>
          <cell r="Q120">
            <v>1135</v>
          </cell>
        </row>
        <row r="121">
          <cell r="O121" t="str">
            <v>CDC4064</v>
          </cell>
          <cell r="P121" t="str">
            <v>P0001282314</v>
          </cell>
          <cell r="Q121">
            <v>1407</v>
          </cell>
        </row>
        <row r="122">
          <cell r="Q122">
            <v>205</v>
          </cell>
        </row>
        <row r="123">
          <cell r="O123"/>
          <cell r="Q123">
            <v>540</v>
          </cell>
        </row>
        <row r="124">
          <cell r="O124"/>
          <cell r="Q124">
            <v>1354</v>
          </cell>
        </row>
        <row r="125">
          <cell r="O125"/>
          <cell r="Q125">
            <v>204</v>
          </cell>
        </row>
        <row r="126">
          <cell r="O126"/>
          <cell r="Q126">
            <v>1383</v>
          </cell>
        </row>
        <row r="127">
          <cell r="O127" t="str">
            <v>CDC3671</v>
          </cell>
          <cell r="Q127">
            <v>2024</v>
          </cell>
        </row>
        <row r="128">
          <cell r="O128" t="str">
            <v>CDC6539</v>
          </cell>
          <cell r="P128" t="str">
            <v>P0001338020</v>
          </cell>
          <cell r="Q128">
            <v>1297</v>
          </cell>
        </row>
        <row r="129">
          <cell r="O129" t="str">
            <v>CDC9585</v>
          </cell>
          <cell r="Q129">
            <v>1416</v>
          </cell>
        </row>
        <row r="130">
          <cell r="O130" t="str">
            <v>CDC6542</v>
          </cell>
          <cell r="P130" t="str">
            <v>P0001338003</v>
          </cell>
          <cell r="Q130">
            <v>2292</v>
          </cell>
        </row>
        <row r="131">
          <cell r="O131" t="str">
            <v>CDC6526</v>
          </cell>
          <cell r="P131" t="str">
            <v>P0001338011</v>
          </cell>
          <cell r="Q131">
            <v>2301</v>
          </cell>
        </row>
        <row r="132">
          <cell r="O132" t="str">
            <v>CDC17419</v>
          </cell>
          <cell r="Q132">
            <v>2588</v>
          </cell>
        </row>
        <row r="133">
          <cell r="O133" t="str">
            <v>CDC6532</v>
          </cell>
          <cell r="P133" t="str">
            <v>P0001338013</v>
          </cell>
          <cell r="Q133">
            <v>2293</v>
          </cell>
        </row>
        <row r="134">
          <cell r="O134"/>
          <cell r="Q134">
            <v>2773</v>
          </cell>
        </row>
        <row r="135">
          <cell r="O135" t="str">
            <v>CDC17441</v>
          </cell>
          <cell r="P135" t="str">
            <v>P0001338022</v>
          </cell>
          <cell r="Q135">
            <v>2294</v>
          </cell>
        </row>
        <row r="136">
          <cell r="O136" t="str">
            <v>CDC1666</v>
          </cell>
          <cell r="Q136">
            <v>2302</v>
          </cell>
        </row>
        <row r="137">
          <cell r="Q137">
            <v>1396</v>
          </cell>
        </row>
      </sheetData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sseur, Lori" id="{A58EE2E9-C97B-464B-8B9C-3F9C44D3FA3A}" userId="S::Lori.Masseur@azed.gov::f65100a7-4d96-4a30-a222-dd61c5b1f8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1-01-06T18:56:15.78" personId="{A58EE2E9-C97B-464B-8B9C-3F9C44D3FA3A}" id="{E84EF493-1DC8-4941-9E26-BE9157FC585F}">
    <text>please note names were updated to reflect legal name in DHS database</text>
  </threadedComment>
  <threadedComment ref="F436" dT="2021-01-07T17:56:35.68" personId="{A58EE2E9-C97B-464B-8B9C-3F9C44D3FA3A}" id="{1C644626-25D1-4D1D-BFA3-615ECBD06A76}">
    <text>Comes up as Katty's Kids at Neighborhood ministries
CDC-17979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ADBCA-8E09-44D7-8773-CCBFDAFD93BF}">
  <sheetPr>
    <tabColor theme="0"/>
  </sheetPr>
  <dimension ref="A1:J209"/>
  <sheetViews>
    <sheetView zoomScaleNormal="100" workbookViewId="0">
      <selection activeCell="B210" sqref="B210"/>
    </sheetView>
  </sheetViews>
  <sheetFormatPr defaultRowHeight="15" x14ac:dyDescent="0.25"/>
  <cols>
    <col min="1" max="1" width="8" bestFit="1" customWidth="1"/>
    <col min="2" max="2" width="64" bestFit="1" customWidth="1"/>
    <col min="3" max="3" width="34" bestFit="1" customWidth="1"/>
    <col min="4" max="4" width="15.28515625" bestFit="1" customWidth="1"/>
    <col min="5" max="5" width="6.5703125" bestFit="1" customWidth="1"/>
    <col min="6" max="6" width="6" bestFit="1" customWidth="1"/>
    <col min="7" max="7" width="10.28515625" bestFit="1" customWidth="1"/>
    <col min="8" max="8" width="12.7109375" bestFit="1" customWidth="1"/>
    <col min="9" max="9" width="33.85546875" bestFit="1" customWidth="1"/>
  </cols>
  <sheetData>
    <row r="1" spans="1:9" s="2" customFormat="1" ht="12.75" x14ac:dyDescent="0.2">
      <c r="A1" s="1" t="s">
        <v>0</v>
      </c>
      <c r="B1" s="1" t="s">
        <v>1</v>
      </c>
      <c r="C1" s="1" t="s">
        <v>103</v>
      </c>
      <c r="D1" s="1" t="s">
        <v>202</v>
      </c>
      <c r="E1" s="1" t="s">
        <v>203</v>
      </c>
      <c r="F1" s="1" t="s">
        <v>204</v>
      </c>
      <c r="G1" s="1" t="s">
        <v>205</v>
      </c>
      <c r="H1" s="1" t="s">
        <v>355</v>
      </c>
      <c r="I1" s="1" t="s">
        <v>310</v>
      </c>
    </row>
    <row r="2" spans="1:9" s="2" customFormat="1" ht="12.75" x14ac:dyDescent="0.2">
      <c r="A2" s="2">
        <v>0</v>
      </c>
      <c r="B2" s="2" t="s">
        <v>1097</v>
      </c>
      <c r="C2" s="2" t="s">
        <v>1098</v>
      </c>
      <c r="D2" s="2" t="s">
        <v>222</v>
      </c>
      <c r="E2" s="2" t="s">
        <v>207</v>
      </c>
      <c r="F2" s="2" t="s">
        <v>606</v>
      </c>
      <c r="G2" s="2" t="s">
        <v>224</v>
      </c>
      <c r="H2" s="2">
        <v>4280</v>
      </c>
      <c r="I2" s="2" t="s">
        <v>376</v>
      </c>
    </row>
    <row r="3" spans="1:9" s="2" customFormat="1" ht="12.75" x14ac:dyDescent="0.2">
      <c r="A3" s="2">
        <v>0</v>
      </c>
      <c r="B3" s="3" t="s">
        <v>1151</v>
      </c>
      <c r="C3" s="2" t="s">
        <v>1152</v>
      </c>
      <c r="D3" s="2" t="s">
        <v>222</v>
      </c>
      <c r="E3" s="2" t="s">
        <v>207</v>
      </c>
      <c r="F3" s="2" t="s">
        <v>223</v>
      </c>
      <c r="G3" s="2" t="s">
        <v>224</v>
      </c>
      <c r="H3" s="2">
        <v>4280</v>
      </c>
      <c r="I3" s="2" t="s">
        <v>376</v>
      </c>
    </row>
    <row r="4" spans="1:9" s="2" customFormat="1" ht="12.75" x14ac:dyDescent="0.2">
      <c r="A4" s="2">
        <v>0</v>
      </c>
      <c r="B4" s="2" t="s">
        <v>1034</v>
      </c>
      <c r="C4" s="2" t="s">
        <v>1035</v>
      </c>
      <c r="D4" s="2" t="s">
        <v>222</v>
      </c>
      <c r="E4" s="2" t="s">
        <v>207</v>
      </c>
      <c r="F4" s="2" t="s">
        <v>951</v>
      </c>
      <c r="G4" s="2" t="s">
        <v>224</v>
      </c>
      <c r="H4" s="2">
        <v>4280</v>
      </c>
      <c r="I4" s="2" t="s">
        <v>376</v>
      </c>
    </row>
    <row r="5" spans="1:9" s="2" customFormat="1" ht="12.75" x14ac:dyDescent="0.2">
      <c r="A5" s="2">
        <v>0</v>
      </c>
      <c r="B5" s="2" t="s">
        <v>1130</v>
      </c>
      <c r="C5" s="2" t="s">
        <v>1131</v>
      </c>
      <c r="D5" s="2" t="s">
        <v>222</v>
      </c>
      <c r="E5" s="2" t="s">
        <v>207</v>
      </c>
      <c r="F5" s="2" t="s">
        <v>223</v>
      </c>
      <c r="G5" s="2" t="s">
        <v>224</v>
      </c>
      <c r="H5" s="2">
        <v>4280</v>
      </c>
      <c r="I5" s="2" t="s">
        <v>376</v>
      </c>
    </row>
    <row r="6" spans="1:9" s="2" customFormat="1" ht="12.75" x14ac:dyDescent="0.2">
      <c r="A6" s="2">
        <v>0</v>
      </c>
      <c r="B6" s="2" t="s">
        <v>1132</v>
      </c>
      <c r="C6" s="2" t="s">
        <v>1133</v>
      </c>
      <c r="D6" s="2" t="s">
        <v>222</v>
      </c>
      <c r="E6" s="2" t="s">
        <v>207</v>
      </c>
      <c r="F6" s="2" t="s">
        <v>223</v>
      </c>
      <c r="G6" s="2" t="s">
        <v>224</v>
      </c>
      <c r="H6" s="2">
        <v>4280</v>
      </c>
      <c r="I6" s="2" t="s">
        <v>376</v>
      </c>
    </row>
    <row r="7" spans="1:9" s="2" customFormat="1" ht="12.75" x14ac:dyDescent="0.2">
      <c r="A7" s="2">
        <v>0</v>
      </c>
      <c r="B7" s="2" t="s">
        <v>1192</v>
      </c>
      <c r="C7" s="2" t="s">
        <v>1193</v>
      </c>
      <c r="D7" s="2" t="s">
        <v>222</v>
      </c>
      <c r="E7" s="2" t="s">
        <v>207</v>
      </c>
      <c r="F7" s="2" t="s">
        <v>594</v>
      </c>
      <c r="G7" s="2" t="s">
        <v>224</v>
      </c>
      <c r="H7" s="2">
        <v>4280</v>
      </c>
      <c r="I7" s="2" t="s">
        <v>376</v>
      </c>
    </row>
    <row r="8" spans="1:9" s="2" customFormat="1" ht="12.75" x14ac:dyDescent="0.2">
      <c r="A8" s="2">
        <v>92701</v>
      </c>
      <c r="B8" s="2" t="s">
        <v>1073</v>
      </c>
      <c r="C8" s="2" t="s">
        <v>1074</v>
      </c>
      <c r="D8" s="2" t="s">
        <v>292</v>
      </c>
      <c r="E8" s="2" t="s">
        <v>207</v>
      </c>
      <c r="F8" s="2" t="s">
        <v>293</v>
      </c>
      <c r="G8" s="2" t="s">
        <v>224</v>
      </c>
      <c r="H8" s="2">
        <v>4280</v>
      </c>
      <c r="I8" s="2" t="s">
        <v>376</v>
      </c>
    </row>
    <row r="9" spans="1:9" s="2" customFormat="1" ht="12.75" x14ac:dyDescent="0.2">
      <c r="A9" s="2">
        <v>90463</v>
      </c>
      <c r="B9" s="2" t="s">
        <v>1030</v>
      </c>
      <c r="C9" s="2" t="s">
        <v>1031</v>
      </c>
      <c r="D9" s="2" t="s">
        <v>222</v>
      </c>
      <c r="E9" s="2" t="s">
        <v>207</v>
      </c>
      <c r="F9" s="2" t="s">
        <v>951</v>
      </c>
      <c r="G9" s="2" t="s">
        <v>224</v>
      </c>
      <c r="H9" s="2">
        <v>4280</v>
      </c>
      <c r="I9" s="2" t="s">
        <v>376</v>
      </c>
    </row>
    <row r="10" spans="1:9" s="2" customFormat="1" ht="12.75" x14ac:dyDescent="0.2">
      <c r="A10" s="2">
        <v>0</v>
      </c>
      <c r="B10" s="2" t="s">
        <v>1081</v>
      </c>
      <c r="C10" s="2" t="s">
        <v>1082</v>
      </c>
      <c r="D10" s="2" t="s">
        <v>222</v>
      </c>
      <c r="E10" s="2" t="s">
        <v>207</v>
      </c>
      <c r="F10" s="2" t="s">
        <v>606</v>
      </c>
      <c r="G10" s="2" t="s">
        <v>224</v>
      </c>
      <c r="H10" s="2">
        <v>4280</v>
      </c>
      <c r="I10" s="2" t="s">
        <v>376</v>
      </c>
    </row>
    <row r="11" spans="1:9" s="2" customFormat="1" ht="12.75" x14ac:dyDescent="0.2">
      <c r="A11" s="2">
        <v>9369</v>
      </c>
      <c r="B11" s="2" t="s">
        <v>1206</v>
      </c>
      <c r="C11" s="2" t="s">
        <v>1207</v>
      </c>
      <c r="D11" s="2" t="s">
        <v>292</v>
      </c>
      <c r="E11" s="2" t="s">
        <v>207</v>
      </c>
      <c r="F11" s="2" t="s">
        <v>293</v>
      </c>
      <c r="G11" s="2" t="s">
        <v>224</v>
      </c>
      <c r="H11" s="2">
        <v>4280</v>
      </c>
      <c r="I11" s="2" t="s">
        <v>376</v>
      </c>
    </row>
    <row r="12" spans="1:9" s="2" customFormat="1" ht="12.75" x14ac:dyDescent="0.2">
      <c r="A12" s="2">
        <v>9281</v>
      </c>
      <c r="B12" s="2" t="s">
        <v>1085</v>
      </c>
      <c r="C12" s="2" t="s">
        <v>1086</v>
      </c>
      <c r="D12" s="2" t="s">
        <v>222</v>
      </c>
      <c r="E12" s="2" t="s">
        <v>207</v>
      </c>
      <c r="F12" s="2" t="s">
        <v>951</v>
      </c>
      <c r="G12" s="2" t="s">
        <v>224</v>
      </c>
      <c r="H12" s="2">
        <v>4280</v>
      </c>
      <c r="I12" s="2" t="s">
        <v>376</v>
      </c>
    </row>
    <row r="13" spans="1:9" s="2" customFormat="1" ht="12.75" x14ac:dyDescent="0.2">
      <c r="A13" s="2">
        <v>0</v>
      </c>
      <c r="B13" s="2" t="s">
        <v>1214</v>
      </c>
      <c r="C13" s="2" t="s">
        <v>1215</v>
      </c>
      <c r="D13" s="2" t="s">
        <v>292</v>
      </c>
      <c r="E13" s="2" t="s">
        <v>207</v>
      </c>
      <c r="F13" s="2" t="s">
        <v>293</v>
      </c>
      <c r="G13" s="2" t="s">
        <v>224</v>
      </c>
      <c r="H13" s="2">
        <v>4280</v>
      </c>
      <c r="I13" s="2" t="s">
        <v>376</v>
      </c>
    </row>
    <row r="14" spans="1:9" s="2" customFormat="1" ht="12.75" x14ac:dyDescent="0.2">
      <c r="A14" s="2">
        <v>88418</v>
      </c>
      <c r="B14" s="2" t="s">
        <v>1089</v>
      </c>
      <c r="C14" s="2" t="s">
        <v>1090</v>
      </c>
      <c r="D14" s="2" t="s">
        <v>222</v>
      </c>
      <c r="E14" s="2" t="s">
        <v>207</v>
      </c>
      <c r="F14" s="2" t="s">
        <v>606</v>
      </c>
      <c r="G14" s="2" t="s">
        <v>224</v>
      </c>
      <c r="H14" s="2">
        <v>4280</v>
      </c>
      <c r="I14" s="2" t="s">
        <v>376</v>
      </c>
    </row>
    <row r="15" spans="1:9" s="2" customFormat="1" ht="12.75" x14ac:dyDescent="0.2">
      <c r="A15" s="2">
        <v>79765</v>
      </c>
      <c r="B15" s="2" t="s">
        <v>1032</v>
      </c>
      <c r="C15" s="2" t="s">
        <v>1033</v>
      </c>
      <c r="D15" s="2" t="s">
        <v>222</v>
      </c>
      <c r="E15" s="2" t="s">
        <v>207</v>
      </c>
      <c r="F15" s="2" t="s">
        <v>606</v>
      </c>
      <c r="G15" s="2" t="s">
        <v>224</v>
      </c>
      <c r="H15" s="2">
        <v>4280</v>
      </c>
      <c r="I15" s="2" t="s">
        <v>376</v>
      </c>
    </row>
    <row r="16" spans="1:9" s="2" customFormat="1" ht="12.75" x14ac:dyDescent="0.2">
      <c r="A16" s="2">
        <v>0</v>
      </c>
      <c r="B16" s="2" t="s">
        <v>1121</v>
      </c>
      <c r="C16" s="2" t="s">
        <v>1122</v>
      </c>
      <c r="D16" s="2" t="s">
        <v>1044</v>
      </c>
      <c r="E16" s="2" t="s">
        <v>207</v>
      </c>
      <c r="F16" s="2" t="s">
        <v>1045</v>
      </c>
      <c r="G16" s="2" t="s">
        <v>221</v>
      </c>
      <c r="H16" s="2">
        <v>4443</v>
      </c>
      <c r="I16" s="2" t="s">
        <v>1046</v>
      </c>
    </row>
    <row r="17" spans="1:9" s="2" customFormat="1" ht="12.75" x14ac:dyDescent="0.2">
      <c r="A17" s="2">
        <v>8067</v>
      </c>
      <c r="B17" s="2" t="s">
        <v>1166</v>
      </c>
      <c r="C17" s="2" t="s">
        <v>1167</v>
      </c>
      <c r="D17" s="2" t="s">
        <v>1044</v>
      </c>
      <c r="E17" s="2" t="s">
        <v>207</v>
      </c>
      <c r="F17" s="2" t="s">
        <v>1045</v>
      </c>
      <c r="G17" s="2" t="s">
        <v>221</v>
      </c>
      <c r="H17" s="2">
        <v>4443</v>
      </c>
      <c r="I17" s="2" t="s">
        <v>1046</v>
      </c>
    </row>
    <row r="18" spans="1:9" s="2" customFormat="1" ht="12.75" x14ac:dyDescent="0.2">
      <c r="A18" s="2">
        <v>0</v>
      </c>
      <c r="B18" s="2" t="s">
        <v>1174</v>
      </c>
      <c r="C18" s="2" t="s">
        <v>1175</v>
      </c>
      <c r="D18" s="2" t="s">
        <v>1044</v>
      </c>
      <c r="E18" s="2" t="s">
        <v>207</v>
      </c>
      <c r="F18" s="2" t="s">
        <v>1045</v>
      </c>
      <c r="G18" s="2" t="s">
        <v>221</v>
      </c>
      <c r="H18" s="2">
        <v>4443</v>
      </c>
      <c r="I18" s="2" t="s">
        <v>1046</v>
      </c>
    </row>
    <row r="19" spans="1:9" s="2" customFormat="1" ht="12.75" x14ac:dyDescent="0.2">
      <c r="A19" s="2">
        <v>0</v>
      </c>
      <c r="B19" s="2" t="s">
        <v>1042</v>
      </c>
      <c r="C19" s="2" t="s">
        <v>1043</v>
      </c>
      <c r="D19" s="2" t="s">
        <v>1044</v>
      </c>
      <c r="E19" s="2" t="s">
        <v>207</v>
      </c>
      <c r="F19" s="2" t="s">
        <v>1045</v>
      </c>
      <c r="G19" s="2" t="s">
        <v>221</v>
      </c>
      <c r="H19" s="2">
        <v>4443</v>
      </c>
      <c r="I19" s="2" t="s">
        <v>1046</v>
      </c>
    </row>
    <row r="20" spans="1:9" s="2" customFormat="1" ht="12.75" x14ac:dyDescent="0.2">
      <c r="A20" s="2">
        <v>0</v>
      </c>
      <c r="B20" s="2" t="s">
        <v>1113</v>
      </c>
      <c r="C20" s="2" t="s">
        <v>1114</v>
      </c>
      <c r="D20" s="2" t="s">
        <v>1044</v>
      </c>
      <c r="E20" s="2" t="s">
        <v>207</v>
      </c>
      <c r="F20" s="2" t="s">
        <v>1115</v>
      </c>
      <c r="G20" s="2" t="s">
        <v>221</v>
      </c>
      <c r="H20" s="2">
        <v>4443</v>
      </c>
      <c r="I20" s="2" t="s">
        <v>1046</v>
      </c>
    </row>
    <row r="21" spans="1:9" s="2" customFormat="1" ht="12.75" x14ac:dyDescent="0.2">
      <c r="A21" s="2">
        <v>0</v>
      </c>
      <c r="B21" s="2" t="s">
        <v>1253</v>
      </c>
      <c r="C21" s="2" t="s">
        <v>1254</v>
      </c>
      <c r="D21" s="2" t="s">
        <v>1044</v>
      </c>
      <c r="E21" s="2" t="s">
        <v>207</v>
      </c>
      <c r="F21" s="2" t="s">
        <v>1045</v>
      </c>
      <c r="G21" s="2" t="s">
        <v>221</v>
      </c>
      <c r="H21" s="2">
        <v>4443</v>
      </c>
      <c r="I21" s="2" t="s">
        <v>1046</v>
      </c>
    </row>
    <row r="22" spans="1:9" s="2" customFormat="1" ht="12.75" x14ac:dyDescent="0.2">
      <c r="A22" s="2">
        <v>0</v>
      </c>
      <c r="B22" s="2" t="s">
        <v>1216</v>
      </c>
      <c r="C22" s="2" t="s">
        <v>1217</v>
      </c>
      <c r="D22" s="2" t="s">
        <v>1044</v>
      </c>
      <c r="E22" s="2" t="s">
        <v>207</v>
      </c>
      <c r="F22" s="2" t="s">
        <v>1218</v>
      </c>
      <c r="G22" s="2" t="s">
        <v>221</v>
      </c>
      <c r="H22" s="2">
        <v>4443</v>
      </c>
      <c r="I22" s="2" t="s">
        <v>1046</v>
      </c>
    </row>
    <row r="23" spans="1:9" s="2" customFormat="1" ht="12.75" x14ac:dyDescent="0.2">
      <c r="A23" s="2">
        <v>0</v>
      </c>
      <c r="B23" s="2" t="s">
        <v>1118</v>
      </c>
      <c r="C23" s="2" t="s">
        <v>1119</v>
      </c>
      <c r="D23" s="2" t="s">
        <v>1044</v>
      </c>
      <c r="E23" s="2" t="s">
        <v>207</v>
      </c>
      <c r="F23" s="2" t="s">
        <v>1045</v>
      </c>
      <c r="G23" s="2" t="s">
        <v>221</v>
      </c>
      <c r="H23" s="2">
        <v>4443</v>
      </c>
      <c r="I23" s="2" t="s">
        <v>1046</v>
      </c>
    </row>
    <row r="24" spans="1:9" s="2" customFormat="1" ht="12.75" x14ac:dyDescent="0.2">
      <c r="A24" s="2">
        <v>0</v>
      </c>
      <c r="B24" s="2" t="s">
        <v>1118</v>
      </c>
      <c r="C24" s="2" t="s">
        <v>1120</v>
      </c>
      <c r="D24" s="2" t="s">
        <v>1044</v>
      </c>
      <c r="E24" s="2" t="s">
        <v>207</v>
      </c>
      <c r="F24" s="2" t="s">
        <v>1045</v>
      </c>
      <c r="G24" s="2" t="s">
        <v>221</v>
      </c>
      <c r="H24" s="2">
        <v>4443</v>
      </c>
      <c r="I24" s="2" t="s">
        <v>1046</v>
      </c>
    </row>
    <row r="25" spans="1:9" s="2" customFormat="1" ht="12.75" x14ac:dyDescent="0.2">
      <c r="A25" s="2">
        <v>0</v>
      </c>
      <c r="B25" s="2" t="s">
        <v>66</v>
      </c>
      <c r="C25" s="2" t="s">
        <v>165</v>
      </c>
      <c r="D25" s="2" t="s">
        <v>282</v>
      </c>
      <c r="E25" s="2" t="s">
        <v>207</v>
      </c>
      <c r="F25" s="2" t="s">
        <v>283</v>
      </c>
      <c r="G25" s="2" t="s">
        <v>224</v>
      </c>
      <c r="H25" s="2">
        <v>4272</v>
      </c>
      <c r="I25" s="2" t="s">
        <v>342</v>
      </c>
    </row>
    <row r="26" spans="1:9" s="2" customFormat="1" ht="12.75" x14ac:dyDescent="0.2">
      <c r="A26" s="2">
        <v>90082</v>
      </c>
      <c r="B26" s="2" t="s">
        <v>67</v>
      </c>
      <c r="C26" s="2" t="s">
        <v>166</v>
      </c>
      <c r="D26" s="2" t="s">
        <v>282</v>
      </c>
      <c r="E26" s="2" t="s">
        <v>207</v>
      </c>
      <c r="F26" s="2" t="s">
        <v>285</v>
      </c>
      <c r="G26" s="2" t="s">
        <v>224</v>
      </c>
      <c r="H26" s="2">
        <v>4272</v>
      </c>
      <c r="I26" s="2" t="s">
        <v>342</v>
      </c>
    </row>
    <row r="27" spans="1:9" s="2" customFormat="1" ht="12.75" x14ac:dyDescent="0.2">
      <c r="A27" s="2">
        <v>0</v>
      </c>
      <c r="B27" s="2" t="s">
        <v>68</v>
      </c>
      <c r="C27" s="2" t="s">
        <v>167</v>
      </c>
      <c r="D27" s="2" t="s">
        <v>282</v>
      </c>
      <c r="E27" s="2" t="s">
        <v>207</v>
      </c>
      <c r="F27" s="2" t="s">
        <v>283</v>
      </c>
      <c r="G27" s="2" t="s">
        <v>224</v>
      </c>
      <c r="H27" s="2">
        <v>4272</v>
      </c>
      <c r="I27" s="2" t="s">
        <v>342</v>
      </c>
    </row>
    <row r="28" spans="1:9" s="2" customFormat="1" ht="12.75" x14ac:dyDescent="0.2">
      <c r="A28" s="2">
        <v>9417</v>
      </c>
      <c r="B28" s="2" t="s">
        <v>71</v>
      </c>
      <c r="C28" s="2" t="s">
        <v>170</v>
      </c>
      <c r="D28" s="2" t="s">
        <v>282</v>
      </c>
      <c r="E28" s="2" t="s">
        <v>207</v>
      </c>
      <c r="F28" s="2" t="s">
        <v>283</v>
      </c>
      <c r="G28" s="2" t="s">
        <v>224</v>
      </c>
      <c r="H28" s="2">
        <v>4272</v>
      </c>
      <c r="I28" s="2" t="s">
        <v>342</v>
      </c>
    </row>
    <row r="29" spans="1:9" s="2" customFormat="1" ht="12.75" x14ac:dyDescent="0.2">
      <c r="A29" s="2">
        <v>91234</v>
      </c>
      <c r="B29" s="2" t="s">
        <v>1212</v>
      </c>
      <c r="C29" s="2" t="s">
        <v>1213</v>
      </c>
      <c r="D29" s="2" t="s">
        <v>222</v>
      </c>
      <c r="E29" s="2" t="s">
        <v>207</v>
      </c>
      <c r="F29" s="2" t="s">
        <v>679</v>
      </c>
      <c r="G29" s="2" t="s">
        <v>224</v>
      </c>
      <c r="H29" s="2">
        <v>4268</v>
      </c>
      <c r="I29" s="2" t="s">
        <v>688</v>
      </c>
    </row>
    <row r="30" spans="1:9" s="2" customFormat="1" ht="12.75" x14ac:dyDescent="0.2">
      <c r="A30" s="2">
        <v>0</v>
      </c>
      <c r="B30" s="2" t="s">
        <v>1178</v>
      </c>
      <c r="C30" s="2" t="s">
        <v>1179</v>
      </c>
      <c r="D30" s="2" t="s">
        <v>298</v>
      </c>
      <c r="E30" s="2" t="s">
        <v>207</v>
      </c>
      <c r="F30" s="2" t="s">
        <v>299</v>
      </c>
      <c r="G30" s="2" t="s">
        <v>215</v>
      </c>
      <c r="H30" s="2">
        <v>4169</v>
      </c>
      <c r="I30" s="2" t="s">
        <v>350</v>
      </c>
    </row>
    <row r="31" spans="1:9" s="2" customFormat="1" ht="12.75" x14ac:dyDescent="0.2">
      <c r="A31" s="2">
        <v>0</v>
      </c>
      <c r="B31" s="2" t="s">
        <v>81</v>
      </c>
      <c r="C31" s="2" t="s">
        <v>180</v>
      </c>
      <c r="D31" s="2" t="s">
        <v>298</v>
      </c>
      <c r="E31" s="2" t="s">
        <v>207</v>
      </c>
      <c r="F31" s="2" t="s">
        <v>299</v>
      </c>
      <c r="G31" s="2" t="s">
        <v>215</v>
      </c>
      <c r="H31" s="2">
        <v>4169</v>
      </c>
      <c r="I31" s="2" t="s">
        <v>350</v>
      </c>
    </row>
    <row r="32" spans="1:9" s="2" customFormat="1" ht="12.75" x14ac:dyDescent="0.2">
      <c r="A32" s="2">
        <v>0</v>
      </c>
      <c r="B32" s="2" t="s">
        <v>1228</v>
      </c>
      <c r="C32" s="2" t="s">
        <v>1229</v>
      </c>
      <c r="D32" s="2" t="s">
        <v>1230</v>
      </c>
      <c r="E32" s="2" t="s">
        <v>207</v>
      </c>
      <c r="F32" s="2" t="s">
        <v>538</v>
      </c>
      <c r="G32" s="2" t="s">
        <v>224</v>
      </c>
      <c r="H32" s="2">
        <v>4269</v>
      </c>
      <c r="I32" s="2" t="s">
        <v>535</v>
      </c>
    </row>
    <row r="33" spans="1:9" s="2" customFormat="1" ht="12.75" x14ac:dyDescent="0.2">
      <c r="A33" s="2">
        <v>0</v>
      </c>
      <c r="B33" s="2" t="s">
        <v>1077</v>
      </c>
      <c r="C33" s="2" t="s">
        <v>1078</v>
      </c>
      <c r="D33" s="2" t="s">
        <v>1079</v>
      </c>
      <c r="E33" s="2" t="s">
        <v>207</v>
      </c>
      <c r="F33" s="2" t="s">
        <v>392</v>
      </c>
      <c r="G33" s="2" t="s">
        <v>1080</v>
      </c>
      <c r="H33" s="2">
        <v>4470</v>
      </c>
      <c r="I33" s="2" t="s">
        <v>388</v>
      </c>
    </row>
    <row r="34" spans="1:9" s="2" customFormat="1" ht="12.75" x14ac:dyDescent="0.2">
      <c r="A34" s="2">
        <v>0</v>
      </c>
      <c r="B34" s="2" t="s">
        <v>1083</v>
      </c>
      <c r="C34" s="2" t="s">
        <v>1084</v>
      </c>
      <c r="D34" s="2" t="s">
        <v>1079</v>
      </c>
      <c r="E34" s="2" t="s">
        <v>207</v>
      </c>
      <c r="F34" s="2" t="s">
        <v>392</v>
      </c>
      <c r="G34" s="2" t="s">
        <v>1080</v>
      </c>
      <c r="H34" s="2">
        <v>4470</v>
      </c>
      <c r="I34" s="2" t="s">
        <v>388</v>
      </c>
    </row>
    <row r="35" spans="1:9" s="2" customFormat="1" ht="12.75" x14ac:dyDescent="0.2">
      <c r="A35" s="2">
        <v>90727</v>
      </c>
      <c r="B35" s="2" t="s">
        <v>1116</v>
      </c>
      <c r="C35" s="2" t="s">
        <v>1117</v>
      </c>
      <c r="D35" s="2" t="s">
        <v>1079</v>
      </c>
      <c r="E35" s="2" t="s">
        <v>207</v>
      </c>
      <c r="F35" s="2" t="s">
        <v>392</v>
      </c>
      <c r="G35" s="2" t="s">
        <v>1080</v>
      </c>
      <c r="H35" s="2">
        <v>4470</v>
      </c>
      <c r="I35" s="2" t="s">
        <v>388</v>
      </c>
    </row>
    <row r="36" spans="1:9" s="2" customFormat="1" ht="12.75" x14ac:dyDescent="0.2">
      <c r="A36" s="2">
        <v>0</v>
      </c>
      <c r="B36" s="2" t="s">
        <v>1091</v>
      </c>
      <c r="C36" s="2" t="s">
        <v>1092</v>
      </c>
      <c r="D36" s="2" t="s">
        <v>1079</v>
      </c>
      <c r="E36" s="2" t="s">
        <v>207</v>
      </c>
      <c r="F36" s="2" t="s">
        <v>392</v>
      </c>
      <c r="G36" s="2" t="s">
        <v>1080</v>
      </c>
      <c r="H36" s="2">
        <v>4470</v>
      </c>
      <c r="I36" s="2" t="s">
        <v>388</v>
      </c>
    </row>
    <row r="37" spans="1:9" s="2" customFormat="1" ht="12.75" x14ac:dyDescent="0.2">
      <c r="A37" s="2">
        <v>91886</v>
      </c>
      <c r="B37" s="2" t="s">
        <v>1164</v>
      </c>
      <c r="C37" s="2" t="s">
        <v>1165</v>
      </c>
      <c r="D37" s="2" t="s">
        <v>222</v>
      </c>
      <c r="E37" s="2" t="s">
        <v>207</v>
      </c>
      <c r="F37" s="2" t="s">
        <v>223</v>
      </c>
      <c r="G37" s="2" t="s">
        <v>224</v>
      </c>
      <c r="H37" s="2">
        <v>4282</v>
      </c>
      <c r="I37" s="2" t="s">
        <v>334</v>
      </c>
    </row>
    <row r="38" spans="1:9" s="2" customFormat="1" ht="12.75" x14ac:dyDescent="0.2">
      <c r="A38" s="2">
        <v>9511</v>
      </c>
      <c r="B38" s="2" t="s">
        <v>32</v>
      </c>
      <c r="C38" s="2" t="s">
        <v>133</v>
      </c>
      <c r="D38" s="2" t="s">
        <v>222</v>
      </c>
      <c r="E38" s="2" t="s">
        <v>207</v>
      </c>
      <c r="F38" s="2" t="s">
        <v>262</v>
      </c>
      <c r="G38" s="2" t="s">
        <v>224</v>
      </c>
      <c r="H38" s="2">
        <v>4282</v>
      </c>
      <c r="I38" s="2" t="s">
        <v>334</v>
      </c>
    </row>
    <row r="39" spans="1:9" s="2" customFormat="1" ht="12.75" x14ac:dyDescent="0.2">
      <c r="A39" s="2">
        <v>0</v>
      </c>
      <c r="B39" s="2" t="s">
        <v>1233</v>
      </c>
      <c r="C39" s="2" t="s">
        <v>1185</v>
      </c>
      <c r="D39" s="2" t="s">
        <v>222</v>
      </c>
      <c r="E39" s="2" t="s">
        <v>207</v>
      </c>
      <c r="F39" s="2" t="s">
        <v>556</v>
      </c>
      <c r="G39" s="2" t="s">
        <v>224</v>
      </c>
      <c r="H39" s="2">
        <v>4282</v>
      </c>
      <c r="I39" s="2" t="s">
        <v>334</v>
      </c>
    </row>
    <row r="40" spans="1:9" s="2" customFormat="1" ht="12.75" x14ac:dyDescent="0.2">
      <c r="A40" s="2">
        <v>0</v>
      </c>
      <c r="B40" s="2" t="s">
        <v>40</v>
      </c>
      <c r="C40" s="2" t="s">
        <v>136</v>
      </c>
      <c r="D40" s="2" t="s">
        <v>222</v>
      </c>
      <c r="E40" s="2" t="s">
        <v>207</v>
      </c>
      <c r="F40" s="2" t="s">
        <v>223</v>
      </c>
      <c r="G40" s="2" t="s">
        <v>224</v>
      </c>
      <c r="H40" s="2">
        <v>4282</v>
      </c>
      <c r="I40" s="2" t="s">
        <v>334</v>
      </c>
    </row>
    <row r="41" spans="1:9" s="2" customFormat="1" ht="12.75" x14ac:dyDescent="0.2">
      <c r="A41" s="2">
        <v>0</v>
      </c>
      <c r="B41" s="2" t="s">
        <v>58</v>
      </c>
      <c r="C41" s="2" t="s">
        <v>157</v>
      </c>
      <c r="D41" s="2" t="s">
        <v>222</v>
      </c>
      <c r="E41" s="2" t="s">
        <v>207</v>
      </c>
      <c r="F41" s="2" t="s">
        <v>262</v>
      </c>
      <c r="G41" s="2" t="s">
        <v>224</v>
      </c>
      <c r="H41" s="2">
        <v>4282</v>
      </c>
      <c r="I41" s="2" t="s">
        <v>334</v>
      </c>
    </row>
    <row r="42" spans="1:9" s="2" customFormat="1" ht="12.75" x14ac:dyDescent="0.2">
      <c r="A42" s="2">
        <v>0</v>
      </c>
      <c r="B42" s="2" t="s">
        <v>33</v>
      </c>
      <c r="C42" s="2" t="s">
        <v>134</v>
      </c>
      <c r="D42" s="2" t="s">
        <v>222</v>
      </c>
      <c r="E42" s="2" t="s">
        <v>207</v>
      </c>
      <c r="F42" s="2" t="s">
        <v>262</v>
      </c>
      <c r="G42" s="2" t="s">
        <v>224</v>
      </c>
      <c r="H42" s="2">
        <v>4282</v>
      </c>
      <c r="I42" s="2" t="s">
        <v>334</v>
      </c>
    </row>
    <row r="43" spans="1:9" s="2" customFormat="1" ht="12.75" x14ac:dyDescent="0.2">
      <c r="A43" s="2">
        <v>0</v>
      </c>
      <c r="B43" s="2" t="s">
        <v>1245</v>
      </c>
      <c r="C43" s="2" t="s">
        <v>1246</v>
      </c>
      <c r="D43" s="2" t="s">
        <v>222</v>
      </c>
      <c r="E43" s="2" t="s">
        <v>207</v>
      </c>
      <c r="F43" s="2" t="s">
        <v>262</v>
      </c>
      <c r="G43" s="2" t="s">
        <v>224</v>
      </c>
      <c r="H43" s="2">
        <v>4282</v>
      </c>
      <c r="I43" s="2" t="s">
        <v>334</v>
      </c>
    </row>
    <row r="44" spans="1:9" s="2" customFormat="1" ht="12.75" x14ac:dyDescent="0.2">
      <c r="A44" s="2">
        <v>0</v>
      </c>
      <c r="B44" s="2" t="s">
        <v>1184</v>
      </c>
      <c r="C44" s="2" t="s">
        <v>1185</v>
      </c>
      <c r="D44" s="2" t="s">
        <v>222</v>
      </c>
      <c r="E44" s="2" t="s">
        <v>207</v>
      </c>
      <c r="F44" s="2" t="s">
        <v>302</v>
      </c>
      <c r="G44" s="2" t="s">
        <v>224</v>
      </c>
      <c r="H44" s="2">
        <v>4282</v>
      </c>
      <c r="I44" s="2" t="s">
        <v>334</v>
      </c>
    </row>
    <row r="45" spans="1:9" s="2" customFormat="1" ht="12.75" x14ac:dyDescent="0.2">
      <c r="A45" s="2">
        <v>0</v>
      </c>
      <c r="B45" s="2" t="s">
        <v>35</v>
      </c>
      <c r="C45" s="2" t="s">
        <v>136</v>
      </c>
      <c r="D45" s="2" t="s">
        <v>222</v>
      </c>
      <c r="E45" s="2" t="s">
        <v>207</v>
      </c>
      <c r="F45" s="2" t="s">
        <v>223</v>
      </c>
      <c r="G45" s="2" t="s">
        <v>224</v>
      </c>
      <c r="H45" s="2">
        <v>4282</v>
      </c>
      <c r="I45" s="2" t="s">
        <v>334</v>
      </c>
    </row>
    <row r="46" spans="1:9" s="2" customFormat="1" ht="12.75" x14ac:dyDescent="0.2">
      <c r="A46" s="2">
        <v>0</v>
      </c>
      <c r="B46" s="2" t="s">
        <v>1183</v>
      </c>
      <c r="C46" s="2" t="s">
        <v>157</v>
      </c>
      <c r="D46" s="2" t="s">
        <v>222</v>
      </c>
      <c r="E46" s="2" t="s">
        <v>207</v>
      </c>
      <c r="F46" s="2" t="s">
        <v>262</v>
      </c>
      <c r="G46" s="2" t="s">
        <v>224</v>
      </c>
      <c r="H46" s="2">
        <v>4282</v>
      </c>
      <c r="I46" s="2" t="s">
        <v>334</v>
      </c>
    </row>
    <row r="47" spans="1:9" s="2" customFormat="1" ht="12.75" x14ac:dyDescent="0.2">
      <c r="A47" s="2">
        <v>0</v>
      </c>
      <c r="B47" s="2" t="s">
        <v>54</v>
      </c>
      <c r="C47" s="2" t="s">
        <v>153</v>
      </c>
      <c r="D47" s="2" t="s">
        <v>222</v>
      </c>
      <c r="E47" s="2" t="s">
        <v>207</v>
      </c>
      <c r="F47" s="2" t="s">
        <v>262</v>
      </c>
      <c r="G47" s="2" t="s">
        <v>224</v>
      </c>
      <c r="H47" s="2">
        <v>4282</v>
      </c>
      <c r="I47" s="2" t="s">
        <v>334</v>
      </c>
    </row>
    <row r="48" spans="1:9" s="2" customFormat="1" ht="12.75" x14ac:dyDescent="0.2">
      <c r="A48" s="2">
        <v>0</v>
      </c>
      <c r="B48" s="2" t="s">
        <v>1247</v>
      </c>
      <c r="C48" s="2" t="s">
        <v>1248</v>
      </c>
      <c r="D48" s="2" t="s">
        <v>222</v>
      </c>
      <c r="E48" s="2" t="s">
        <v>207</v>
      </c>
      <c r="F48" s="2" t="s">
        <v>223</v>
      </c>
      <c r="G48" s="2" t="s">
        <v>224</v>
      </c>
      <c r="H48" s="2">
        <v>4282</v>
      </c>
      <c r="I48" s="2" t="s">
        <v>334</v>
      </c>
    </row>
    <row r="49" spans="1:9" s="2" customFormat="1" ht="12.75" x14ac:dyDescent="0.2">
      <c r="A49" s="2">
        <v>0</v>
      </c>
      <c r="B49" s="2" t="s">
        <v>62</v>
      </c>
      <c r="C49" s="2" t="s">
        <v>161</v>
      </c>
      <c r="D49" s="2" t="s">
        <v>222</v>
      </c>
      <c r="E49" s="2" t="s">
        <v>207</v>
      </c>
      <c r="F49" s="2" t="s">
        <v>262</v>
      </c>
      <c r="G49" s="2" t="s">
        <v>224</v>
      </c>
      <c r="H49" s="2">
        <v>4282</v>
      </c>
      <c r="I49" s="2" t="s">
        <v>334</v>
      </c>
    </row>
    <row r="50" spans="1:9" s="2" customFormat="1" ht="12.75" x14ac:dyDescent="0.2">
      <c r="A50" s="2">
        <v>0</v>
      </c>
      <c r="B50" s="2" t="s">
        <v>1249</v>
      </c>
      <c r="C50" s="2" t="s">
        <v>1250</v>
      </c>
      <c r="D50" s="2" t="s">
        <v>222</v>
      </c>
      <c r="E50" s="2" t="s">
        <v>207</v>
      </c>
      <c r="F50" s="2" t="s">
        <v>223</v>
      </c>
      <c r="G50" s="2" t="s">
        <v>224</v>
      </c>
      <c r="H50" s="2">
        <v>4282</v>
      </c>
      <c r="I50" s="2" t="s">
        <v>334</v>
      </c>
    </row>
    <row r="51" spans="1:9" s="2" customFormat="1" ht="12.75" x14ac:dyDescent="0.2">
      <c r="A51" s="2">
        <v>0</v>
      </c>
      <c r="B51" s="2" t="s">
        <v>57</v>
      </c>
      <c r="C51" s="2" t="s">
        <v>156</v>
      </c>
      <c r="D51" s="2" t="s">
        <v>222</v>
      </c>
      <c r="E51" s="2" t="s">
        <v>207</v>
      </c>
      <c r="F51" s="2" t="s">
        <v>262</v>
      </c>
      <c r="G51" s="2" t="s">
        <v>224</v>
      </c>
      <c r="H51" s="2">
        <v>4282</v>
      </c>
      <c r="I51" s="2" t="s">
        <v>334</v>
      </c>
    </row>
    <row r="52" spans="1:9" s="2" customFormat="1" ht="12.75" x14ac:dyDescent="0.2">
      <c r="A52" s="2">
        <v>10086</v>
      </c>
      <c r="B52" s="2" t="s">
        <v>13</v>
      </c>
      <c r="C52" s="2" t="s">
        <v>114</v>
      </c>
      <c r="D52" s="2" t="s">
        <v>233</v>
      </c>
      <c r="E52" s="2" t="s">
        <v>207</v>
      </c>
      <c r="F52" s="2" t="s">
        <v>234</v>
      </c>
      <c r="G52" s="2" t="s">
        <v>221</v>
      </c>
      <c r="H52" s="2">
        <v>4446</v>
      </c>
      <c r="I52" s="2" t="s">
        <v>321</v>
      </c>
    </row>
    <row r="53" spans="1:9" s="2" customFormat="1" ht="12.75" x14ac:dyDescent="0.2">
      <c r="A53" s="2">
        <v>0</v>
      </c>
      <c r="B53" s="2" t="s">
        <v>38</v>
      </c>
      <c r="C53" s="2" t="s">
        <v>139</v>
      </c>
      <c r="D53" s="2" t="s">
        <v>227</v>
      </c>
      <c r="E53" s="2" t="s">
        <v>207</v>
      </c>
      <c r="F53" s="2" t="s">
        <v>228</v>
      </c>
      <c r="G53" s="2" t="s">
        <v>218</v>
      </c>
      <c r="H53" s="2">
        <v>4158</v>
      </c>
      <c r="I53" s="2" t="s">
        <v>318</v>
      </c>
    </row>
    <row r="54" spans="1:9" s="2" customFormat="1" ht="12.75" x14ac:dyDescent="0.2">
      <c r="A54" s="2">
        <v>0</v>
      </c>
      <c r="B54" s="2" t="s">
        <v>10</v>
      </c>
      <c r="C54" s="2" t="s">
        <v>111</v>
      </c>
      <c r="D54" s="2" t="s">
        <v>227</v>
      </c>
      <c r="E54" s="2" t="s">
        <v>207</v>
      </c>
      <c r="F54" s="2" t="s">
        <v>228</v>
      </c>
      <c r="G54" s="2" t="s">
        <v>218</v>
      </c>
      <c r="H54" s="2">
        <v>4158</v>
      </c>
      <c r="I54" s="2" t="s">
        <v>318</v>
      </c>
    </row>
    <row r="55" spans="1:9" s="2" customFormat="1" ht="12.75" x14ac:dyDescent="0.2">
      <c r="A55" s="2">
        <v>0</v>
      </c>
      <c r="B55" s="2" t="s">
        <v>39</v>
      </c>
      <c r="C55" s="2" t="s">
        <v>139</v>
      </c>
      <c r="D55" s="2" t="s">
        <v>227</v>
      </c>
      <c r="E55" s="2" t="s">
        <v>207</v>
      </c>
      <c r="F55" s="2" t="s">
        <v>265</v>
      </c>
      <c r="G55" s="2" t="s">
        <v>218</v>
      </c>
      <c r="H55" s="2">
        <v>4158</v>
      </c>
      <c r="I55" s="2" t="s">
        <v>318</v>
      </c>
    </row>
    <row r="56" spans="1:9" s="2" customFormat="1" ht="12.75" x14ac:dyDescent="0.2">
      <c r="A56" s="2">
        <v>0</v>
      </c>
      <c r="B56" s="2" t="s">
        <v>15</v>
      </c>
      <c r="C56" s="2" t="s">
        <v>116</v>
      </c>
      <c r="D56" s="2" t="s">
        <v>227</v>
      </c>
      <c r="E56" s="2" t="s">
        <v>207</v>
      </c>
      <c r="F56" s="2" t="s">
        <v>236</v>
      </c>
      <c r="G56" s="2" t="s">
        <v>218</v>
      </c>
      <c r="H56" s="2">
        <v>4158</v>
      </c>
      <c r="I56" s="2" t="s">
        <v>318</v>
      </c>
    </row>
    <row r="57" spans="1:9" s="2" customFormat="1" ht="12.75" x14ac:dyDescent="0.2">
      <c r="A57" s="2">
        <v>91322</v>
      </c>
      <c r="B57" s="2" t="s">
        <v>1036</v>
      </c>
      <c r="C57" s="2" t="s">
        <v>1037</v>
      </c>
      <c r="D57" s="2" t="s">
        <v>219</v>
      </c>
      <c r="E57" s="2" t="s">
        <v>207</v>
      </c>
      <c r="F57" s="2" t="s">
        <v>255</v>
      </c>
      <c r="G57" s="2" t="s">
        <v>221</v>
      </c>
      <c r="H57" s="2">
        <v>4442</v>
      </c>
      <c r="I57" s="2" t="s">
        <v>315</v>
      </c>
    </row>
    <row r="58" spans="1:9" s="2" customFormat="1" ht="12.75" x14ac:dyDescent="0.2">
      <c r="A58" s="2">
        <v>0</v>
      </c>
      <c r="B58" s="2" t="s">
        <v>1062</v>
      </c>
      <c r="C58" s="2" t="s">
        <v>1063</v>
      </c>
      <c r="D58" s="2" t="s">
        <v>219</v>
      </c>
      <c r="E58" s="2" t="s">
        <v>207</v>
      </c>
      <c r="F58" s="2" t="s">
        <v>220</v>
      </c>
      <c r="G58" s="2" t="s">
        <v>221</v>
      </c>
      <c r="H58" s="2">
        <v>4442</v>
      </c>
      <c r="I58" s="2" t="s">
        <v>315</v>
      </c>
    </row>
    <row r="59" spans="1:9" s="2" customFormat="1" ht="12.75" x14ac:dyDescent="0.2">
      <c r="A59" s="2">
        <v>8070</v>
      </c>
      <c r="B59" s="2" t="s">
        <v>6</v>
      </c>
      <c r="C59" s="2" t="s">
        <v>108</v>
      </c>
      <c r="D59" s="2" t="s">
        <v>219</v>
      </c>
      <c r="E59" s="2" t="s">
        <v>207</v>
      </c>
      <c r="F59" s="2" t="s">
        <v>220</v>
      </c>
      <c r="G59" s="2" t="s">
        <v>221</v>
      </c>
      <c r="H59" s="2">
        <v>4442</v>
      </c>
      <c r="I59" s="2" t="s">
        <v>315</v>
      </c>
    </row>
    <row r="60" spans="1:9" s="2" customFormat="1" ht="12.75" x14ac:dyDescent="0.2">
      <c r="A60" s="2">
        <v>0</v>
      </c>
      <c r="B60" s="2" t="s">
        <v>1040</v>
      </c>
      <c r="C60" s="2" t="s">
        <v>1041</v>
      </c>
      <c r="D60" s="2" t="s">
        <v>219</v>
      </c>
      <c r="E60" s="2" t="s">
        <v>207</v>
      </c>
      <c r="F60" s="2" t="s">
        <v>255</v>
      </c>
      <c r="G60" s="2" t="s">
        <v>221</v>
      </c>
      <c r="H60" s="2">
        <v>4442</v>
      </c>
      <c r="I60" s="2" t="s">
        <v>315</v>
      </c>
    </row>
    <row r="61" spans="1:9" s="2" customFormat="1" ht="12.75" x14ac:dyDescent="0.2">
      <c r="A61" s="2">
        <v>0</v>
      </c>
      <c r="B61" s="2" t="s">
        <v>1105</v>
      </c>
      <c r="C61" s="2" t="s">
        <v>1106</v>
      </c>
      <c r="D61" s="2" t="s">
        <v>1053</v>
      </c>
      <c r="E61" s="2" t="s">
        <v>207</v>
      </c>
      <c r="F61" s="2" t="s">
        <v>1054</v>
      </c>
      <c r="G61" s="2" t="s">
        <v>224</v>
      </c>
      <c r="H61" s="2">
        <v>4442</v>
      </c>
      <c r="I61" s="2" t="s">
        <v>315</v>
      </c>
    </row>
    <row r="62" spans="1:9" s="2" customFormat="1" ht="12.75" x14ac:dyDescent="0.2">
      <c r="A62" s="2">
        <v>0</v>
      </c>
      <c r="B62" s="2" t="s">
        <v>1107</v>
      </c>
      <c r="C62" s="2" t="s">
        <v>1108</v>
      </c>
      <c r="D62" s="2" t="s">
        <v>1053</v>
      </c>
      <c r="E62" s="2" t="s">
        <v>207</v>
      </c>
      <c r="F62" s="2" t="s">
        <v>1054</v>
      </c>
      <c r="G62" s="2" t="s">
        <v>224</v>
      </c>
      <c r="H62" s="2">
        <v>4442</v>
      </c>
      <c r="I62" s="2" t="s">
        <v>315</v>
      </c>
    </row>
    <row r="63" spans="1:9" s="2" customFormat="1" ht="12.75" x14ac:dyDescent="0.2">
      <c r="A63" s="2">
        <v>0</v>
      </c>
      <c r="B63" s="2" t="s">
        <v>1047</v>
      </c>
      <c r="C63" s="2" t="s">
        <v>1048</v>
      </c>
      <c r="D63" s="2" t="s">
        <v>219</v>
      </c>
      <c r="E63" s="2" t="s">
        <v>207</v>
      </c>
      <c r="F63" s="2" t="s">
        <v>255</v>
      </c>
      <c r="G63" s="2" t="s">
        <v>221</v>
      </c>
      <c r="H63" s="2">
        <v>4442</v>
      </c>
      <c r="I63" s="2" t="s">
        <v>315</v>
      </c>
    </row>
    <row r="64" spans="1:9" s="2" customFormat="1" ht="12.75" x14ac:dyDescent="0.2">
      <c r="A64" s="2">
        <v>0</v>
      </c>
      <c r="B64" s="2" t="s">
        <v>1109</v>
      </c>
      <c r="C64" s="2" t="s">
        <v>1110</v>
      </c>
      <c r="D64" s="2" t="s">
        <v>219</v>
      </c>
      <c r="E64" s="2" t="s">
        <v>207</v>
      </c>
      <c r="F64" s="2" t="s">
        <v>220</v>
      </c>
      <c r="G64" s="2" t="s">
        <v>221</v>
      </c>
      <c r="H64" s="2">
        <v>4442</v>
      </c>
      <c r="I64" s="2" t="s">
        <v>315</v>
      </c>
    </row>
    <row r="65" spans="1:9" s="2" customFormat="1" ht="12.75" x14ac:dyDescent="0.2">
      <c r="A65" s="2">
        <v>0</v>
      </c>
      <c r="B65" s="2" t="s">
        <v>1111</v>
      </c>
      <c r="C65" s="2" t="s">
        <v>1112</v>
      </c>
      <c r="D65" s="2" t="s">
        <v>1053</v>
      </c>
      <c r="E65" s="2" t="s">
        <v>207</v>
      </c>
      <c r="F65" s="2" t="s">
        <v>1054</v>
      </c>
      <c r="G65" s="2" t="s">
        <v>224</v>
      </c>
      <c r="H65" s="2">
        <v>4442</v>
      </c>
      <c r="I65" s="2" t="s">
        <v>315</v>
      </c>
    </row>
    <row r="66" spans="1:9" s="2" customFormat="1" ht="12.75" x14ac:dyDescent="0.2">
      <c r="A66" s="2">
        <v>0</v>
      </c>
      <c r="B66" s="2" t="s">
        <v>1049</v>
      </c>
      <c r="C66" s="2" t="s">
        <v>1050</v>
      </c>
      <c r="D66" s="2" t="s">
        <v>219</v>
      </c>
      <c r="E66" s="2" t="s">
        <v>207</v>
      </c>
      <c r="F66" s="2" t="s">
        <v>255</v>
      </c>
      <c r="G66" s="2" t="s">
        <v>221</v>
      </c>
      <c r="H66" s="2">
        <v>4442</v>
      </c>
      <c r="I66" s="2" t="s">
        <v>315</v>
      </c>
    </row>
    <row r="67" spans="1:9" s="2" customFormat="1" ht="12.75" x14ac:dyDescent="0.2">
      <c r="A67" s="2">
        <v>460999</v>
      </c>
      <c r="B67" s="2" t="s">
        <v>1051</v>
      </c>
      <c r="C67" s="2" t="s">
        <v>1052</v>
      </c>
      <c r="D67" s="2" t="s">
        <v>1053</v>
      </c>
      <c r="E67" s="2" t="s">
        <v>207</v>
      </c>
      <c r="F67" s="2" t="s">
        <v>1054</v>
      </c>
      <c r="G67" s="2" t="s">
        <v>224</v>
      </c>
      <c r="H67" s="2">
        <v>4442</v>
      </c>
      <c r="I67" s="2" t="s">
        <v>315</v>
      </c>
    </row>
    <row r="68" spans="1:9" s="2" customFormat="1" ht="12.75" x14ac:dyDescent="0.2">
      <c r="A68" s="2">
        <v>934629</v>
      </c>
      <c r="B68" s="2" t="s">
        <v>1055</v>
      </c>
      <c r="C68" s="2" t="s">
        <v>1056</v>
      </c>
      <c r="D68" s="2" t="s">
        <v>219</v>
      </c>
      <c r="E68" s="2" t="s">
        <v>207</v>
      </c>
      <c r="F68" s="2" t="s">
        <v>255</v>
      </c>
      <c r="G68" s="2" t="s">
        <v>221</v>
      </c>
      <c r="H68" s="2">
        <v>4442</v>
      </c>
      <c r="I68" s="2" t="s">
        <v>315</v>
      </c>
    </row>
    <row r="69" spans="1:9" s="2" customFormat="1" ht="12.75" x14ac:dyDescent="0.2">
      <c r="A69" s="2">
        <v>0</v>
      </c>
      <c r="B69" s="2" t="s">
        <v>1057</v>
      </c>
      <c r="C69" s="2" t="s">
        <v>1058</v>
      </c>
      <c r="D69" s="2" t="s">
        <v>1059</v>
      </c>
      <c r="E69" s="2" t="s">
        <v>207</v>
      </c>
      <c r="F69" s="2" t="s">
        <v>1054</v>
      </c>
      <c r="G69" s="2" t="s">
        <v>221</v>
      </c>
      <c r="H69" s="2">
        <v>4442</v>
      </c>
      <c r="I69" s="2" t="s">
        <v>315</v>
      </c>
    </row>
    <row r="70" spans="1:9" s="2" customFormat="1" ht="12.75" x14ac:dyDescent="0.2">
      <c r="A70" s="2">
        <v>0</v>
      </c>
      <c r="B70" s="2" t="s">
        <v>27</v>
      </c>
      <c r="C70" s="2" t="s">
        <v>128</v>
      </c>
      <c r="D70" s="2" t="s">
        <v>219</v>
      </c>
      <c r="E70" s="2" t="s">
        <v>207</v>
      </c>
      <c r="F70" s="2" t="s">
        <v>255</v>
      </c>
      <c r="G70" s="2" t="s">
        <v>221</v>
      </c>
      <c r="H70" s="2">
        <v>4442</v>
      </c>
      <c r="I70" s="2" t="s">
        <v>315</v>
      </c>
    </row>
    <row r="71" spans="1:9" s="2" customFormat="1" ht="12.75" x14ac:dyDescent="0.2">
      <c r="A71" s="2">
        <v>0</v>
      </c>
      <c r="B71" s="2" t="s">
        <v>1064</v>
      </c>
      <c r="C71" s="2" t="s">
        <v>1056</v>
      </c>
      <c r="D71" s="2" t="s">
        <v>219</v>
      </c>
      <c r="E71" s="2" t="s">
        <v>207</v>
      </c>
      <c r="F71" s="2" t="s">
        <v>255</v>
      </c>
      <c r="G71" s="2" t="s">
        <v>221</v>
      </c>
      <c r="H71" s="2">
        <v>4442</v>
      </c>
      <c r="I71" s="2" t="s">
        <v>315</v>
      </c>
    </row>
    <row r="72" spans="1:9" s="2" customFormat="1" ht="12.75" x14ac:dyDescent="0.2">
      <c r="A72" s="2">
        <v>0</v>
      </c>
      <c r="B72" s="2" t="s">
        <v>1060</v>
      </c>
      <c r="C72" s="2" t="s">
        <v>1061</v>
      </c>
      <c r="D72" s="2" t="s">
        <v>1053</v>
      </c>
      <c r="E72" s="2" t="s">
        <v>207</v>
      </c>
      <c r="F72" s="2" t="s">
        <v>1054</v>
      </c>
      <c r="G72" s="2" t="s">
        <v>224</v>
      </c>
      <c r="H72" s="2">
        <v>4442</v>
      </c>
      <c r="I72" s="2" t="s">
        <v>315</v>
      </c>
    </row>
    <row r="73" spans="1:9" s="2" customFormat="1" ht="12.75" x14ac:dyDescent="0.2">
      <c r="A73" s="2">
        <v>0</v>
      </c>
      <c r="B73" s="2" t="s">
        <v>1231</v>
      </c>
      <c r="C73" s="2" t="s">
        <v>1232</v>
      </c>
      <c r="D73" s="2" t="s">
        <v>222</v>
      </c>
      <c r="E73" s="2" t="s">
        <v>207</v>
      </c>
      <c r="F73" s="2" t="s">
        <v>679</v>
      </c>
      <c r="G73" s="2" t="s">
        <v>224</v>
      </c>
      <c r="H73" s="2">
        <v>4263</v>
      </c>
      <c r="I73" s="2" t="s">
        <v>346</v>
      </c>
    </row>
    <row r="74" spans="1:9" s="2" customFormat="1" ht="12.75" x14ac:dyDescent="0.2">
      <c r="A74" s="2">
        <v>0</v>
      </c>
      <c r="B74" s="2" t="s">
        <v>1202</v>
      </c>
      <c r="C74" s="2" t="s">
        <v>1203</v>
      </c>
      <c r="D74" s="2" t="s">
        <v>222</v>
      </c>
      <c r="E74" s="2" t="s">
        <v>207</v>
      </c>
      <c r="F74" s="2" t="s">
        <v>679</v>
      </c>
      <c r="G74" s="2" t="s">
        <v>224</v>
      </c>
      <c r="H74" s="2">
        <v>4263</v>
      </c>
      <c r="I74" s="2" t="s">
        <v>346</v>
      </c>
    </row>
    <row r="75" spans="1:9" s="2" customFormat="1" ht="12.75" x14ac:dyDescent="0.2">
      <c r="A75" s="2">
        <v>79758</v>
      </c>
      <c r="B75" s="2" t="s">
        <v>75</v>
      </c>
      <c r="C75" s="2" t="s">
        <v>174</v>
      </c>
      <c r="D75" s="2" t="s">
        <v>222</v>
      </c>
      <c r="E75" s="2" t="s">
        <v>207</v>
      </c>
      <c r="F75" s="2" t="s">
        <v>291</v>
      </c>
      <c r="G75" s="2" t="s">
        <v>224</v>
      </c>
      <c r="H75" s="2">
        <v>4263</v>
      </c>
      <c r="I75" s="2" t="s">
        <v>346</v>
      </c>
    </row>
    <row r="76" spans="1:9" s="2" customFormat="1" ht="12.75" x14ac:dyDescent="0.2">
      <c r="A76" s="2">
        <v>90796</v>
      </c>
      <c r="B76" s="2" t="s">
        <v>1221</v>
      </c>
      <c r="C76" s="2" t="s">
        <v>1222</v>
      </c>
      <c r="D76" s="2" t="s">
        <v>222</v>
      </c>
      <c r="E76" s="2" t="s">
        <v>207</v>
      </c>
      <c r="F76" s="2" t="s">
        <v>679</v>
      </c>
      <c r="G76" s="2" t="s">
        <v>224</v>
      </c>
      <c r="H76" s="2">
        <v>4263</v>
      </c>
      <c r="I76" s="2" t="s">
        <v>346</v>
      </c>
    </row>
    <row r="77" spans="1:9" s="2" customFormat="1" ht="12.75" x14ac:dyDescent="0.2">
      <c r="A77" s="2">
        <v>0</v>
      </c>
      <c r="B77" s="2" t="s">
        <v>63</v>
      </c>
      <c r="C77" s="2" t="s">
        <v>162</v>
      </c>
      <c r="D77" s="2" t="s">
        <v>278</v>
      </c>
      <c r="E77" s="2" t="s">
        <v>207</v>
      </c>
      <c r="F77" s="2" t="s">
        <v>279</v>
      </c>
      <c r="G77" s="2" t="s">
        <v>224</v>
      </c>
      <c r="H77" s="2">
        <v>4243</v>
      </c>
      <c r="I77" s="2" t="s">
        <v>340</v>
      </c>
    </row>
    <row r="78" spans="1:9" s="2" customFormat="1" ht="12.75" x14ac:dyDescent="0.2">
      <c r="A78" s="2">
        <v>0</v>
      </c>
      <c r="B78" s="2" t="s">
        <v>1170</v>
      </c>
      <c r="C78" s="2" t="s">
        <v>1171</v>
      </c>
      <c r="D78" s="2" t="s">
        <v>249</v>
      </c>
      <c r="E78" s="2" t="s">
        <v>207</v>
      </c>
      <c r="F78" s="2" t="s">
        <v>250</v>
      </c>
      <c r="G78" s="2" t="s">
        <v>221</v>
      </c>
      <c r="H78" s="2">
        <v>4448</v>
      </c>
      <c r="I78" s="2" t="s">
        <v>329</v>
      </c>
    </row>
    <row r="79" spans="1:9" s="2" customFormat="1" ht="12.75" x14ac:dyDescent="0.2">
      <c r="A79" s="2">
        <v>0</v>
      </c>
      <c r="B79" s="2" t="s">
        <v>1180</v>
      </c>
      <c r="C79" s="2" t="s">
        <v>1181</v>
      </c>
      <c r="D79" s="2" t="s">
        <v>249</v>
      </c>
      <c r="E79" s="2" t="s">
        <v>207</v>
      </c>
      <c r="F79" s="2" t="s">
        <v>846</v>
      </c>
      <c r="G79" s="2" t="s">
        <v>221</v>
      </c>
      <c r="H79" s="2">
        <v>4448</v>
      </c>
      <c r="I79" s="2" t="s">
        <v>329</v>
      </c>
    </row>
    <row r="80" spans="1:9" s="2" customFormat="1" ht="12.75" x14ac:dyDescent="0.2">
      <c r="A80" s="2">
        <v>8072</v>
      </c>
      <c r="B80" s="2" t="s">
        <v>51</v>
      </c>
      <c r="C80" s="2" t="s">
        <v>150</v>
      </c>
      <c r="D80" s="2" t="s">
        <v>249</v>
      </c>
      <c r="E80" s="2" t="s">
        <v>207</v>
      </c>
      <c r="F80" s="2" t="s">
        <v>250</v>
      </c>
      <c r="G80" s="2" t="s">
        <v>221</v>
      </c>
      <c r="H80" s="2">
        <v>4448</v>
      </c>
      <c r="I80" s="2" t="s">
        <v>329</v>
      </c>
    </row>
    <row r="81" spans="1:9" s="2" customFormat="1" ht="12.75" x14ac:dyDescent="0.2">
      <c r="A81" s="2">
        <v>0</v>
      </c>
      <c r="B81" s="2" t="s">
        <v>23</v>
      </c>
      <c r="C81" s="2" t="s">
        <v>124</v>
      </c>
      <c r="D81" s="2" t="s">
        <v>249</v>
      </c>
      <c r="E81" s="2" t="s">
        <v>207</v>
      </c>
      <c r="F81" s="2" t="s">
        <v>250</v>
      </c>
      <c r="G81" s="2" t="s">
        <v>221</v>
      </c>
      <c r="H81" s="2">
        <v>4448</v>
      </c>
      <c r="I81" s="2" t="s">
        <v>329</v>
      </c>
    </row>
    <row r="82" spans="1:9" s="2" customFormat="1" ht="12.75" x14ac:dyDescent="0.2">
      <c r="A82" s="2">
        <v>0</v>
      </c>
      <c r="B82" s="2" t="s">
        <v>2</v>
      </c>
      <c r="C82" s="2" t="s">
        <v>104</v>
      </c>
      <c r="D82" s="2" t="s">
        <v>206</v>
      </c>
      <c r="E82" s="2" t="s">
        <v>207</v>
      </c>
      <c r="F82" s="2" t="s">
        <v>208</v>
      </c>
      <c r="G82" s="2" t="s">
        <v>209</v>
      </c>
      <c r="H82" s="2">
        <v>4192</v>
      </c>
      <c r="I82" s="2" t="s">
        <v>311</v>
      </c>
    </row>
    <row r="83" spans="1:9" s="2" customFormat="1" ht="12.75" x14ac:dyDescent="0.2">
      <c r="A83" s="2">
        <v>0</v>
      </c>
      <c r="B83" s="2" t="s">
        <v>84</v>
      </c>
      <c r="C83" s="2" t="s">
        <v>183</v>
      </c>
      <c r="D83" s="2" t="s">
        <v>276</v>
      </c>
      <c r="E83" s="2" t="s">
        <v>207</v>
      </c>
      <c r="F83" s="2" t="s">
        <v>277</v>
      </c>
      <c r="G83" s="2" t="s">
        <v>221</v>
      </c>
      <c r="H83" s="2">
        <v>4437</v>
      </c>
      <c r="I83" s="2" t="s">
        <v>339</v>
      </c>
    </row>
    <row r="84" spans="1:9" s="2" customFormat="1" ht="12.75" x14ac:dyDescent="0.2">
      <c r="A84" s="2">
        <v>0</v>
      </c>
      <c r="B84" s="2" t="s">
        <v>1168</v>
      </c>
      <c r="C84" s="2" t="s">
        <v>1169</v>
      </c>
      <c r="D84" s="2" t="s">
        <v>307</v>
      </c>
      <c r="E84" s="2" t="s">
        <v>207</v>
      </c>
      <c r="F84" s="2" t="s">
        <v>308</v>
      </c>
      <c r="G84" s="2" t="s">
        <v>309</v>
      </c>
      <c r="H84" s="2">
        <v>4505</v>
      </c>
      <c r="I84" s="2" t="s">
        <v>354</v>
      </c>
    </row>
    <row r="85" spans="1:9" s="2" customFormat="1" ht="12.75" x14ac:dyDescent="0.2">
      <c r="A85" s="2">
        <v>0</v>
      </c>
      <c r="B85" s="2" t="s">
        <v>1067</v>
      </c>
      <c r="C85" s="2" t="s">
        <v>1068</v>
      </c>
      <c r="D85" s="2" t="s">
        <v>307</v>
      </c>
      <c r="E85" s="2" t="s">
        <v>207</v>
      </c>
      <c r="F85" s="2" t="s">
        <v>308</v>
      </c>
      <c r="G85" s="2" t="s">
        <v>309</v>
      </c>
      <c r="H85" s="2">
        <v>4505</v>
      </c>
      <c r="I85" s="2" t="s">
        <v>354</v>
      </c>
    </row>
    <row r="86" spans="1:9" s="2" customFormat="1" ht="12.75" x14ac:dyDescent="0.2">
      <c r="A86" s="2">
        <v>0</v>
      </c>
      <c r="B86" s="2" t="s">
        <v>1172</v>
      </c>
      <c r="C86" s="2" t="s">
        <v>1173</v>
      </c>
      <c r="D86" s="2" t="s">
        <v>307</v>
      </c>
      <c r="E86" s="2" t="s">
        <v>207</v>
      </c>
      <c r="F86" s="2" t="s">
        <v>308</v>
      </c>
      <c r="G86" s="2" t="s">
        <v>309</v>
      </c>
      <c r="H86" s="2">
        <v>4505</v>
      </c>
      <c r="I86" s="2" t="s">
        <v>354</v>
      </c>
    </row>
    <row r="87" spans="1:9" s="2" customFormat="1" ht="12.75" x14ac:dyDescent="0.2">
      <c r="A87" s="2">
        <v>0</v>
      </c>
      <c r="B87" s="2" t="s">
        <v>1069</v>
      </c>
      <c r="C87" s="2" t="s">
        <v>1070</v>
      </c>
      <c r="D87" s="2" t="s">
        <v>307</v>
      </c>
      <c r="E87" s="2" t="s">
        <v>207</v>
      </c>
      <c r="F87" s="2" t="s">
        <v>308</v>
      </c>
      <c r="G87" s="2" t="s">
        <v>309</v>
      </c>
      <c r="H87" s="2">
        <v>4505</v>
      </c>
      <c r="I87" s="2" t="s">
        <v>354</v>
      </c>
    </row>
    <row r="88" spans="1:9" s="2" customFormat="1" ht="12.75" x14ac:dyDescent="0.2">
      <c r="A88" s="2">
        <v>92800</v>
      </c>
      <c r="B88" s="2" t="s">
        <v>101</v>
      </c>
      <c r="C88" s="2" t="s">
        <v>200</v>
      </c>
      <c r="D88" s="2" t="s">
        <v>307</v>
      </c>
      <c r="E88" s="2" t="s">
        <v>207</v>
      </c>
      <c r="F88" s="2" t="s">
        <v>308</v>
      </c>
      <c r="G88" s="2" t="s">
        <v>309</v>
      </c>
      <c r="H88" s="2">
        <v>4505</v>
      </c>
      <c r="I88" s="2" t="s">
        <v>354</v>
      </c>
    </row>
    <row r="89" spans="1:9" s="2" customFormat="1" ht="12.75" x14ac:dyDescent="0.2">
      <c r="A89" s="2">
        <v>0</v>
      </c>
      <c r="B89" s="2" t="s">
        <v>1099</v>
      </c>
      <c r="C89" s="2" t="s">
        <v>1100</v>
      </c>
      <c r="D89" s="2" t="s">
        <v>307</v>
      </c>
      <c r="E89" s="2" t="s">
        <v>207</v>
      </c>
      <c r="F89" s="2" t="s">
        <v>308</v>
      </c>
      <c r="G89" s="2" t="s">
        <v>309</v>
      </c>
      <c r="H89" s="2">
        <v>4505</v>
      </c>
      <c r="I89" s="2" t="s">
        <v>354</v>
      </c>
    </row>
    <row r="90" spans="1:9" s="2" customFormat="1" ht="12.75" x14ac:dyDescent="0.2">
      <c r="A90" s="2">
        <v>0</v>
      </c>
      <c r="B90" s="2" t="s">
        <v>1188</v>
      </c>
      <c r="C90" s="2" t="s">
        <v>1189</v>
      </c>
      <c r="D90" s="2" t="s">
        <v>307</v>
      </c>
      <c r="E90" s="2" t="s">
        <v>207</v>
      </c>
      <c r="F90" s="2" t="s">
        <v>308</v>
      </c>
      <c r="G90" s="2" t="s">
        <v>309</v>
      </c>
      <c r="H90" s="2">
        <v>4505</v>
      </c>
      <c r="I90" s="2" t="s">
        <v>354</v>
      </c>
    </row>
    <row r="91" spans="1:9" s="2" customFormat="1" ht="12.75" x14ac:dyDescent="0.2">
      <c r="A91" s="2">
        <v>10189</v>
      </c>
      <c r="B91" s="2" t="s">
        <v>1095</v>
      </c>
      <c r="C91" s="2" t="s">
        <v>1096</v>
      </c>
      <c r="D91" s="2" t="s">
        <v>307</v>
      </c>
      <c r="E91" s="2" t="s">
        <v>207</v>
      </c>
      <c r="F91" s="2" t="s">
        <v>308</v>
      </c>
      <c r="G91" s="2" t="s">
        <v>309</v>
      </c>
      <c r="H91" s="2">
        <v>4505</v>
      </c>
      <c r="I91" s="2" t="s">
        <v>354</v>
      </c>
    </row>
    <row r="92" spans="1:9" s="2" customFormat="1" ht="12.75" x14ac:dyDescent="0.2">
      <c r="A92" s="2">
        <v>0</v>
      </c>
      <c r="B92" s="2" t="s">
        <v>16</v>
      </c>
      <c r="C92" s="2" t="s">
        <v>117</v>
      </c>
      <c r="D92" s="2" t="s">
        <v>237</v>
      </c>
      <c r="E92" s="2" t="s">
        <v>207</v>
      </c>
      <c r="F92" s="2" t="s">
        <v>238</v>
      </c>
      <c r="G92" s="2" t="s">
        <v>218</v>
      </c>
      <c r="H92" s="2">
        <v>4157</v>
      </c>
      <c r="I92" s="2" t="s">
        <v>323</v>
      </c>
    </row>
    <row r="93" spans="1:9" s="2" customFormat="1" ht="12.75" x14ac:dyDescent="0.2">
      <c r="A93" s="2">
        <v>0</v>
      </c>
      <c r="B93" s="2" t="s">
        <v>11</v>
      </c>
      <c r="C93" s="2" t="s">
        <v>112</v>
      </c>
      <c r="D93" s="2" t="s">
        <v>229</v>
      </c>
      <c r="E93" s="2" t="s">
        <v>207</v>
      </c>
      <c r="F93" s="2" t="s">
        <v>230</v>
      </c>
      <c r="G93" s="2" t="s">
        <v>224</v>
      </c>
      <c r="H93" s="2">
        <v>4238</v>
      </c>
      <c r="I93" s="2" t="s">
        <v>319</v>
      </c>
    </row>
    <row r="94" spans="1:9" s="2" customFormat="1" ht="12.75" x14ac:dyDescent="0.2">
      <c r="A94" s="2">
        <v>0</v>
      </c>
      <c r="B94" s="2" t="s">
        <v>1101</v>
      </c>
      <c r="C94" s="2" t="s">
        <v>1102</v>
      </c>
      <c r="D94" s="2" t="s">
        <v>292</v>
      </c>
      <c r="E94" s="2" t="s">
        <v>207</v>
      </c>
      <c r="F94" s="2" t="s">
        <v>293</v>
      </c>
      <c r="G94" s="2" t="s">
        <v>224</v>
      </c>
      <c r="H94" s="2">
        <v>4271</v>
      </c>
      <c r="I94" s="2" t="s">
        <v>347</v>
      </c>
    </row>
    <row r="95" spans="1:9" s="2" customFormat="1" ht="12.75" x14ac:dyDescent="0.2">
      <c r="A95" s="2">
        <v>0</v>
      </c>
      <c r="B95" s="2" t="s">
        <v>1103</v>
      </c>
      <c r="C95" s="2" t="s">
        <v>1104</v>
      </c>
      <c r="D95" s="2" t="s">
        <v>292</v>
      </c>
      <c r="E95" s="2" t="s">
        <v>207</v>
      </c>
      <c r="F95" s="2" t="s">
        <v>293</v>
      </c>
      <c r="G95" s="2" t="s">
        <v>224</v>
      </c>
      <c r="H95" s="2">
        <v>4271</v>
      </c>
      <c r="I95" s="2" t="s">
        <v>347</v>
      </c>
    </row>
    <row r="96" spans="1:9" s="2" customFormat="1" ht="12.75" x14ac:dyDescent="0.2">
      <c r="A96" s="2">
        <v>0</v>
      </c>
      <c r="B96" s="2" t="s">
        <v>1071</v>
      </c>
      <c r="C96" s="2" t="s">
        <v>1072</v>
      </c>
      <c r="D96" s="2" t="s">
        <v>292</v>
      </c>
      <c r="E96" s="2" t="s">
        <v>207</v>
      </c>
      <c r="F96" s="2" t="s">
        <v>293</v>
      </c>
      <c r="G96" s="2" t="s">
        <v>224</v>
      </c>
      <c r="H96" s="2">
        <v>4271</v>
      </c>
      <c r="I96" s="2" t="s">
        <v>347</v>
      </c>
    </row>
    <row r="97" spans="1:9" s="2" customFormat="1" ht="12.75" x14ac:dyDescent="0.2">
      <c r="A97" s="2">
        <v>87901</v>
      </c>
      <c r="B97" s="2" t="s">
        <v>1194</v>
      </c>
      <c r="C97" s="2" t="s">
        <v>1195</v>
      </c>
      <c r="D97" s="2" t="s">
        <v>292</v>
      </c>
      <c r="E97" s="2" t="s">
        <v>207</v>
      </c>
      <c r="F97" s="2" t="s">
        <v>293</v>
      </c>
      <c r="G97" s="2" t="s">
        <v>224</v>
      </c>
      <c r="H97" s="2">
        <v>4271</v>
      </c>
      <c r="I97" s="2" t="s">
        <v>347</v>
      </c>
    </row>
    <row r="98" spans="1:9" s="2" customFormat="1" ht="12.75" x14ac:dyDescent="0.2">
      <c r="A98" s="2">
        <v>0</v>
      </c>
      <c r="B98" s="2" t="s">
        <v>1075</v>
      </c>
      <c r="C98" s="2" t="s">
        <v>1076</v>
      </c>
      <c r="D98" s="2" t="s">
        <v>292</v>
      </c>
      <c r="E98" s="2" t="s">
        <v>207</v>
      </c>
      <c r="F98" s="2" t="s">
        <v>293</v>
      </c>
      <c r="G98" s="2" t="s">
        <v>224</v>
      </c>
      <c r="H98" s="2">
        <v>4271</v>
      </c>
      <c r="I98" s="2" t="s">
        <v>347</v>
      </c>
    </row>
    <row r="99" spans="1:9" s="2" customFormat="1" ht="12.75" x14ac:dyDescent="0.2">
      <c r="A99" s="2">
        <v>0</v>
      </c>
      <c r="B99" s="2" t="s">
        <v>1087</v>
      </c>
      <c r="C99" s="2" t="s">
        <v>1088</v>
      </c>
      <c r="D99" s="2" t="s">
        <v>292</v>
      </c>
      <c r="E99" s="2" t="s">
        <v>207</v>
      </c>
      <c r="F99" s="2" t="s">
        <v>293</v>
      </c>
      <c r="G99" s="2" t="s">
        <v>224</v>
      </c>
      <c r="H99" s="2">
        <v>4271</v>
      </c>
      <c r="I99" s="2" t="s">
        <v>347</v>
      </c>
    </row>
    <row r="100" spans="1:9" s="2" customFormat="1" ht="12.75" x14ac:dyDescent="0.2">
      <c r="A100" s="2">
        <v>80622</v>
      </c>
      <c r="B100" s="2" t="s">
        <v>76</v>
      </c>
      <c r="C100" s="2" t="s">
        <v>175</v>
      </c>
      <c r="D100" s="2" t="s">
        <v>292</v>
      </c>
      <c r="E100" s="2" t="s">
        <v>207</v>
      </c>
      <c r="F100" s="2" t="s">
        <v>293</v>
      </c>
      <c r="G100" s="2" t="s">
        <v>224</v>
      </c>
      <c r="H100" s="2">
        <v>4271</v>
      </c>
      <c r="I100" s="2" t="s">
        <v>347</v>
      </c>
    </row>
    <row r="101" spans="1:9" s="2" customFormat="1" ht="12.75" x14ac:dyDescent="0.2">
      <c r="A101" s="2">
        <v>0</v>
      </c>
      <c r="B101" s="2" t="s">
        <v>1147</v>
      </c>
      <c r="C101" s="2" t="s">
        <v>1148</v>
      </c>
      <c r="D101" s="2" t="s">
        <v>292</v>
      </c>
      <c r="E101" s="2" t="s">
        <v>207</v>
      </c>
      <c r="F101" s="2" t="s">
        <v>293</v>
      </c>
      <c r="G101" s="2" t="s">
        <v>224</v>
      </c>
      <c r="H101" s="2">
        <v>4271</v>
      </c>
      <c r="I101" s="2" t="s">
        <v>347</v>
      </c>
    </row>
    <row r="102" spans="1:9" s="2" customFormat="1" ht="12.75" x14ac:dyDescent="0.2">
      <c r="A102" s="2">
        <v>80731</v>
      </c>
      <c r="B102" s="2" t="s">
        <v>1223</v>
      </c>
      <c r="C102" s="2" t="s">
        <v>1224</v>
      </c>
      <c r="D102" s="2" t="s">
        <v>292</v>
      </c>
      <c r="E102" s="2" t="s">
        <v>207</v>
      </c>
      <c r="F102" s="2" t="s">
        <v>293</v>
      </c>
      <c r="G102" s="2" t="s">
        <v>224</v>
      </c>
      <c r="H102" s="2">
        <v>4271</v>
      </c>
      <c r="I102" s="2" t="s">
        <v>347</v>
      </c>
    </row>
    <row r="103" spans="1:9" s="2" customFormat="1" ht="12.75" x14ac:dyDescent="0.2">
      <c r="A103" s="2">
        <v>0</v>
      </c>
      <c r="B103" s="2" t="s">
        <v>86</v>
      </c>
      <c r="C103" s="2" t="s">
        <v>185</v>
      </c>
      <c r="D103" s="2" t="s">
        <v>295</v>
      </c>
      <c r="E103" s="2" t="s">
        <v>207</v>
      </c>
      <c r="F103" s="2" t="s">
        <v>296</v>
      </c>
      <c r="G103" s="2" t="s">
        <v>297</v>
      </c>
      <c r="H103" s="2">
        <v>4208</v>
      </c>
      <c r="I103" s="2" t="s">
        <v>348</v>
      </c>
    </row>
    <row r="104" spans="1:9" s="2" customFormat="1" ht="12.75" x14ac:dyDescent="0.2">
      <c r="A104" s="2">
        <v>0</v>
      </c>
      <c r="B104" s="2" t="s">
        <v>78</v>
      </c>
      <c r="C104" s="2" t="s">
        <v>177</v>
      </c>
      <c r="D104" s="2" t="s">
        <v>295</v>
      </c>
      <c r="E104" s="2" t="s">
        <v>207</v>
      </c>
      <c r="F104" s="2" t="s">
        <v>296</v>
      </c>
      <c r="G104" s="2" t="s">
        <v>297</v>
      </c>
      <c r="H104" s="2">
        <v>4208</v>
      </c>
      <c r="I104" s="2" t="s">
        <v>348</v>
      </c>
    </row>
    <row r="105" spans="1:9" s="2" customFormat="1" ht="12.75" x14ac:dyDescent="0.2">
      <c r="A105" s="2">
        <v>0</v>
      </c>
      <c r="B105" s="2" t="s">
        <v>36</v>
      </c>
      <c r="C105" s="2" t="s">
        <v>137</v>
      </c>
      <c r="D105" s="2" t="s">
        <v>263</v>
      </c>
      <c r="E105" s="2" t="s">
        <v>207</v>
      </c>
      <c r="F105" s="2" t="s">
        <v>264</v>
      </c>
      <c r="G105" s="2" t="s">
        <v>209</v>
      </c>
      <c r="H105" s="2">
        <v>4194</v>
      </c>
      <c r="I105" s="2" t="s">
        <v>335</v>
      </c>
    </row>
    <row r="106" spans="1:9" s="2" customFormat="1" ht="12.75" x14ac:dyDescent="0.2">
      <c r="A106" s="2">
        <v>9019</v>
      </c>
      <c r="B106" s="2" t="s">
        <v>1160</v>
      </c>
      <c r="C106" s="2" t="s">
        <v>1161</v>
      </c>
      <c r="D106" s="2" t="s">
        <v>222</v>
      </c>
      <c r="E106" s="2" t="s">
        <v>207</v>
      </c>
      <c r="F106" s="2" t="s">
        <v>235</v>
      </c>
      <c r="G106" s="2" t="s">
        <v>224</v>
      </c>
      <c r="H106" s="2">
        <v>4259</v>
      </c>
      <c r="I106" s="2" t="s">
        <v>316</v>
      </c>
    </row>
    <row r="107" spans="1:9" s="2" customFormat="1" ht="12.75" x14ac:dyDescent="0.2">
      <c r="A107" s="2">
        <v>80922</v>
      </c>
      <c r="B107" s="2" t="s">
        <v>31</v>
      </c>
      <c r="C107" s="2" t="s">
        <v>132</v>
      </c>
      <c r="D107" s="2" t="s">
        <v>222</v>
      </c>
      <c r="E107" s="2" t="s">
        <v>207</v>
      </c>
      <c r="F107" s="2" t="s">
        <v>235</v>
      </c>
      <c r="G107" s="2" t="s">
        <v>224</v>
      </c>
      <c r="H107" s="2">
        <v>4259</v>
      </c>
      <c r="I107" s="2" t="s">
        <v>316</v>
      </c>
    </row>
    <row r="108" spans="1:9" s="2" customFormat="1" ht="12.75" x14ac:dyDescent="0.2">
      <c r="A108" s="2">
        <v>9174</v>
      </c>
      <c r="B108" s="2" t="s">
        <v>34</v>
      </c>
      <c r="C108" s="2" t="s">
        <v>135</v>
      </c>
      <c r="D108" s="2" t="s">
        <v>222</v>
      </c>
      <c r="E108" s="2" t="s">
        <v>207</v>
      </c>
      <c r="F108" s="2" t="s">
        <v>235</v>
      </c>
      <c r="G108" s="2" t="s">
        <v>224</v>
      </c>
      <c r="H108" s="2">
        <v>4259</v>
      </c>
      <c r="I108" s="2" t="s">
        <v>316</v>
      </c>
    </row>
    <row r="109" spans="1:9" s="2" customFormat="1" ht="12.75" x14ac:dyDescent="0.2">
      <c r="A109" s="2">
        <v>0</v>
      </c>
      <c r="B109" s="2" t="s">
        <v>1251</v>
      </c>
      <c r="C109" s="2" t="s">
        <v>1252</v>
      </c>
      <c r="D109" s="2" t="s">
        <v>222</v>
      </c>
      <c r="E109" s="2" t="s">
        <v>207</v>
      </c>
      <c r="F109" s="2" t="s">
        <v>235</v>
      </c>
      <c r="G109" s="2" t="s">
        <v>224</v>
      </c>
      <c r="H109" s="2">
        <v>4259</v>
      </c>
      <c r="I109" s="2" t="s">
        <v>316</v>
      </c>
    </row>
    <row r="110" spans="1:9" s="2" customFormat="1" ht="12.75" x14ac:dyDescent="0.2">
      <c r="A110" s="2">
        <v>0</v>
      </c>
      <c r="B110" s="2" t="s">
        <v>52</v>
      </c>
      <c r="C110" s="2" t="s">
        <v>151</v>
      </c>
      <c r="D110" s="2" t="s">
        <v>222</v>
      </c>
      <c r="E110" s="2" t="s">
        <v>207</v>
      </c>
      <c r="F110" s="2" t="s">
        <v>235</v>
      </c>
      <c r="G110" s="2" t="s">
        <v>224</v>
      </c>
      <c r="H110" s="2">
        <v>4259</v>
      </c>
      <c r="I110" s="2" t="s">
        <v>316</v>
      </c>
    </row>
    <row r="111" spans="1:9" s="2" customFormat="1" ht="12.75" x14ac:dyDescent="0.2">
      <c r="A111" s="2">
        <v>0</v>
      </c>
      <c r="B111" s="2" t="s">
        <v>53</v>
      </c>
      <c r="C111" s="2" t="s">
        <v>152</v>
      </c>
      <c r="D111" s="2" t="s">
        <v>222</v>
      </c>
      <c r="E111" s="2" t="s">
        <v>207</v>
      </c>
      <c r="F111" s="2" t="s">
        <v>235</v>
      </c>
      <c r="G111" s="2" t="s">
        <v>224</v>
      </c>
      <c r="H111" s="2">
        <v>4259</v>
      </c>
      <c r="I111" s="2" t="s">
        <v>316</v>
      </c>
    </row>
    <row r="112" spans="1:9" s="2" customFormat="1" ht="12.75" x14ac:dyDescent="0.2">
      <c r="A112" s="2">
        <v>0</v>
      </c>
      <c r="B112" s="2" t="s">
        <v>1182</v>
      </c>
      <c r="C112" s="2" t="s">
        <v>140</v>
      </c>
      <c r="D112" s="2" t="s">
        <v>222</v>
      </c>
      <c r="E112" s="2" t="s">
        <v>207</v>
      </c>
      <c r="F112" s="2" t="s">
        <v>235</v>
      </c>
      <c r="G112" s="2" t="s">
        <v>224</v>
      </c>
      <c r="H112" s="2">
        <v>4259</v>
      </c>
      <c r="I112" s="2" t="s">
        <v>316</v>
      </c>
    </row>
    <row r="113" spans="1:9" s="2" customFormat="1" ht="12.75" x14ac:dyDescent="0.2">
      <c r="A113" s="2">
        <v>0</v>
      </c>
      <c r="B113" s="2" t="s">
        <v>55</v>
      </c>
      <c r="C113" s="2" t="s">
        <v>154</v>
      </c>
      <c r="D113" s="2" t="s">
        <v>222</v>
      </c>
      <c r="E113" s="2" t="s">
        <v>207</v>
      </c>
      <c r="F113" s="2" t="s">
        <v>235</v>
      </c>
      <c r="G113" s="2" t="s">
        <v>224</v>
      </c>
      <c r="H113" s="2">
        <v>4259</v>
      </c>
      <c r="I113" s="2" t="s">
        <v>316</v>
      </c>
    </row>
    <row r="114" spans="1:9" s="2" customFormat="1" ht="12.75" x14ac:dyDescent="0.2">
      <c r="A114" s="2">
        <v>0</v>
      </c>
      <c r="B114" s="2" t="s">
        <v>1186</v>
      </c>
      <c r="C114" s="2" t="s">
        <v>1187</v>
      </c>
      <c r="D114" s="2" t="s">
        <v>222</v>
      </c>
      <c r="E114" s="2" t="s">
        <v>207</v>
      </c>
      <c r="F114" s="2" t="s">
        <v>235</v>
      </c>
      <c r="G114" s="2" t="s">
        <v>224</v>
      </c>
      <c r="H114" s="2">
        <v>4259</v>
      </c>
      <c r="I114" s="2" t="s">
        <v>316</v>
      </c>
    </row>
    <row r="115" spans="1:9" s="2" customFormat="1" ht="12.75" x14ac:dyDescent="0.2">
      <c r="A115" s="2">
        <v>784213</v>
      </c>
      <c r="B115" s="2" t="s">
        <v>7</v>
      </c>
      <c r="C115" s="2" t="s">
        <v>109</v>
      </c>
      <c r="D115" s="2" t="s">
        <v>222</v>
      </c>
      <c r="E115" s="2" t="s">
        <v>207</v>
      </c>
      <c r="F115" s="2" t="s">
        <v>223</v>
      </c>
      <c r="G115" s="2" t="s">
        <v>224</v>
      </c>
      <c r="H115" s="2">
        <v>4259</v>
      </c>
      <c r="I115" s="2" t="s">
        <v>316</v>
      </c>
    </row>
    <row r="116" spans="1:9" s="2" customFormat="1" ht="12.75" x14ac:dyDescent="0.2">
      <c r="A116" s="2">
        <v>0</v>
      </c>
      <c r="B116" s="2" t="s">
        <v>41</v>
      </c>
      <c r="C116" s="2" t="s">
        <v>140</v>
      </c>
      <c r="D116" s="2" t="s">
        <v>222</v>
      </c>
      <c r="E116" s="2" t="s">
        <v>207</v>
      </c>
      <c r="F116" s="2" t="s">
        <v>235</v>
      </c>
      <c r="G116" s="2" t="s">
        <v>224</v>
      </c>
      <c r="H116" s="2">
        <v>4259</v>
      </c>
      <c r="I116" s="2" t="s">
        <v>316</v>
      </c>
    </row>
    <row r="117" spans="1:9" s="2" customFormat="1" ht="12.75" x14ac:dyDescent="0.2">
      <c r="A117" s="2">
        <v>79828</v>
      </c>
      <c r="B117" s="2" t="s">
        <v>37</v>
      </c>
      <c r="C117" s="2" t="s">
        <v>138</v>
      </c>
      <c r="D117" s="2" t="s">
        <v>222</v>
      </c>
      <c r="E117" s="2" t="s">
        <v>207</v>
      </c>
      <c r="F117" s="2" t="s">
        <v>235</v>
      </c>
      <c r="G117" s="2" t="s">
        <v>224</v>
      </c>
      <c r="H117" s="2">
        <v>4259</v>
      </c>
      <c r="I117" s="2" t="s">
        <v>316</v>
      </c>
    </row>
    <row r="118" spans="1:9" s="2" customFormat="1" ht="12.75" x14ac:dyDescent="0.2">
      <c r="A118" s="2">
        <v>80542</v>
      </c>
      <c r="B118" s="2" t="s">
        <v>1204</v>
      </c>
      <c r="C118" s="2" t="s">
        <v>1205</v>
      </c>
      <c r="D118" s="2" t="s">
        <v>222</v>
      </c>
      <c r="E118" s="2" t="s">
        <v>207</v>
      </c>
      <c r="F118" s="2" t="s">
        <v>235</v>
      </c>
      <c r="G118" s="2" t="s">
        <v>224</v>
      </c>
      <c r="H118" s="2">
        <v>4259</v>
      </c>
      <c r="I118" s="2" t="s">
        <v>316</v>
      </c>
    </row>
    <row r="119" spans="1:9" s="2" customFormat="1" ht="12.75" x14ac:dyDescent="0.2">
      <c r="A119" s="2">
        <v>0</v>
      </c>
      <c r="B119" s="2" t="s">
        <v>47</v>
      </c>
      <c r="C119" s="2" t="s">
        <v>146</v>
      </c>
      <c r="D119" s="2" t="s">
        <v>222</v>
      </c>
      <c r="E119" s="2" t="s">
        <v>207</v>
      </c>
      <c r="F119" s="2" t="s">
        <v>270</v>
      </c>
      <c r="G119" s="2" t="s">
        <v>224</v>
      </c>
      <c r="H119" s="2">
        <v>4259</v>
      </c>
      <c r="I119" s="2" t="s">
        <v>316</v>
      </c>
    </row>
    <row r="120" spans="1:9" s="2" customFormat="1" ht="12.75" x14ac:dyDescent="0.2">
      <c r="A120" s="2">
        <v>0</v>
      </c>
      <c r="B120" s="2" t="s">
        <v>12</v>
      </c>
      <c r="C120" s="2" t="s">
        <v>113</v>
      </c>
      <c r="D120" s="2" t="s">
        <v>231</v>
      </c>
      <c r="E120" s="2" t="s">
        <v>207</v>
      </c>
      <c r="F120" s="2" t="s">
        <v>232</v>
      </c>
      <c r="G120" s="2" t="s">
        <v>212</v>
      </c>
      <c r="H120" s="2">
        <v>4396</v>
      </c>
      <c r="I120" s="2" t="s">
        <v>320</v>
      </c>
    </row>
    <row r="121" spans="1:9" s="2" customFormat="1" ht="12.75" x14ac:dyDescent="0.2">
      <c r="A121" s="2">
        <v>0</v>
      </c>
      <c r="B121" s="2" t="s">
        <v>17</v>
      </c>
      <c r="C121" s="2" t="s">
        <v>118</v>
      </c>
      <c r="D121" s="2" t="s">
        <v>231</v>
      </c>
      <c r="E121" s="2" t="s">
        <v>207</v>
      </c>
      <c r="F121" s="2" t="s">
        <v>232</v>
      </c>
      <c r="G121" s="2" t="s">
        <v>212</v>
      </c>
      <c r="H121" s="2">
        <v>4396</v>
      </c>
      <c r="I121" s="2" t="s">
        <v>320</v>
      </c>
    </row>
    <row r="122" spans="1:9" s="2" customFormat="1" ht="12.75" x14ac:dyDescent="0.2">
      <c r="A122" s="2">
        <v>0</v>
      </c>
      <c r="B122" s="2" t="s">
        <v>56</v>
      </c>
      <c r="C122" s="2" t="s">
        <v>155</v>
      </c>
      <c r="D122" s="2" t="s">
        <v>274</v>
      </c>
      <c r="E122" s="2" t="s">
        <v>207</v>
      </c>
      <c r="F122" s="2" t="s">
        <v>275</v>
      </c>
      <c r="G122" s="2" t="s">
        <v>221</v>
      </c>
      <c r="H122" s="2">
        <v>4439</v>
      </c>
      <c r="I122" s="2" t="s">
        <v>338</v>
      </c>
    </row>
    <row r="123" spans="1:9" s="2" customFormat="1" ht="12.75" x14ac:dyDescent="0.2">
      <c r="A123" s="2">
        <v>0</v>
      </c>
      <c r="B123" s="2" t="s">
        <v>61</v>
      </c>
      <c r="C123" s="2" t="s">
        <v>160</v>
      </c>
      <c r="D123" s="2" t="s">
        <v>274</v>
      </c>
      <c r="E123" s="2" t="s">
        <v>207</v>
      </c>
      <c r="F123" s="2" t="s">
        <v>275</v>
      </c>
      <c r="G123" s="2" t="s">
        <v>221</v>
      </c>
      <c r="H123" s="2">
        <v>4439</v>
      </c>
      <c r="I123" s="2" t="s">
        <v>338</v>
      </c>
    </row>
    <row r="124" spans="1:9" s="2" customFormat="1" ht="12.75" x14ac:dyDescent="0.2">
      <c r="A124" s="2">
        <v>0</v>
      </c>
      <c r="B124" s="2" t="s">
        <v>65</v>
      </c>
      <c r="C124" s="2" t="s">
        <v>164</v>
      </c>
      <c r="D124" s="2" t="s">
        <v>280</v>
      </c>
      <c r="E124" s="2" t="s">
        <v>207</v>
      </c>
      <c r="F124" s="2" t="s">
        <v>281</v>
      </c>
      <c r="G124" s="2" t="s">
        <v>224</v>
      </c>
      <c r="H124" s="2">
        <v>4235</v>
      </c>
      <c r="I124" s="2" t="s">
        <v>341</v>
      </c>
    </row>
    <row r="125" spans="1:9" s="2" customFormat="1" ht="12.75" x14ac:dyDescent="0.2">
      <c r="A125" s="2">
        <v>0</v>
      </c>
      <c r="B125" s="2" t="s">
        <v>77</v>
      </c>
      <c r="C125" s="2" t="s">
        <v>176</v>
      </c>
      <c r="D125" s="2" t="s">
        <v>280</v>
      </c>
      <c r="E125" s="2" t="s">
        <v>207</v>
      </c>
      <c r="F125" s="2" t="s">
        <v>294</v>
      </c>
      <c r="G125" s="2" t="s">
        <v>224</v>
      </c>
      <c r="H125" s="2">
        <v>4235</v>
      </c>
      <c r="I125" s="2" t="s">
        <v>341</v>
      </c>
    </row>
    <row r="126" spans="1:9" s="2" customFormat="1" ht="12.75" x14ac:dyDescent="0.2">
      <c r="A126" s="2">
        <v>89583</v>
      </c>
      <c r="B126" s="2" t="s">
        <v>1153</v>
      </c>
      <c r="C126" s="2" t="s">
        <v>1154</v>
      </c>
      <c r="D126" s="2" t="s">
        <v>1155</v>
      </c>
      <c r="E126" s="2" t="s">
        <v>207</v>
      </c>
      <c r="F126" s="2" t="s">
        <v>1025</v>
      </c>
      <c r="G126" s="2" t="s">
        <v>297</v>
      </c>
      <c r="H126" s="2">
        <v>4211</v>
      </c>
      <c r="I126" s="2" t="s">
        <v>1021</v>
      </c>
    </row>
    <row r="127" spans="1:9" s="2" customFormat="1" ht="12.75" x14ac:dyDescent="0.2">
      <c r="A127" s="2">
        <v>0</v>
      </c>
      <c r="B127" s="2" t="s">
        <v>1038</v>
      </c>
      <c r="C127" s="2" t="s">
        <v>1039</v>
      </c>
      <c r="D127" s="2" t="s">
        <v>222</v>
      </c>
      <c r="E127" s="2" t="s">
        <v>207</v>
      </c>
      <c r="F127" s="2" t="s">
        <v>235</v>
      </c>
      <c r="G127" s="2" t="s">
        <v>224</v>
      </c>
      <c r="H127" s="2">
        <v>4265</v>
      </c>
      <c r="I127" s="2" t="s">
        <v>322</v>
      </c>
    </row>
    <row r="128" spans="1:9" s="2" customFormat="1" ht="12.75" x14ac:dyDescent="0.2">
      <c r="A128" s="2">
        <v>0</v>
      </c>
      <c r="B128" s="2" t="s">
        <v>14</v>
      </c>
      <c r="C128" s="2" t="s">
        <v>115</v>
      </c>
      <c r="D128" s="2" t="s">
        <v>222</v>
      </c>
      <c r="E128" s="2" t="s">
        <v>207</v>
      </c>
      <c r="F128" s="2" t="s">
        <v>235</v>
      </c>
      <c r="G128" s="2" t="s">
        <v>224</v>
      </c>
      <c r="H128" s="2">
        <v>4265</v>
      </c>
      <c r="I128" s="2" t="s">
        <v>322</v>
      </c>
    </row>
    <row r="129" spans="1:9" s="2" customFormat="1" ht="12.75" x14ac:dyDescent="0.2">
      <c r="A129" s="2">
        <v>0</v>
      </c>
      <c r="B129" s="2" t="s">
        <v>59</v>
      </c>
      <c r="C129" s="2" t="s">
        <v>158</v>
      </c>
      <c r="D129" s="2" t="s">
        <v>222</v>
      </c>
      <c r="E129" s="2" t="s">
        <v>207</v>
      </c>
      <c r="F129" s="2" t="s">
        <v>235</v>
      </c>
      <c r="G129" s="2" t="s">
        <v>224</v>
      </c>
      <c r="H129" s="2">
        <v>4265</v>
      </c>
      <c r="I129" s="2" t="s">
        <v>322</v>
      </c>
    </row>
    <row r="130" spans="1:9" s="2" customFormat="1" ht="12.75" x14ac:dyDescent="0.2">
      <c r="A130" s="2">
        <v>0</v>
      </c>
      <c r="B130" s="2" t="s">
        <v>60</v>
      </c>
      <c r="C130" s="2" t="s">
        <v>159</v>
      </c>
      <c r="D130" s="2" t="s">
        <v>222</v>
      </c>
      <c r="E130" s="2" t="s">
        <v>207</v>
      </c>
      <c r="F130" s="2" t="s">
        <v>235</v>
      </c>
      <c r="G130" s="2" t="s">
        <v>224</v>
      </c>
      <c r="H130" s="2">
        <v>4265</v>
      </c>
      <c r="I130" s="2" t="s">
        <v>322</v>
      </c>
    </row>
    <row r="131" spans="1:9" s="2" customFormat="1" ht="12.75" x14ac:dyDescent="0.2">
      <c r="A131" s="2">
        <v>0</v>
      </c>
      <c r="B131" s="2" t="s">
        <v>4</v>
      </c>
      <c r="C131" s="2" t="s">
        <v>106</v>
      </c>
      <c r="D131" s="2" t="s">
        <v>213</v>
      </c>
      <c r="E131" s="2" t="s">
        <v>207</v>
      </c>
      <c r="F131" s="2" t="s">
        <v>214</v>
      </c>
      <c r="G131" s="2" t="s">
        <v>215</v>
      </c>
      <c r="H131" s="2">
        <v>4176</v>
      </c>
      <c r="I131" s="2" t="s">
        <v>313</v>
      </c>
    </row>
    <row r="132" spans="1:9" s="2" customFormat="1" ht="12.75" x14ac:dyDescent="0.2">
      <c r="A132" s="2">
        <v>0</v>
      </c>
      <c r="B132" s="2" t="s">
        <v>70</v>
      </c>
      <c r="C132" s="2" t="s">
        <v>169</v>
      </c>
      <c r="D132" s="2" t="s">
        <v>287</v>
      </c>
      <c r="E132" s="2" t="s">
        <v>207</v>
      </c>
      <c r="F132" s="2" t="s">
        <v>288</v>
      </c>
      <c r="G132" s="2" t="s">
        <v>259</v>
      </c>
      <c r="H132" s="2">
        <v>4457</v>
      </c>
      <c r="I132" s="2" t="s">
        <v>344</v>
      </c>
    </row>
    <row r="133" spans="1:9" s="2" customFormat="1" ht="12.75" x14ac:dyDescent="0.2">
      <c r="A133" s="2">
        <v>0</v>
      </c>
      <c r="B133" s="2" t="s">
        <v>73</v>
      </c>
      <c r="C133" s="2" t="s">
        <v>172</v>
      </c>
      <c r="D133" s="2" t="s">
        <v>287</v>
      </c>
      <c r="E133" s="2" t="s">
        <v>207</v>
      </c>
      <c r="F133" s="2" t="s">
        <v>288</v>
      </c>
      <c r="G133" s="2" t="s">
        <v>259</v>
      </c>
      <c r="H133" s="2">
        <v>4457</v>
      </c>
      <c r="I133" s="2" t="s">
        <v>344</v>
      </c>
    </row>
    <row r="134" spans="1:9" s="2" customFormat="1" ht="12.75" x14ac:dyDescent="0.2">
      <c r="A134" s="2">
        <v>0</v>
      </c>
      <c r="B134" s="2" t="s">
        <v>74</v>
      </c>
      <c r="C134" s="2" t="s">
        <v>173</v>
      </c>
      <c r="D134" s="2" t="s">
        <v>287</v>
      </c>
      <c r="E134" s="2" t="s">
        <v>207</v>
      </c>
      <c r="F134" s="2" t="s">
        <v>288</v>
      </c>
      <c r="G134" s="2" t="s">
        <v>259</v>
      </c>
      <c r="H134" s="2">
        <v>4457</v>
      </c>
      <c r="I134" s="2" t="s">
        <v>344</v>
      </c>
    </row>
    <row r="135" spans="1:9" s="2" customFormat="1" ht="12.75" x14ac:dyDescent="0.2">
      <c r="A135" s="2">
        <v>9849</v>
      </c>
      <c r="B135" s="2" t="s">
        <v>83</v>
      </c>
      <c r="C135" s="2" t="s">
        <v>182</v>
      </c>
      <c r="D135" s="2" t="s">
        <v>287</v>
      </c>
      <c r="E135" s="2" t="s">
        <v>207</v>
      </c>
      <c r="F135" s="2" t="s">
        <v>288</v>
      </c>
      <c r="G135" s="2" t="s">
        <v>259</v>
      </c>
      <c r="H135" s="2">
        <v>4457</v>
      </c>
      <c r="I135" s="2" t="s">
        <v>344</v>
      </c>
    </row>
    <row r="136" spans="1:9" s="2" customFormat="1" ht="12.75" x14ac:dyDescent="0.2">
      <c r="A136" s="2">
        <v>0</v>
      </c>
      <c r="B136" s="2" t="s">
        <v>87</v>
      </c>
      <c r="C136" s="2" t="s">
        <v>186</v>
      </c>
      <c r="D136" s="2" t="s">
        <v>300</v>
      </c>
      <c r="E136" s="2" t="s">
        <v>207</v>
      </c>
      <c r="F136" s="2" t="s">
        <v>301</v>
      </c>
      <c r="G136" s="2" t="s">
        <v>221</v>
      </c>
      <c r="H136" s="2">
        <v>4444</v>
      </c>
      <c r="I136" s="2" t="s">
        <v>352</v>
      </c>
    </row>
    <row r="137" spans="1:9" s="2" customFormat="1" ht="12.75" x14ac:dyDescent="0.2">
      <c r="A137" s="2">
        <v>0</v>
      </c>
      <c r="B137" s="2" t="s">
        <v>1128</v>
      </c>
      <c r="C137" s="2" t="s">
        <v>1129</v>
      </c>
      <c r="D137" s="2" t="s">
        <v>222</v>
      </c>
      <c r="E137" s="2" t="s">
        <v>207</v>
      </c>
      <c r="F137" s="2" t="s">
        <v>606</v>
      </c>
      <c r="G137" s="2" t="s">
        <v>224</v>
      </c>
      <c r="H137" s="2">
        <v>4262</v>
      </c>
      <c r="I137" s="2" t="s">
        <v>628</v>
      </c>
    </row>
    <row r="138" spans="1:9" s="2" customFormat="1" ht="12.75" x14ac:dyDescent="0.2">
      <c r="A138" s="2">
        <v>0</v>
      </c>
      <c r="B138" s="2" t="s">
        <v>1145</v>
      </c>
      <c r="C138" s="2" t="s">
        <v>1146</v>
      </c>
      <c r="D138" s="2" t="s">
        <v>222</v>
      </c>
      <c r="E138" s="2" t="s">
        <v>207</v>
      </c>
      <c r="F138" s="2" t="s">
        <v>606</v>
      </c>
      <c r="G138" s="2" t="s">
        <v>224</v>
      </c>
      <c r="H138" s="2">
        <v>4262</v>
      </c>
      <c r="I138" s="2" t="s">
        <v>628</v>
      </c>
    </row>
    <row r="139" spans="1:9" s="2" customFormat="1" ht="12.75" x14ac:dyDescent="0.2">
      <c r="A139" s="2">
        <v>0</v>
      </c>
      <c r="B139" s="2" t="s">
        <v>1190</v>
      </c>
      <c r="C139" s="2" t="s">
        <v>1191</v>
      </c>
      <c r="D139" s="2" t="s">
        <v>239</v>
      </c>
      <c r="E139" s="2" t="s">
        <v>207</v>
      </c>
      <c r="F139" s="2" t="s">
        <v>240</v>
      </c>
      <c r="G139" s="2" t="s">
        <v>209</v>
      </c>
      <c r="H139" s="2">
        <v>4196</v>
      </c>
      <c r="I139" s="2" t="s">
        <v>324</v>
      </c>
    </row>
    <row r="140" spans="1:9" s="2" customFormat="1" ht="12.75" x14ac:dyDescent="0.2">
      <c r="A140" s="2">
        <v>0</v>
      </c>
      <c r="B140" s="2" t="s">
        <v>1198</v>
      </c>
      <c r="C140" s="2" t="s">
        <v>1199</v>
      </c>
      <c r="D140" s="2" t="s">
        <v>239</v>
      </c>
      <c r="E140" s="2" t="s">
        <v>207</v>
      </c>
      <c r="F140" s="2" t="s">
        <v>240</v>
      </c>
      <c r="G140" s="2" t="s">
        <v>209</v>
      </c>
      <c r="H140" s="2">
        <v>4196</v>
      </c>
      <c r="I140" s="2" t="s">
        <v>324</v>
      </c>
    </row>
    <row r="141" spans="1:9" s="2" customFormat="1" ht="12.75" x14ac:dyDescent="0.2">
      <c r="A141" s="2">
        <v>0</v>
      </c>
      <c r="B141" s="2" t="s">
        <v>1234</v>
      </c>
      <c r="C141" s="2" t="s">
        <v>1235</v>
      </c>
      <c r="D141" s="2" t="s">
        <v>239</v>
      </c>
      <c r="E141" s="2" t="s">
        <v>207</v>
      </c>
      <c r="F141" s="2" t="s">
        <v>240</v>
      </c>
      <c r="G141" s="2" t="s">
        <v>209</v>
      </c>
      <c r="H141" s="2">
        <v>4196</v>
      </c>
      <c r="I141" s="2" t="s">
        <v>324</v>
      </c>
    </row>
    <row r="142" spans="1:9" s="2" customFormat="1" ht="12.75" x14ac:dyDescent="0.2">
      <c r="A142" s="2">
        <v>0</v>
      </c>
      <c r="B142" s="2" t="s">
        <v>18</v>
      </c>
      <c r="C142" s="2" t="s">
        <v>119</v>
      </c>
      <c r="D142" s="2" t="s">
        <v>239</v>
      </c>
      <c r="E142" s="2" t="s">
        <v>207</v>
      </c>
      <c r="F142" s="2" t="s">
        <v>240</v>
      </c>
      <c r="G142" s="2" t="s">
        <v>209</v>
      </c>
      <c r="H142" s="2">
        <v>4196</v>
      </c>
      <c r="I142" s="2" t="s">
        <v>324</v>
      </c>
    </row>
    <row r="143" spans="1:9" s="2" customFormat="1" ht="12.75" x14ac:dyDescent="0.2">
      <c r="A143" s="2">
        <v>0</v>
      </c>
      <c r="B143" s="2" t="s">
        <v>42</v>
      </c>
      <c r="C143" s="2" t="s">
        <v>141</v>
      </c>
      <c r="D143" s="2" t="s">
        <v>229</v>
      </c>
      <c r="E143" s="2" t="s">
        <v>207</v>
      </c>
      <c r="F143" s="2" t="s">
        <v>230</v>
      </c>
      <c r="G143" s="2" t="s">
        <v>224</v>
      </c>
      <c r="H143" s="2">
        <v>4255</v>
      </c>
      <c r="I143" s="2" t="s">
        <v>336</v>
      </c>
    </row>
    <row r="144" spans="1:9" s="2" customFormat="1" ht="12.75" x14ac:dyDescent="0.2">
      <c r="A144" s="2">
        <v>8680</v>
      </c>
      <c r="B144" s="2" t="s">
        <v>100</v>
      </c>
      <c r="C144" s="2" t="s">
        <v>199</v>
      </c>
      <c r="D144" s="2" t="s">
        <v>222</v>
      </c>
      <c r="E144" s="2" t="s">
        <v>207</v>
      </c>
      <c r="F144" s="2" t="s">
        <v>306</v>
      </c>
      <c r="G144" s="2" t="s">
        <v>224</v>
      </c>
      <c r="H144" s="2">
        <v>4256</v>
      </c>
      <c r="I144" s="2" t="s">
        <v>343</v>
      </c>
    </row>
    <row r="145" spans="1:10" s="2" customFormat="1" ht="12.75" x14ac:dyDescent="0.2">
      <c r="A145" s="2">
        <v>0</v>
      </c>
      <c r="B145" s="2" t="s">
        <v>69</v>
      </c>
      <c r="C145" s="2" t="s">
        <v>168</v>
      </c>
      <c r="D145" s="2" t="s">
        <v>222</v>
      </c>
      <c r="E145" s="2" t="s">
        <v>207</v>
      </c>
      <c r="F145" s="2" t="s">
        <v>286</v>
      </c>
      <c r="G145" s="2" t="s">
        <v>224</v>
      </c>
      <c r="H145" s="2">
        <v>4256</v>
      </c>
      <c r="I145" s="2" t="s">
        <v>343</v>
      </c>
    </row>
    <row r="146" spans="1:10" s="2" customFormat="1" ht="12.75" x14ac:dyDescent="0.2">
      <c r="A146" s="2">
        <v>0</v>
      </c>
      <c r="B146" s="2" t="s">
        <v>88</v>
      </c>
      <c r="C146" s="2" t="s">
        <v>187</v>
      </c>
      <c r="D146" s="2" t="s">
        <v>222</v>
      </c>
      <c r="E146" s="2" t="s">
        <v>207</v>
      </c>
      <c r="F146" s="2" t="s">
        <v>302</v>
      </c>
      <c r="G146" s="2" t="s">
        <v>224</v>
      </c>
      <c r="H146" s="2">
        <v>4256</v>
      </c>
      <c r="I146" s="2" t="s">
        <v>343</v>
      </c>
    </row>
    <row r="147" spans="1:10" s="2" customFormat="1" ht="12.75" x14ac:dyDescent="0.2">
      <c r="A147" s="2">
        <v>0</v>
      </c>
      <c r="B147" s="2" t="s">
        <v>89</v>
      </c>
      <c r="C147" s="2" t="s">
        <v>188</v>
      </c>
      <c r="D147" s="2" t="s">
        <v>222</v>
      </c>
      <c r="E147" s="2" t="s">
        <v>207</v>
      </c>
      <c r="F147" s="2" t="s">
        <v>291</v>
      </c>
      <c r="G147" s="2" t="s">
        <v>224</v>
      </c>
      <c r="H147" s="2">
        <v>4256</v>
      </c>
      <c r="I147" s="2" t="s">
        <v>343</v>
      </c>
    </row>
    <row r="148" spans="1:10" s="2" customFormat="1" ht="12.75" x14ac:dyDescent="0.2">
      <c r="A148" s="2">
        <v>0</v>
      </c>
      <c r="B148" s="2" t="s">
        <v>90</v>
      </c>
      <c r="C148" s="2" t="s">
        <v>189</v>
      </c>
      <c r="D148" s="2" t="s">
        <v>222</v>
      </c>
      <c r="E148" s="2" t="s">
        <v>207</v>
      </c>
      <c r="F148" s="2" t="s">
        <v>303</v>
      </c>
      <c r="G148" s="2" t="s">
        <v>224</v>
      </c>
      <c r="H148" s="2">
        <v>4256</v>
      </c>
      <c r="I148" s="2" t="s">
        <v>343</v>
      </c>
    </row>
    <row r="149" spans="1:10" s="2" customFormat="1" ht="12.75" x14ac:dyDescent="0.2">
      <c r="A149" s="2">
        <v>0</v>
      </c>
      <c r="B149" s="2" t="s">
        <v>91</v>
      </c>
      <c r="C149" s="2" t="s">
        <v>190</v>
      </c>
      <c r="D149" s="2" t="s">
        <v>222</v>
      </c>
      <c r="E149" s="2" t="s">
        <v>207</v>
      </c>
      <c r="F149" s="2" t="s">
        <v>286</v>
      </c>
      <c r="G149" s="2" t="s">
        <v>224</v>
      </c>
      <c r="H149" s="2">
        <v>4256</v>
      </c>
      <c r="I149" s="2" t="s">
        <v>343</v>
      </c>
    </row>
    <row r="150" spans="1:10" s="2" customFormat="1" ht="12.75" x14ac:dyDescent="0.2">
      <c r="A150" s="2">
        <v>0</v>
      </c>
      <c r="B150" s="2" t="s">
        <v>79</v>
      </c>
      <c r="C150" s="2" t="s">
        <v>178</v>
      </c>
      <c r="D150" s="2" t="s">
        <v>222</v>
      </c>
      <c r="E150" s="2" t="s">
        <v>207</v>
      </c>
      <c r="F150" s="2" t="s">
        <v>291</v>
      </c>
      <c r="G150" s="2" t="s">
        <v>224</v>
      </c>
      <c r="H150" s="2">
        <v>4256</v>
      </c>
      <c r="I150" s="2" t="s">
        <v>343</v>
      </c>
      <c r="J150" s="2" t="s">
        <v>1612</v>
      </c>
    </row>
    <row r="151" spans="1:10" s="2" customFormat="1" ht="12.75" x14ac:dyDescent="0.2">
      <c r="A151" s="2">
        <v>0</v>
      </c>
      <c r="B151" s="2" t="s">
        <v>82</v>
      </c>
      <c r="C151" s="2" t="s">
        <v>181</v>
      </c>
      <c r="D151" s="2" t="s">
        <v>222</v>
      </c>
      <c r="E151" s="2" t="s">
        <v>207</v>
      </c>
      <c r="F151" s="2" t="s">
        <v>291</v>
      </c>
      <c r="G151" s="2" t="s">
        <v>224</v>
      </c>
      <c r="H151" s="2">
        <v>4256</v>
      </c>
      <c r="I151" s="2" t="s">
        <v>343</v>
      </c>
    </row>
    <row r="152" spans="1:10" s="2" customFormat="1" ht="12.75" x14ac:dyDescent="0.2">
      <c r="A152" s="2">
        <v>0</v>
      </c>
      <c r="B152" s="2" t="s">
        <v>3</v>
      </c>
      <c r="C152" s="2" t="s">
        <v>105</v>
      </c>
      <c r="D152" s="2" t="s">
        <v>210</v>
      </c>
      <c r="E152" s="2" t="s">
        <v>207</v>
      </c>
      <c r="F152" s="2" t="s">
        <v>211</v>
      </c>
      <c r="G152" s="2" t="s">
        <v>212</v>
      </c>
      <c r="H152" s="2">
        <v>4390</v>
      </c>
      <c r="I152" s="2" t="s">
        <v>312</v>
      </c>
    </row>
    <row r="153" spans="1:10" s="2" customFormat="1" ht="12.75" x14ac:dyDescent="0.2">
      <c r="A153" s="2">
        <v>0</v>
      </c>
      <c r="B153" s="2" t="s">
        <v>19</v>
      </c>
      <c r="C153" s="2" t="s">
        <v>120</v>
      </c>
      <c r="D153" s="2" t="s">
        <v>241</v>
      </c>
      <c r="E153" s="2" t="s">
        <v>207</v>
      </c>
      <c r="F153" s="2" t="s">
        <v>242</v>
      </c>
      <c r="G153" s="2" t="s">
        <v>218</v>
      </c>
      <c r="H153" s="2">
        <v>4159</v>
      </c>
      <c r="I153" s="2" t="s">
        <v>325</v>
      </c>
    </row>
    <row r="154" spans="1:10" s="2" customFormat="1" ht="12.75" x14ac:dyDescent="0.2">
      <c r="A154" s="2">
        <v>0</v>
      </c>
      <c r="B154" s="2" t="s">
        <v>22</v>
      </c>
      <c r="C154" s="2" t="s">
        <v>123</v>
      </c>
      <c r="D154" s="2" t="s">
        <v>222</v>
      </c>
      <c r="E154" s="2" t="s">
        <v>207</v>
      </c>
      <c r="F154" s="2" t="s">
        <v>248</v>
      </c>
      <c r="G154" s="2" t="s">
        <v>224</v>
      </c>
      <c r="H154" s="2">
        <v>4279</v>
      </c>
      <c r="I154" s="2" t="s">
        <v>328</v>
      </c>
    </row>
    <row r="155" spans="1:10" s="2" customFormat="1" ht="12.75" x14ac:dyDescent="0.2">
      <c r="A155" s="2">
        <v>0</v>
      </c>
      <c r="B155" s="2" t="s">
        <v>43</v>
      </c>
      <c r="C155" s="2" t="s">
        <v>142</v>
      </c>
      <c r="D155" s="2" t="s">
        <v>222</v>
      </c>
      <c r="E155" s="2" t="s">
        <v>207</v>
      </c>
      <c r="F155" s="2" t="s">
        <v>266</v>
      </c>
      <c r="G155" s="2" t="s">
        <v>224</v>
      </c>
      <c r="H155" s="2">
        <v>4279</v>
      </c>
      <c r="I155" s="2" t="s">
        <v>328</v>
      </c>
    </row>
    <row r="156" spans="1:10" s="2" customFormat="1" ht="12.75" x14ac:dyDescent="0.2">
      <c r="A156" s="2">
        <v>0</v>
      </c>
      <c r="B156" s="2" t="s">
        <v>95</v>
      </c>
      <c r="C156" s="2" t="s">
        <v>194</v>
      </c>
      <c r="D156" s="2" t="s">
        <v>222</v>
      </c>
      <c r="E156" s="2" t="s">
        <v>207</v>
      </c>
      <c r="F156" s="2" t="s">
        <v>305</v>
      </c>
      <c r="G156" s="2" t="s">
        <v>224</v>
      </c>
      <c r="H156" s="2">
        <v>4279</v>
      </c>
      <c r="I156" s="2" t="s">
        <v>328</v>
      </c>
    </row>
    <row r="157" spans="1:10" s="2" customFormat="1" ht="12.75" x14ac:dyDescent="0.2">
      <c r="A157" s="2">
        <v>0</v>
      </c>
      <c r="B157" s="2" t="s">
        <v>44</v>
      </c>
      <c r="C157" s="2" t="s">
        <v>143</v>
      </c>
      <c r="D157" s="2" t="s">
        <v>222</v>
      </c>
      <c r="E157" s="2" t="s">
        <v>207</v>
      </c>
      <c r="F157" s="2" t="s">
        <v>266</v>
      </c>
      <c r="G157" s="2" t="s">
        <v>224</v>
      </c>
      <c r="H157" s="2">
        <v>4279</v>
      </c>
      <c r="I157" s="2" t="s">
        <v>328</v>
      </c>
    </row>
    <row r="158" spans="1:10" s="2" customFormat="1" ht="12.75" x14ac:dyDescent="0.2">
      <c r="A158" s="2">
        <v>0</v>
      </c>
      <c r="B158" s="2" t="s">
        <v>96</v>
      </c>
      <c r="C158" s="2" t="s">
        <v>195</v>
      </c>
      <c r="D158" s="2" t="s">
        <v>222</v>
      </c>
      <c r="E158" s="2" t="s">
        <v>207</v>
      </c>
      <c r="F158" s="2" t="s">
        <v>305</v>
      </c>
      <c r="G158" s="2" t="s">
        <v>224</v>
      </c>
      <c r="H158" s="2">
        <v>4279</v>
      </c>
      <c r="I158" s="2" t="s">
        <v>328</v>
      </c>
    </row>
    <row r="159" spans="1:10" s="2" customFormat="1" ht="12.75" x14ac:dyDescent="0.2">
      <c r="A159" s="2">
        <v>0</v>
      </c>
      <c r="B159" s="2" t="s">
        <v>50</v>
      </c>
      <c r="C159" s="2" t="s">
        <v>149</v>
      </c>
      <c r="D159" s="2" t="s">
        <v>222</v>
      </c>
      <c r="E159" s="2" t="s">
        <v>207</v>
      </c>
      <c r="F159" s="2" t="s">
        <v>266</v>
      </c>
      <c r="G159" s="2" t="s">
        <v>224</v>
      </c>
      <c r="H159" s="2">
        <v>4279</v>
      </c>
      <c r="I159" s="2" t="s">
        <v>328</v>
      </c>
    </row>
    <row r="160" spans="1:10" s="2" customFormat="1" ht="12.75" x14ac:dyDescent="0.2">
      <c r="A160" s="2">
        <v>0</v>
      </c>
      <c r="B160" s="2" t="s">
        <v>26</v>
      </c>
      <c r="C160" s="2" t="s">
        <v>127</v>
      </c>
      <c r="D160" s="2" t="s">
        <v>222</v>
      </c>
      <c r="E160" s="2" t="s">
        <v>207</v>
      </c>
      <c r="F160" s="2" t="s">
        <v>248</v>
      </c>
      <c r="G160" s="2" t="s">
        <v>224</v>
      </c>
      <c r="H160" s="2">
        <v>4279</v>
      </c>
      <c r="I160" s="2" t="s">
        <v>328</v>
      </c>
    </row>
    <row r="161" spans="1:9" s="2" customFormat="1" ht="12.75" x14ac:dyDescent="0.2">
      <c r="A161" s="2">
        <v>0</v>
      </c>
      <c r="B161" s="2" t="s">
        <v>1210</v>
      </c>
      <c r="C161" s="2" t="s">
        <v>1211</v>
      </c>
      <c r="D161" s="2" t="s">
        <v>222</v>
      </c>
      <c r="E161" s="2" t="s">
        <v>207</v>
      </c>
      <c r="F161" s="2" t="s">
        <v>266</v>
      </c>
      <c r="G161" s="2" t="s">
        <v>224</v>
      </c>
      <c r="H161" s="2">
        <v>4279</v>
      </c>
      <c r="I161" s="2" t="s">
        <v>328</v>
      </c>
    </row>
    <row r="162" spans="1:9" s="2" customFormat="1" ht="12.75" x14ac:dyDescent="0.2">
      <c r="A162" s="2">
        <v>0</v>
      </c>
      <c r="B162" s="2" t="s">
        <v>48</v>
      </c>
      <c r="C162" s="2" t="s">
        <v>147</v>
      </c>
      <c r="D162" s="2" t="s">
        <v>222</v>
      </c>
      <c r="E162" s="2" t="s">
        <v>207</v>
      </c>
      <c r="F162" s="2" t="s">
        <v>248</v>
      </c>
      <c r="G162" s="2" t="s">
        <v>224</v>
      </c>
      <c r="H162" s="2">
        <v>4279</v>
      </c>
      <c r="I162" s="2" t="s">
        <v>328</v>
      </c>
    </row>
    <row r="163" spans="1:9" s="2" customFormat="1" ht="12.75" x14ac:dyDescent="0.2">
      <c r="A163" s="2">
        <v>0</v>
      </c>
      <c r="B163" s="2" t="s">
        <v>49</v>
      </c>
      <c r="C163" s="2" t="s">
        <v>148</v>
      </c>
      <c r="D163" s="2" t="s">
        <v>222</v>
      </c>
      <c r="E163" s="2" t="s">
        <v>207</v>
      </c>
      <c r="F163" s="2" t="s">
        <v>248</v>
      </c>
      <c r="G163" s="2" t="s">
        <v>224</v>
      </c>
      <c r="H163" s="2">
        <v>4279</v>
      </c>
      <c r="I163" s="2" t="s">
        <v>328</v>
      </c>
    </row>
    <row r="164" spans="1:9" s="2" customFormat="1" ht="12.75" x14ac:dyDescent="0.2">
      <c r="A164" s="2">
        <v>0</v>
      </c>
      <c r="B164" s="2" t="s">
        <v>1219</v>
      </c>
      <c r="C164" s="2" t="s">
        <v>1220</v>
      </c>
      <c r="D164" s="2" t="s">
        <v>222</v>
      </c>
      <c r="E164" s="2" t="s">
        <v>207</v>
      </c>
      <c r="F164" s="2" t="s">
        <v>266</v>
      </c>
      <c r="G164" s="2" t="s">
        <v>224</v>
      </c>
      <c r="H164" s="2">
        <v>4279</v>
      </c>
      <c r="I164" s="2" t="s">
        <v>328</v>
      </c>
    </row>
    <row r="165" spans="1:9" s="2" customFormat="1" ht="12.75" x14ac:dyDescent="0.2">
      <c r="A165" s="2">
        <v>0</v>
      </c>
      <c r="B165" s="2" t="s">
        <v>1236</v>
      </c>
      <c r="C165" s="2" t="s">
        <v>1237</v>
      </c>
      <c r="D165" s="2" t="s">
        <v>1238</v>
      </c>
      <c r="E165" s="2" t="s">
        <v>207</v>
      </c>
      <c r="F165" s="2" t="s">
        <v>370</v>
      </c>
      <c r="G165" s="2" t="s">
        <v>245</v>
      </c>
      <c r="H165" s="2">
        <v>4514</v>
      </c>
      <c r="I165" s="2" t="s">
        <v>366</v>
      </c>
    </row>
    <row r="166" spans="1:9" s="2" customFormat="1" ht="12.75" x14ac:dyDescent="0.2">
      <c r="A166" s="2">
        <v>0</v>
      </c>
      <c r="B166" s="2" t="s">
        <v>5</v>
      </c>
      <c r="C166" s="2" t="s">
        <v>107</v>
      </c>
      <c r="D166" s="2" t="s">
        <v>216</v>
      </c>
      <c r="E166" s="2" t="s">
        <v>207</v>
      </c>
      <c r="F166" s="2" t="s">
        <v>217</v>
      </c>
      <c r="G166" s="2" t="s">
        <v>218</v>
      </c>
      <c r="H166" s="2">
        <v>4156</v>
      </c>
      <c r="I166" s="2" t="s">
        <v>314</v>
      </c>
    </row>
    <row r="167" spans="1:9" s="2" customFormat="1" ht="12.75" x14ac:dyDescent="0.2">
      <c r="A167" s="2">
        <v>0</v>
      </c>
      <c r="B167" s="2" t="s">
        <v>9</v>
      </c>
      <c r="C167" s="2" t="s">
        <v>110</v>
      </c>
      <c r="D167" s="2" t="s">
        <v>225</v>
      </c>
      <c r="E167" s="2" t="s">
        <v>207</v>
      </c>
      <c r="F167" s="2" t="s">
        <v>226</v>
      </c>
      <c r="G167" s="2" t="s">
        <v>221</v>
      </c>
      <c r="H167" s="2">
        <v>4451</v>
      </c>
      <c r="I167" s="2" t="s">
        <v>317</v>
      </c>
    </row>
    <row r="168" spans="1:9" s="2" customFormat="1" ht="12.75" x14ac:dyDescent="0.2">
      <c r="A168" s="2">
        <v>8077</v>
      </c>
      <c r="B168" s="2" t="s">
        <v>8</v>
      </c>
      <c r="C168" s="2" t="s">
        <v>110</v>
      </c>
      <c r="D168" s="2" t="s">
        <v>225</v>
      </c>
      <c r="E168" s="2" t="s">
        <v>207</v>
      </c>
      <c r="F168" s="2" t="s">
        <v>226</v>
      </c>
      <c r="G168" s="2" t="s">
        <v>221</v>
      </c>
      <c r="H168" s="2">
        <v>4451</v>
      </c>
      <c r="I168" s="2" t="s">
        <v>317</v>
      </c>
    </row>
    <row r="169" spans="1:9" s="2" customFormat="1" ht="12.75" x14ac:dyDescent="0.2">
      <c r="A169" s="2">
        <v>0</v>
      </c>
      <c r="B169" s="2" t="s">
        <v>94</v>
      </c>
      <c r="C169" s="2" t="s">
        <v>193</v>
      </c>
      <c r="D169" s="2" t="s">
        <v>251</v>
      </c>
      <c r="E169" s="2" t="s">
        <v>207</v>
      </c>
      <c r="F169" s="2" t="s">
        <v>257</v>
      </c>
      <c r="G169" s="2" t="s">
        <v>253</v>
      </c>
      <c r="H169" s="2">
        <v>4407</v>
      </c>
      <c r="I169" s="2" t="s">
        <v>331</v>
      </c>
    </row>
    <row r="170" spans="1:9" s="2" customFormat="1" ht="12.75" x14ac:dyDescent="0.2">
      <c r="A170" s="2">
        <v>90519</v>
      </c>
      <c r="B170" s="2" t="s">
        <v>64</v>
      </c>
      <c r="C170" s="2" t="s">
        <v>163</v>
      </c>
      <c r="D170" s="2" t="s">
        <v>251</v>
      </c>
      <c r="E170" s="2" t="s">
        <v>207</v>
      </c>
      <c r="F170" s="2" t="s">
        <v>257</v>
      </c>
      <c r="G170" s="2" t="s">
        <v>253</v>
      </c>
      <c r="H170" s="2">
        <v>4407</v>
      </c>
      <c r="I170" s="2" t="s">
        <v>331</v>
      </c>
    </row>
    <row r="171" spans="1:9" s="2" customFormat="1" ht="12.75" x14ac:dyDescent="0.2">
      <c r="A171" s="2">
        <v>0</v>
      </c>
      <c r="B171" s="2" t="s">
        <v>102</v>
      </c>
      <c r="C171" s="2" t="s">
        <v>201</v>
      </c>
      <c r="D171" s="2" t="s">
        <v>251</v>
      </c>
      <c r="E171" s="2" t="s">
        <v>207</v>
      </c>
      <c r="F171" s="2" t="s">
        <v>257</v>
      </c>
      <c r="G171" s="2" t="s">
        <v>253</v>
      </c>
      <c r="H171" s="2">
        <v>4407</v>
      </c>
      <c r="I171" s="2" t="s">
        <v>331</v>
      </c>
    </row>
    <row r="172" spans="1:9" s="2" customFormat="1" ht="12.75" x14ac:dyDescent="0.2">
      <c r="A172" s="2">
        <v>0</v>
      </c>
      <c r="B172" s="2" t="s">
        <v>97</v>
      </c>
      <c r="C172" s="2" t="s">
        <v>196</v>
      </c>
      <c r="D172" s="2" t="s">
        <v>251</v>
      </c>
      <c r="E172" s="2" t="s">
        <v>207</v>
      </c>
      <c r="F172" s="2" t="s">
        <v>257</v>
      </c>
      <c r="G172" s="2" t="s">
        <v>253</v>
      </c>
      <c r="H172" s="2">
        <v>4407</v>
      </c>
      <c r="I172" s="2" t="s">
        <v>331</v>
      </c>
    </row>
    <row r="173" spans="1:9" s="2" customFormat="1" ht="12.75" x14ac:dyDescent="0.2">
      <c r="A173" s="2">
        <v>7936</v>
      </c>
      <c r="B173" s="2" t="s">
        <v>45</v>
      </c>
      <c r="C173" s="2" t="s">
        <v>144</v>
      </c>
      <c r="D173" s="2" t="s">
        <v>251</v>
      </c>
      <c r="E173" s="2" t="s">
        <v>207</v>
      </c>
      <c r="F173" s="2" t="s">
        <v>257</v>
      </c>
      <c r="G173" s="2" t="s">
        <v>253</v>
      </c>
      <c r="H173" s="2">
        <v>4407</v>
      </c>
      <c r="I173" s="2" t="s">
        <v>331</v>
      </c>
    </row>
    <row r="174" spans="1:9" s="2" customFormat="1" ht="12.75" x14ac:dyDescent="0.2">
      <c r="A174" s="2">
        <v>0</v>
      </c>
      <c r="B174" s="2" t="s">
        <v>1196</v>
      </c>
      <c r="C174" s="2" t="s">
        <v>1197</v>
      </c>
      <c r="D174" s="2" t="s">
        <v>251</v>
      </c>
      <c r="E174" s="2" t="s">
        <v>207</v>
      </c>
      <c r="F174" s="2" t="s">
        <v>257</v>
      </c>
      <c r="G174" s="2" t="s">
        <v>253</v>
      </c>
      <c r="H174" s="2">
        <v>4407</v>
      </c>
      <c r="I174" s="2" t="s">
        <v>331</v>
      </c>
    </row>
    <row r="175" spans="1:9" s="2" customFormat="1" ht="12.75" x14ac:dyDescent="0.2">
      <c r="A175" s="2">
        <v>0</v>
      </c>
      <c r="B175" s="2" t="s">
        <v>98</v>
      </c>
      <c r="C175" s="2" t="s">
        <v>197</v>
      </c>
      <c r="D175" s="2" t="s">
        <v>251</v>
      </c>
      <c r="E175" s="2" t="s">
        <v>207</v>
      </c>
      <c r="F175" s="2" t="s">
        <v>257</v>
      </c>
      <c r="G175" s="2" t="s">
        <v>253</v>
      </c>
      <c r="H175" s="2">
        <v>4407</v>
      </c>
      <c r="I175" s="2" t="s">
        <v>331</v>
      </c>
    </row>
    <row r="176" spans="1:9" s="2" customFormat="1" ht="12.75" x14ac:dyDescent="0.2">
      <c r="A176" s="2">
        <v>0</v>
      </c>
      <c r="B176" s="2" t="s">
        <v>46</v>
      </c>
      <c r="C176" s="2" t="s">
        <v>145</v>
      </c>
      <c r="D176" s="2" t="s">
        <v>251</v>
      </c>
      <c r="E176" s="2" t="s">
        <v>207</v>
      </c>
      <c r="F176" s="2" t="s">
        <v>257</v>
      </c>
      <c r="G176" s="2" t="s">
        <v>253</v>
      </c>
      <c r="H176" s="2">
        <v>4407</v>
      </c>
      <c r="I176" s="2" t="s">
        <v>331</v>
      </c>
    </row>
    <row r="177" spans="1:9" s="2" customFormat="1" ht="12.75" x14ac:dyDescent="0.2">
      <c r="A177" s="2">
        <v>0</v>
      </c>
      <c r="B177" s="2" t="s">
        <v>99</v>
      </c>
      <c r="C177" s="2" t="s">
        <v>198</v>
      </c>
      <c r="D177" s="2" t="s">
        <v>251</v>
      </c>
      <c r="E177" s="2" t="s">
        <v>207</v>
      </c>
      <c r="F177" s="2" t="s">
        <v>257</v>
      </c>
      <c r="G177" s="2" t="s">
        <v>253</v>
      </c>
      <c r="H177" s="2">
        <v>4407</v>
      </c>
      <c r="I177" s="2" t="s">
        <v>331</v>
      </c>
    </row>
    <row r="178" spans="1:9" s="2" customFormat="1" ht="12.75" x14ac:dyDescent="0.2">
      <c r="A178" s="2">
        <v>0</v>
      </c>
      <c r="B178" s="2" t="s">
        <v>29</v>
      </c>
      <c r="C178" s="2" t="s">
        <v>130</v>
      </c>
      <c r="D178" s="2" t="s">
        <v>251</v>
      </c>
      <c r="E178" s="2" t="s">
        <v>207</v>
      </c>
      <c r="F178" s="2" t="s">
        <v>257</v>
      </c>
      <c r="G178" s="2" t="s">
        <v>253</v>
      </c>
      <c r="H178" s="2">
        <v>4407</v>
      </c>
      <c r="I178" s="2" t="s">
        <v>331</v>
      </c>
    </row>
    <row r="179" spans="1:9" s="2" customFormat="1" ht="12.75" x14ac:dyDescent="0.2">
      <c r="A179" s="2">
        <v>0</v>
      </c>
      <c r="B179" s="2" t="s">
        <v>92</v>
      </c>
      <c r="C179" s="2" t="s">
        <v>191</v>
      </c>
      <c r="D179" s="2" t="s">
        <v>251</v>
      </c>
      <c r="E179" s="2" t="s">
        <v>207</v>
      </c>
      <c r="F179" s="2" t="s">
        <v>257</v>
      </c>
      <c r="G179" s="2" t="s">
        <v>253</v>
      </c>
      <c r="H179" s="2">
        <v>4407</v>
      </c>
      <c r="I179" s="2" t="s">
        <v>331</v>
      </c>
    </row>
    <row r="180" spans="1:9" s="2" customFormat="1" ht="12.75" x14ac:dyDescent="0.2">
      <c r="A180" s="2">
        <v>9806</v>
      </c>
      <c r="B180" s="2" t="s">
        <v>85</v>
      </c>
      <c r="C180" s="2" t="s">
        <v>184</v>
      </c>
      <c r="D180" s="2" t="s">
        <v>251</v>
      </c>
      <c r="E180" s="2" t="s">
        <v>207</v>
      </c>
      <c r="F180" s="2" t="s">
        <v>257</v>
      </c>
      <c r="G180" s="2" t="s">
        <v>253</v>
      </c>
      <c r="H180" s="2">
        <v>4407</v>
      </c>
      <c r="I180" s="2" t="s">
        <v>331</v>
      </c>
    </row>
    <row r="181" spans="1:9" s="2" customFormat="1" ht="12.75" x14ac:dyDescent="0.2">
      <c r="A181" s="2">
        <v>8079</v>
      </c>
      <c r="B181" s="2" t="s">
        <v>80</v>
      </c>
      <c r="C181" s="2" t="s">
        <v>179</v>
      </c>
      <c r="D181" s="2" t="s">
        <v>249</v>
      </c>
      <c r="E181" s="2" t="s">
        <v>207</v>
      </c>
      <c r="F181" s="2" t="s">
        <v>250</v>
      </c>
      <c r="G181" s="2" t="s">
        <v>221</v>
      </c>
      <c r="H181" s="2">
        <v>4450</v>
      </c>
      <c r="I181" s="2" t="s">
        <v>349</v>
      </c>
    </row>
    <row r="182" spans="1:9" s="2" customFormat="1" ht="12.75" x14ac:dyDescent="0.2">
      <c r="A182" s="2">
        <v>0</v>
      </c>
      <c r="B182" s="2" t="s">
        <v>30</v>
      </c>
      <c r="C182" s="2" t="s">
        <v>131</v>
      </c>
      <c r="D182" s="2" t="s">
        <v>260</v>
      </c>
      <c r="E182" s="2" t="s">
        <v>207</v>
      </c>
      <c r="F182" s="2" t="s">
        <v>261</v>
      </c>
      <c r="G182" s="2" t="s">
        <v>209</v>
      </c>
      <c r="H182" s="2">
        <v>4197</v>
      </c>
      <c r="I182" s="2" t="s">
        <v>333</v>
      </c>
    </row>
    <row r="183" spans="1:9" s="2" customFormat="1" ht="12.75" x14ac:dyDescent="0.2">
      <c r="A183" s="2">
        <v>9770</v>
      </c>
      <c r="B183" s="2" t="s">
        <v>24</v>
      </c>
      <c r="C183" s="2" t="s">
        <v>125</v>
      </c>
      <c r="D183" s="2" t="s">
        <v>251</v>
      </c>
      <c r="E183" s="2" t="s">
        <v>207</v>
      </c>
      <c r="F183" s="2" t="s">
        <v>252</v>
      </c>
      <c r="G183" s="2" t="s">
        <v>253</v>
      </c>
      <c r="H183" s="2">
        <v>4403</v>
      </c>
      <c r="I183" s="2" t="s">
        <v>330</v>
      </c>
    </row>
    <row r="184" spans="1:9" s="2" customFormat="1" ht="12.75" x14ac:dyDescent="0.2">
      <c r="A184" s="2">
        <v>10029</v>
      </c>
      <c r="B184" s="2" t="s">
        <v>25</v>
      </c>
      <c r="C184" s="2" t="s">
        <v>126</v>
      </c>
      <c r="D184" s="2" t="s">
        <v>251</v>
      </c>
      <c r="E184" s="2" t="s">
        <v>207</v>
      </c>
      <c r="F184" s="2" t="s">
        <v>254</v>
      </c>
      <c r="G184" s="2" t="s">
        <v>253</v>
      </c>
      <c r="H184" s="2">
        <v>4403</v>
      </c>
      <c r="I184" s="2" t="s">
        <v>330</v>
      </c>
    </row>
    <row r="185" spans="1:9" s="2" customFormat="1" ht="12.75" x14ac:dyDescent="0.2">
      <c r="A185" s="2">
        <v>0</v>
      </c>
      <c r="B185" s="2" t="s">
        <v>28</v>
      </c>
      <c r="C185" s="2" t="s">
        <v>129</v>
      </c>
      <c r="D185" s="2" t="s">
        <v>251</v>
      </c>
      <c r="E185" s="2" t="s">
        <v>207</v>
      </c>
      <c r="F185" s="2" t="s">
        <v>256</v>
      </c>
      <c r="G185" s="2" t="s">
        <v>253</v>
      </c>
      <c r="H185" s="2">
        <v>4403</v>
      </c>
      <c r="I185" s="2" t="s">
        <v>330</v>
      </c>
    </row>
    <row r="186" spans="1:9" s="2" customFormat="1" ht="12.75" x14ac:dyDescent="0.2">
      <c r="A186" s="2">
        <v>1000062</v>
      </c>
      <c r="B186" s="2" t="s">
        <v>1162</v>
      </c>
      <c r="C186" s="2" t="s">
        <v>1163</v>
      </c>
      <c r="D186" s="2" t="s">
        <v>222</v>
      </c>
      <c r="E186" s="2" t="s">
        <v>207</v>
      </c>
      <c r="F186" s="2" t="s">
        <v>1140</v>
      </c>
      <c r="G186" s="2" t="s">
        <v>224</v>
      </c>
      <c r="H186" s="2">
        <v>4260</v>
      </c>
      <c r="I186" s="2" t="s">
        <v>353</v>
      </c>
    </row>
    <row r="187" spans="1:9" s="2" customFormat="1" ht="12.75" x14ac:dyDescent="0.2">
      <c r="A187" s="2">
        <v>90079</v>
      </c>
      <c r="B187" s="2" t="s">
        <v>1176</v>
      </c>
      <c r="C187" s="2" t="s">
        <v>1177</v>
      </c>
      <c r="D187" s="2" t="s">
        <v>222</v>
      </c>
      <c r="E187" s="2" t="s">
        <v>207</v>
      </c>
      <c r="F187" s="2" t="s">
        <v>304</v>
      </c>
      <c r="G187" s="2" t="s">
        <v>224</v>
      </c>
      <c r="H187" s="2">
        <v>4260</v>
      </c>
      <c r="I187" s="2" t="s">
        <v>353</v>
      </c>
    </row>
    <row r="188" spans="1:9" s="2" customFormat="1" ht="12.75" x14ac:dyDescent="0.2">
      <c r="A188" s="2">
        <v>0</v>
      </c>
      <c r="B188" s="2" t="s">
        <v>1136</v>
      </c>
      <c r="C188" s="2" t="s">
        <v>1137</v>
      </c>
      <c r="D188" s="2" t="s">
        <v>222</v>
      </c>
      <c r="E188" s="2" t="s">
        <v>207</v>
      </c>
      <c r="F188" s="2" t="s">
        <v>606</v>
      </c>
      <c r="G188" s="2" t="s">
        <v>224</v>
      </c>
      <c r="H188" s="2">
        <v>4260</v>
      </c>
      <c r="I188" s="2" t="s">
        <v>353</v>
      </c>
    </row>
    <row r="189" spans="1:9" s="2" customFormat="1" ht="12.75" x14ac:dyDescent="0.2">
      <c r="A189" s="2">
        <v>80578</v>
      </c>
      <c r="B189" s="2" t="s">
        <v>1138</v>
      </c>
      <c r="C189" s="2" t="s">
        <v>1139</v>
      </c>
      <c r="D189" s="2" t="s">
        <v>222</v>
      </c>
      <c r="E189" s="2" t="s">
        <v>207</v>
      </c>
      <c r="F189" s="2" t="s">
        <v>1140</v>
      </c>
      <c r="G189" s="2" t="s">
        <v>224</v>
      </c>
      <c r="H189" s="2">
        <v>4260</v>
      </c>
      <c r="I189" s="2" t="s">
        <v>353</v>
      </c>
    </row>
    <row r="190" spans="1:9" s="2" customFormat="1" ht="12.75" x14ac:dyDescent="0.2">
      <c r="A190" s="2">
        <v>0</v>
      </c>
      <c r="B190" s="2" t="s">
        <v>1208</v>
      </c>
      <c r="C190" s="2" t="s">
        <v>1209</v>
      </c>
      <c r="D190" s="2" t="s">
        <v>222</v>
      </c>
      <c r="E190" s="2" t="s">
        <v>207</v>
      </c>
      <c r="F190" s="2" t="s">
        <v>951</v>
      </c>
      <c r="G190" s="2" t="s">
        <v>224</v>
      </c>
      <c r="H190" s="2">
        <v>4260</v>
      </c>
      <c r="I190" s="2" t="s">
        <v>353</v>
      </c>
    </row>
    <row r="191" spans="1:9" s="2" customFormat="1" ht="12.75" x14ac:dyDescent="0.2">
      <c r="A191" s="2">
        <v>0</v>
      </c>
      <c r="B191" s="2" t="s">
        <v>1143</v>
      </c>
      <c r="C191" s="2" t="s">
        <v>1144</v>
      </c>
      <c r="D191" s="2" t="s">
        <v>222</v>
      </c>
      <c r="E191" s="2" t="s">
        <v>207</v>
      </c>
      <c r="F191" s="2" t="s">
        <v>623</v>
      </c>
      <c r="G191" s="2" t="s">
        <v>224</v>
      </c>
      <c r="H191" s="2">
        <v>4260</v>
      </c>
      <c r="I191" s="2" t="s">
        <v>353</v>
      </c>
    </row>
    <row r="192" spans="1:9" s="2" customFormat="1" ht="12.75" x14ac:dyDescent="0.2">
      <c r="A192" s="2">
        <v>0</v>
      </c>
      <c r="B192" s="2" t="s">
        <v>1225</v>
      </c>
      <c r="C192" s="2" t="s">
        <v>1226</v>
      </c>
      <c r="D192" s="2" t="s">
        <v>222</v>
      </c>
      <c r="E192" s="2" t="s">
        <v>207</v>
      </c>
      <c r="F192" s="2" t="s">
        <v>1227</v>
      </c>
      <c r="G192" s="2" t="s">
        <v>224</v>
      </c>
      <c r="H192" s="2">
        <v>4260</v>
      </c>
      <c r="I192" s="2" t="s">
        <v>353</v>
      </c>
    </row>
    <row r="193" spans="1:9" s="2" customFormat="1" ht="12.75" x14ac:dyDescent="0.2">
      <c r="A193" s="2">
        <v>0</v>
      </c>
      <c r="B193" s="2" t="s">
        <v>1156</v>
      </c>
      <c r="C193" s="2" t="s">
        <v>1157</v>
      </c>
      <c r="D193" s="2" t="s">
        <v>222</v>
      </c>
      <c r="E193" s="2" t="s">
        <v>207</v>
      </c>
      <c r="F193" s="2" t="s">
        <v>304</v>
      </c>
      <c r="G193" s="2" t="s">
        <v>224</v>
      </c>
      <c r="H193" s="2">
        <v>4260</v>
      </c>
      <c r="I193" s="2" t="s">
        <v>353</v>
      </c>
    </row>
    <row r="194" spans="1:9" s="2" customFormat="1" ht="12.75" x14ac:dyDescent="0.2">
      <c r="A194" s="2">
        <v>0</v>
      </c>
      <c r="B194" s="2" t="s">
        <v>1239</v>
      </c>
      <c r="C194" s="2" t="s">
        <v>1240</v>
      </c>
      <c r="D194" s="2" t="s">
        <v>222</v>
      </c>
      <c r="E194" s="2" t="s">
        <v>207</v>
      </c>
      <c r="F194" s="2" t="s">
        <v>951</v>
      </c>
      <c r="G194" s="2" t="s">
        <v>224</v>
      </c>
      <c r="H194" s="2">
        <v>4260</v>
      </c>
      <c r="I194" s="2" t="s">
        <v>353</v>
      </c>
    </row>
    <row r="195" spans="1:9" s="2" customFormat="1" ht="12.75" x14ac:dyDescent="0.2">
      <c r="A195" s="2">
        <v>0</v>
      </c>
      <c r="B195" s="2" t="s">
        <v>1158</v>
      </c>
      <c r="C195" s="2" t="s">
        <v>1159</v>
      </c>
      <c r="D195" s="2" t="s">
        <v>222</v>
      </c>
      <c r="E195" s="2" t="s">
        <v>207</v>
      </c>
      <c r="F195" s="2" t="s">
        <v>623</v>
      </c>
      <c r="G195" s="2" t="s">
        <v>224</v>
      </c>
      <c r="H195" s="2">
        <v>4260</v>
      </c>
      <c r="I195" s="2" t="s">
        <v>353</v>
      </c>
    </row>
    <row r="196" spans="1:9" s="2" customFormat="1" ht="12.75" x14ac:dyDescent="0.2">
      <c r="A196" s="2">
        <v>0</v>
      </c>
      <c r="B196" s="2" t="s">
        <v>1241</v>
      </c>
      <c r="C196" s="2" t="s">
        <v>1242</v>
      </c>
      <c r="D196" s="2" t="s">
        <v>222</v>
      </c>
      <c r="E196" s="2" t="s">
        <v>207</v>
      </c>
      <c r="F196" s="2" t="s">
        <v>304</v>
      </c>
      <c r="G196" s="2" t="s">
        <v>224</v>
      </c>
      <c r="H196" s="2">
        <v>4260</v>
      </c>
      <c r="I196" s="2" t="s">
        <v>353</v>
      </c>
    </row>
    <row r="197" spans="1:9" s="2" customFormat="1" ht="12.75" x14ac:dyDescent="0.2">
      <c r="A197" s="2">
        <v>0</v>
      </c>
      <c r="B197" s="2" t="s">
        <v>1243</v>
      </c>
      <c r="C197" s="2" t="s">
        <v>1244</v>
      </c>
      <c r="D197" s="2" t="s">
        <v>222</v>
      </c>
      <c r="E197" s="2" t="s">
        <v>207</v>
      </c>
      <c r="F197" s="2" t="s">
        <v>1140</v>
      </c>
      <c r="G197" s="2" t="s">
        <v>224</v>
      </c>
      <c r="H197" s="2">
        <v>4260</v>
      </c>
      <c r="I197" s="2" t="s">
        <v>353</v>
      </c>
    </row>
    <row r="198" spans="1:9" s="2" customFormat="1" ht="12.75" x14ac:dyDescent="0.2">
      <c r="A198" s="2">
        <v>0</v>
      </c>
      <c r="B198" s="2" t="s">
        <v>93</v>
      </c>
      <c r="C198" s="2" t="s">
        <v>192</v>
      </c>
      <c r="D198" s="2" t="s">
        <v>222</v>
      </c>
      <c r="E198" s="2" t="s">
        <v>207</v>
      </c>
      <c r="F198" s="2" t="s">
        <v>304</v>
      </c>
      <c r="G198" s="2" t="s">
        <v>224</v>
      </c>
      <c r="H198" s="2">
        <v>4260</v>
      </c>
      <c r="I198" s="2" t="s">
        <v>353</v>
      </c>
    </row>
    <row r="199" spans="1:9" s="2" customFormat="1" ht="12.75" x14ac:dyDescent="0.2">
      <c r="A199" s="2">
        <v>0</v>
      </c>
      <c r="B199" s="2" t="s">
        <v>20</v>
      </c>
      <c r="C199" s="2" t="s">
        <v>121</v>
      </c>
      <c r="D199" s="2" t="s">
        <v>243</v>
      </c>
      <c r="E199" s="2" t="s">
        <v>207</v>
      </c>
      <c r="F199" s="2" t="s">
        <v>244</v>
      </c>
      <c r="G199" s="2" t="s">
        <v>245</v>
      </c>
      <c r="H199" s="2">
        <v>4512</v>
      </c>
      <c r="I199" s="2" t="s">
        <v>326</v>
      </c>
    </row>
    <row r="200" spans="1:9" s="2" customFormat="1" ht="12.75" x14ac:dyDescent="0.2">
      <c r="A200" s="2">
        <v>0</v>
      </c>
      <c r="B200" s="2" t="s">
        <v>1125</v>
      </c>
      <c r="C200" s="2" t="s">
        <v>1126</v>
      </c>
      <c r="D200" s="2" t="s">
        <v>222</v>
      </c>
      <c r="E200" s="2" t="s">
        <v>207</v>
      </c>
      <c r="F200" s="2" t="s">
        <v>679</v>
      </c>
      <c r="G200" s="2" t="s">
        <v>224</v>
      </c>
      <c r="H200" s="2">
        <v>4261</v>
      </c>
      <c r="I200" s="2" t="s">
        <v>1127</v>
      </c>
    </row>
    <row r="201" spans="1:9" s="2" customFormat="1" ht="12.75" x14ac:dyDescent="0.2">
      <c r="A201" s="2">
        <v>0</v>
      </c>
      <c r="B201" s="2" t="s">
        <v>21</v>
      </c>
      <c r="C201" s="2" t="s">
        <v>122</v>
      </c>
      <c r="D201" s="2" t="s">
        <v>246</v>
      </c>
      <c r="E201" s="2" t="s">
        <v>207</v>
      </c>
      <c r="F201" s="2" t="s">
        <v>247</v>
      </c>
      <c r="G201" s="2" t="s">
        <v>218</v>
      </c>
      <c r="H201" s="2">
        <v>4154</v>
      </c>
      <c r="I201" s="2" t="s">
        <v>327</v>
      </c>
    </row>
    <row r="202" spans="1:9" s="2" customFormat="1" ht="12.75" x14ac:dyDescent="0.2">
      <c r="A202" s="2">
        <v>0</v>
      </c>
      <c r="B202" s="2" t="s">
        <v>1200</v>
      </c>
      <c r="C202" s="2" t="s">
        <v>1201</v>
      </c>
      <c r="D202" s="2" t="s">
        <v>289</v>
      </c>
      <c r="E202" s="2" t="s">
        <v>207</v>
      </c>
      <c r="F202" s="2" t="s">
        <v>290</v>
      </c>
      <c r="G202" s="2" t="s">
        <v>212</v>
      </c>
      <c r="H202" s="2">
        <v>4387</v>
      </c>
      <c r="I202" s="2" t="s">
        <v>345</v>
      </c>
    </row>
    <row r="203" spans="1:9" s="2" customFormat="1" ht="12.75" x14ac:dyDescent="0.2">
      <c r="A203" s="2">
        <v>0</v>
      </c>
      <c r="B203" s="2" t="s">
        <v>72</v>
      </c>
      <c r="C203" s="2" t="s">
        <v>171</v>
      </c>
      <c r="D203" s="2" t="s">
        <v>289</v>
      </c>
      <c r="E203" s="2" t="s">
        <v>207</v>
      </c>
      <c r="F203" s="2" t="s">
        <v>290</v>
      </c>
      <c r="G203" s="2" t="s">
        <v>212</v>
      </c>
      <c r="H203" s="2">
        <v>4387</v>
      </c>
      <c r="I203" s="2" t="s">
        <v>345</v>
      </c>
    </row>
    <row r="204" spans="1:9" s="2" customFormat="1" ht="12.75" x14ac:dyDescent="0.2">
      <c r="A204" s="2">
        <v>0</v>
      </c>
      <c r="B204" s="2" t="s">
        <v>1065</v>
      </c>
      <c r="C204" s="2" t="s">
        <v>1066</v>
      </c>
      <c r="D204" s="2" t="s">
        <v>309</v>
      </c>
      <c r="E204" s="2" t="s">
        <v>207</v>
      </c>
      <c r="F204" s="2" t="s">
        <v>512</v>
      </c>
      <c r="G204" s="2" t="s">
        <v>309</v>
      </c>
      <c r="H204" s="2">
        <v>4499</v>
      </c>
      <c r="I204" s="2" t="s">
        <v>513</v>
      </c>
    </row>
    <row r="205" spans="1:9" s="2" customFormat="1" ht="12.75" x14ac:dyDescent="0.2">
      <c r="A205" s="2">
        <v>0</v>
      </c>
      <c r="B205" s="2" t="s">
        <v>1123</v>
      </c>
      <c r="C205" s="2" t="s">
        <v>1124</v>
      </c>
      <c r="D205" s="2" t="s">
        <v>309</v>
      </c>
      <c r="E205" s="2" t="s">
        <v>207</v>
      </c>
      <c r="F205" s="2" t="s">
        <v>512</v>
      </c>
      <c r="G205" s="2" t="s">
        <v>309</v>
      </c>
      <c r="H205" s="2">
        <v>4499</v>
      </c>
      <c r="I205" s="2" t="s">
        <v>513</v>
      </c>
    </row>
    <row r="206" spans="1:9" s="2" customFormat="1" ht="12.75" x14ac:dyDescent="0.2">
      <c r="A206" s="2">
        <v>0</v>
      </c>
      <c r="B206" s="2" t="s">
        <v>1134</v>
      </c>
      <c r="C206" s="2" t="s">
        <v>1135</v>
      </c>
      <c r="D206" s="2" t="s">
        <v>309</v>
      </c>
      <c r="E206" s="2" t="s">
        <v>207</v>
      </c>
      <c r="F206" s="2" t="s">
        <v>512</v>
      </c>
      <c r="G206" s="2" t="s">
        <v>309</v>
      </c>
      <c r="H206" s="2">
        <v>4499</v>
      </c>
      <c r="I206" s="2" t="s">
        <v>513</v>
      </c>
    </row>
    <row r="207" spans="1:9" s="2" customFormat="1" ht="12.75" x14ac:dyDescent="0.2">
      <c r="A207" s="2">
        <v>0</v>
      </c>
      <c r="B207" s="2" t="s">
        <v>1141</v>
      </c>
      <c r="C207" s="2" t="s">
        <v>1142</v>
      </c>
      <c r="D207" s="2" t="s">
        <v>309</v>
      </c>
      <c r="E207" s="2" t="s">
        <v>207</v>
      </c>
      <c r="F207" s="2" t="s">
        <v>512</v>
      </c>
      <c r="G207" s="2" t="s">
        <v>309</v>
      </c>
      <c r="H207" s="2">
        <v>4499</v>
      </c>
      <c r="I207" s="2" t="s">
        <v>513</v>
      </c>
    </row>
    <row r="208" spans="1:9" s="2" customFormat="1" ht="12.75" x14ac:dyDescent="0.2">
      <c r="A208" s="2">
        <v>10196</v>
      </c>
      <c r="B208" s="2" t="s">
        <v>1093</v>
      </c>
      <c r="C208" s="2" t="s">
        <v>1094</v>
      </c>
      <c r="D208" s="2" t="s">
        <v>309</v>
      </c>
      <c r="E208" s="2" t="s">
        <v>207</v>
      </c>
      <c r="F208" s="2" t="s">
        <v>512</v>
      </c>
      <c r="G208" s="2" t="s">
        <v>309</v>
      </c>
      <c r="H208" s="2">
        <v>4499</v>
      </c>
      <c r="I208" s="2" t="s">
        <v>513</v>
      </c>
    </row>
    <row r="209" spans="1:9" s="2" customFormat="1" ht="12.75" x14ac:dyDescent="0.2">
      <c r="A209" s="2">
        <v>0</v>
      </c>
      <c r="B209" s="2" t="s">
        <v>1149</v>
      </c>
      <c r="C209" s="2" t="s">
        <v>1150</v>
      </c>
      <c r="D209" s="2" t="s">
        <v>309</v>
      </c>
      <c r="E209" s="2" t="s">
        <v>207</v>
      </c>
      <c r="F209" s="2" t="s">
        <v>512</v>
      </c>
      <c r="G209" s="2" t="s">
        <v>309</v>
      </c>
      <c r="H209" s="2">
        <v>4499</v>
      </c>
      <c r="I209" s="2" t="s">
        <v>513</v>
      </c>
    </row>
  </sheetData>
  <autoFilter ref="A1:J209" xr:uid="{2B775890-6988-4B7B-B196-F9347177F533}">
    <sortState xmlns:xlrd2="http://schemas.microsoft.com/office/spreadsheetml/2017/richdata2" ref="A2:J209">
      <sortCondition ref="I1:I209"/>
    </sortState>
  </autoFilter>
  <sortState xmlns:xlrd2="http://schemas.microsoft.com/office/spreadsheetml/2017/richdata2" ref="A2:J209">
    <sortCondition ref="B2:B20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1285-1BE9-4D5D-BE38-7FDF2477F381}">
  <sheetPr filterMode="1"/>
  <dimension ref="A1:Z470"/>
  <sheetViews>
    <sheetView zoomScale="148" zoomScaleNormal="148" workbookViewId="0">
      <selection activeCell="M116" sqref="M115:Y116"/>
    </sheetView>
  </sheetViews>
  <sheetFormatPr defaultRowHeight="12.75" x14ac:dyDescent="0.2"/>
  <cols>
    <col min="1" max="1" width="10.140625" style="22" customWidth="1"/>
    <col min="2" max="2" width="39.140625" style="22" customWidth="1"/>
    <col min="3" max="4" width="10.140625" style="22" customWidth="1"/>
    <col min="5" max="5" width="40.28515625" style="22" bestFit="1" customWidth="1"/>
    <col min="6" max="6" width="60.5703125" style="22" bestFit="1" customWidth="1"/>
    <col min="7" max="10" width="13.7109375" style="22" customWidth="1"/>
    <col min="11" max="11" width="13.140625" style="22" customWidth="1"/>
    <col min="12" max="12" width="55.140625" style="22" bestFit="1" customWidth="1"/>
    <col min="13" max="13" width="59" style="22" bestFit="1" customWidth="1"/>
    <col min="14" max="14" width="16.140625" style="22" hidden="1" customWidth="1"/>
    <col min="15" max="18" width="10.140625" style="22" hidden="1" customWidth="1"/>
    <col min="19" max="20" width="15.5703125" style="22" hidden="1" customWidth="1"/>
    <col min="21" max="21" width="17.28515625" style="22" hidden="1" customWidth="1"/>
    <col min="22" max="24" width="11.7109375" style="22" hidden="1" customWidth="1"/>
    <col min="25" max="26" width="11.7109375" style="22" customWidth="1"/>
    <col min="27" max="261" width="9.140625" style="22"/>
    <col min="262" max="262" width="10.140625" style="22" customWidth="1"/>
    <col min="263" max="263" width="39.140625" style="22" customWidth="1"/>
    <col min="264" max="265" width="10.140625" style="22" customWidth="1"/>
    <col min="266" max="266" width="40.28515625" style="22" bestFit="1" customWidth="1"/>
    <col min="267" max="267" width="60.5703125" style="22" bestFit="1" customWidth="1"/>
    <col min="268" max="268" width="55.140625" style="22" bestFit="1" customWidth="1"/>
    <col min="269" max="269" width="59" style="22" bestFit="1" customWidth="1"/>
    <col min="270" max="270" width="16.140625" style="22" bestFit="1" customWidth="1"/>
    <col min="271" max="274" width="10.140625" style="22" customWidth="1"/>
    <col min="275" max="276" width="15.5703125" style="22" customWidth="1"/>
    <col min="277" max="277" width="17.28515625" style="22" bestFit="1" customWidth="1"/>
    <col min="278" max="282" width="11.7109375" style="22" customWidth="1"/>
    <col min="283" max="517" width="9.140625" style="22"/>
    <col min="518" max="518" width="10.140625" style="22" customWidth="1"/>
    <col min="519" max="519" width="39.140625" style="22" customWidth="1"/>
    <col min="520" max="521" width="10.140625" style="22" customWidth="1"/>
    <col min="522" max="522" width="40.28515625" style="22" bestFit="1" customWidth="1"/>
    <col min="523" max="523" width="60.5703125" style="22" bestFit="1" customWidth="1"/>
    <col min="524" max="524" width="55.140625" style="22" bestFit="1" customWidth="1"/>
    <col min="525" max="525" width="59" style="22" bestFit="1" customWidth="1"/>
    <col min="526" max="526" width="16.140625" style="22" bestFit="1" customWidth="1"/>
    <col min="527" max="530" width="10.140625" style="22" customWidth="1"/>
    <col min="531" max="532" width="15.5703125" style="22" customWidth="1"/>
    <col min="533" max="533" width="17.28515625" style="22" bestFit="1" customWidth="1"/>
    <col min="534" max="538" width="11.7109375" style="22" customWidth="1"/>
    <col min="539" max="773" width="9.140625" style="22"/>
    <col min="774" max="774" width="10.140625" style="22" customWidth="1"/>
    <col min="775" max="775" width="39.140625" style="22" customWidth="1"/>
    <col min="776" max="777" width="10.140625" style="22" customWidth="1"/>
    <col min="778" max="778" width="40.28515625" style="22" bestFit="1" customWidth="1"/>
    <col min="779" max="779" width="60.5703125" style="22" bestFit="1" customWidth="1"/>
    <col min="780" max="780" width="55.140625" style="22" bestFit="1" customWidth="1"/>
    <col min="781" max="781" width="59" style="22" bestFit="1" customWidth="1"/>
    <col min="782" max="782" width="16.140625" style="22" bestFit="1" customWidth="1"/>
    <col min="783" max="786" width="10.140625" style="22" customWidth="1"/>
    <col min="787" max="788" width="15.5703125" style="22" customWidth="1"/>
    <col min="789" max="789" width="17.28515625" style="22" bestFit="1" customWidth="1"/>
    <col min="790" max="794" width="11.7109375" style="22" customWidth="1"/>
    <col min="795" max="1029" width="9.140625" style="22"/>
    <col min="1030" max="1030" width="10.140625" style="22" customWidth="1"/>
    <col min="1031" max="1031" width="39.140625" style="22" customWidth="1"/>
    <col min="1032" max="1033" width="10.140625" style="22" customWidth="1"/>
    <col min="1034" max="1034" width="40.28515625" style="22" bestFit="1" customWidth="1"/>
    <col min="1035" max="1035" width="60.5703125" style="22" bestFit="1" customWidth="1"/>
    <col min="1036" max="1036" width="55.140625" style="22" bestFit="1" customWidth="1"/>
    <col min="1037" max="1037" width="59" style="22" bestFit="1" customWidth="1"/>
    <col min="1038" max="1038" width="16.140625" style="22" bestFit="1" customWidth="1"/>
    <col min="1039" max="1042" width="10.140625" style="22" customWidth="1"/>
    <col min="1043" max="1044" width="15.5703125" style="22" customWidth="1"/>
    <col min="1045" max="1045" width="17.28515625" style="22" bestFit="1" customWidth="1"/>
    <col min="1046" max="1050" width="11.7109375" style="22" customWidth="1"/>
    <col min="1051" max="1285" width="9.140625" style="22"/>
    <col min="1286" max="1286" width="10.140625" style="22" customWidth="1"/>
    <col min="1287" max="1287" width="39.140625" style="22" customWidth="1"/>
    <col min="1288" max="1289" width="10.140625" style="22" customWidth="1"/>
    <col min="1290" max="1290" width="40.28515625" style="22" bestFit="1" customWidth="1"/>
    <col min="1291" max="1291" width="60.5703125" style="22" bestFit="1" customWidth="1"/>
    <col min="1292" max="1292" width="55.140625" style="22" bestFit="1" customWidth="1"/>
    <col min="1293" max="1293" width="59" style="22" bestFit="1" customWidth="1"/>
    <col min="1294" max="1294" width="16.140625" style="22" bestFit="1" customWidth="1"/>
    <col min="1295" max="1298" width="10.140625" style="22" customWidth="1"/>
    <col min="1299" max="1300" width="15.5703125" style="22" customWidth="1"/>
    <col min="1301" max="1301" width="17.28515625" style="22" bestFit="1" customWidth="1"/>
    <col min="1302" max="1306" width="11.7109375" style="22" customWidth="1"/>
    <col min="1307" max="1541" width="9.140625" style="22"/>
    <col min="1542" max="1542" width="10.140625" style="22" customWidth="1"/>
    <col min="1543" max="1543" width="39.140625" style="22" customWidth="1"/>
    <col min="1544" max="1545" width="10.140625" style="22" customWidth="1"/>
    <col min="1546" max="1546" width="40.28515625" style="22" bestFit="1" customWidth="1"/>
    <col min="1547" max="1547" width="60.5703125" style="22" bestFit="1" customWidth="1"/>
    <col min="1548" max="1548" width="55.140625" style="22" bestFit="1" customWidth="1"/>
    <col min="1549" max="1549" width="59" style="22" bestFit="1" customWidth="1"/>
    <col min="1550" max="1550" width="16.140625" style="22" bestFit="1" customWidth="1"/>
    <col min="1551" max="1554" width="10.140625" style="22" customWidth="1"/>
    <col min="1555" max="1556" width="15.5703125" style="22" customWidth="1"/>
    <col min="1557" max="1557" width="17.28515625" style="22" bestFit="1" customWidth="1"/>
    <col min="1558" max="1562" width="11.7109375" style="22" customWidth="1"/>
    <col min="1563" max="1797" width="9.140625" style="22"/>
    <col min="1798" max="1798" width="10.140625" style="22" customWidth="1"/>
    <col min="1799" max="1799" width="39.140625" style="22" customWidth="1"/>
    <col min="1800" max="1801" width="10.140625" style="22" customWidth="1"/>
    <col min="1802" max="1802" width="40.28515625" style="22" bestFit="1" customWidth="1"/>
    <col min="1803" max="1803" width="60.5703125" style="22" bestFit="1" customWidth="1"/>
    <col min="1804" max="1804" width="55.140625" style="22" bestFit="1" customWidth="1"/>
    <col min="1805" max="1805" width="59" style="22" bestFit="1" customWidth="1"/>
    <col min="1806" max="1806" width="16.140625" style="22" bestFit="1" customWidth="1"/>
    <col min="1807" max="1810" width="10.140625" style="22" customWidth="1"/>
    <col min="1811" max="1812" width="15.5703125" style="22" customWidth="1"/>
    <col min="1813" max="1813" width="17.28515625" style="22" bestFit="1" customWidth="1"/>
    <col min="1814" max="1818" width="11.7109375" style="22" customWidth="1"/>
    <col min="1819" max="2053" width="9.140625" style="22"/>
    <col min="2054" max="2054" width="10.140625" style="22" customWidth="1"/>
    <col min="2055" max="2055" width="39.140625" style="22" customWidth="1"/>
    <col min="2056" max="2057" width="10.140625" style="22" customWidth="1"/>
    <col min="2058" max="2058" width="40.28515625" style="22" bestFit="1" customWidth="1"/>
    <col min="2059" max="2059" width="60.5703125" style="22" bestFit="1" customWidth="1"/>
    <col min="2060" max="2060" width="55.140625" style="22" bestFit="1" customWidth="1"/>
    <col min="2061" max="2061" width="59" style="22" bestFit="1" customWidth="1"/>
    <col min="2062" max="2062" width="16.140625" style="22" bestFit="1" customWidth="1"/>
    <col min="2063" max="2066" width="10.140625" style="22" customWidth="1"/>
    <col min="2067" max="2068" width="15.5703125" style="22" customWidth="1"/>
    <col min="2069" max="2069" width="17.28515625" style="22" bestFit="1" customWidth="1"/>
    <col min="2070" max="2074" width="11.7109375" style="22" customWidth="1"/>
    <col min="2075" max="2309" width="9.140625" style="22"/>
    <col min="2310" max="2310" width="10.140625" style="22" customWidth="1"/>
    <col min="2311" max="2311" width="39.140625" style="22" customWidth="1"/>
    <col min="2312" max="2313" width="10.140625" style="22" customWidth="1"/>
    <col min="2314" max="2314" width="40.28515625" style="22" bestFit="1" customWidth="1"/>
    <col min="2315" max="2315" width="60.5703125" style="22" bestFit="1" customWidth="1"/>
    <col min="2316" max="2316" width="55.140625" style="22" bestFit="1" customWidth="1"/>
    <col min="2317" max="2317" width="59" style="22" bestFit="1" customWidth="1"/>
    <col min="2318" max="2318" width="16.140625" style="22" bestFit="1" customWidth="1"/>
    <col min="2319" max="2322" width="10.140625" style="22" customWidth="1"/>
    <col min="2323" max="2324" width="15.5703125" style="22" customWidth="1"/>
    <col min="2325" max="2325" width="17.28515625" style="22" bestFit="1" customWidth="1"/>
    <col min="2326" max="2330" width="11.7109375" style="22" customWidth="1"/>
    <col min="2331" max="2565" width="9.140625" style="22"/>
    <col min="2566" max="2566" width="10.140625" style="22" customWidth="1"/>
    <col min="2567" max="2567" width="39.140625" style="22" customWidth="1"/>
    <col min="2568" max="2569" width="10.140625" style="22" customWidth="1"/>
    <col min="2570" max="2570" width="40.28515625" style="22" bestFit="1" customWidth="1"/>
    <col min="2571" max="2571" width="60.5703125" style="22" bestFit="1" customWidth="1"/>
    <col min="2572" max="2572" width="55.140625" style="22" bestFit="1" customWidth="1"/>
    <col min="2573" max="2573" width="59" style="22" bestFit="1" customWidth="1"/>
    <col min="2574" max="2574" width="16.140625" style="22" bestFit="1" customWidth="1"/>
    <col min="2575" max="2578" width="10.140625" style="22" customWidth="1"/>
    <col min="2579" max="2580" width="15.5703125" style="22" customWidth="1"/>
    <col min="2581" max="2581" width="17.28515625" style="22" bestFit="1" customWidth="1"/>
    <col min="2582" max="2586" width="11.7109375" style="22" customWidth="1"/>
    <col min="2587" max="2821" width="9.140625" style="22"/>
    <col min="2822" max="2822" width="10.140625" style="22" customWidth="1"/>
    <col min="2823" max="2823" width="39.140625" style="22" customWidth="1"/>
    <col min="2824" max="2825" width="10.140625" style="22" customWidth="1"/>
    <col min="2826" max="2826" width="40.28515625" style="22" bestFit="1" customWidth="1"/>
    <col min="2827" max="2827" width="60.5703125" style="22" bestFit="1" customWidth="1"/>
    <col min="2828" max="2828" width="55.140625" style="22" bestFit="1" customWidth="1"/>
    <col min="2829" max="2829" width="59" style="22" bestFit="1" customWidth="1"/>
    <col min="2830" max="2830" width="16.140625" style="22" bestFit="1" customWidth="1"/>
    <col min="2831" max="2834" width="10.140625" style="22" customWidth="1"/>
    <col min="2835" max="2836" width="15.5703125" style="22" customWidth="1"/>
    <col min="2837" max="2837" width="17.28515625" style="22" bestFit="1" customWidth="1"/>
    <col min="2838" max="2842" width="11.7109375" style="22" customWidth="1"/>
    <col min="2843" max="3077" width="9.140625" style="22"/>
    <col min="3078" max="3078" width="10.140625" style="22" customWidth="1"/>
    <col min="3079" max="3079" width="39.140625" style="22" customWidth="1"/>
    <col min="3080" max="3081" width="10.140625" style="22" customWidth="1"/>
    <col min="3082" max="3082" width="40.28515625" style="22" bestFit="1" customWidth="1"/>
    <col min="3083" max="3083" width="60.5703125" style="22" bestFit="1" customWidth="1"/>
    <col min="3084" max="3084" width="55.140625" style="22" bestFit="1" customWidth="1"/>
    <col min="3085" max="3085" width="59" style="22" bestFit="1" customWidth="1"/>
    <col min="3086" max="3086" width="16.140625" style="22" bestFit="1" customWidth="1"/>
    <col min="3087" max="3090" width="10.140625" style="22" customWidth="1"/>
    <col min="3091" max="3092" width="15.5703125" style="22" customWidth="1"/>
    <col min="3093" max="3093" width="17.28515625" style="22" bestFit="1" customWidth="1"/>
    <col min="3094" max="3098" width="11.7109375" style="22" customWidth="1"/>
    <col min="3099" max="3333" width="9.140625" style="22"/>
    <col min="3334" max="3334" width="10.140625" style="22" customWidth="1"/>
    <col min="3335" max="3335" width="39.140625" style="22" customWidth="1"/>
    <col min="3336" max="3337" width="10.140625" style="22" customWidth="1"/>
    <col min="3338" max="3338" width="40.28515625" style="22" bestFit="1" customWidth="1"/>
    <col min="3339" max="3339" width="60.5703125" style="22" bestFit="1" customWidth="1"/>
    <col min="3340" max="3340" width="55.140625" style="22" bestFit="1" customWidth="1"/>
    <col min="3341" max="3341" width="59" style="22" bestFit="1" customWidth="1"/>
    <col min="3342" max="3342" width="16.140625" style="22" bestFit="1" customWidth="1"/>
    <col min="3343" max="3346" width="10.140625" style="22" customWidth="1"/>
    <col min="3347" max="3348" width="15.5703125" style="22" customWidth="1"/>
    <col min="3349" max="3349" width="17.28515625" style="22" bestFit="1" customWidth="1"/>
    <col min="3350" max="3354" width="11.7109375" style="22" customWidth="1"/>
    <col min="3355" max="3589" width="9.140625" style="22"/>
    <col min="3590" max="3590" width="10.140625" style="22" customWidth="1"/>
    <col min="3591" max="3591" width="39.140625" style="22" customWidth="1"/>
    <col min="3592" max="3593" width="10.140625" style="22" customWidth="1"/>
    <col min="3594" max="3594" width="40.28515625" style="22" bestFit="1" customWidth="1"/>
    <col min="3595" max="3595" width="60.5703125" style="22" bestFit="1" customWidth="1"/>
    <col min="3596" max="3596" width="55.140625" style="22" bestFit="1" customWidth="1"/>
    <col min="3597" max="3597" width="59" style="22" bestFit="1" customWidth="1"/>
    <col min="3598" max="3598" width="16.140625" style="22" bestFit="1" customWidth="1"/>
    <col min="3599" max="3602" width="10.140625" style="22" customWidth="1"/>
    <col min="3603" max="3604" width="15.5703125" style="22" customWidth="1"/>
    <col min="3605" max="3605" width="17.28515625" style="22" bestFit="1" customWidth="1"/>
    <col min="3606" max="3610" width="11.7109375" style="22" customWidth="1"/>
    <col min="3611" max="3845" width="9.140625" style="22"/>
    <col min="3846" max="3846" width="10.140625" style="22" customWidth="1"/>
    <col min="3847" max="3847" width="39.140625" style="22" customWidth="1"/>
    <col min="3848" max="3849" width="10.140625" style="22" customWidth="1"/>
    <col min="3850" max="3850" width="40.28515625" style="22" bestFit="1" customWidth="1"/>
    <col min="3851" max="3851" width="60.5703125" style="22" bestFit="1" customWidth="1"/>
    <col min="3852" max="3852" width="55.140625" style="22" bestFit="1" customWidth="1"/>
    <col min="3853" max="3853" width="59" style="22" bestFit="1" customWidth="1"/>
    <col min="3854" max="3854" width="16.140625" style="22" bestFit="1" customWidth="1"/>
    <col min="3855" max="3858" width="10.140625" style="22" customWidth="1"/>
    <col min="3859" max="3860" width="15.5703125" style="22" customWidth="1"/>
    <col min="3861" max="3861" width="17.28515625" style="22" bestFit="1" customWidth="1"/>
    <col min="3862" max="3866" width="11.7109375" style="22" customWidth="1"/>
    <col min="3867" max="4101" width="9.140625" style="22"/>
    <col min="4102" max="4102" width="10.140625" style="22" customWidth="1"/>
    <col min="4103" max="4103" width="39.140625" style="22" customWidth="1"/>
    <col min="4104" max="4105" width="10.140625" style="22" customWidth="1"/>
    <col min="4106" max="4106" width="40.28515625" style="22" bestFit="1" customWidth="1"/>
    <col min="4107" max="4107" width="60.5703125" style="22" bestFit="1" customWidth="1"/>
    <col min="4108" max="4108" width="55.140625" style="22" bestFit="1" customWidth="1"/>
    <col min="4109" max="4109" width="59" style="22" bestFit="1" customWidth="1"/>
    <col min="4110" max="4110" width="16.140625" style="22" bestFit="1" customWidth="1"/>
    <col min="4111" max="4114" width="10.140625" style="22" customWidth="1"/>
    <col min="4115" max="4116" width="15.5703125" style="22" customWidth="1"/>
    <col min="4117" max="4117" width="17.28515625" style="22" bestFit="1" customWidth="1"/>
    <col min="4118" max="4122" width="11.7109375" style="22" customWidth="1"/>
    <col min="4123" max="4357" width="9.140625" style="22"/>
    <col min="4358" max="4358" width="10.140625" style="22" customWidth="1"/>
    <col min="4359" max="4359" width="39.140625" style="22" customWidth="1"/>
    <col min="4360" max="4361" width="10.140625" style="22" customWidth="1"/>
    <col min="4362" max="4362" width="40.28515625" style="22" bestFit="1" customWidth="1"/>
    <col min="4363" max="4363" width="60.5703125" style="22" bestFit="1" customWidth="1"/>
    <col min="4364" max="4364" width="55.140625" style="22" bestFit="1" customWidth="1"/>
    <col min="4365" max="4365" width="59" style="22" bestFit="1" customWidth="1"/>
    <col min="4366" max="4366" width="16.140625" style="22" bestFit="1" customWidth="1"/>
    <col min="4367" max="4370" width="10.140625" style="22" customWidth="1"/>
    <col min="4371" max="4372" width="15.5703125" style="22" customWidth="1"/>
    <col min="4373" max="4373" width="17.28515625" style="22" bestFit="1" customWidth="1"/>
    <col min="4374" max="4378" width="11.7109375" style="22" customWidth="1"/>
    <col min="4379" max="4613" width="9.140625" style="22"/>
    <col min="4614" max="4614" width="10.140625" style="22" customWidth="1"/>
    <col min="4615" max="4615" width="39.140625" style="22" customWidth="1"/>
    <col min="4616" max="4617" width="10.140625" style="22" customWidth="1"/>
    <col min="4618" max="4618" width="40.28515625" style="22" bestFit="1" customWidth="1"/>
    <col min="4619" max="4619" width="60.5703125" style="22" bestFit="1" customWidth="1"/>
    <col min="4620" max="4620" width="55.140625" style="22" bestFit="1" customWidth="1"/>
    <col min="4621" max="4621" width="59" style="22" bestFit="1" customWidth="1"/>
    <col min="4622" max="4622" width="16.140625" style="22" bestFit="1" customWidth="1"/>
    <col min="4623" max="4626" width="10.140625" style="22" customWidth="1"/>
    <col min="4627" max="4628" width="15.5703125" style="22" customWidth="1"/>
    <col min="4629" max="4629" width="17.28515625" style="22" bestFit="1" customWidth="1"/>
    <col min="4630" max="4634" width="11.7109375" style="22" customWidth="1"/>
    <col min="4635" max="4869" width="9.140625" style="22"/>
    <col min="4870" max="4870" width="10.140625" style="22" customWidth="1"/>
    <col min="4871" max="4871" width="39.140625" style="22" customWidth="1"/>
    <col min="4872" max="4873" width="10.140625" style="22" customWidth="1"/>
    <col min="4874" max="4874" width="40.28515625" style="22" bestFit="1" customWidth="1"/>
    <col min="4875" max="4875" width="60.5703125" style="22" bestFit="1" customWidth="1"/>
    <col min="4876" max="4876" width="55.140625" style="22" bestFit="1" customWidth="1"/>
    <col min="4877" max="4877" width="59" style="22" bestFit="1" customWidth="1"/>
    <col min="4878" max="4878" width="16.140625" style="22" bestFit="1" customWidth="1"/>
    <col min="4879" max="4882" width="10.140625" style="22" customWidth="1"/>
    <col min="4883" max="4884" width="15.5703125" style="22" customWidth="1"/>
    <col min="4885" max="4885" width="17.28515625" style="22" bestFit="1" customWidth="1"/>
    <col min="4886" max="4890" width="11.7109375" style="22" customWidth="1"/>
    <col min="4891" max="5125" width="9.140625" style="22"/>
    <col min="5126" max="5126" width="10.140625" style="22" customWidth="1"/>
    <col min="5127" max="5127" width="39.140625" style="22" customWidth="1"/>
    <col min="5128" max="5129" width="10.140625" style="22" customWidth="1"/>
    <col min="5130" max="5130" width="40.28515625" style="22" bestFit="1" customWidth="1"/>
    <col min="5131" max="5131" width="60.5703125" style="22" bestFit="1" customWidth="1"/>
    <col min="5132" max="5132" width="55.140625" style="22" bestFit="1" customWidth="1"/>
    <col min="5133" max="5133" width="59" style="22" bestFit="1" customWidth="1"/>
    <col min="5134" max="5134" width="16.140625" style="22" bestFit="1" customWidth="1"/>
    <col min="5135" max="5138" width="10.140625" style="22" customWidth="1"/>
    <col min="5139" max="5140" width="15.5703125" style="22" customWidth="1"/>
    <col min="5141" max="5141" width="17.28515625" style="22" bestFit="1" customWidth="1"/>
    <col min="5142" max="5146" width="11.7109375" style="22" customWidth="1"/>
    <col min="5147" max="5381" width="9.140625" style="22"/>
    <col min="5382" max="5382" width="10.140625" style="22" customWidth="1"/>
    <col min="5383" max="5383" width="39.140625" style="22" customWidth="1"/>
    <col min="5384" max="5385" width="10.140625" style="22" customWidth="1"/>
    <col min="5386" max="5386" width="40.28515625" style="22" bestFit="1" customWidth="1"/>
    <col min="5387" max="5387" width="60.5703125" style="22" bestFit="1" customWidth="1"/>
    <col min="5388" max="5388" width="55.140625" style="22" bestFit="1" customWidth="1"/>
    <col min="5389" max="5389" width="59" style="22" bestFit="1" customWidth="1"/>
    <col min="5390" max="5390" width="16.140625" style="22" bestFit="1" customWidth="1"/>
    <col min="5391" max="5394" width="10.140625" style="22" customWidth="1"/>
    <col min="5395" max="5396" width="15.5703125" style="22" customWidth="1"/>
    <col min="5397" max="5397" width="17.28515625" style="22" bestFit="1" customWidth="1"/>
    <col min="5398" max="5402" width="11.7109375" style="22" customWidth="1"/>
    <col min="5403" max="5637" width="9.140625" style="22"/>
    <col min="5638" max="5638" width="10.140625" style="22" customWidth="1"/>
    <col min="5639" max="5639" width="39.140625" style="22" customWidth="1"/>
    <col min="5640" max="5641" width="10.140625" style="22" customWidth="1"/>
    <col min="5642" max="5642" width="40.28515625" style="22" bestFit="1" customWidth="1"/>
    <col min="5643" max="5643" width="60.5703125" style="22" bestFit="1" customWidth="1"/>
    <col min="5644" max="5644" width="55.140625" style="22" bestFit="1" customWidth="1"/>
    <col min="5645" max="5645" width="59" style="22" bestFit="1" customWidth="1"/>
    <col min="5646" max="5646" width="16.140625" style="22" bestFit="1" customWidth="1"/>
    <col min="5647" max="5650" width="10.140625" style="22" customWidth="1"/>
    <col min="5651" max="5652" width="15.5703125" style="22" customWidth="1"/>
    <col min="5653" max="5653" width="17.28515625" style="22" bestFit="1" customWidth="1"/>
    <col min="5654" max="5658" width="11.7109375" style="22" customWidth="1"/>
    <col min="5659" max="5893" width="9.140625" style="22"/>
    <col min="5894" max="5894" width="10.140625" style="22" customWidth="1"/>
    <col min="5895" max="5895" width="39.140625" style="22" customWidth="1"/>
    <col min="5896" max="5897" width="10.140625" style="22" customWidth="1"/>
    <col min="5898" max="5898" width="40.28515625" style="22" bestFit="1" customWidth="1"/>
    <col min="5899" max="5899" width="60.5703125" style="22" bestFit="1" customWidth="1"/>
    <col min="5900" max="5900" width="55.140625" style="22" bestFit="1" customWidth="1"/>
    <col min="5901" max="5901" width="59" style="22" bestFit="1" customWidth="1"/>
    <col min="5902" max="5902" width="16.140625" style="22" bestFit="1" customWidth="1"/>
    <col min="5903" max="5906" width="10.140625" style="22" customWidth="1"/>
    <col min="5907" max="5908" width="15.5703125" style="22" customWidth="1"/>
    <col min="5909" max="5909" width="17.28515625" style="22" bestFit="1" customWidth="1"/>
    <col min="5910" max="5914" width="11.7109375" style="22" customWidth="1"/>
    <col min="5915" max="6149" width="9.140625" style="22"/>
    <col min="6150" max="6150" width="10.140625" style="22" customWidth="1"/>
    <col min="6151" max="6151" width="39.140625" style="22" customWidth="1"/>
    <col min="6152" max="6153" width="10.140625" style="22" customWidth="1"/>
    <col min="6154" max="6154" width="40.28515625" style="22" bestFit="1" customWidth="1"/>
    <col min="6155" max="6155" width="60.5703125" style="22" bestFit="1" customWidth="1"/>
    <col min="6156" max="6156" width="55.140625" style="22" bestFit="1" customWidth="1"/>
    <col min="6157" max="6157" width="59" style="22" bestFit="1" customWidth="1"/>
    <col min="6158" max="6158" width="16.140625" style="22" bestFit="1" customWidth="1"/>
    <col min="6159" max="6162" width="10.140625" style="22" customWidth="1"/>
    <col min="6163" max="6164" width="15.5703125" style="22" customWidth="1"/>
    <col min="6165" max="6165" width="17.28515625" style="22" bestFit="1" customWidth="1"/>
    <col min="6166" max="6170" width="11.7109375" style="22" customWidth="1"/>
    <col min="6171" max="6405" width="9.140625" style="22"/>
    <col min="6406" max="6406" width="10.140625" style="22" customWidth="1"/>
    <col min="6407" max="6407" width="39.140625" style="22" customWidth="1"/>
    <col min="6408" max="6409" width="10.140625" style="22" customWidth="1"/>
    <col min="6410" max="6410" width="40.28515625" style="22" bestFit="1" customWidth="1"/>
    <col min="6411" max="6411" width="60.5703125" style="22" bestFit="1" customWidth="1"/>
    <col min="6412" max="6412" width="55.140625" style="22" bestFit="1" customWidth="1"/>
    <col min="6413" max="6413" width="59" style="22" bestFit="1" customWidth="1"/>
    <col min="6414" max="6414" width="16.140625" style="22" bestFit="1" customWidth="1"/>
    <col min="6415" max="6418" width="10.140625" style="22" customWidth="1"/>
    <col min="6419" max="6420" width="15.5703125" style="22" customWidth="1"/>
    <col min="6421" max="6421" width="17.28515625" style="22" bestFit="1" customWidth="1"/>
    <col min="6422" max="6426" width="11.7109375" style="22" customWidth="1"/>
    <col min="6427" max="6661" width="9.140625" style="22"/>
    <col min="6662" max="6662" width="10.140625" style="22" customWidth="1"/>
    <col min="6663" max="6663" width="39.140625" style="22" customWidth="1"/>
    <col min="6664" max="6665" width="10.140625" style="22" customWidth="1"/>
    <col min="6666" max="6666" width="40.28515625" style="22" bestFit="1" customWidth="1"/>
    <col min="6667" max="6667" width="60.5703125" style="22" bestFit="1" customWidth="1"/>
    <col min="6668" max="6668" width="55.140625" style="22" bestFit="1" customWidth="1"/>
    <col min="6669" max="6669" width="59" style="22" bestFit="1" customWidth="1"/>
    <col min="6670" max="6670" width="16.140625" style="22" bestFit="1" customWidth="1"/>
    <col min="6671" max="6674" width="10.140625" style="22" customWidth="1"/>
    <col min="6675" max="6676" width="15.5703125" style="22" customWidth="1"/>
    <col min="6677" max="6677" width="17.28515625" style="22" bestFit="1" customWidth="1"/>
    <col min="6678" max="6682" width="11.7109375" style="22" customWidth="1"/>
    <col min="6683" max="6917" width="9.140625" style="22"/>
    <col min="6918" max="6918" width="10.140625" style="22" customWidth="1"/>
    <col min="6919" max="6919" width="39.140625" style="22" customWidth="1"/>
    <col min="6920" max="6921" width="10.140625" style="22" customWidth="1"/>
    <col min="6922" max="6922" width="40.28515625" style="22" bestFit="1" customWidth="1"/>
    <col min="6923" max="6923" width="60.5703125" style="22" bestFit="1" customWidth="1"/>
    <col min="6924" max="6924" width="55.140625" style="22" bestFit="1" customWidth="1"/>
    <col min="6925" max="6925" width="59" style="22" bestFit="1" customWidth="1"/>
    <col min="6926" max="6926" width="16.140625" style="22" bestFit="1" customWidth="1"/>
    <col min="6927" max="6930" width="10.140625" style="22" customWidth="1"/>
    <col min="6931" max="6932" width="15.5703125" style="22" customWidth="1"/>
    <col min="6933" max="6933" width="17.28515625" style="22" bestFit="1" customWidth="1"/>
    <col min="6934" max="6938" width="11.7109375" style="22" customWidth="1"/>
    <col min="6939" max="7173" width="9.140625" style="22"/>
    <col min="7174" max="7174" width="10.140625" style="22" customWidth="1"/>
    <col min="7175" max="7175" width="39.140625" style="22" customWidth="1"/>
    <col min="7176" max="7177" width="10.140625" style="22" customWidth="1"/>
    <col min="7178" max="7178" width="40.28515625" style="22" bestFit="1" customWidth="1"/>
    <col min="7179" max="7179" width="60.5703125" style="22" bestFit="1" customWidth="1"/>
    <col min="7180" max="7180" width="55.140625" style="22" bestFit="1" customWidth="1"/>
    <col min="7181" max="7181" width="59" style="22" bestFit="1" customWidth="1"/>
    <col min="7182" max="7182" width="16.140625" style="22" bestFit="1" customWidth="1"/>
    <col min="7183" max="7186" width="10.140625" style="22" customWidth="1"/>
    <col min="7187" max="7188" width="15.5703125" style="22" customWidth="1"/>
    <col min="7189" max="7189" width="17.28515625" style="22" bestFit="1" customWidth="1"/>
    <col min="7190" max="7194" width="11.7109375" style="22" customWidth="1"/>
    <col min="7195" max="7429" width="9.140625" style="22"/>
    <col min="7430" max="7430" width="10.140625" style="22" customWidth="1"/>
    <col min="7431" max="7431" width="39.140625" style="22" customWidth="1"/>
    <col min="7432" max="7433" width="10.140625" style="22" customWidth="1"/>
    <col min="7434" max="7434" width="40.28515625" style="22" bestFit="1" customWidth="1"/>
    <col min="7435" max="7435" width="60.5703125" style="22" bestFit="1" customWidth="1"/>
    <col min="7436" max="7436" width="55.140625" style="22" bestFit="1" customWidth="1"/>
    <col min="7437" max="7437" width="59" style="22" bestFit="1" customWidth="1"/>
    <col min="7438" max="7438" width="16.140625" style="22" bestFit="1" customWidth="1"/>
    <col min="7439" max="7442" width="10.140625" style="22" customWidth="1"/>
    <col min="7443" max="7444" width="15.5703125" style="22" customWidth="1"/>
    <col min="7445" max="7445" width="17.28515625" style="22" bestFit="1" customWidth="1"/>
    <col min="7446" max="7450" width="11.7109375" style="22" customWidth="1"/>
    <col min="7451" max="7685" width="9.140625" style="22"/>
    <col min="7686" max="7686" width="10.140625" style="22" customWidth="1"/>
    <col min="7687" max="7687" width="39.140625" style="22" customWidth="1"/>
    <col min="7688" max="7689" width="10.140625" style="22" customWidth="1"/>
    <col min="7690" max="7690" width="40.28515625" style="22" bestFit="1" customWidth="1"/>
    <col min="7691" max="7691" width="60.5703125" style="22" bestFit="1" customWidth="1"/>
    <col min="7692" max="7692" width="55.140625" style="22" bestFit="1" customWidth="1"/>
    <col min="7693" max="7693" width="59" style="22" bestFit="1" customWidth="1"/>
    <col min="7694" max="7694" width="16.140625" style="22" bestFit="1" customWidth="1"/>
    <col min="7695" max="7698" width="10.140625" style="22" customWidth="1"/>
    <col min="7699" max="7700" width="15.5703125" style="22" customWidth="1"/>
    <col min="7701" max="7701" width="17.28515625" style="22" bestFit="1" customWidth="1"/>
    <col min="7702" max="7706" width="11.7109375" style="22" customWidth="1"/>
    <col min="7707" max="7941" width="9.140625" style="22"/>
    <col min="7942" max="7942" width="10.140625" style="22" customWidth="1"/>
    <col min="7943" max="7943" width="39.140625" style="22" customWidth="1"/>
    <col min="7944" max="7945" width="10.140625" style="22" customWidth="1"/>
    <col min="7946" max="7946" width="40.28515625" style="22" bestFit="1" customWidth="1"/>
    <col min="7947" max="7947" width="60.5703125" style="22" bestFit="1" customWidth="1"/>
    <col min="7948" max="7948" width="55.140625" style="22" bestFit="1" customWidth="1"/>
    <col min="7949" max="7949" width="59" style="22" bestFit="1" customWidth="1"/>
    <col min="7950" max="7950" width="16.140625" style="22" bestFit="1" customWidth="1"/>
    <col min="7951" max="7954" width="10.140625" style="22" customWidth="1"/>
    <col min="7955" max="7956" width="15.5703125" style="22" customWidth="1"/>
    <col min="7957" max="7957" width="17.28515625" style="22" bestFit="1" customWidth="1"/>
    <col min="7958" max="7962" width="11.7109375" style="22" customWidth="1"/>
    <col min="7963" max="8197" width="9.140625" style="22"/>
    <col min="8198" max="8198" width="10.140625" style="22" customWidth="1"/>
    <col min="8199" max="8199" width="39.140625" style="22" customWidth="1"/>
    <col min="8200" max="8201" width="10.140625" style="22" customWidth="1"/>
    <col min="8202" max="8202" width="40.28515625" style="22" bestFit="1" customWidth="1"/>
    <col min="8203" max="8203" width="60.5703125" style="22" bestFit="1" customWidth="1"/>
    <col min="8204" max="8204" width="55.140625" style="22" bestFit="1" customWidth="1"/>
    <col min="8205" max="8205" width="59" style="22" bestFit="1" customWidth="1"/>
    <col min="8206" max="8206" width="16.140625" style="22" bestFit="1" customWidth="1"/>
    <col min="8207" max="8210" width="10.140625" style="22" customWidth="1"/>
    <col min="8211" max="8212" width="15.5703125" style="22" customWidth="1"/>
    <col min="8213" max="8213" width="17.28515625" style="22" bestFit="1" customWidth="1"/>
    <col min="8214" max="8218" width="11.7109375" style="22" customWidth="1"/>
    <col min="8219" max="8453" width="9.140625" style="22"/>
    <col min="8454" max="8454" width="10.140625" style="22" customWidth="1"/>
    <col min="8455" max="8455" width="39.140625" style="22" customWidth="1"/>
    <col min="8456" max="8457" width="10.140625" style="22" customWidth="1"/>
    <col min="8458" max="8458" width="40.28515625" style="22" bestFit="1" customWidth="1"/>
    <col min="8459" max="8459" width="60.5703125" style="22" bestFit="1" customWidth="1"/>
    <col min="8460" max="8460" width="55.140625" style="22" bestFit="1" customWidth="1"/>
    <col min="8461" max="8461" width="59" style="22" bestFit="1" customWidth="1"/>
    <col min="8462" max="8462" width="16.140625" style="22" bestFit="1" customWidth="1"/>
    <col min="8463" max="8466" width="10.140625" style="22" customWidth="1"/>
    <col min="8467" max="8468" width="15.5703125" style="22" customWidth="1"/>
    <col min="8469" max="8469" width="17.28515625" style="22" bestFit="1" customWidth="1"/>
    <col min="8470" max="8474" width="11.7109375" style="22" customWidth="1"/>
    <col min="8475" max="8709" width="9.140625" style="22"/>
    <col min="8710" max="8710" width="10.140625" style="22" customWidth="1"/>
    <col min="8711" max="8711" width="39.140625" style="22" customWidth="1"/>
    <col min="8712" max="8713" width="10.140625" style="22" customWidth="1"/>
    <col min="8714" max="8714" width="40.28515625" style="22" bestFit="1" customWidth="1"/>
    <col min="8715" max="8715" width="60.5703125" style="22" bestFit="1" customWidth="1"/>
    <col min="8716" max="8716" width="55.140625" style="22" bestFit="1" customWidth="1"/>
    <col min="8717" max="8717" width="59" style="22" bestFit="1" customWidth="1"/>
    <col min="8718" max="8718" width="16.140625" style="22" bestFit="1" customWidth="1"/>
    <col min="8719" max="8722" width="10.140625" style="22" customWidth="1"/>
    <col min="8723" max="8724" width="15.5703125" style="22" customWidth="1"/>
    <col min="8725" max="8725" width="17.28515625" style="22" bestFit="1" customWidth="1"/>
    <col min="8726" max="8730" width="11.7109375" style="22" customWidth="1"/>
    <col min="8731" max="8965" width="9.140625" style="22"/>
    <col min="8966" max="8966" width="10.140625" style="22" customWidth="1"/>
    <col min="8967" max="8967" width="39.140625" style="22" customWidth="1"/>
    <col min="8968" max="8969" width="10.140625" style="22" customWidth="1"/>
    <col min="8970" max="8970" width="40.28515625" style="22" bestFit="1" customWidth="1"/>
    <col min="8971" max="8971" width="60.5703125" style="22" bestFit="1" customWidth="1"/>
    <col min="8972" max="8972" width="55.140625" style="22" bestFit="1" customWidth="1"/>
    <col min="8973" max="8973" width="59" style="22" bestFit="1" customWidth="1"/>
    <col min="8974" max="8974" width="16.140625" style="22" bestFit="1" customWidth="1"/>
    <col min="8975" max="8978" width="10.140625" style="22" customWidth="1"/>
    <col min="8979" max="8980" width="15.5703125" style="22" customWidth="1"/>
    <col min="8981" max="8981" width="17.28515625" style="22" bestFit="1" customWidth="1"/>
    <col min="8982" max="8986" width="11.7109375" style="22" customWidth="1"/>
    <col min="8987" max="9221" width="9.140625" style="22"/>
    <col min="9222" max="9222" width="10.140625" style="22" customWidth="1"/>
    <col min="9223" max="9223" width="39.140625" style="22" customWidth="1"/>
    <col min="9224" max="9225" width="10.140625" style="22" customWidth="1"/>
    <col min="9226" max="9226" width="40.28515625" style="22" bestFit="1" customWidth="1"/>
    <col min="9227" max="9227" width="60.5703125" style="22" bestFit="1" customWidth="1"/>
    <col min="9228" max="9228" width="55.140625" style="22" bestFit="1" customWidth="1"/>
    <col min="9229" max="9229" width="59" style="22" bestFit="1" customWidth="1"/>
    <col min="9230" max="9230" width="16.140625" style="22" bestFit="1" customWidth="1"/>
    <col min="9231" max="9234" width="10.140625" style="22" customWidth="1"/>
    <col min="9235" max="9236" width="15.5703125" style="22" customWidth="1"/>
    <col min="9237" max="9237" width="17.28515625" style="22" bestFit="1" customWidth="1"/>
    <col min="9238" max="9242" width="11.7109375" style="22" customWidth="1"/>
    <col min="9243" max="9477" width="9.140625" style="22"/>
    <col min="9478" max="9478" width="10.140625" style="22" customWidth="1"/>
    <col min="9479" max="9479" width="39.140625" style="22" customWidth="1"/>
    <col min="9480" max="9481" width="10.140625" style="22" customWidth="1"/>
    <col min="9482" max="9482" width="40.28515625" style="22" bestFit="1" customWidth="1"/>
    <col min="9483" max="9483" width="60.5703125" style="22" bestFit="1" customWidth="1"/>
    <col min="9484" max="9484" width="55.140625" style="22" bestFit="1" customWidth="1"/>
    <col min="9485" max="9485" width="59" style="22" bestFit="1" customWidth="1"/>
    <col min="9486" max="9486" width="16.140625" style="22" bestFit="1" customWidth="1"/>
    <col min="9487" max="9490" width="10.140625" style="22" customWidth="1"/>
    <col min="9491" max="9492" width="15.5703125" style="22" customWidth="1"/>
    <col min="9493" max="9493" width="17.28515625" style="22" bestFit="1" customWidth="1"/>
    <col min="9494" max="9498" width="11.7109375" style="22" customWidth="1"/>
    <col min="9499" max="9733" width="9.140625" style="22"/>
    <col min="9734" max="9734" width="10.140625" style="22" customWidth="1"/>
    <col min="9735" max="9735" width="39.140625" style="22" customWidth="1"/>
    <col min="9736" max="9737" width="10.140625" style="22" customWidth="1"/>
    <col min="9738" max="9738" width="40.28515625" style="22" bestFit="1" customWidth="1"/>
    <col min="9739" max="9739" width="60.5703125" style="22" bestFit="1" customWidth="1"/>
    <col min="9740" max="9740" width="55.140625" style="22" bestFit="1" customWidth="1"/>
    <col min="9741" max="9741" width="59" style="22" bestFit="1" customWidth="1"/>
    <col min="9742" max="9742" width="16.140625" style="22" bestFit="1" customWidth="1"/>
    <col min="9743" max="9746" width="10.140625" style="22" customWidth="1"/>
    <col min="9747" max="9748" width="15.5703125" style="22" customWidth="1"/>
    <col min="9749" max="9749" width="17.28515625" style="22" bestFit="1" customWidth="1"/>
    <col min="9750" max="9754" width="11.7109375" style="22" customWidth="1"/>
    <col min="9755" max="9989" width="9.140625" style="22"/>
    <col min="9990" max="9990" width="10.140625" style="22" customWidth="1"/>
    <col min="9991" max="9991" width="39.140625" style="22" customWidth="1"/>
    <col min="9992" max="9993" width="10.140625" style="22" customWidth="1"/>
    <col min="9994" max="9994" width="40.28515625" style="22" bestFit="1" customWidth="1"/>
    <col min="9995" max="9995" width="60.5703125" style="22" bestFit="1" customWidth="1"/>
    <col min="9996" max="9996" width="55.140625" style="22" bestFit="1" customWidth="1"/>
    <col min="9997" max="9997" width="59" style="22" bestFit="1" customWidth="1"/>
    <col min="9998" max="9998" width="16.140625" style="22" bestFit="1" customWidth="1"/>
    <col min="9999" max="10002" width="10.140625" style="22" customWidth="1"/>
    <col min="10003" max="10004" width="15.5703125" style="22" customWidth="1"/>
    <col min="10005" max="10005" width="17.28515625" style="22" bestFit="1" customWidth="1"/>
    <col min="10006" max="10010" width="11.7109375" style="22" customWidth="1"/>
    <col min="10011" max="10245" width="9.140625" style="22"/>
    <col min="10246" max="10246" width="10.140625" style="22" customWidth="1"/>
    <col min="10247" max="10247" width="39.140625" style="22" customWidth="1"/>
    <col min="10248" max="10249" width="10.140625" style="22" customWidth="1"/>
    <col min="10250" max="10250" width="40.28515625" style="22" bestFit="1" customWidth="1"/>
    <col min="10251" max="10251" width="60.5703125" style="22" bestFit="1" customWidth="1"/>
    <col min="10252" max="10252" width="55.140625" style="22" bestFit="1" customWidth="1"/>
    <col min="10253" max="10253" width="59" style="22" bestFit="1" customWidth="1"/>
    <col min="10254" max="10254" width="16.140625" style="22" bestFit="1" customWidth="1"/>
    <col min="10255" max="10258" width="10.140625" style="22" customWidth="1"/>
    <col min="10259" max="10260" width="15.5703125" style="22" customWidth="1"/>
    <col min="10261" max="10261" width="17.28515625" style="22" bestFit="1" customWidth="1"/>
    <col min="10262" max="10266" width="11.7109375" style="22" customWidth="1"/>
    <col min="10267" max="10501" width="9.140625" style="22"/>
    <col min="10502" max="10502" width="10.140625" style="22" customWidth="1"/>
    <col min="10503" max="10503" width="39.140625" style="22" customWidth="1"/>
    <col min="10504" max="10505" width="10.140625" style="22" customWidth="1"/>
    <col min="10506" max="10506" width="40.28515625" style="22" bestFit="1" customWidth="1"/>
    <col min="10507" max="10507" width="60.5703125" style="22" bestFit="1" customWidth="1"/>
    <col min="10508" max="10508" width="55.140625" style="22" bestFit="1" customWidth="1"/>
    <col min="10509" max="10509" width="59" style="22" bestFit="1" customWidth="1"/>
    <col min="10510" max="10510" width="16.140625" style="22" bestFit="1" customWidth="1"/>
    <col min="10511" max="10514" width="10.140625" style="22" customWidth="1"/>
    <col min="10515" max="10516" width="15.5703125" style="22" customWidth="1"/>
    <col min="10517" max="10517" width="17.28515625" style="22" bestFit="1" customWidth="1"/>
    <col min="10518" max="10522" width="11.7109375" style="22" customWidth="1"/>
    <col min="10523" max="10757" width="9.140625" style="22"/>
    <col min="10758" max="10758" width="10.140625" style="22" customWidth="1"/>
    <col min="10759" max="10759" width="39.140625" style="22" customWidth="1"/>
    <col min="10760" max="10761" width="10.140625" style="22" customWidth="1"/>
    <col min="10762" max="10762" width="40.28515625" style="22" bestFit="1" customWidth="1"/>
    <col min="10763" max="10763" width="60.5703125" style="22" bestFit="1" customWidth="1"/>
    <col min="10764" max="10764" width="55.140625" style="22" bestFit="1" customWidth="1"/>
    <col min="10765" max="10765" width="59" style="22" bestFit="1" customWidth="1"/>
    <col min="10766" max="10766" width="16.140625" style="22" bestFit="1" customWidth="1"/>
    <col min="10767" max="10770" width="10.140625" style="22" customWidth="1"/>
    <col min="10771" max="10772" width="15.5703125" style="22" customWidth="1"/>
    <col min="10773" max="10773" width="17.28515625" style="22" bestFit="1" customWidth="1"/>
    <col min="10774" max="10778" width="11.7109375" style="22" customWidth="1"/>
    <col min="10779" max="11013" width="9.140625" style="22"/>
    <col min="11014" max="11014" width="10.140625" style="22" customWidth="1"/>
    <col min="11015" max="11015" width="39.140625" style="22" customWidth="1"/>
    <col min="11016" max="11017" width="10.140625" style="22" customWidth="1"/>
    <col min="11018" max="11018" width="40.28515625" style="22" bestFit="1" customWidth="1"/>
    <col min="11019" max="11019" width="60.5703125" style="22" bestFit="1" customWidth="1"/>
    <col min="11020" max="11020" width="55.140625" style="22" bestFit="1" customWidth="1"/>
    <col min="11021" max="11021" width="59" style="22" bestFit="1" customWidth="1"/>
    <col min="11022" max="11022" width="16.140625" style="22" bestFit="1" customWidth="1"/>
    <col min="11023" max="11026" width="10.140625" style="22" customWidth="1"/>
    <col min="11027" max="11028" width="15.5703125" style="22" customWidth="1"/>
    <col min="11029" max="11029" width="17.28515625" style="22" bestFit="1" customWidth="1"/>
    <col min="11030" max="11034" width="11.7109375" style="22" customWidth="1"/>
    <col min="11035" max="11269" width="9.140625" style="22"/>
    <col min="11270" max="11270" width="10.140625" style="22" customWidth="1"/>
    <col min="11271" max="11271" width="39.140625" style="22" customWidth="1"/>
    <col min="11272" max="11273" width="10.140625" style="22" customWidth="1"/>
    <col min="11274" max="11274" width="40.28515625" style="22" bestFit="1" customWidth="1"/>
    <col min="11275" max="11275" width="60.5703125" style="22" bestFit="1" customWidth="1"/>
    <col min="11276" max="11276" width="55.140625" style="22" bestFit="1" customWidth="1"/>
    <col min="11277" max="11277" width="59" style="22" bestFit="1" customWidth="1"/>
    <col min="11278" max="11278" width="16.140625" style="22" bestFit="1" customWidth="1"/>
    <col min="11279" max="11282" width="10.140625" style="22" customWidth="1"/>
    <col min="11283" max="11284" width="15.5703125" style="22" customWidth="1"/>
    <col min="11285" max="11285" width="17.28515625" style="22" bestFit="1" customWidth="1"/>
    <col min="11286" max="11290" width="11.7109375" style="22" customWidth="1"/>
    <col min="11291" max="11525" width="9.140625" style="22"/>
    <col min="11526" max="11526" width="10.140625" style="22" customWidth="1"/>
    <col min="11527" max="11527" width="39.140625" style="22" customWidth="1"/>
    <col min="11528" max="11529" width="10.140625" style="22" customWidth="1"/>
    <col min="11530" max="11530" width="40.28515625" style="22" bestFit="1" customWidth="1"/>
    <col min="11531" max="11531" width="60.5703125" style="22" bestFit="1" customWidth="1"/>
    <col min="11532" max="11532" width="55.140625" style="22" bestFit="1" customWidth="1"/>
    <col min="11533" max="11533" width="59" style="22" bestFit="1" customWidth="1"/>
    <col min="11534" max="11534" width="16.140625" style="22" bestFit="1" customWidth="1"/>
    <col min="11535" max="11538" width="10.140625" style="22" customWidth="1"/>
    <col min="11539" max="11540" width="15.5703125" style="22" customWidth="1"/>
    <col min="11541" max="11541" width="17.28515625" style="22" bestFit="1" customWidth="1"/>
    <col min="11542" max="11546" width="11.7109375" style="22" customWidth="1"/>
    <col min="11547" max="11781" width="9.140625" style="22"/>
    <col min="11782" max="11782" width="10.140625" style="22" customWidth="1"/>
    <col min="11783" max="11783" width="39.140625" style="22" customWidth="1"/>
    <col min="11784" max="11785" width="10.140625" style="22" customWidth="1"/>
    <col min="11786" max="11786" width="40.28515625" style="22" bestFit="1" customWidth="1"/>
    <col min="11787" max="11787" width="60.5703125" style="22" bestFit="1" customWidth="1"/>
    <col min="11788" max="11788" width="55.140625" style="22" bestFit="1" customWidth="1"/>
    <col min="11789" max="11789" width="59" style="22" bestFit="1" customWidth="1"/>
    <col min="11790" max="11790" width="16.140625" style="22" bestFit="1" customWidth="1"/>
    <col min="11791" max="11794" width="10.140625" style="22" customWidth="1"/>
    <col min="11795" max="11796" width="15.5703125" style="22" customWidth="1"/>
    <col min="11797" max="11797" width="17.28515625" style="22" bestFit="1" customWidth="1"/>
    <col min="11798" max="11802" width="11.7109375" style="22" customWidth="1"/>
    <col min="11803" max="12037" width="9.140625" style="22"/>
    <col min="12038" max="12038" width="10.140625" style="22" customWidth="1"/>
    <col min="12039" max="12039" width="39.140625" style="22" customWidth="1"/>
    <col min="12040" max="12041" width="10.140625" style="22" customWidth="1"/>
    <col min="12042" max="12042" width="40.28515625" style="22" bestFit="1" customWidth="1"/>
    <col min="12043" max="12043" width="60.5703125" style="22" bestFit="1" customWidth="1"/>
    <col min="12044" max="12044" width="55.140625" style="22" bestFit="1" customWidth="1"/>
    <col min="12045" max="12045" width="59" style="22" bestFit="1" customWidth="1"/>
    <col min="12046" max="12046" width="16.140625" style="22" bestFit="1" customWidth="1"/>
    <col min="12047" max="12050" width="10.140625" style="22" customWidth="1"/>
    <col min="12051" max="12052" width="15.5703125" style="22" customWidth="1"/>
    <col min="12053" max="12053" width="17.28515625" style="22" bestFit="1" customWidth="1"/>
    <col min="12054" max="12058" width="11.7109375" style="22" customWidth="1"/>
    <col min="12059" max="12293" width="9.140625" style="22"/>
    <col min="12294" max="12294" width="10.140625" style="22" customWidth="1"/>
    <col min="12295" max="12295" width="39.140625" style="22" customWidth="1"/>
    <col min="12296" max="12297" width="10.140625" style="22" customWidth="1"/>
    <col min="12298" max="12298" width="40.28515625" style="22" bestFit="1" customWidth="1"/>
    <col min="12299" max="12299" width="60.5703125" style="22" bestFit="1" customWidth="1"/>
    <col min="12300" max="12300" width="55.140625" style="22" bestFit="1" customWidth="1"/>
    <col min="12301" max="12301" width="59" style="22" bestFit="1" customWidth="1"/>
    <col min="12302" max="12302" width="16.140625" style="22" bestFit="1" customWidth="1"/>
    <col min="12303" max="12306" width="10.140625" style="22" customWidth="1"/>
    <col min="12307" max="12308" width="15.5703125" style="22" customWidth="1"/>
    <col min="12309" max="12309" width="17.28515625" style="22" bestFit="1" customWidth="1"/>
    <col min="12310" max="12314" width="11.7109375" style="22" customWidth="1"/>
    <col min="12315" max="12549" width="9.140625" style="22"/>
    <col min="12550" max="12550" width="10.140625" style="22" customWidth="1"/>
    <col min="12551" max="12551" width="39.140625" style="22" customWidth="1"/>
    <col min="12552" max="12553" width="10.140625" style="22" customWidth="1"/>
    <col min="12554" max="12554" width="40.28515625" style="22" bestFit="1" customWidth="1"/>
    <col min="12555" max="12555" width="60.5703125" style="22" bestFit="1" customWidth="1"/>
    <col min="12556" max="12556" width="55.140625" style="22" bestFit="1" customWidth="1"/>
    <col min="12557" max="12557" width="59" style="22" bestFit="1" customWidth="1"/>
    <col min="12558" max="12558" width="16.140625" style="22" bestFit="1" customWidth="1"/>
    <col min="12559" max="12562" width="10.140625" style="22" customWidth="1"/>
    <col min="12563" max="12564" width="15.5703125" style="22" customWidth="1"/>
    <col min="12565" max="12565" width="17.28515625" style="22" bestFit="1" customWidth="1"/>
    <col min="12566" max="12570" width="11.7109375" style="22" customWidth="1"/>
    <col min="12571" max="12805" width="9.140625" style="22"/>
    <col min="12806" max="12806" width="10.140625" style="22" customWidth="1"/>
    <col min="12807" max="12807" width="39.140625" style="22" customWidth="1"/>
    <col min="12808" max="12809" width="10.140625" style="22" customWidth="1"/>
    <col min="12810" max="12810" width="40.28515625" style="22" bestFit="1" customWidth="1"/>
    <col min="12811" max="12811" width="60.5703125" style="22" bestFit="1" customWidth="1"/>
    <col min="12812" max="12812" width="55.140625" style="22" bestFit="1" customWidth="1"/>
    <col min="12813" max="12813" width="59" style="22" bestFit="1" customWidth="1"/>
    <col min="12814" max="12814" width="16.140625" style="22" bestFit="1" customWidth="1"/>
    <col min="12815" max="12818" width="10.140625" style="22" customWidth="1"/>
    <col min="12819" max="12820" width="15.5703125" style="22" customWidth="1"/>
    <col min="12821" max="12821" width="17.28515625" style="22" bestFit="1" customWidth="1"/>
    <col min="12822" max="12826" width="11.7109375" style="22" customWidth="1"/>
    <col min="12827" max="13061" width="9.140625" style="22"/>
    <col min="13062" max="13062" width="10.140625" style="22" customWidth="1"/>
    <col min="13063" max="13063" width="39.140625" style="22" customWidth="1"/>
    <col min="13064" max="13065" width="10.140625" style="22" customWidth="1"/>
    <col min="13066" max="13066" width="40.28515625" style="22" bestFit="1" customWidth="1"/>
    <col min="13067" max="13067" width="60.5703125" style="22" bestFit="1" customWidth="1"/>
    <col min="13068" max="13068" width="55.140625" style="22" bestFit="1" customWidth="1"/>
    <col min="13069" max="13069" width="59" style="22" bestFit="1" customWidth="1"/>
    <col min="13070" max="13070" width="16.140625" style="22" bestFit="1" customWidth="1"/>
    <col min="13071" max="13074" width="10.140625" style="22" customWidth="1"/>
    <col min="13075" max="13076" width="15.5703125" style="22" customWidth="1"/>
    <col min="13077" max="13077" width="17.28515625" style="22" bestFit="1" customWidth="1"/>
    <col min="13078" max="13082" width="11.7109375" style="22" customWidth="1"/>
    <col min="13083" max="13317" width="9.140625" style="22"/>
    <col min="13318" max="13318" width="10.140625" style="22" customWidth="1"/>
    <col min="13319" max="13319" width="39.140625" style="22" customWidth="1"/>
    <col min="13320" max="13321" width="10.140625" style="22" customWidth="1"/>
    <col min="13322" max="13322" width="40.28515625" style="22" bestFit="1" customWidth="1"/>
    <col min="13323" max="13323" width="60.5703125" style="22" bestFit="1" customWidth="1"/>
    <col min="13324" max="13324" width="55.140625" style="22" bestFit="1" customWidth="1"/>
    <col min="13325" max="13325" width="59" style="22" bestFit="1" customWidth="1"/>
    <col min="13326" max="13326" width="16.140625" style="22" bestFit="1" customWidth="1"/>
    <col min="13327" max="13330" width="10.140625" style="22" customWidth="1"/>
    <col min="13331" max="13332" width="15.5703125" style="22" customWidth="1"/>
    <col min="13333" max="13333" width="17.28515625" style="22" bestFit="1" customWidth="1"/>
    <col min="13334" max="13338" width="11.7109375" style="22" customWidth="1"/>
    <col min="13339" max="13573" width="9.140625" style="22"/>
    <col min="13574" max="13574" width="10.140625" style="22" customWidth="1"/>
    <col min="13575" max="13575" width="39.140625" style="22" customWidth="1"/>
    <col min="13576" max="13577" width="10.140625" style="22" customWidth="1"/>
    <col min="13578" max="13578" width="40.28515625" style="22" bestFit="1" customWidth="1"/>
    <col min="13579" max="13579" width="60.5703125" style="22" bestFit="1" customWidth="1"/>
    <col min="13580" max="13580" width="55.140625" style="22" bestFit="1" customWidth="1"/>
    <col min="13581" max="13581" width="59" style="22" bestFit="1" customWidth="1"/>
    <col min="13582" max="13582" width="16.140625" style="22" bestFit="1" customWidth="1"/>
    <col min="13583" max="13586" width="10.140625" style="22" customWidth="1"/>
    <col min="13587" max="13588" width="15.5703125" style="22" customWidth="1"/>
    <col min="13589" max="13589" width="17.28515625" style="22" bestFit="1" customWidth="1"/>
    <col min="13590" max="13594" width="11.7109375" style="22" customWidth="1"/>
    <col min="13595" max="13829" width="9.140625" style="22"/>
    <col min="13830" max="13830" width="10.140625" style="22" customWidth="1"/>
    <col min="13831" max="13831" width="39.140625" style="22" customWidth="1"/>
    <col min="13832" max="13833" width="10.140625" style="22" customWidth="1"/>
    <col min="13834" max="13834" width="40.28515625" style="22" bestFit="1" customWidth="1"/>
    <col min="13835" max="13835" width="60.5703125" style="22" bestFit="1" customWidth="1"/>
    <col min="13836" max="13836" width="55.140625" style="22" bestFit="1" customWidth="1"/>
    <col min="13837" max="13837" width="59" style="22" bestFit="1" customWidth="1"/>
    <col min="13838" max="13838" width="16.140625" style="22" bestFit="1" customWidth="1"/>
    <col min="13839" max="13842" width="10.140625" style="22" customWidth="1"/>
    <col min="13843" max="13844" width="15.5703125" style="22" customWidth="1"/>
    <col min="13845" max="13845" width="17.28515625" style="22" bestFit="1" customWidth="1"/>
    <col min="13846" max="13850" width="11.7109375" style="22" customWidth="1"/>
    <col min="13851" max="14085" width="9.140625" style="22"/>
    <col min="14086" max="14086" width="10.140625" style="22" customWidth="1"/>
    <col min="14087" max="14087" width="39.140625" style="22" customWidth="1"/>
    <col min="14088" max="14089" width="10.140625" style="22" customWidth="1"/>
    <col min="14090" max="14090" width="40.28515625" style="22" bestFit="1" customWidth="1"/>
    <col min="14091" max="14091" width="60.5703125" style="22" bestFit="1" customWidth="1"/>
    <col min="14092" max="14092" width="55.140625" style="22" bestFit="1" customWidth="1"/>
    <col min="14093" max="14093" width="59" style="22" bestFit="1" customWidth="1"/>
    <col min="14094" max="14094" width="16.140625" style="22" bestFit="1" customWidth="1"/>
    <col min="14095" max="14098" width="10.140625" style="22" customWidth="1"/>
    <col min="14099" max="14100" width="15.5703125" style="22" customWidth="1"/>
    <col min="14101" max="14101" width="17.28515625" style="22" bestFit="1" customWidth="1"/>
    <col min="14102" max="14106" width="11.7109375" style="22" customWidth="1"/>
    <col min="14107" max="14341" width="9.140625" style="22"/>
    <col min="14342" max="14342" width="10.140625" style="22" customWidth="1"/>
    <col min="14343" max="14343" width="39.140625" style="22" customWidth="1"/>
    <col min="14344" max="14345" width="10.140625" style="22" customWidth="1"/>
    <col min="14346" max="14346" width="40.28515625" style="22" bestFit="1" customWidth="1"/>
    <col min="14347" max="14347" width="60.5703125" style="22" bestFit="1" customWidth="1"/>
    <col min="14348" max="14348" width="55.140625" style="22" bestFit="1" customWidth="1"/>
    <col min="14349" max="14349" width="59" style="22" bestFit="1" customWidth="1"/>
    <col min="14350" max="14350" width="16.140625" style="22" bestFit="1" customWidth="1"/>
    <col min="14351" max="14354" width="10.140625" style="22" customWidth="1"/>
    <col min="14355" max="14356" width="15.5703125" style="22" customWidth="1"/>
    <col min="14357" max="14357" width="17.28515625" style="22" bestFit="1" customWidth="1"/>
    <col min="14358" max="14362" width="11.7109375" style="22" customWidth="1"/>
    <col min="14363" max="14597" width="9.140625" style="22"/>
    <col min="14598" max="14598" width="10.140625" style="22" customWidth="1"/>
    <col min="14599" max="14599" width="39.140625" style="22" customWidth="1"/>
    <col min="14600" max="14601" width="10.140625" style="22" customWidth="1"/>
    <col min="14602" max="14602" width="40.28515625" style="22" bestFit="1" customWidth="1"/>
    <col min="14603" max="14603" width="60.5703125" style="22" bestFit="1" customWidth="1"/>
    <col min="14604" max="14604" width="55.140625" style="22" bestFit="1" customWidth="1"/>
    <col min="14605" max="14605" width="59" style="22" bestFit="1" customWidth="1"/>
    <col min="14606" max="14606" width="16.140625" style="22" bestFit="1" customWidth="1"/>
    <col min="14607" max="14610" width="10.140625" style="22" customWidth="1"/>
    <col min="14611" max="14612" width="15.5703125" style="22" customWidth="1"/>
    <col min="14613" max="14613" width="17.28515625" style="22" bestFit="1" customWidth="1"/>
    <col min="14614" max="14618" width="11.7109375" style="22" customWidth="1"/>
    <col min="14619" max="14853" width="9.140625" style="22"/>
    <col min="14854" max="14854" width="10.140625" style="22" customWidth="1"/>
    <col min="14855" max="14855" width="39.140625" style="22" customWidth="1"/>
    <col min="14856" max="14857" width="10.140625" style="22" customWidth="1"/>
    <col min="14858" max="14858" width="40.28515625" style="22" bestFit="1" customWidth="1"/>
    <col min="14859" max="14859" width="60.5703125" style="22" bestFit="1" customWidth="1"/>
    <col min="14860" max="14860" width="55.140625" style="22" bestFit="1" customWidth="1"/>
    <col min="14861" max="14861" width="59" style="22" bestFit="1" customWidth="1"/>
    <col min="14862" max="14862" width="16.140625" style="22" bestFit="1" customWidth="1"/>
    <col min="14863" max="14866" width="10.140625" style="22" customWidth="1"/>
    <col min="14867" max="14868" width="15.5703125" style="22" customWidth="1"/>
    <col min="14869" max="14869" width="17.28515625" style="22" bestFit="1" customWidth="1"/>
    <col min="14870" max="14874" width="11.7109375" style="22" customWidth="1"/>
    <col min="14875" max="15109" width="9.140625" style="22"/>
    <col min="15110" max="15110" width="10.140625" style="22" customWidth="1"/>
    <col min="15111" max="15111" width="39.140625" style="22" customWidth="1"/>
    <col min="15112" max="15113" width="10.140625" style="22" customWidth="1"/>
    <col min="15114" max="15114" width="40.28515625" style="22" bestFit="1" customWidth="1"/>
    <col min="15115" max="15115" width="60.5703125" style="22" bestFit="1" customWidth="1"/>
    <col min="15116" max="15116" width="55.140625" style="22" bestFit="1" customWidth="1"/>
    <col min="15117" max="15117" width="59" style="22" bestFit="1" customWidth="1"/>
    <col min="15118" max="15118" width="16.140625" style="22" bestFit="1" customWidth="1"/>
    <col min="15119" max="15122" width="10.140625" style="22" customWidth="1"/>
    <col min="15123" max="15124" width="15.5703125" style="22" customWidth="1"/>
    <col min="15125" max="15125" width="17.28515625" style="22" bestFit="1" customWidth="1"/>
    <col min="15126" max="15130" width="11.7109375" style="22" customWidth="1"/>
    <col min="15131" max="15365" width="9.140625" style="22"/>
    <col min="15366" max="15366" width="10.140625" style="22" customWidth="1"/>
    <col min="15367" max="15367" width="39.140625" style="22" customWidth="1"/>
    <col min="15368" max="15369" width="10.140625" style="22" customWidth="1"/>
    <col min="15370" max="15370" width="40.28515625" style="22" bestFit="1" customWidth="1"/>
    <col min="15371" max="15371" width="60.5703125" style="22" bestFit="1" customWidth="1"/>
    <col min="15372" max="15372" width="55.140625" style="22" bestFit="1" customWidth="1"/>
    <col min="15373" max="15373" width="59" style="22" bestFit="1" customWidth="1"/>
    <col min="15374" max="15374" width="16.140625" style="22" bestFit="1" customWidth="1"/>
    <col min="15375" max="15378" width="10.140625" style="22" customWidth="1"/>
    <col min="15379" max="15380" width="15.5703125" style="22" customWidth="1"/>
    <col min="15381" max="15381" width="17.28515625" style="22" bestFit="1" customWidth="1"/>
    <col min="15382" max="15386" width="11.7109375" style="22" customWidth="1"/>
    <col min="15387" max="15621" width="9.140625" style="22"/>
    <col min="15622" max="15622" width="10.140625" style="22" customWidth="1"/>
    <col min="15623" max="15623" width="39.140625" style="22" customWidth="1"/>
    <col min="15624" max="15625" width="10.140625" style="22" customWidth="1"/>
    <col min="15626" max="15626" width="40.28515625" style="22" bestFit="1" customWidth="1"/>
    <col min="15627" max="15627" width="60.5703125" style="22" bestFit="1" customWidth="1"/>
    <col min="15628" max="15628" width="55.140625" style="22" bestFit="1" customWidth="1"/>
    <col min="15629" max="15629" width="59" style="22" bestFit="1" customWidth="1"/>
    <col min="15630" max="15630" width="16.140625" style="22" bestFit="1" customWidth="1"/>
    <col min="15631" max="15634" width="10.140625" style="22" customWidth="1"/>
    <col min="15635" max="15636" width="15.5703125" style="22" customWidth="1"/>
    <col min="15637" max="15637" width="17.28515625" style="22" bestFit="1" customWidth="1"/>
    <col min="15638" max="15642" width="11.7109375" style="22" customWidth="1"/>
    <col min="15643" max="15877" width="9.140625" style="22"/>
    <col min="15878" max="15878" width="10.140625" style="22" customWidth="1"/>
    <col min="15879" max="15879" width="39.140625" style="22" customWidth="1"/>
    <col min="15880" max="15881" width="10.140625" style="22" customWidth="1"/>
    <col min="15882" max="15882" width="40.28515625" style="22" bestFit="1" customWidth="1"/>
    <col min="15883" max="15883" width="60.5703125" style="22" bestFit="1" customWidth="1"/>
    <col min="15884" max="15884" width="55.140625" style="22" bestFit="1" customWidth="1"/>
    <col min="15885" max="15885" width="59" style="22" bestFit="1" customWidth="1"/>
    <col min="15886" max="15886" width="16.140625" style="22" bestFit="1" customWidth="1"/>
    <col min="15887" max="15890" width="10.140625" style="22" customWidth="1"/>
    <col min="15891" max="15892" width="15.5703125" style="22" customWidth="1"/>
    <col min="15893" max="15893" width="17.28515625" style="22" bestFit="1" customWidth="1"/>
    <col min="15894" max="15898" width="11.7109375" style="22" customWidth="1"/>
    <col min="15899" max="16133" width="9.140625" style="22"/>
    <col min="16134" max="16134" width="10.140625" style="22" customWidth="1"/>
    <col min="16135" max="16135" width="39.140625" style="22" customWidth="1"/>
    <col min="16136" max="16137" width="10.140625" style="22" customWidth="1"/>
    <col min="16138" max="16138" width="40.28515625" style="22" bestFit="1" customWidth="1"/>
    <col min="16139" max="16139" width="60.5703125" style="22" bestFit="1" customWidth="1"/>
    <col min="16140" max="16140" width="55.140625" style="22" bestFit="1" customWidth="1"/>
    <col min="16141" max="16141" width="59" style="22" bestFit="1" customWidth="1"/>
    <col min="16142" max="16142" width="16.140625" style="22" bestFit="1" customWidth="1"/>
    <col min="16143" max="16146" width="10.140625" style="22" customWidth="1"/>
    <col min="16147" max="16148" width="15.5703125" style="22" customWidth="1"/>
    <col min="16149" max="16149" width="17.28515625" style="22" bestFit="1" customWidth="1"/>
    <col min="16150" max="16154" width="11.7109375" style="22" customWidth="1"/>
    <col min="16155" max="16384" width="9.140625" style="22"/>
  </cols>
  <sheetData>
    <row r="1" spans="1:26" ht="27" customHeight="1" x14ac:dyDescent="0.2">
      <c r="A1" s="21" t="s">
        <v>18681</v>
      </c>
      <c r="B1" s="21" t="s">
        <v>18682</v>
      </c>
      <c r="C1" s="21" t="s">
        <v>18683</v>
      </c>
      <c r="D1" s="21" t="s">
        <v>18684</v>
      </c>
      <c r="E1" s="21" t="s">
        <v>18685</v>
      </c>
      <c r="F1" s="21" t="s">
        <v>18686</v>
      </c>
      <c r="G1" s="21" t="s">
        <v>18687</v>
      </c>
      <c r="H1" s="21" t="s">
        <v>18688</v>
      </c>
      <c r="I1" s="21" t="s">
        <v>18689</v>
      </c>
      <c r="J1" s="21" t="s">
        <v>18690</v>
      </c>
      <c r="K1" s="21" t="s">
        <v>18681</v>
      </c>
      <c r="L1" s="21" t="s">
        <v>18691</v>
      </c>
      <c r="M1" s="21" t="s">
        <v>18692</v>
      </c>
      <c r="N1" s="21" t="s">
        <v>18693</v>
      </c>
      <c r="O1" s="21" t="s">
        <v>18694</v>
      </c>
      <c r="P1" s="21" t="s">
        <v>18695</v>
      </c>
      <c r="Q1" s="21" t="s">
        <v>18696</v>
      </c>
      <c r="R1" s="21" t="s">
        <v>1617</v>
      </c>
      <c r="S1" s="21" t="s">
        <v>18697</v>
      </c>
      <c r="T1" s="21" t="s">
        <v>1620</v>
      </c>
      <c r="U1" s="21" t="s">
        <v>18698</v>
      </c>
      <c r="V1" s="21" t="s">
        <v>18699</v>
      </c>
      <c r="W1" s="21" t="s">
        <v>18700</v>
      </c>
      <c r="X1" s="21" t="s">
        <v>18701</v>
      </c>
      <c r="Y1" s="21" t="s">
        <v>18702</v>
      </c>
      <c r="Z1" s="21" t="s">
        <v>18703</v>
      </c>
    </row>
    <row r="2" spans="1:26" hidden="1" x14ac:dyDescent="0.2">
      <c r="A2" s="23" t="s">
        <v>18704</v>
      </c>
      <c r="B2" s="22" t="s">
        <v>18705</v>
      </c>
      <c r="C2" s="23" t="str">
        <f>"200"</f>
        <v>200</v>
      </c>
      <c r="D2" s="23" t="s">
        <v>18706</v>
      </c>
      <c r="E2" s="22" t="s">
        <v>18705</v>
      </c>
      <c r="F2" s="22" t="s">
        <v>18707</v>
      </c>
      <c r="G2" s="22" t="str">
        <f>[1]CHILDCARE_FACILITIES!Q2</f>
        <v>CDC-17859</v>
      </c>
      <c r="H2" s="22">
        <f>VLOOKUP(G2,'[1]CACFP FRL'!D:G,4,0)</f>
        <v>790972</v>
      </c>
      <c r="I2" s="22" t="str">
        <f>VLOOKUP(G2,[1]CHILDCARE_FACILITIES!AK:AL,2,0)</f>
        <v>CDC17859</v>
      </c>
      <c r="J2" s="22" t="e">
        <f>VLOOKUP(I2,'[1]Head Start QF 1-5 Stars'!O:Q,3,0)</f>
        <v>#N/A</v>
      </c>
      <c r="K2" s="23" t="s">
        <v>18704</v>
      </c>
      <c r="L2" s="22" t="s">
        <v>18708</v>
      </c>
      <c r="M2" s="22" t="s">
        <v>18709</v>
      </c>
      <c r="N2" s="22" t="s">
        <v>714</v>
      </c>
      <c r="O2" s="23" t="s">
        <v>207</v>
      </c>
      <c r="P2" s="22" t="str">
        <f>"85202"</f>
        <v>85202</v>
      </c>
      <c r="Q2" s="22" t="str">
        <f>"3942"</f>
        <v>3942</v>
      </c>
      <c r="R2" s="22" t="s">
        <v>18710</v>
      </c>
      <c r="S2" s="23" t="s">
        <v>18711</v>
      </c>
      <c r="T2" s="22" t="s">
        <v>18712</v>
      </c>
      <c r="U2" s="22" t="s">
        <v>18713</v>
      </c>
      <c r="V2" s="22" t="s">
        <v>18714</v>
      </c>
      <c r="W2" s="22" t="s">
        <v>18714</v>
      </c>
      <c r="X2" s="22" t="s">
        <v>18714</v>
      </c>
      <c r="Y2" s="23">
        <v>16</v>
      </c>
      <c r="Z2" s="22" t="s">
        <v>18715</v>
      </c>
    </row>
    <row r="3" spans="1:26" hidden="1" x14ac:dyDescent="0.2">
      <c r="A3" s="23" t="s">
        <v>18716</v>
      </c>
      <c r="B3" s="22" t="s">
        <v>18717</v>
      </c>
      <c r="C3" s="23" t="str">
        <f>"000"</f>
        <v>000</v>
      </c>
      <c r="D3" s="23" t="s">
        <v>18718</v>
      </c>
      <c r="E3" s="22" t="s">
        <v>18717</v>
      </c>
      <c r="F3" s="22" t="s">
        <v>18719</v>
      </c>
      <c r="G3" s="22" t="str">
        <f>VLOOKUP(F3,[1]CHILDCARE_FACILITIES!N:Q,4,0)</f>
        <v>CDC-10401</v>
      </c>
      <c r="H3" s="22" t="e">
        <f>VLOOKUP(G3,'[1]CACFP FRL'!D:G,4,0)</f>
        <v>#N/A</v>
      </c>
      <c r="I3" s="22" t="str">
        <f>VLOOKUP(G3,[1]CHILDCARE_FACILITIES!AK:AL,2,0)</f>
        <v>CDC10401</v>
      </c>
      <c r="J3" s="22" t="e">
        <f>VLOOKUP(I3,'[1]Head Start QF 1-5 Stars'!O:Q,3,0)</f>
        <v>#N/A</v>
      </c>
      <c r="K3" s="23" t="s">
        <v>18716</v>
      </c>
      <c r="L3" s="22" t="s">
        <v>18720</v>
      </c>
      <c r="M3" s="22" t="s">
        <v>1637</v>
      </c>
      <c r="N3" s="22" t="s">
        <v>541</v>
      </c>
      <c r="O3" s="23" t="s">
        <v>207</v>
      </c>
      <c r="P3" s="22" t="str">
        <f>"85323"</f>
        <v>85323</v>
      </c>
      <c r="Q3" s="22" t="str">
        <f>"2900"</f>
        <v>2900</v>
      </c>
      <c r="R3" s="22" t="s">
        <v>18710</v>
      </c>
      <c r="S3" s="23" t="s">
        <v>18721</v>
      </c>
      <c r="T3" s="22" t="s">
        <v>18722</v>
      </c>
      <c r="U3" s="22" t="s">
        <v>18713</v>
      </c>
      <c r="V3" s="22" t="s">
        <v>18714</v>
      </c>
      <c r="W3" s="22" t="s">
        <v>18714</v>
      </c>
      <c r="X3" s="22" t="s">
        <v>18714</v>
      </c>
      <c r="Y3" s="23">
        <v>20</v>
      </c>
      <c r="Z3" s="22" t="s">
        <v>18723</v>
      </c>
    </row>
    <row r="4" spans="1:26" hidden="1" x14ac:dyDescent="0.2">
      <c r="A4" s="23" t="s">
        <v>18724</v>
      </c>
      <c r="B4" s="22" t="s">
        <v>18705</v>
      </c>
      <c r="C4" s="23" t="str">
        <f>"200"</f>
        <v>200</v>
      </c>
      <c r="D4" s="23" t="s">
        <v>18706</v>
      </c>
      <c r="E4" s="22" t="s">
        <v>18705</v>
      </c>
      <c r="F4" s="22" t="s">
        <v>18725</v>
      </c>
      <c r="G4" s="22" t="str">
        <f>VLOOKUP(F4,[1]CHILDCARE_FACILITIES!N:Q,4,0)</f>
        <v>CDC-13240</v>
      </c>
      <c r="H4" s="22">
        <f>VLOOKUP(G4,'[1]CACFP FRL'!D:G,4,0)</f>
        <v>89464</v>
      </c>
      <c r="I4" s="22" t="str">
        <f>VLOOKUP(G4,[1]CHILDCARE_FACILITIES!AK:AL,2,0)</f>
        <v>CDC13240</v>
      </c>
      <c r="J4" s="22">
        <f>VLOOKUP(I4,'[1]Head Start QF 1-5 Stars'!O:Q,3,0)</f>
        <v>88</v>
      </c>
      <c r="K4" s="23" t="s">
        <v>18724</v>
      </c>
      <c r="L4" s="22" t="s">
        <v>18726</v>
      </c>
      <c r="M4" s="22" t="s">
        <v>1637</v>
      </c>
      <c r="N4" s="22" t="s">
        <v>714</v>
      </c>
      <c r="O4" s="23" t="s">
        <v>207</v>
      </c>
      <c r="P4" s="22" t="str">
        <f>"85204"</f>
        <v>85204</v>
      </c>
      <c r="Q4" s="22" t="str">
        <f>"5006"</f>
        <v>5006</v>
      </c>
      <c r="R4" s="22" t="s">
        <v>18710</v>
      </c>
      <c r="S4" s="23" t="s">
        <v>18711</v>
      </c>
      <c r="T4" s="22" t="s">
        <v>18727</v>
      </c>
      <c r="U4" s="22" t="s">
        <v>18713</v>
      </c>
      <c r="V4" s="22" t="s">
        <v>18714</v>
      </c>
      <c r="W4" s="22" t="s">
        <v>18714</v>
      </c>
      <c r="X4" s="22" t="s">
        <v>18714</v>
      </c>
      <c r="Y4" s="23">
        <v>16</v>
      </c>
      <c r="Z4" s="22" t="s">
        <v>18715</v>
      </c>
    </row>
    <row r="5" spans="1:26" hidden="1" x14ac:dyDescent="0.2">
      <c r="A5" s="23" t="s">
        <v>18716</v>
      </c>
      <c r="B5" s="22" t="s">
        <v>18717</v>
      </c>
      <c r="C5" s="23" t="str">
        <f>"000"</f>
        <v>000</v>
      </c>
      <c r="D5" s="23" t="s">
        <v>18718</v>
      </c>
      <c r="E5" s="22" t="s">
        <v>18717</v>
      </c>
      <c r="F5" s="22" t="s">
        <v>18728</v>
      </c>
      <c r="G5" s="22" t="str">
        <f>VLOOKUP(F5,[1]CHILDCARE_FACILITIES!N:Q,4,0)</f>
        <v>CDC-1955</v>
      </c>
      <c r="H5" s="22" t="e">
        <f>VLOOKUP(G5,'[1]CACFP FRL'!D:G,4,0)</f>
        <v>#N/A</v>
      </c>
      <c r="I5" s="22" t="str">
        <f>VLOOKUP(G5,[1]CHILDCARE_FACILITIES!AK:AL,2,0)</f>
        <v>CDC1955</v>
      </c>
      <c r="J5" s="22" t="e">
        <f>VLOOKUP(I5,'[1]Head Start QF 1-5 Stars'!O:Q,3,0)</f>
        <v>#N/A</v>
      </c>
      <c r="K5" s="23" t="s">
        <v>18716</v>
      </c>
      <c r="L5" s="22" t="s">
        <v>18729</v>
      </c>
      <c r="M5" s="22" t="s">
        <v>1637</v>
      </c>
      <c r="N5" s="22" t="s">
        <v>527</v>
      </c>
      <c r="O5" s="23" t="s">
        <v>207</v>
      </c>
      <c r="P5" s="22" t="str">
        <f>"85326"</f>
        <v>85326</v>
      </c>
      <c r="Q5" s="22" t="str">
        <f>"3107"</f>
        <v>3107</v>
      </c>
      <c r="R5" s="22" t="s">
        <v>18710</v>
      </c>
      <c r="S5" s="23" t="s">
        <v>18721</v>
      </c>
      <c r="T5" s="22" t="s">
        <v>18730</v>
      </c>
      <c r="U5" s="22" t="s">
        <v>18713</v>
      </c>
      <c r="V5" s="22" t="s">
        <v>18731</v>
      </c>
      <c r="W5" s="22" t="s">
        <v>18731</v>
      </c>
      <c r="X5" s="22" t="s">
        <v>18731</v>
      </c>
      <c r="Y5" s="23">
        <v>20</v>
      </c>
      <c r="Z5" s="22" t="s">
        <v>18723</v>
      </c>
    </row>
    <row r="6" spans="1:26" hidden="1" x14ac:dyDescent="0.2">
      <c r="A6" s="23" t="s">
        <v>18716</v>
      </c>
      <c r="B6" s="22" t="s">
        <v>18717</v>
      </c>
      <c r="C6" s="23" t="str">
        <f>"000"</f>
        <v>000</v>
      </c>
      <c r="D6" s="23" t="s">
        <v>18718</v>
      </c>
      <c r="E6" s="22" t="s">
        <v>18717</v>
      </c>
      <c r="F6" s="22" t="s">
        <v>18732</v>
      </c>
      <c r="G6" s="22" t="str">
        <f>VLOOKUP(F6,[1]CHILDCARE_FACILITIES!N:Q,4,0)</f>
        <v>CDC-13963</v>
      </c>
      <c r="H6" s="22" t="e">
        <f>VLOOKUP(G6,'[1]CACFP FRL'!D:G,4,0)</f>
        <v>#N/A</v>
      </c>
      <c r="I6" s="22" t="str">
        <f>VLOOKUP(G6,[1]CHILDCARE_FACILITIES!AK:AL,2,0)</f>
        <v>CDC13963</v>
      </c>
      <c r="J6" s="22" t="e">
        <f>VLOOKUP(I6,'[1]Head Start QF 1-5 Stars'!O:Q,3,0)</f>
        <v>#N/A</v>
      </c>
      <c r="K6" s="23" t="s">
        <v>18716</v>
      </c>
      <c r="L6" s="22" t="s">
        <v>18733</v>
      </c>
      <c r="M6" s="22" t="s">
        <v>1637</v>
      </c>
      <c r="N6" s="22" t="s">
        <v>527</v>
      </c>
      <c r="O6" s="23" t="s">
        <v>207</v>
      </c>
      <c r="P6" s="22" t="str">
        <f>"85326"</f>
        <v>85326</v>
      </c>
      <c r="Q6" s="22" t="str">
        <f>""</f>
        <v/>
      </c>
      <c r="R6" s="22" t="s">
        <v>18710</v>
      </c>
      <c r="S6" s="23" t="s">
        <v>18721</v>
      </c>
      <c r="T6" s="22" t="s">
        <v>18734</v>
      </c>
      <c r="U6" s="22" t="s">
        <v>18713</v>
      </c>
      <c r="V6" s="22" t="s">
        <v>18731</v>
      </c>
      <c r="W6" s="22" t="s">
        <v>18731</v>
      </c>
      <c r="X6" s="22" t="s">
        <v>18731</v>
      </c>
      <c r="Y6" s="23">
        <v>20</v>
      </c>
      <c r="Z6" s="22" t="s">
        <v>18723</v>
      </c>
    </row>
    <row r="7" spans="1:26" hidden="1" x14ac:dyDescent="0.2">
      <c r="A7" s="23" t="s">
        <v>18716</v>
      </c>
      <c r="B7" s="22" t="s">
        <v>18717</v>
      </c>
      <c r="C7" s="23" t="str">
        <f>"000"</f>
        <v>000</v>
      </c>
      <c r="D7" s="23" t="s">
        <v>18718</v>
      </c>
      <c r="E7" s="22" t="s">
        <v>18717</v>
      </c>
      <c r="F7" s="22" t="s">
        <v>18735</v>
      </c>
      <c r="G7" s="22" t="str">
        <f>VLOOKUP(F7,[1]CHILDCARE_FACILITIES!N:Q,4,0)</f>
        <v>CDC-1774</v>
      </c>
      <c r="H7" s="22" t="e">
        <f>VLOOKUP(G7,'[1]CACFP FRL'!D:G,4,0)</f>
        <v>#N/A</v>
      </c>
      <c r="I7" s="22" t="str">
        <f>VLOOKUP(G7,[1]CHILDCARE_FACILITIES!AK:AL,2,0)</f>
        <v>CDC1774</v>
      </c>
      <c r="J7" s="22" t="e">
        <f>VLOOKUP(I7,'[1]Head Start QF 1-5 Stars'!O:Q,3,0)</f>
        <v>#N/A</v>
      </c>
      <c r="K7" s="23" t="s">
        <v>18716</v>
      </c>
      <c r="L7" s="22" t="s">
        <v>18736</v>
      </c>
      <c r="M7" s="22" t="s">
        <v>1637</v>
      </c>
      <c r="N7" s="22" t="s">
        <v>379</v>
      </c>
      <c r="O7" s="23" t="s">
        <v>207</v>
      </c>
      <c r="P7" s="22" t="str">
        <f>"85301"</f>
        <v>85301</v>
      </c>
      <c r="Q7" s="22" t="str">
        <f>"4131"</f>
        <v>4131</v>
      </c>
      <c r="R7" s="22" t="s">
        <v>18710</v>
      </c>
      <c r="S7" s="23" t="s">
        <v>18737</v>
      </c>
      <c r="T7" s="22" t="s">
        <v>18738</v>
      </c>
      <c r="U7" s="22" t="s">
        <v>18713</v>
      </c>
      <c r="V7" s="22" t="s">
        <v>18731</v>
      </c>
      <c r="W7" s="22" t="s">
        <v>18731</v>
      </c>
      <c r="X7" s="22" t="s">
        <v>18731</v>
      </c>
      <c r="Y7" s="23">
        <v>20</v>
      </c>
      <c r="Z7" s="22" t="s">
        <v>18723</v>
      </c>
    </row>
    <row r="8" spans="1:26" hidden="1" x14ac:dyDescent="0.2">
      <c r="A8" s="23" t="s">
        <v>18716</v>
      </c>
      <c r="B8" s="22" t="s">
        <v>18717</v>
      </c>
      <c r="C8" s="23" t="str">
        <f>"000"</f>
        <v>000</v>
      </c>
      <c r="D8" s="23" t="s">
        <v>18718</v>
      </c>
      <c r="E8" s="22" t="s">
        <v>18717</v>
      </c>
      <c r="F8" s="22" t="s">
        <v>18739</v>
      </c>
      <c r="G8" s="22" t="str">
        <f>VLOOKUP(F8,[1]CHILDCARE_FACILITIES!N:Q,4,0)</f>
        <v>CDC-5854</v>
      </c>
      <c r="H8" s="22" t="e">
        <f>VLOOKUP(G8,'[1]CACFP FRL'!D:G,4,0)</f>
        <v>#N/A</v>
      </c>
      <c r="I8" s="22" t="str">
        <f>VLOOKUP(G8,[1]CHILDCARE_FACILITIES!AK:AL,2,0)</f>
        <v>CDC5854</v>
      </c>
      <c r="J8" s="22">
        <f>VLOOKUP(I8,'[1]Head Start QF 1-5 Stars'!O:Q,3,0)</f>
        <v>1919</v>
      </c>
      <c r="K8" s="23" t="s">
        <v>18716</v>
      </c>
      <c r="L8" s="22" t="s">
        <v>1301</v>
      </c>
      <c r="M8" s="22" t="s">
        <v>1637</v>
      </c>
      <c r="N8" s="22" t="s">
        <v>379</v>
      </c>
      <c r="O8" s="23" t="s">
        <v>207</v>
      </c>
      <c r="P8" s="22" t="str">
        <f>"85303"</f>
        <v>85303</v>
      </c>
      <c r="Q8" s="22" t="str">
        <f>"3316"</f>
        <v>3316</v>
      </c>
      <c r="R8" s="22" t="s">
        <v>18710</v>
      </c>
      <c r="S8" s="23" t="s">
        <v>18737</v>
      </c>
      <c r="T8" s="22" t="s">
        <v>18740</v>
      </c>
      <c r="U8" s="22" t="s">
        <v>18713</v>
      </c>
      <c r="V8" s="22" t="s">
        <v>18731</v>
      </c>
      <c r="W8" s="22" t="s">
        <v>18731</v>
      </c>
      <c r="X8" s="22" t="s">
        <v>18731</v>
      </c>
      <c r="Y8" s="23">
        <v>50</v>
      </c>
      <c r="Z8" s="22" t="s">
        <v>18723</v>
      </c>
    </row>
    <row r="9" spans="1:26" s="25" customFormat="1" x14ac:dyDescent="0.2">
      <c r="A9" s="24" t="s">
        <v>18741</v>
      </c>
      <c r="B9" s="25" t="s">
        <v>18742</v>
      </c>
      <c r="C9" s="24" t="str">
        <f>"200"</f>
        <v>200</v>
      </c>
      <c r="D9" s="24" t="s">
        <v>18706</v>
      </c>
      <c r="E9" s="25" t="s">
        <v>18743</v>
      </c>
      <c r="F9" s="25" t="s">
        <v>18744</v>
      </c>
      <c r="G9" s="25" t="e">
        <f>VLOOKUP(F9,[1]CHILDCARE_FACILITIES!N:Q,4,0)</f>
        <v>#N/A</v>
      </c>
      <c r="H9" s="25" t="e">
        <f>VLOOKUP(G9,'[1]CACFP FRL'!D:G,4,0)</f>
        <v>#N/A</v>
      </c>
      <c r="I9" s="25" t="e">
        <f>VLOOKUP(G9,[1]CHILDCARE_FACILITIES!AK:AL,2,0)</f>
        <v>#N/A</v>
      </c>
      <c r="J9" s="25" t="e">
        <f>VLOOKUP(I9,'[1]Head Start QF 1-5 Stars'!O:Q,3,0)</f>
        <v>#N/A</v>
      </c>
      <c r="K9" s="24" t="s">
        <v>18741</v>
      </c>
      <c r="L9" s="25" t="s">
        <v>18745</v>
      </c>
      <c r="M9" s="25" t="s">
        <v>1637</v>
      </c>
      <c r="N9" s="25" t="s">
        <v>495</v>
      </c>
      <c r="O9" s="24" t="s">
        <v>207</v>
      </c>
      <c r="P9" s="25" t="str">
        <f>"85019"</f>
        <v>85019</v>
      </c>
      <c r="Q9" s="25" t="str">
        <f>"1334"</f>
        <v>1334</v>
      </c>
      <c r="R9" s="25" t="s">
        <v>18710</v>
      </c>
      <c r="S9" s="24" t="s">
        <v>18737</v>
      </c>
      <c r="T9" s="25" t="s">
        <v>18746</v>
      </c>
      <c r="U9" s="25" t="s">
        <v>18713</v>
      </c>
      <c r="V9" s="25" t="s">
        <v>18714</v>
      </c>
      <c r="W9" s="25" t="s">
        <v>18714</v>
      </c>
      <c r="X9" s="25" t="s">
        <v>18714</v>
      </c>
      <c r="Y9" s="24">
        <v>20</v>
      </c>
      <c r="Z9" s="25" t="s">
        <v>18723</v>
      </c>
    </row>
    <row r="10" spans="1:26" hidden="1" x14ac:dyDescent="0.2">
      <c r="A10" s="23" t="s">
        <v>18716</v>
      </c>
      <c r="B10" s="22" t="s">
        <v>18717</v>
      </c>
      <c r="C10" s="23" t="str">
        <f>"000"</f>
        <v>000</v>
      </c>
      <c r="D10" s="23" t="s">
        <v>18718</v>
      </c>
      <c r="E10" s="22" t="s">
        <v>18717</v>
      </c>
      <c r="F10" s="22" t="s">
        <v>18747</v>
      </c>
      <c r="G10" s="22" t="str">
        <f>VLOOKUP(F10,[1]CHILDCARE_FACILITIES!N:Q,4,0)</f>
        <v>CDC-17055</v>
      </c>
      <c r="H10" s="22" t="e">
        <f>VLOOKUP(G10,'[1]CACFP FRL'!D:G,4,0)</f>
        <v>#N/A</v>
      </c>
      <c r="I10" s="22" t="str">
        <f>VLOOKUP(G10,[1]CHILDCARE_FACILITIES!AK:AL,2,0)</f>
        <v>CDC17055</v>
      </c>
      <c r="J10" s="22" t="e">
        <f>VLOOKUP(I10,'[1]Head Start QF 1-5 Stars'!O:Q,3,0)</f>
        <v>#N/A</v>
      </c>
      <c r="K10" s="23" t="s">
        <v>18716</v>
      </c>
      <c r="L10" s="22" t="s">
        <v>18748</v>
      </c>
      <c r="M10" s="22" t="s">
        <v>18749</v>
      </c>
      <c r="N10" s="22" t="s">
        <v>18750</v>
      </c>
      <c r="O10" s="23" t="s">
        <v>207</v>
      </c>
      <c r="P10" s="22" t="str">
        <f>"85335"</f>
        <v>85335</v>
      </c>
      <c r="Q10" s="22" t="str">
        <f>"2469"</f>
        <v>2469</v>
      </c>
      <c r="R10" s="22" t="s">
        <v>18710</v>
      </c>
      <c r="S10" s="23" t="s">
        <v>18751</v>
      </c>
      <c r="T10" s="22" t="s">
        <v>18752</v>
      </c>
      <c r="U10" s="22" t="s">
        <v>18713</v>
      </c>
      <c r="V10" s="22" t="s">
        <v>18714</v>
      </c>
      <c r="W10" s="22" t="s">
        <v>18714</v>
      </c>
      <c r="X10" s="22" t="s">
        <v>18714</v>
      </c>
      <c r="Y10" s="23">
        <v>58</v>
      </c>
      <c r="Z10" s="22" t="s">
        <v>18723</v>
      </c>
    </row>
    <row r="11" spans="1:26" hidden="1" x14ac:dyDescent="0.2">
      <c r="A11" s="23" t="s">
        <v>18716</v>
      </c>
      <c r="B11" s="22" t="s">
        <v>18717</v>
      </c>
      <c r="C11" s="23" t="str">
        <f>"000"</f>
        <v>000</v>
      </c>
      <c r="D11" s="23" t="s">
        <v>18718</v>
      </c>
      <c r="E11" s="22" t="s">
        <v>18717</v>
      </c>
      <c r="F11" s="22" t="s">
        <v>1071</v>
      </c>
      <c r="G11" s="22" t="str">
        <f>VLOOKUP(F11,[1]CHILDCARE_FACILITIES!N:Q,4,0)</f>
        <v>CDC-1935</v>
      </c>
      <c r="H11" s="22" t="e">
        <f>VLOOKUP(G11,'[1]CACFP FRL'!D:G,4,0)</f>
        <v>#N/A</v>
      </c>
      <c r="I11" s="22" t="str">
        <f>VLOOKUP(G11,[1]CHILDCARE_FACILITIES!AK:AL,2,0)</f>
        <v>CDC1935</v>
      </c>
      <c r="J11" s="22" t="e">
        <f>VLOOKUP(I11,'[1]Head Start QF 1-5 Stars'!O:Q,3,0)</f>
        <v>#N/A</v>
      </c>
      <c r="K11" s="23" t="s">
        <v>18716</v>
      </c>
      <c r="L11" s="22" t="s">
        <v>577</v>
      </c>
      <c r="M11" s="22" t="s">
        <v>1637</v>
      </c>
      <c r="N11" s="22" t="s">
        <v>379</v>
      </c>
      <c r="O11" s="23" t="s">
        <v>207</v>
      </c>
      <c r="P11" s="22" t="str">
        <f>"85301"</f>
        <v>85301</v>
      </c>
      <c r="Q11" s="22" t="str">
        <f>"3963"</f>
        <v>3963</v>
      </c>
      <c r="R11" s="22" t="s">
        <v>18710</v>
      </c>
      <c r="S11" s="23" t="s">
        <v>18737</v>
      </c>
      <c r="T11" s="22" t="s">
        <v>18753</v>
      </c>
      <c r="U11" s="22" t="s">
        <v>18713</v>
      </c>
      <c r="V11" s="22" t="s">
        <v>18731</v>
      </c>
      <c r="W11" s="22" t="s">
        <v>18731</v>
      </c>
      <c r="X11" s="22" t="s">
        <v>18731</v>
      </c>
      <c r="Y11" s="23">
        <v>18</v>
      </c>
      <c r="Z11" s="22" t="s">
        <v>18723</v>
      </c>
    </row>
    <row r="12" spans="1:26" hidden="1" x14ac:dyDescent="0.2">
      <c r="A12" s="23" t="s">
        <v>18716</v>
      </c>
      <c r="B12" s="22" t="s">
        <v>18717</v>
      </c>
      <c r="C12" s="23" t="str">
        <f>"000"</f>
        <v>000</v>
      </c>
      <c r="D12" s="23" t="s">
        <v>18718</v>
      </c>
      <c r="E12" s="22" t="s">
        <v>18717</v>
      </c>
      <c r="F12" s="22" t="s">
        <v>18754</v>
      </c>
      <c r="G12" s="22" t="str">
        <f>VLOOKUP(F12,[1]CHILDCARE_FACILITIES!N:Q,4,0)</f>
        <v>CDC-5044</v>
      </c>
      <c r="H12" s="22" t="e">
        <f>VLOOKUP(G12,'[1]CACFP FRL'!D:G,4,0)</f>
        <v>#N/A</v>
      </c>
      <c r="I12" s="22" t="str">
        <f>VLOOKUP(G12,[1]CHILDCARE_FACILITIES!AK:AL,2,0)</f>
        <v>CDC5044</v>
      </c>
      <c r="J12" s="22" t="e">
        <f>VLOOKUP(I12,'[1]Head Start QF 1-5 Stars'!O:Q,3,0)</f>
        <v>#N/A</v>
      </c>
      <c r="K12" s="23" t="s">
        <v>18716</v>
      </c>
      <c r="L12" s="22" t="s">
        <v>568</v>
      </c>
      <c r="M12" s="22" t="s">
        <v>1637</v>
      </c>
      <c r="N12" s="22" t="s">
        <v>379</v>
      </c>
      <c r="O12" s="23" t="s">
        <v>207</v>
      </c>
      <c r="P12" s="22" t="str">
        <f>"85301"</f>
        <v>85301</v>
      </c>
      <c r="Q12" s="22" t="str">
        <f>"5541"</f>
        <v>5541</v>
      </c>
      <c r="R12" s="22" t="s">
        <v>18710</v>
      </c>
      <c r="S12" s="23" t="s">
        <v>18737</v>
      </c>
      <c r="T12" s="22" t="s">
        <v>18755</v>
      </c>
      <c r="U12" s="22" t="s">
        <v>18713</v>
      </c>
      <c r="V12" s="22" t="s">
        <v>18731</v>
      </c>
      <c r="W12" s="22" t="s">
        <v>18731</v>
      </c>
      <c r="X12" s="22" t="s">
        <v>18731</v>
      </c>
      <c r="Y12" s="23">
        <v>40</v>
      </c>
      <c r="Z12" s="22" t="s">
        <v>18723</v>
      </c>
    </row>
    <row r="13" spans="1:26" hidden="1" x14ac:dyDescent="0.2">
      <c r="A13" s="23" t="s">
        <v>18716</v>
      </c>
      <c r="B13" s="22" t="s">
        <v>18717</v>
      </c>
      <c r="C13" s="23" t="str">
        <f>"000"</f>
        <v>000</v>
      </c>
      <c r="D13" s="23" t="s">
        <v>18718</v>
      </c>
      <c r="E13" s="22" t="s">
        <v>18717</v>
      </c>
      <c r="F13" s="22" t="s">
        <v>18756</v>
      </c>
      <c r="G13" s="22" t="str">
        <f>VLOOKUP(F13,[1]CHILDCARE_FACILITIES!N:Q,4,0)</f>
        <v>CDC-3159</v>
      </c>
      <c r="H13" s="22" t="e">
        <f>VLOOKUP(G13,'[1]CACFP FRL'!D:G,4,0)</f>
        <v>#N/A</v>
      </c>
      <c r="I13" s="22" t="str">
        <f>VLOOKUP(G13,[1]CHILDCARE_FACILITIES!AK:AL,2,0)</f>
        <v>CDC3159</v>
      </c>
      <c r="J13" s="22">
        <f>VLOOKUP(I13,'[1]Head Start QF 1-5 Stars'!O:Q,3,0)</f>
        <v>1918</v>
      </c>
      <c r="K13" s="23" t="s">
        <v>18716</v>
      </c>
      <c r="L13" s="22" t="s">
        <v>18757</v>
      </c>
      <c r="M13" s="22" t="s">
        <v>1637</v>
      </c>
      <c r="N13" s="22" t="s">
        <v>379</v>
      </c>
      <c r="O13" s="23" t="s">
        <v>207</v>
      </c>
      <c r="P13" s="22" t="str">
        <f>"85301"</f>
        <v>85301</v>
      </c>
      <c r="Q13" s="22" t="str">
        <f>"3017"</f>
        <v>3017</v>
      </c>
      <c r="R13" s="22" t="s">
        <v>18710</v>
      </c>
      <c r="S13" s="23" t="s">
        <v>18737</v>
      </c>
      <c r="T13" s="22" t="s">
        <v>18758</v>
      </c>
      <c r="U13" s="22" t="s">
        <v>18713</v>
      </c>
      <c r="V13" s="22" t="s">
        <v>18731</v>
      </c>
      <c r="W13" s="22" t="s">
        <v>18731</v>
      </c>
      <c r="X13" s="22" t="s">
        <v>18731</v>
      </c>
      <c r="Y13" s="23">
        <v>56</v>
      </c>
      <c r="Z13" s="22" t="s">
        <v>18723</v>
      </c>
    </row>
    <row r="14" spans="1:26" hidden="1" x14ac:dyDescent="0.2">
      <c r="A14" s="23" t="s">
        <v>18759</v>
      </c>
      <c r="B14" s="22" t="s">
        <v>18760</v>
      </c>
      <c r="C14" s="23" t="str">
        <f>"200"</f>
        <v>200</v>
      </c>
      <c r="D14" s="23" t="s">
        <v>18706</v>
      </c>
      <c r="E14" s="22" t="s">
        <v>18761</v>
      </c>
      <c r="F14" s="22" t="s">
        <v>1166</v>
      </c>
      <c r="G14" s="22" t="str">
        <f>VLOOKUP(F14,[1]CHILDCARE_FACILITIES!N:Q,4,0)</f>
        <v>CDC-4974</v>
      </c>
      <c r="H14" s="22">
        <f>VLOOKUP(G14,'[1]CACFP FRL'!D:G,4,0)</f>
        <v>8067</v>
      </c>
      <c r="I14" s="22" t="str">
        <f>VLOOKUP(G14,[1]CHILDCARE_FACILITIES!AK:AL,2,0)</f>
        <v>CDC4974</v>
      </c>
      <c r="J14" s="22" t="e">
        <f>VLOOKUP(I14,'[1]Head Start QF 1-5 Stars'!O:Q,3,0)</f>
        <v>#N/A</v>
      </c>
      <c r="K14" s="23" t="s">
        <v>18759</v>
      </c>
      <c r="L14" s="22" t="s">
        <v>18762</v>
      </c>
      <c r="M14" s="22" t="s">
        <v>1637</v>
      </c>
      <c r="N14" s="22" t="s">
        <v>1598</v>
      </c>
      <c r="O14" s="23" t="s">
        <v>207</v>
      </c>
      <c r="P14" s="22" t="str">
        <f>"85120"</f>
        <v>85120</v>
      </c>
      <c r="Q14" s="22" t="str">
        <f>"4110"</f>
        <v>4110</v>
      </c>
      <c r="R14" s="22" t="s">
        <v>18763</v>
      </c>
      <c r="S14" s="23" t="s">
        <v>18764</v>
      </c>
      <c r="T14" s="22" t="s">
        <v>18765</v>
      </c>
      <c r="U14" s="22" t="s">
        <v>18713</v>
      </c>
      <c r="V14" s="22" t="s">
        <v>18731</v>
      </c>
      <c r="W14" s="22" t="s">
        <v>18731</v>
      </c>
      <c r="X14" s="22" t="s">
        <v>18731</v>
      </c>
      <c r="Y14" s="23">
        <v>19</v>
      </c>
      <c r="Z14" s="22" t="s">
        <v>18723</v>
      </c>
    </row>
    <row r="15" spans="1:26" hidden="1" x14ac:dyDescent="0.2">
      <c r="A15" s="23" t="s">
        <v>18716</v>
      </c>
      <c r="B15" s="22" t="s">
        <v>18717</v>
      </c>
      <c r="C15" s="23" t="str">
        <f t="shared" ref="C15:C20" si="0">"000"</f>
        <v>000</v>
      </c>
      <c r="D15" s="23" t="s">
        <v>18718</v>
      </c>
      <c r="E15" s="22" t="s">
        <v>18717</v>
      </c>
      <c r="F15" s="22" t="s">
        <v>68</v>
      </c>
      <c r="G15" s="22" t="str">
        <f>VLOOKUP(F15,[1]CHILDCARE_FACILITIES!N:Q,4,0)</f>
        <v>CDC-12996</v>
      </c>
      <c r="H15" s="22" t="e">
        <f>VLOOKUP(G15,'[1]CACFP FRL'!D:G,4,0)</f>
        <v>#N/A</v>
      </c>
      <c r="I15" s="22" t="str">
        <f>VLOOKUP(G15,[1]CHILDCARE_FACILITIES!AK:AL,2,0)</f>
        <v>CDC12996</v>
      </c>
      <c r="J15" s="22" t="e">
        <f>VLOOKUP(I15,'[1]Head Start QF 1-5 Stars'!O:Q,3,0)</f>
        <v>#N/A</v>
      </c>
      <c r="K15" s="23" t="s">
        <v>18716</v>
      </c>
      <c r="L15" s="22" t="s">
        <v>18766</v>
      </c>
      <c r="M15" s="22" t="s">
        <v>1637</v>
      </c>
      <c r="N15" s="22" t="s">
        <v>541</v>
      </c>
      <c r="O15" s="23" t="s">
        <v>207</v>
      </c>
      <c r="P15" s="22" t="str">
        <f>"85323"</f>
        <v>85323</v>
      </c>
      <c r="Q15" s="22" t="str">
        <f>"1333"</f>
        <v>1333</v>
      </c>
      <c r="R15" s="22" t="s">
        <v>18710</v>
      </c>
      <c r="S15" s="23" t="s">
        <v>18721</v>
      </c>
      <c r="T15" s="22" t="s">
        <v>18767</v>
      </c>
      <c r="U15" s="22" t="s">
        <v>18713</v>
      </c>
      <c r="V15" s="22" t="s">
        <v>18714</v>
      </c>
      <c r="W15" s="22" t="s">
        <v>18714</v>
      </c>
      <c r="X15" s="22" t="s">
        <v>18714</v>
      </c>
      <c r="Y15" s="23">
        <v>118</v>
      </c>
      <c r="Z15" s="22" t="s">
        <v>18723</v>
      </c>
    </row>
    <row r="16" spans="1:26" hidden="1" x14ac:dyDescent="0.2">
      <c r="A16" s="23" t="s">
        <v>18716</v>
      </c>
      <c r="B16" s="22" t="s">
        <v>18717</v>
      </c>
      <c r="C16" s="23" t="str">
        <f t="shared" si="0"/>
        <v>000</v>
      </c>
      <c r="D16" s="23" t="s">
        <v>18718</v>
      </c>
      <c r="E16" s="22" t="s">
        <v>18717</v>
      </c>
      <c r="F16" s="22" t="s">
        <v>18768</v>
      </c>
      <c r="G16" s="22" t="str">
        <f>VLOOKUP(F16,[1]CHILDCARE_FACILITIES!N:Q,4,0)</f>
        <v>CDC-7516</v>
      </c>
      <c r="H16" s="22" t="e">
        <f>VLOOKUP(G16,'[1]CACFP FRL'!D:G,4,0)</f>
        <v>#N/A</v>
      </c>
      <c r="I16" s="22" t="str">
        <f>VLOOKUP(G16,[1]CHILDCARE_FACILITIES!AK:AL,2,0)</f>
        <v>CDC7516</v>
      </c>
      <c r="J16" s="22" t="e">
        <f>VLOOKUP(I16,'[1]Head Start QF 1-5 Stars'!O:Q,3,0)</f>
        <v>#N/A</v>
      </c>
      <c r="K16" s="23" t="s">
        <v>18716</v>
      </c>
      <c r="L16" s="22" t="s">
        <v>553</v>
      </c>
      <c r="M16" s="22" t="s">
        <v>1637</v>
      </c>
      <c r="N16" s="22" t="s">
        <v>541</v>
      </c>
      <c r="O16" s="23" t="s">
        <v>207</v>
      </c>
      <c r="P16" s="22" t="str">
        <f>"85323"</f>
        <v>85323</v>
      </c>
      <c r="Q16" s="22" t="str">
        <f>"8900"</f>
        <v>8900</v>
      </c>
      <c r="R16" s="22" t="s">
        <v>18710</v>
      </c>
      <c r="S16" s="23" t="s">
        <v>18721</v>
      </c>
      <c r="T16" s="22" t="s">
        <v>18769</v>
      </c>
      <c r="U16" s="22" t="s">
        <v>18713</v>
      </c>
      <c r="V16" s="22" t="s">
        <v>18714</v>
      </c>
      <c r="W16" s="22" t="s">
        <v>18714</v>
      </c>
      <c r="X16" s="22" t="s">
        <v>18714</v>
      </c>
      <c r="Y16" s="23">
        <v>59</v>
      </c>
      <c r="Z16" s="22" t="s">
        <v>18723</v>
      </c>
    </row>
    <row r="17" spans="1:26" hidden="1" x14ac:dyDescent="0.2">
      <c r="A17" s="23" t="s">
        <v>18716</v>
      </c>
      <c r="B17" s="22" t="s">
        <v>18717</v>
      </c>
      <c r="C17" s="23" t="str">
        <f t="shared" si="0"/>
        <v>000</v>
      </c>
      <c r="D17" s="23" t="s">
        <v>18718</v>
      </c>
      <c r="E17" s="22" t="s">
        <v>18717</v>
      </c>
      <c r="F17" s="22" t="s">
        <v>18770</v>
      </c>
      <c r="G17" s="22" t="str">
        <f>VLOOKUP(F17,[1]CHILDCARE_FACILITIES!N:Q,4,0)</f>
        <v>CDC-9745</v>
      </c>
      <c r="H17" s="22" t="e">
        <f>VLOOKUP(G17,'[1]CACFP FRL'!D:G,4,0)</f>
        <v>#N/A</v>
      </c>
      <c r="I17" s="22" t="str">
        <f>VLOOKUP(G17,[1]CHILDCARE_FACILITIES!AK:AL,2,0)</f>
        <v>CDC9745</v>
      </c>
      <c r="J17" s="22">
        <f>VLOOKUP(I17,'[1]Head Start QF 1-5 Stars'!O:Q,3,0)</f>
        <v>1921</v>
      </c>
      <c r="K17" s="23" t="s">
        <v>18716</v>
      </c>
      <c r="L17" s="22" t="s">
        <v>18771</v>
      </c>
      <c r="M17" s="22" t="s">
        <v>1637</v>
      </c>
      <c r="N17" s="22" t="s">
        <v>379</v>
      </c>
      <c r="O17" s="23" t="s">
        <v>207</v>
      </c>
      <c r="P17" s="22" t="str">
        <f>"85301"</f>
        <v>85301</v>
      </c>
      <c r="Q17" s="22" t="str">
        <f>"8214"</f>
        <v>8214</v>
      </c>
      <c r="R17" s="22" t="s">
        <v>18710</v>
      </c>
      <c r="S17" s="23" t="s">
        <v>18737</v>
      </c>
      <c r="T17" s="22" t="s">
        <v>18772</v>
      </c>
      <c r="U17" s="22" t="s">
        <v>18713</v>
      </c>
      <c r="V17" s="22" t="s">
        <v>18731</v>
      </c>
      <c r="W17" s="22" t="s">
        <v>18731</v>
      </c>
      <c r="X17" s="22" t="s">
        <v>18731</v>
      </c>
      <c r="Y17" s="23">
        <v>20</v>
      </c>
      <c r="Z17" s="22" t="s">
        <v>18723</v>
      </c>
    </row>
    <row r="18" spans="1:26" hidden="1" x14ac:dyDescent="0.2">
      <c r="A18" s="23" t="s">
        <v>18716</v>
      </c>
      <c r="B18" s="22" t="s">
        <v>18717</v>
      </c>
      <c r="C18" s="23" t="str">
        <f t="shared" si="0"/>
        <v>000</v>
      </c>
      <c r="D18" s="23" t="s">
        <v>18718</v>
      </c>
      <c r="E18" s="22" t="s">
        <v>18717</v>
      </c>
      <c r="F18" s="22" t="s">
        <v>18773</v>
      </c>
      <c r="G18" s="22" t="str">
        <f>VLOOKUP(F18,[1]CHILDCARE_FACILITIES!N:Q,4,0)</f>
        <v>CDC-15117</v>
      </c>
      <c r="H18" s="22" t="e">
        <f>VLOOKUP(G18,'[1]CACFP FRL'!D:G,4,0)</f>
        <v>#N/A</v>
      </c>
      <c r="I18" s="22" t="str">
        <f>VLOOKUP(G18,[1]CHILDCARE_FACILITIES!AK:AL,2,0)</f>
        <v>CDC15117</v>
      </c>
      <c r="J18" s="22" t="e">
        <f>VLOOKUP(I18,'[1]Head Start QF 1-5 Stars'!O:Q,3,0)</f>
        <v>#N/A</v>
      </c>
      <c r="K18" s="23" t="s">
        <v>18716</v>
      </c>
      <c r="L18" s="22" t="s">
        <v>18774</v>
      </c>
      <c r="M18" s="22" t="s">
        <v>1637</v>
      </c>
      <c r="N18" s="22" t="s">
        <v>541</v>
      </c>
      <c r="O18" s="23" t="s">
        <v>207</v>
      </c>
      <c r="P18" s="22" t="str">
        <f>"85323"</f>
        <v>85323</v>
      </c>
      <c r="Q18" s="22" t="str">
        <f>"2264"</f>
        <v>2264</v>
      </c>
      <c r="R18" s="22" t="s">
        <v>18710</v>
      </c>
      <c r="S18" s="23" t="s">
        <v>18721</v>
      </c>
      <c r="T18" s="22" t="s">
        <v>18775</v>
      </c>
      <c r="U18" s="22" t="s">
        <v>18713</v>
      </c>
      <c r="V18" s="22" t="s">
        <v>18714</v>
      </c>
      <c r="W18" s="22" t="s">
        <v>18714</v>
      </c>
      <c r="X18" s="22" t="s">
        <v>18714</v>
      </c>
      <c r="Y18" s="23">
        <v>37</v>
      </c>
      <c r="Z18" s="22" t="s">
        <v>18723</v>
      </c>
    </row>
    <row r="19" spans="1:26" s="25" customFormat="1" hidden="1" x14ac:dyDescent="0.2">
      <c r="A19" s="23" t="s">
        <v>18716</v>
      </c>
      <c r="B19" s="22" t="s">
        <v>18717</v>
      </c>
      <c r="C19" s="23" t="str">
        <f t="shared" si="0"/>
        <v>000</v>
      </c>
      <c r="D19" s="23" t="s">
        <v>18718</v>
      </c>
      <c r="E19" s="22" t="s">
        <v>18717</v>
      </c>
      <c r="F19" s="22" t="s">
        <v>18776</v>
      </c>
      <c r="G19" s="22" t="str">
        <f>VLOOKUP(F19,[1]CHILDCARE_FACILITIES!N:Q,4,0)</f>
        <v>CDC-7871</v>
      </c>
      <c r="H19" s="22" t="e">
        <f>VLOOKUP(G19,'[1]CACFP FRL'!D:G,4,0)</f>
        <v>#N/A</v>
      </c>
      <c r="I19" s="22" t="str">
        <f>VLOOKUP(G19,[1]CHILDCARE_FACILITIES!AK:AL,2,0)</f>
        <v>CDC7871</v>
      </c>
      <c r="J19" s="22" t="e">
        <f>VLOOKUP(I19,'[1]Head Start QF 1-5 Stars'!O:Q,3,0)</f>
        <v>#N/A</v>
      </c>
      <c r="K19" s="23" t="s">
        <v>18716</v>
      </c>
      <c r="L19" s="22" t="s">
        <v>18777</v>
      </c>
      <c r="M19" s="22" t="s">
        <v>1637</v>
      </c>
      <c r="N19" s="22" t="s">
        <v>379</v>
      </c>
      <c r="O19" s="23" t="s">
        <v>207</v>
      </c>
      <c r="P19" s="22" t="str">
        <f>"85301"</f>
        <v>85301</v>
      </c>
      <c r="Q19" s="22" t="str">
        <f>"4436"</f>
        <v>4436</v>
      </c>
      <c r="R19" s="22" t="s">
        <v>18710</v>
      </c>
      <c r="S19" s="23" t="s">
        <v>18737</v>
      </c>
      <c r="T19" s="22" t="s">
        <v>18778</v>
      </c>
      <c r="U19" s="22" t="s">
        <v>18713</v>
      </c>
      <c r="V19" s="22" t="s">
        <v>18731</v>
      </c>
      <c r="W19" s="22" t="s">
        <v>18731</v>
      </c>
      <c r="X19" s="22" t="s">
        <v>18731</v>
      </c>
      <c r="Y19" s="23">
        <v>54</v>
      </c>
      <c r="Z19" s="22" t="s">
        <v>18723</v>
      </c>
    </row>
    <row r="20" spans="1:26" hidden="1" x14ac:dyDescent="0.2">
      <c r="A20" s="23" t="s">
        <v>18716</v>
      </c>
      <c r="B20" s="22" t="s">
        <v>18717</v>
      </c>
      <c r="C20" s="23" t="str">
        <f t="shared" si="0"/>
        <v>000</v>
      </c>
      <c r="D20" s="23" t="s">
        <v>18718</v>
      </c>
      <c r="E20" s="22" t="s">
        <v>18717</v>
      </c>
      <c r="F20" s="22" t="s">
        <v>18779</v>
      </c>
      <c r="G20" s="22" t="str">
        <f>VLOOKUP(F20,[1]CHILDCARE_FACILITIES!N:Q,4,0)</f>
        <v>CDC-11564</v>
      </c>
      <c r="H20" s="22" t="e">
        <f>VLOOKUP(G20,'[1]CACFP FRL'!D:G,4,0)</f>
        <v>#N/A</v>
      </c>
      <c r="I20" s="22" t="str">
        <f>VLOOKUP(G20,[1]CHILDCARE_FACILITIES!AK:AL,2,0)</f>
        <v>CDC11564</v>
      </c>
      <c r="J20" s="22" t="e">
        <f>VLOOKUP(I20,'[1]Head Start QF 1-5 Stars'!O:Q,3,0)</f>
        <v>#N/A</v>
      </c>
      <c r="K20" s="23" t="s">
        <v>18716</v>
      </c>
      <c r="L20" s="22" t="s">
        <v>18780</v>
      </c>
      <c r="M20" s="22" t="s">
        <v>1637</v>
      </c>
      <c r="N20" s="22" t="s">
        <v>18781</v>
      </c>
      <c r="O20" s="23" t="s">
        <v>207</v>
      </c>
      <c r="P20" s="22" t="str">
        <f>"85343"</f>
        <v>85343</v>
      </c>
      <c r="Q20" s="22" t="str">
        <f>""</f>
        <v/>
      </c>
      <c r="R20" s="22" t="s">
        <v>18710</v>
      </c>
      <c r="S20" s="23" t="s">
        <v>18721</v>
      </c>
      <c r="T20" s="22" t="s">
        <v>18782</v>
      </c>
      <c r="U20" s="22" t="s">
        <v>18713</v>
      </c>
      <c r="V20" s="22" t="s">
        <v>18714</v>
      </c>
      <c r="W20" s="22" t="s">
        <v>18714</v>
      </c>
      <c r="X20" s="22" t="s">
        <v>18714</v>
      </c>
      <c r="Y20" s="23">
        <v>18</v>
      </c>
      <c r="Z20" s="22" t="s">
        <v>18723</v>
      </c>
    </row>
    <row r="21" spans="1:26" hidden="1" x14ac:dyDescent="0.2">
      <c r="A21" s="23" t="s">
        <v>18716</v>
      </c>
      <c r="B21" s="22" t="s">
        <v>18717</v>
      </c>
      <c r="C21" s="23" t="str">
        <f>"200"</f>
        <v>200</v>
      </c>
      <c r="D21" s="23" t="s">
        <v>18706</v>
      </c>
      <c r="E21" s="22" t="s">
        <v>18717</v>
      </c>
      <c r="F21" s="22" t="s">
        <v>18719</v>
      </c>
      <c r="G21" s="22" t="str">
        <f>VLOOKUP(F21,[1]CHILDCARE_FACILITIES!N:Q,4,0)</f>
        <v>CDC-10401</v>
      </c>
      <c r="H21" s="22" t="e">
        <f>VLOOKUP(G21,'[1]CACFP FRL'!D:G,4,0)</f>
        <v>#N/A</v>
      </c>
      <c r="I21" s="22" t="str">
        <f>VLOOKUP(G21,[1]CHILDCARE_FACILITIES!AK:AL,2,0)</f>
        <v>CDC10401</v>
      </c>
      <c r="J21" s="22" t="e">
        <f>VLOOKUP(I21,'[1]Head Start QF 1-5 Stars'!O:Q,3,0)</f>
        <v>#N/A</v>
      </c>
      <c r="K21" s="23" t="s">
        <v>18716</v>
      </c>
      <c r="L21" s="22" t="s">
        <v>18720</v>
      </c>
      <c r="M21" s="22" t="s">
        <v>1637</v>
      </c>
      <c r="N21" s="22" t="s">
        <v>541</v>
      </c>
      <c r="O21" s="23" t="s">
        <v>207</v>
      </c>
      <c r="P21" s="22" t="str">
        <f>"85323"</f>
        <v>85323</v>
      </c>
      <c r="Q21" s="22" t="str">
        <f>"2900"</f>
        <v>2900</v>
      </c>
      <c r="R21" s="22" t="s">
        <v>18710</v>
      </c>
      <c r="S21" s="23" t="s">
        <v>18721</v>
      </c>
      <c r="T21" s="22" t="s">
        <v>18722</v>
      </c>
      <c r="U21" s="22" t="s">
        <v>18713</v>
      </c>
      <c r="V21" s="22" t="s">
        <v>18714</v>
      </c>
      <c r="W21" s="22" t="s">
        <v>18714</v>
      </c>
      <c r="X21" s="22" t="s">
        <v>18714</v>
      </c>
      <c r="Y21" s="23">
        <v>18</v>
      </c>
      <c r="Z21" s="22" t="s">
        <v>18723</v>
      </c>
    </row>
    <row r="22" spans="1:26" s="25" customFormat="1" hidden="1" x14ac:dyDescent="0.2">
      <c r="A22" s="24" t="s">
        <v>18716</v>
      </c>
      <c r="B22" s="25" t="s">
        <v>18717</v>
      </c>
      <c r="C22" s="24" t="str">
        <f>"200"</f>
        <v>200</v>
      </c>
      <c r="D22" s="24" t="s">
        <v>18706</v>
      </c>
      <c r="E22" s="25" t="s">
        <v>18717</v>
      </c>
      <c r="F22" s="25" t="s">
        <v>18783</v>
      </c>
      <c r="G22" s="25" t="e">
        <f>VLOOKUP(F22,[1]CHILDCARE_FACILITIES!N:Q,4,0)</f>
        <v>#N/A</v>
      </c>
      <c r="H22" s="25" t="e">
        <f>VLOOKUP(G22,'[1]CACFP FRL'!D:G,4,0)</f>
        <v>#N/A</v>
      </c>
      <c r="I22" s="25" t="e">
        <f>VLOOKUP(G22,[1]CHILDCARE_FACILITIES!AK:AL,2,0)</f>
        <v>#N/A</v>
      </c>
      <c r="J22" s="25" t="e">
        <f>VLOOKUP(I22,'[1]Head Start QF 1-5 Stars'!O:Q,3,0)</f>
        <v>#N/A</v>
      </c>
      <c r="K22" s="24" t="s">
        <v>18716</v>
      </c>
      <c r="L22" s="25" t="s">
        <v>1282</v>
      </c>
      <c r="M22" s="25" t="s">
        <v>1637</v>
      </c>
      <c r="N22" s="25" t="s">
        <v>1283</v>
      </c>
      <c r="O22" s="24" t="s">
        <v>207</v>
      </c>
      <c r="P22" s="25" t="str">
        <f>"85353"</f>
        <v>85353</v>
      </c>
      <c r="Q22" s="25" t="str">
        <f>"3101"</f>
        <v>3101</v>
      </c>
      <c r="R22" s="25" t="s">
        <v>18710</v>
      </c>
      <c r="S22" s="24" t="s">
        <v>18737</v>
      </c>
      <c r="T22" s="25" t="s">
        <v>18784</v>
      </c>
      <c r="U22" s="25" t="s">
        <v>18713</v>
      </c>
      <c r="V22" s="25" t="s">
        <v>18714</v>
      </c>
      <c r="W22" s="25" t="s">
        <v>18714</v>
      </c>
      <c r="X22" s="25" t="s">
        <v>18714</v>
      </c>
      <c r="Y22" s="24">
        <v>8</v>
      </c>
      <c r="Z22" s="25" t="s">
        <v>18723</v>
      </c>
    </row>
    <row r="23" spans="1:26" hidden="1" x14ac:dyDescent="0.2">
      <c r="A23" s="23" t="s">
        <v>18716</v>
      </c>
      <c r="B23" s="22" t="s">
        <v>18717</v>
      </c>
      <c r="C23" s="23" t="str">
        <f>"000"</f>
        <v>000</v>
      </c>
      <c r="D23" s="23" t="s">
        <v>18718</v>
      </c>
      <c r="E23" s="22" t="s">
        <v>18717</v>
      </c>
      <c r="F23" s="22" t="s">
        <v>18785</v>
      </c>
      <c r="G23" s="22" t="str">
        <f>VLOOKUP(F23,[1]CHILDCARE_FACILITIES!N:Q,4,0)</f>
        <v>CDC-3158</v>
      </c>
      <c r="H23" s="22" t="e">
        <f>VLOOKUP(G23,'[1]CACFP FRL'!D:G,4,0)</f>
        <v>#N/A</v>
      </c>
      <c r="I23" s="22" t="str">
        <f>VLOOKUP(G23,[1]CHILDCARE_FACILITIES!AK:AL,2,0)</f>
        <v>CDC3158</v>
      </c>
      <c r="J23" s="22" t="e">
        <f>VLOOKUP(I23,'[1]Head Start QF 1-5 Stars'!O:Q,3,0)</f>
        <v>#N/A</v>
      </c>
      <c r="K23" s="23" t="s">
        <v>18716</v>
      </c>
      <c r="L23" s="22" t="s">
        <v>18786</v>
      </c>
      <c r="M23" s="22" t="s">
        <v>1637</v>
      </c>
      <c r="N23" s="22" t="s">
        <v>932</v>
      </c>
      <c r="O23" s="23" t="s">
        <v>207</v>
      </c>
      <c r="P23" s="22" t="str">
        <f>"85345"</f>
        <v>85345</v>
      </c>
      <c r="Q23" s="22" t="str">
        <f>"5718"</f>
        <v>5718</v>
      </c>
      <c r="R23" s="22" t="s">
        <v>18710</v>
      </c>
      <c r="S23" s="23" t="s">
        <v>18751</v>
      </c>
      <c r="T23" s="22" t="s">
        <v>18787</v>
      </c>
      <c r="U23" s="22" t="s">
        <v>18713</v>
      </c>
      <c r="V23" s="22" t="s">
        <v>18731</v>
      </c>
      <c r="W23" s="22" t="s">
        <v>18731</v>
      </c>
      <c r="X23" s="22" t="s">
        <v>18731</v>
      </c>
      <c r="Y23" s="23">
        <v>38</v>
      </c>
      <c r="Z23" s="22" t="s">
        <v>18723</v>
      </c>
    </row>
    <row r="24" spans="1:26" hidden="1" x14ac:dyDescent="0.2">
      <c r="A24" s="23" t="s">
        <v>18716</v>
      </c>
      <c r="B24" s="22" t="s">
        <v>18717</v>
      </c>
      <c r="C24" s="23" t="str">
        <f>"000"</f>
        <v>000</v>
      </c>
      <c r="D24" s="23" t="s">
        <v>18718</v>
      </c>
      <c r="E24" s="22" t="s">
        <v>18717</v>
      </c>
      <c r="F24" s="22" t="s">
        <v>1087</v>
      </c>
      <c r="G24" s="22" t="str">
        <f>VLOOKUP(F24,[1]CHILDCARE_FACILITIES!N:Q,4,0)</f>
        <v>CDC-6222</v>
      </c>
      <c r="H24" s="22" t="e">
        <f>VLOOKUP(G24,'[1]CACFP FRL'!D:G,4,0)</f>
        <v>#N/A</v>
      </c>
      <c r="I24" s="22" t="str">
        <f>VLOOKUP(G24,[1]CHILDCARE_FACILITIES!AK:AL,2,0)</f>
        <v>CDC6222</v>
      </c>
      <c r="J24" s="22" t="e">
        <f>VLOOKUP(I24,'[1]Head Start QF 1-5 Stars'!O:Q,3,0)</f>
        <v>#N/A</v>
      </c>
      <c r="K24" s="23" t="s">
        <v>18716</v>
      </c>
      <c r="L24" s="22" t="s">
        <v>18788</v>
      </c>
      <c r="M24" s="22" t="s">
        <v>1637</v>
      </c>
      <c r="N24" s="22" t="s">
        <v>379</v>
      </c>
      <c r="O24" s="23" t="s">
        <v>207</v>
      </c>
      <c r="P24" s="22" t="str">
        <f>"85301"</f>
        <v>85301</v>
      </c>
      <c r="Q24" s="22" t="str">
        <f>"8024"</f>
        <v>8024</v>
      </c>
      <c r="R24" s="22" t="s">
        <v>18710</v>
      </c>
      <c r="S24" s="23" t="s">
        <v>18737</v>
      </c>
      <c r="T24" s="22" t="s">
        <v>18789</v>
      </c>
      <c r="U24" s="22" t="s">
        <v>18713</v>
      </c>
      <c r="V24" s="22" t="s">
        <v>18731</v>
      </c>
      <c r="W24" s="22" t="s">
        <v>18731</v>
      </c>
      <c r="X24" s="22" t="s">
        <v>18731</v>
      </c>
      <c r="Y24" s="23">
        <v>37</v>
      </c>
      <c r="Z24" s="22" t="s">
        <v>18723</v>
      </c>
    </row>
    <row r="25" spans="1:26" hidden="1" x14ac:dyDescent="0.2">
      <c r="A25" s="23" t="s">
        <v>18704</v>
      </c>
      <c r="B25" s="22" t="s">
        <v>18705</v>
      </c>
      <c r="C25" s="23" t="str">
        <f>"200"</f>
        <v>200</v>
      </c>
      <c r="D25" s="23" t="s">
        <v>18706</v>
      </c>
      <c r="E25" s="22" t="s">
        <v>18705</v>
      </c>
      <c r="F25" s="22" t="s">
        <v>18790</v>
      </c>
      <c r="G25" s="22" t="str">
        <f>VLOOKUP(F25,[1]CHILDCARE_FACILITIES!N:Q,4,0)</f>
        <v>CDC-16876</v>
      </c>
      <c r="H25" s="22" t="e">
        <f>VLOOKUP(G25,'[1]CACFP FRL'!D:G,4,0)</f>
        <v>#N/A</v>
      </c>
      <c r="I25" s="22" t="str">
        <f>VLOOKUP(G25,[1]CHILDCARE_FACILITIES!AK:AL,2,0)</f>
        <v>CDC16876</v>
      </c>
      <c r="J25" s="22">
        <f>VLOOKUP(I25,'[1]Head Start QF 1-5 Stars'!O:Q,3,0)</f>
        <v>632</v>
      </c>
      <c r="K25" s="23" t="s">
        <v>18704</v>
      </c>
      <c r="L25" s="22" t="s">
        <v>18791</v>
      </c>
      <c r="M25" s="22" t="s">
        <v>1637</v>
      </c>
      <c r="N25" s="22" t="s">
        <v>714</v>
      </c>
      <c r="O25" s="23" t="s">
        <v>207</v>
      </c>
      <c r="P25" s="22" t="str">
        <f>"85204"</f>
        <v>85204</v>
      </c>
      <c r="Q25" s="22" t="str">
        <f>"5842"</f>
        <v>5842</v>
      </c>
      <c r="R25" s="22" t="s">
        <v>18710</v>
      </c>
      <c r="S25" s="23" t="s">
        <v>18711</v>
      </c>
      <c r="T25" s="22" t="s">
        <v>18792</v>
      </c>
      <c r="U25" s="22" t="s">
        <v>18713</v>
      </c>
      <c r="V25" s="22" t="s">
        <v>18714</v>
      </c>
      <c r="W25" s="22" t="s">
        <v>18714</v>
      </c>
      <c r="X25" s="22" t="s">
        <v>18714</v>
      </c>
      <c r="Y25" s="23">
        <v>24</v>
      </c>
      <c r="Z25" s="22" t="s">
        <v>18715</v>
      </c>
    </row>
    <row r="26" spans="1:26" hidden="1" x14ac:dyDescent="0.2">
      <c r="A26" s="23" t="s">
        <v>18724</v>
      </c>
      <c r="B26" s="22" t="s">
        <v>18705</v>
      </c>
      <c r="C26" s="23" t="str">
        <f>"200"</f>
        <v>200</v>
      </c>
      <c r="D26" s="23" t="s">
        <v>18706</v>
      </c>
      <c r="E26" s="22" t="s">
        <v>18705</v>
      </c>
      <c r="F26" s="22" t="s">
        <v>18790</v>
      </c>
      <c r="G26" s="22" t="str">
        <f>VLOOKUP(F26,[1]CHILDCARE_FACILITIES!N:Q,4,0)</f>
        <v>CDC-16876</v>
      </c>
      <c r="H26" s="22" t="e">
        <f>VLOOKUP(G26,'[1]CACFP FRL'!D:G,4,0)</f>
        <v>#N/A</v>
      </c>
      <c r="I26" s="22" t="str">
        <f>VLOOKUP(G26,[1]CHILDCARE_FACILITIES!AK:AL,2,0)</f>
        <v>CDC16876</v>
      </c>
      <c r="J26" s="22">
        <f>VLOOKUP(I26,'[1]Head Start QF 1-5 Stars'!O:Q,3,0)</f>
        <v>632</v>
      </c>
      <c r="K26" s="23" t="s">
        <v>18724</v>
      </c>
      <c r="L26" s="22" t="s">
        <v>18791</v>
      </c>
      <c r="M26" s="22" t="s">
        <v>1637</v>
      </c>
      <c r="N26" s="22" t="s">
        <v>714</v>
      </c>
      <c r="O26" s="23" t="s">
        <v>207</v>
      </c>
      <c r="P26" s="22" t="str">
        <f>"85204"</f>
        <v>85204</v>
      </c>
      <c r="Q26" s="22" t="str">
        <f>"5842"</f>
        <v>5842</v>
      </c>
      <c r="R26" s="22" t="s">
        <v>18710</v>
      </c>
      <c r="S26" s="23" t="s">
        <v>18711</v>
      </c>
      <c r="T26" s="22" t="s">
        <v>18792</v>
      </c>
      <c r="U26" s="22" t="s">
        <v>18713</v>
      </c>
      <c r="V26" s="22" t="s">
        <v>18714</v>
      </c>
      <c r="W26" s="22" t="s">
        <v>18714</v>
      </c>
      <c r="X26" s="22" t="s">
        <v>18714</v>
      </c>
      <c r="Y26" s="23">
        <v>16</v>
      </c>
      <c r="Z26" s="22" t="s">
        <v>18715</v>
      </c>
    </row>
    <row r="27" spans="1:26" hidden="1" x14ac:dyDescent="0.2">
      <c r="A27" s="23" t="s">
        <v>18716</v>
      </c>
      <c r="B27" s="22" t="s">
        <v>18717</v>
      </c>
      <c r="C27" s="23" t="str">
        <f>"000"</f>
        <v>000</v>
      </c>
      <c r="D27" s="23" t="s">
        <v>18718</v>
      </c>
      <c r="E27" s="22" t="s">
        <v>18717</v>
      </c>
      <c r="F27" s="22" t="s">
        <v>18793</v>
      </c>
      <c r="G27" s="22" t="str">
        <f>VLOOKUP(F27,[1]CHILDCARE_FACILITIES!N:Q,4,0)</f>
        <v>CDC-8713</v>
      </c>
      <c r="H27" s="22" t="e">
        <f>VLOOKUP(G27,'[1]CACFP FRL'!D:G,4,0)</f>
        <v>#N/A</v>
      </c>
      <c r="I27" s="22" t="str">
        <f>VLOOKUP(G27,[1]CHILDCARE_FACILITIES!AK:AL,2,0)</f>
        <v>CDC8713</v>
      </c>
      <c r="J27" s="22" t="e">
        <f>VLOOKUP(I27,'[1]Head Start QF 1-5 Stars'!O:Q,3,0)</f>
        <v>#N/A</v>
      </c>
      <c r="K27" s="23" t="s">
        <v>18716</v>
      </c>
      <c r="L27" s="22" t="s">
        <v>18794</v>
      </c>
      <c r="M27" s="22" t="s">
        <v>1637</v>
      </c>
      <c r="N27" s="22" t="s">
        <v>1283</v>
      </c>
      <c r="O27" s="23" t="s">
        <v>207</v>
      </c>
      <c r="P27" s="22" t="str">
        <f>"85353"</f>
        <v>85353</v>
      </c>
      <c r="Q27" s="22" t="str">
        <f>""</f>
        <v/>
      </c>
      <c r="R27" s="22" t="s">
        <v>18710</v>
      </c>
      <c r="S27" s="23" t="s">
        <v>18737</v>
      </c>
      <c r="T27" s="22" t="s">
        <v>18795</v>
      </c>
      <c r="U27" s="22" t="s">
        <v>18713</v>
      </c>
      <c r="V27" s="22" t="s">
        <v>18731</v>
      </c>
      <c r="W27" s="22" t="s">
        <v>18731</v>
      </c>
      <c r="X27" s="22" t="s">
        <v>18731</v>
      </c>
      <c r="Y27" s="23">
        <v>20</v>
      </c>
      <c r="Z27" s="22" t="s">
        <v>18723</v>
      </c>
    </row>
    <row r="28" spans="1:26" s="25" customFormat="1" hidden="1" x14ac:dyDescent="0.2">
      <c r="A28" s="24" t="s">
        <v>18796</v>
      </c>
      <c r="B28" s="25" t="s">
        <v>18705</v>
      </c>
      <c r="C28" s="24" t="str">
        <f>"200"</f>
        <v>200</v>
      </c>
      <c r="D28" s="24" t="s">
        <v>18706</v>
      </c>
      <c r="E28" s="25" t="s">
        <v>18797</v>
      </c>
      <c r="F28" s="25" t="s">
        <v>18798</v>
      </c>
      <c r="G28" s="25" t="e">
        <f>VLOOKUP(F28,[1]CHILDCARE_FACILITIES!N:Q,4,0)</f>
        <v>#N/A</v>
      </c>
      <c r="H28" s="25" t="e">
        <f>VLOOKUP(G28,'[1]CACFP FRL'!D:G,4,0)</f>
        <v>#N/A</v>
      </c>
      <c r="I28" s="25" t="e">
        <f>VLOOKUP(G28,[1]CHILDCARE_FACILITIES!AK:AL,2,0)</f>
        <v>#N/A</v>
      </c>
      <c r="J28" s="25" t="e">
        <f>VLOOKUP(I28,'[1]Head Start QF 1-5 Stars'!O:Q,3,0)</f>
        <v>#N/A</v>
      </c>
      <c r="K28" s="24" t="s">
        <v>18796</v>
      </c>
      <c r="L28" s="25" t="s">
        <v>18799</v>
      </c>
      <c r="M28" s="25" t="s">
        <v>1637</v>
      </c>
      <c r="N28" s="25" t="s">
        <v>714</v>
      </c>
      <c r="O28" s="24" t="s">
        <v>207</v>
      </c>
      <c r="P28" s="25" t="str">
        <f>"85204"</f>
        <v>85204</v>
      </c>
      <c r="Q28" s="25" t="str">
        <f>"2502"</f>
        <v>2502</v>
      </c>
      <c r="R28" s="25" t="s">
        <v>18710</v>
      </c>
      <c r="S28" s="24" t="s">
        <v>18711</v>
      </c>
      <c r="T28" s="25" t="s">
        <v>18800</v>
      </c>
      <c r="U28" s="25" t="s">
        <v>18713</v>
      </c>
      <c r="V28" s="25" t="s">
        <v>18714</v>
      </c>
      <c r="W28" s="25" t="s">
        <v>18714</v>
      </c>
      <c r="X28" s="25" t="s">
        <v>18714</v>
      </c>
      <c r="Y28" s="24">
        <v>8</v>
      </c>
      <c r="Z28" s="25" t="s">
        <v>18723</v>
      </c>
    </row>
    <row r="29" spans="1:26" s="25" customFormat="1" hidden="1" x14ac:dyDescent="0.2">
      <c r="A29" s="23" t="s">
        <v>18716</v>
      </c>
      <c r="B29" s="22" t="s">
        <v>18717</v>
      </c>
      <c r="C29" s="23" t="str">
        <f t="shared" ref="C29:C34" si="1">"000"</f>
        <v>000</v>
      </c>
      <c r="D29" s="23" t="s">
        <v>18718</v>
      </c>
      <c r="E29" s="22" t="s">
        <v>18717</v>
      </c>
      <c r="F29" s="22" t="s">
        <v>18801</v>
      </c>
      <c r="G29" s="22" t="str">
        <f>VLOOKUP(F29,[1]CHILDCARE_FACILITIES!N:Q,4,0)</f>
        <v>CDC-18677</v>
      </c>
      <c r="H29" s="22" t="e">
        <f>VLOOKUP(G29,'[1]CACFP FRL'!D:G,4,0)</f>
        <v>#N/A</v>
      </c>
      <c r="I29" s="22" t="str">
        <f>VLOOKUP(G29,[1]CHILDCARE_FACILITIES!AK:AL,2,0)</f>
        <v>CDC18677</v>
      </c>
      <c r="J29" s="22" t="e">
        <f>VLOOKUP(I29,'[1]Head Start QF 1-5 Stars'!O:Q,3,0)</f>
        <v>#N/A</v>
      </c>
      <c r="K29" s="23" t="s">
        <v>18716</v>
      </c>
      <c r="L29" s="22" t="s">
        <v>18802</v>
      </c>
      <c r="M29" s="22" t="s">
        <v>1637</v>
      </c>
      <c r="N29" s="22" t="s">
        <v>1283</v>
      </c>
      <c r="O29" s="23" t="s">
        <v>207</v>
      </c>
      <c r="P29" s="22" t="str">
        <f>"85353"</f>
        <v>85353</v>
      </c>
      <c r="Q29" s="22" t="str">
        <f>"9394"</f>
        <v>9394</v>
      </c>
      <c r="R29" s="22" t="s">
        <v>18710</v>
      </c>
      <c r="S29" s="23" t="s">
        <v>18721</v>
      </c>
      <c r="T29" s="22" t="s">
        <v>18803</v>
      </c>
      <c r="U29" s="22" t="s">
        <v>18713</v>
      </c>
      <c r="V29" s="22" t="s">
        <v>18714</v>
      </c>
      <c r="W29" s="22" t="s">
        <v>18714</v>
      </c>
      <c r="X29" s="22" t="s">
        <v>18714</v>
      </c>
      <c r="Y29" s="23">
        <v>20</v>
      </c>
      <c r="Z29" s="22" t="s">
        <v>18723</v>
      </c>
    </row>
    <row r="30" spans="1:26" x14ac:dyDescent="0.2">
      <c r="A30" s="24" t="s">
        <v>18804</v>
      </c>
      <c r="B30" s="25" t="s">
        <v>18805</v>
      </c>
      <c r="C30" s="24" t="str">
        <f t="shared" si="1"/>
        <v>000</v>
      </c>
      <c r="D30" s="24" t="s">
        <v>18806</v>
      </c>
      <c r="E30" s="25" t="s">
        <v>18805</v>
      </c>
      <c r="F30" s="25" t="s">
        <v>18807</v>
      </c>
      <c r="G30" s="25" t="e">
        <f>VLOOKUP(F30,[1]CHILDCARE_FACILITIES!N:Q,4,0)</f>
        <v>#N/A</v>
      </c>
      <c r="H30" s="25" t="e">
        <f>VLOOKUP(G30,'[1]CACFP FRL'!D:G,4,0)</f>
        <v>#N/A</v>
      </c>
      <c r="I30" s="25" t="e">
        <f>VLOOKUP(G30,[1]CHILDCARE_FACILITIES!AK:AL,2,0)</f>
        <v>#N/A</v>
      </c>
      <c r="J30" s="25" t="e">
        <f>VLOOKUP(I30,'[1]Head Start QF 1-5 Stars'!O:Q,3,0)</f>
        <v>#N/A</v>
      </c>
      <c r="K30" s="24" t="s">
        <v>18804</v>
      </c>
      <c r="L30" s="25" t="s">
        <v>18808</v>
      </c>
      <c r="M30" s="25" t="s">
        <v>1637</v>
      </c>
      <c r="N30" s="25" t="s">
        <v>499</v>
      </c>
      <c r="O30" s="24" t="s">
        <v>207</v>
      </c>
      <c r="P30" s="25" t="str">
        <f>"85349"</f>
        <v>85349</v>
      </c>
      <c r="Q30" s="25" t="str">
        <f>"7811"</f>
        <v>7811</v>
      </c>
      <c r="R30" s="25" t="s">
        <v>18809</v>
      </c>
      <c r="S30" s="24" t="s">
        <v>18721</v>
      </c>
      <c r="T30" s="25" t="s">
        <v>18810</v>
      </c>
      <c r="U30" s="25" t="s">
        <v>18713</v>
      </c>
      <c r="V30" s="25" t="s">
        <v>18714</v>
      </c>
      <c r="W30" s="25" t="s">
        <v>18714</v>
      </c>
      <c r="X30" s="25" t="s">
        <v>18714</v>
      </c>
      <c r="Y30" s="24">
        <v>40</v>
      </c>
      <c r="Z30" s="25" t="s">
        <v>18723</v>
      </c>
    </row>
    <row r="31" spans="1:26" x14ac:dyDescent="0.2">
      <c r="A31" s="24" t="s">
        <v>18804</v>
      </c>
      <c r="B31" s="25" t="s">
        <v>18805</v>
      </c>
      <c r="C31" s="24" t="str">
        <f t="shared" si="1"/>
        <v>000</v>
      </c>
      <c r="D31" s="24" t="s">
        <v>18806</v>
      </c>
      <c r="E31" s="25" t="s">
        <v>18805</v>
      </c>
      <c r="F31" s="25" t="s">
        <v>18811</v>
      </c>
      <c r="G31" s="25" t="e">
        <f>VLOOKUP(F31,[1]CHILDCARE_FACILITIES!N:Q,4,0)</f>
        <v>#N/A</v>
      </c>
      <c r="H31" s="25" t="e">
        <f>VLOOKUP(G31,'[1]CACFP FRL'!D:G,4,0)</f>
        <v>#N/A</v>
      </c>
      <c r="I31" s="25" t="e">
        <f>VLOOKUP(G31,[1]CHILDCARE_FACILITIES!AK:AL,2,0)</f>
        <v>#N/A</v>
      </c>
      <c r="J31" s="25" t="e">
        <f>VLOOKUP(I31,'[1]Head Start QF 1-5 Stars'!O:Q,3,0)</f>
        <v>#N/A</v>
      </c>
      <c r="K31" s="24" t="s">
        <v>18804</v>
      </c>
      <c r="L31" s="25" t="s">
        <v>18812</v>
      </c>
      <c r="M31" s="25" t="s">
        <v>1637</v>
      </c>
      <c r="N31" s="25" t="s">
        <v>496</v>
      </c>
      <c r="O31" s="24" t="s">
        <v>207</v>
      </c>
      <c r="P31" s="25" t="str">
        <f>"85364"</f>
        <v>85364</v>
      </c>
      <c r="Q31" s="25" t="str">
        <f>"3237"</f>
        <v>3237</v>
      </c>
      <c r="R31" s="25" t="s">
        <v>18809</v>
      </c>
      <c r="S31" s="24" t="s">
        <v>18721</v>
      </c>
      <c r="T31" s="25" t="s">
        <v>18813</v>
      </c>
      <c r="U31" s="25" t="s">
        <v>18713</v>
      </c>
      <c r="V31" s="25" t="s">
        <v>18714</v>
      </c>
      <c r="W31" s="25" t="s">
        <v>18714</v>
      </c>
      <c r="X31" s="25" t="s">
        <v>18714</v>
      </c>
      <c r="Y31" s="24">
        <v>16</v>
      </c>
      <c r="Z31" s="25" t="s">
        <v>18723</v>
      </c>
    </row>
    <row r="32" spans="1:26" x14ac:dyDescent="0.2">
      <c r="A32" s="23" t="s">
        <v>18804</v>
      </c>
      <c r="B32" s="22" t="s">
        <v>18805</v>
      </c>
      <c r="C32" s="23" t="str">
        <f t="shared" si="1"/>
        <v>000</v>
      </c>
      <c r="D32" s="23" t="s">
        <v>18806</v>
      </c>
      <c r="E32" s="22" t="s">
        <v>18805</v>
      </c>
      <c r="F32" s="22" t="s">
        <v>63</v>
      </c>
      <c r="G32" s="22" t="str">
        <f>VLOOKUP(F32,[1]CHILDCARE_FACILITIES!N:Q,4,0)</f>
        <v>CDC-9007</v>
      </c>
      <c r="H32" s="22" t="e">
        <f>VLOOKUP(G32,'[1]CACFP FRL'!D:G,4,0)</f>
        <v>#N/A</v>
      </c>
      <c r="I32" s="22" t="str">
        <f>VLOOKUP(G32,[1]CHILDCARE_FACILITIES!AK:AL,2,0)</f>
        <v>CDC9007</v>
      </c>
      <c r="J32" s="22" t="e">
        <f>VLOOKUP(I32,'[1]Head Start QF 1-5 Stars'!O:Q,3,0)</f>
        <v>#N/A</v>
      </c>
      <c r="K32" s="23" t="s">
        <v>18804</v>
      </c>
      <c r="L32" s="22" t="s">
        <v>18814</v>
      </c>
      <c r="M32" s="22" t="s">
        <v>1637</v>
      </c>
      <c r="N32" s="22" t="s">
        <v>18815</v>
      </c>
      <c r="O32" s="23" t="s">
        <v>207</v>
      </c>
      <c r="P32" s="22" t="str">
        <f>"85378"</f>
        <v>85378</v>
      </c>
      <c r="Q32" s="22" t="str">
        <f>"4104"</f>
        <v>4104</v>
      </c>
      <c r="R32" s="22" t="s">
        <v>18710</v>
      </c>
      <c r="S32" s="23" t="s">
        <v>18751</v>
      </c>
      <c r="T32" s="22" t="s">
        <v>18816</v>
      </c>
      <c r="U32" s="22" t="s">
        <v>18713</v>
      </c>
      <c r="V32" s="22" t="s">
        <v>18731</v>
      </c>
      <c r="W32" s="22" t="s">
        <v>18731</v>
      </c>
      <c r="X32" s="22" t="s">
        <v>18714</v>
      </c>
      <c r="Y32" s="23">
        <v>76</v>
      </c>
      <c r="Z32" s="22" t="s">
        <v>18723</v>
      </c>
    </row>
    <row r="33" spans="1:26" s="25" customFormat="1" x14ac:dyDescent="0.2">
      <c r="A33" s="23" t="s">
        <v>18804</v>
      </c>
      <c r="B33" s="22" t="s">
        <v>18805</v>
      </c>
      <c r="C33" s="23" t="str">
        <f t="shared" si="1"/>
        <v>000</v>
      </c>
      <c r="D33" s="23" t="s">
        <v>18806</v>
      </c>
      <c r="E33" s="22" t="s">
        <v>18805</v>
      </c>
      <c r="F33" s="22" t="s">
        <v>1170</v>
      </c>
      <c r="G33" s="22" t="str">
        <f>VLOOKUP(F33,[1]CHILDCARE_FACILITIES!N:Q,4,0)</f>
        <v>CDC-15709</v>
      </c>
      <c r="H33" s="22" t="e">
        <f>VLOOKUP(G33,'[1]CACFP FRL'!D:G,4,0)</f>
        <v>#N/A</v>
      </c>
      <c r="I33" s="22" t="str">
        <f>VLOOKUP(G33,[1]CHILDCARE_FACILITIES!AK:AL,2,0)</f>
        <v>CDC15709</v>
      </c>
      <c r="J33" s="22" t="e">
        <f>VLOOKUP(I33,'[1]Head Start QF 1-5 Stars'!O:Q,3,0)</f>
        <v>#N/A</v>
      </c>
      <c r="K33" s="23" t="s">
        <v>18804</v>
      </c>
      <c r="L33" s="22" t="s">
        <v>18817</v>
      </c>
      <c r="M33" s="22" t="s">
        <v>1637</v>
      </c>
      <c r="N33" s="22" t="s">
        <v>760</v>
      </c>
      <c r="O33" s="23" t="s">
        <v>207</v>
      </c>
      <c r="P33" s="22" t="str">
        <f>"85131"</f>
        <v>85131</v>
      </c>
      <c r="Q33" s="22" t="str">
        <f>"2103"</f>
        <v>2103</v>
      </c>
      <c r="R33" s="22" t="s">
        <v>18763</v>
      </c>
      <c r="S33" s="23" t="s">
        <v>18818</v>
      </c>
      <c r="T33" s="22" t="s">
        <v>18819</v>
      </c>
      <c r="U33" s="22" t="s">
        <v>18713</v>
      </c>
      <c r="V33" s="22" t="s">
        <v>18731</v>
      </c>
      <c r="W33" s="22" t="s">
        <v>18731</v>
      </c>
      <c r="X33" s="22" t="s">
        <v>18731</v>
      </c>
      <c r="Y33" s="23">
        <v>40</v>
      </c>
      <c r="Z33" s="22" t="s">
        <v>18723</v>
      </c>
    </row>
    <row r="34" spans="1:26" x14ac:dyDescent="0.2">
      <c r="A34" s="23" t="s">
        <v>18804</v>
      </c>
      <c r="B34" s="22" t="s">
        <v>18805</v>
      </c>
      <c r="C34" s="23" t="str">
        <f t="shared" si="1"/>
        <v>000</v>
      </c>
      <c r="D34" s="23" t="s">
        <v>18806</v>
      </c>
      <c r="E34" s="22" t="s">
        <v>18805</v>
      </c>
      <c r="F34" s="22" t="s">
        <v>1067</v>
      </c>
      <c r="G34" s="22" t="str">
        <f>VLOOKUP(F34,[1]CHILDCARE_FACILITIES!N:Q,4,0)</f>
        <v>CDC-15352</v>
      </c>
      <c r="H34" s="22" t="e">
        <f>VLOOKUP(G34,'[1]CACFP FRL'!D:G,4,0)</f>
        <v>#N/A</v>
      </c>
      <c r="I34" s="22" t="str">
        <f>VLOOKUP(G34,[1]CHILDCARE_FACILITIES!AK:AL,2,0)</f>
        <v>CDC15352</v>
      </c>
      <c r="J34" s="22" t="e">
        <f>VLOOKUP(I34,'[1]Head Start QF 1-5 Stars'!O:Q,3,0)</f>
        <v>#N/A</v>
      </c>
      <c r="K34" s="23" t="s">
        <v>18804</v>
      </c>
      <c r="L34" s="22" t="s">
        <v>18820</v>
      </c>
      <c r="M34" s="22" t="s">
        <v>1637</v>
      </c>
      <c r="N34" s="22" t="s">
        <v>499</v>
      </c>
      <c r="O34" s="23" t="s">
        <v>207</v>
      </c>
      <c r="P34" s="22" t="str">
        <f>"85349"</f>
        <v>85349</v>
      </c>
      <c r="Q34" s="22" t="str">
        <f>""</f>
        <v/>
      </c>
      <c r="R34" s="22" t="s">
        <v>18809</v>
      </c>
      <c r="S34" s="23" t="s">
        <v>18721</v>
      </c>
      <c r="T34" s="22" t="s">
        <v>18821</v>
      </c>
      <c r="U34" s="22" t="s">
        <v>18713</v>
      </c>
      <c r="V34" s="22" t="s">
        <v>18714</v>
      </c>
      <c r="W34" s="22" t="s">
        <v>18714</v>
      </c>
      <c r="X34" s="22" t="s">
        <v>18714</v>
      </c>
      <c r="Y34" s="23">
        <v>32</v>
      </c>
      <c r="Z34" s="22" t="s">
        <v>18723</v>
      </c>
    </row>
    <row r="35" spans="1:26" hidden="1" x14ac:dyDescent="0.2">
      <c r="A35" s="23" t="s">
        <v>18822</v>
      </c>
      <c r="B35" s="22" t="s">
        <v>18823</v>
      </c>
      <c r="C35" s="23" t="str">
        <f>"200"</f>
        <v>200</v>
      </c>
      <c r="D35" s="23" t="s">
        <v>18706</v>
      </c>
      <c r="E35" s="22" t="s">
        <v>18823</v>
      </c>
      <c r="F35" s="22" t="s">
        <v>18824</v>
      </c>
      <c r="G35" s="22" t="str">
        <f>VLOOKUP(F35,[1]CHILDCARE_FACILITIES!N:Q,4,0)</f>
        <v>CDC-9344</v>
      </c>
      <c r="H35" s="22">
        <f>VLOOKUP(G35,'[1]CACFP FRL'!D:G,4,0)</f>
        <v>80523</v>
      </c>
      <c r="I35" s="22" t="str">
        <f>VLOOKUP(G35,[1]CHILDCARE_FACILITIES!AK:AL,2,0)</f>
        <v>CDC9344</v>
      </c>
      <c r="J35" s="22" t="e">
        <f>VLOOKUP(I35,'[1]Head Start QF 1-5 Stars'!O:Q,3,0)</f>
        <v>#N/A</v>
      </c>
      <c r="K35" s="23" t="s">
        <v>18822</v>
      </c>
      <c r="L35" s="22" t="s">
        <v>18825</v>
      </c>
      <c r="M35" s="22" t="s">
        <v>18826</v>
      </c>
      <c r="N35" s="22" t="s">
        <v>764</v>
      </c>
      <c r="O35" s="23" t="s">
        <v>207</v>
      </c>
      <c r="P35" s="22" t="str">
        <f>"85745"</f>
        <v>85745</v>
      </c>
      <c r="Q35" s="22" t="str">
        <f>"2790"</f>
        <v>2790</v>
      </c>
      <c r="R35" s="22" t="s">
        <v>996</v>
      </c>
      <c r="S35" s="23" t="s">
        <v>18721</v>
      </c>
      <c r="T35" s="22" t="s">
        <v>18827</v>
      </c>
      <c r="U35" s="22" t="s">
        <v>18713</v>
      </c>
      <c r="V35" s="22" t="s">
        <v>18714</v>
      </c>
      <c r="W35" s="22" t="s">
        <v>18714</v>
      </c>
      <c r="X35" s="22" t="s">
        <v>18714</v>
      </c>
      <c r="Y35" s="23">
        <v>66</v>
      </c>
      <c r="Z35" s="22" t="s">
        <v>18715</v>
      </c>
    </row>
    <row r="36" spans="1:26" x14ac:dyDescent="0.2">
      <c r="A36" s="23" t="s">
        <v>18804</v>
      </c>
      <c r="B36" s="22" t="s">
        <v>18805</v>
      </c>
      <c r="C36" s="23" t="str">
        <f>"000"</f>
        <v>000</v>
      </c>
      <c r="D36" s="23" t="s">
        <v>18806</v>
      </c>
      <c r="E36" s="22" t="s">
        <v>18805</v>
      </c>
      <c r="F36" s="22" t="s">
        <v>18828</v>
      </c>
      <c r="G36" s="22" t="str">
        <f>VLOOKUP(F36,[1]CHILDCARE_FACILITIES!N:Q,4,0)</f>
        <v>CDC-6740</v>
      </c>
      <c r="H36" s="22" t="e">
        <f>VLOOKUP(G36,'[1]CACFP FRL'!D:G,4,0)</f>
        <v>#N/A</v>
      </c>
      <c r="I36" s="22" t="str">
        <f>VLOOKUP(G36,[1]CHILDCARE_FACILITIES!AK:AL,2,0)</f>
        <v>CDC6740</v>
      </c>
      <c r="J36" s="22" t="e">
        <f>VLOOKUP(I36,'[1]Head Start QF 1-5 Stars'!O:Q,3,0)</f>
        <v>#N/A</v>
      </c>
      <c r="K36" s="23" t="s">
        <v>18804</v>
      </c>
      <c r="L36" s="22" t="s">
        <v>18829</v>
      </c>
      <c r="M36" s="22" t="s">
        <v>18830</v>
      </c>
      <c r="N36" s="22" t="s">
        <v>18831</v>
      </c>
      <c r="O36" s="23" t="s">
        <v>207</v>
      </c>
      <c r="P36" s="22" t="str">
        <f>"85142"</f>
        <v>85142</v>
      </c>
      <c r="Q36" s="22" t="str">
        <f>"9888"</f>
        <v>9888</v>
      </c>
      <c r="R36" s="22" t="s">
        <v>18710</v>
      </c>
      <c r="S36" s="23" t="s">
        <v>18832</v>
      </c>
      <c r="T36" s="22" t="s">
        <v>18833</v>
      </c>
      <c r="U36" s="22" t="s">
        <v>18713</v>
      </c>
      <c r="V36" s="22" t="s">
        <v>18731</v>
      </c>
      <c r="W36" s="22" t="s">
        <v>18731</v>
      </c>
      <c r="X36" s="22" t="s">
        <v>18714</v>
      </c>
      <c r="Y36" s="23">
        <v>57</v>
      </c>
      <c r="Z36" s="22" t="s">
        <v>18723</v>
      </c>
    </row>
    <row r="37" spans="1:26" hidden="1" x14ac:dyDescent="0.2">
      <c r="A37" s="23" t="s">
        <v>18822</v>
      </c>
      <c r="B37" s="22" t="s">
        <v>18823</v>
      </c>
      <c r="C37" s="23" t="str">
        <f>"200"</f>
        <v>200</v>
      </c>
      <c r="D37" s="23" t="s">
        <v>18706</v>
      </c>
      <c r="E37" s="22" t="s">
        <v>18823</v>
      </c>
      <c r="F37" s="22" t="s">
        <v>18824</v>
      </c>
      <c r="G37" s="22" t="str">
        <f>VLOOKUP(F37,[1]CHILDCARE_FACILITIES!N:Q,4,0)</f>
        <v>CDC-9344</v>
      </c>
      <c r="H37" s="22">
        <f>VLOOKUP(G37,'[1]CACFP FRL'!D:G,4,0)</f>
        <v>80523</v>
      </c>
      <c r="I37" s="22" t="str">
        <f>VLOOKUP(G37,[1]CHILDCARE_FACILITIES!AK:AL,2,0)</f>
        <v>CDC9344</v>
      </c>
      <c r="J37" s="22" t="e">
        <f>VLOOKUP(I37,'[1]Head Start QF 1-5 Stars'!O:Q,3,0)</f>
        <v>#N/A</v>
      </c>
      <c r="K37" s="23" t="s">
        <v>18822</v>
      </c>
      <c r="L37" s="22" t="s">
        <v>18834</v>
      </c>
      <c r="M37" s="22" t="s">
        <v>1637</v>
      </c>
      <c r="N37" s="22" t="s">
        <v>18835</v>
      </c>
      <c r="O37" s="23" t="s">
        <v>207</v>
      </c>
      <c r="P37" s="22" t="str">
        <f>"85546"</f>
        <v>85546</v>
      </c>
      <c r="Q37" s="22" t="str">
        <f>"2529"</f>
        <v>2529</v>
      </c>
      <c r="R37" s="22" t="s">
        <v>18836</v>
      </c>
      <c r="S37" s="23" t="s">
        <v>18818</v>
      </c>
      <c r="T37" s="22" t="s">
        <v>18837</v>
      </c>
      <c r="U37" s="22" t="s">
        <v>18713</v>
      </c>
      <c r="V37" s="22" t="s">
        <v>18714</v>
      </c>
      <c r="W37" s="22" t="s">
        <v>18714</v>
      </c>
      <c r="X37" s="22" t="s">
        <v>18714</v>
      </c>
      <c r="Y37" s="23">
        <v>60</v>
      </c>
      <c r="Z37" s="22" t="s">
        <v>18715</v>
      </c>
    </row>
    <row r="38" spans="1:26" s="25" customFormat="1" hidden="1" x14ac:dyDescent="0.2">
      <c r="A38" s="24" t="s">
        <v>18822</v>
      </c>
      <c r="B38" s="25" t="s">
        <v>18823</v>
      </c>
      <c r="C38" s="24" t="str">
        <f>"200"</f>
        <v>200</v>
      </c>
      <c r="D38" s="24" t="s">
        <v>18706</v>
      </c>
      <c r="E38" s="25" t="s">
        <v>18823</v>
      </c>
      <c r="F38" s="25" t="s">
        <v>18838</v>
      </c>
      <c r="G38" s="25" t="e">
        <f>VLOOKUP(F38,[1]CHILDCARE_FACILITIES!N:Q,4,0)</f>
        <v>#N/A</v>
      </c>
      <c r="H38" s="25" t="e">
        <f>VLOOKUP(G38,'[1]CACFP FRL'!D:G,4,0)</f>
        <v>#N/A</v>
      </c>
      <c r="I38" s="25" t="e">
        <f>VLOOKUP(G38,[1]CHILDCARE_FACILITIES!AK:AL,2,0)</f>
        <v>#N/A</v>
      </c>
      <c r="J38" s="25" t="e">
        <f>VLOOKUP(I38,'[1]Head Start QF 1-5 Stars'!O:Q,3,0)</f>
        <v>#N/A</v>
      </c>
      <c r="K38" s="24" t="s">
        <v>18822</v>
      </c>
      <c r="L38" s="25" t="s">
        <v>18839</v>
      </c>
      <c r="M38" s="25" t="s">
        <v>1637</v>
      </c>
      <c r="N38" s="25" t="s">
        <v>18840</v>
      </c>
      <c r="O38" s="24" t="s">
        <v>207</v>
      </c>
      <c r="P38" s="25" t="str">
        <f>"85635"</f>
        <v>85635</v>
      </c>
      <c r="Q38" s="25" t="str">
        <f>"1857"</f>
        <v>1857</v>
      </c>
      <c r="R38" s="25" t="s">
        <v>18841</v>
      </c>
      <c r="S38" s="24" t="s">
        <v>18842</v>
      </c>
      <c r="T38" s="25" t="s">
        <v>18843</v>
      </c>
      <c r="U38" s="25" t="s">
        <v>18713</v>
      </c>
      <c r="V38" s="25" t="s">
        <v>18714</v>
      </c>
      <c r="W38" s="25" t="s">
        <v>18714</v>
      </c>
      <c r="X38" s="25" t="s">
        <v>18714</v>
      </c>
      <c r="Y38" s="24">
        <v>40</v>
      </c>
      <c r="Z38" s="25" t="s">
        <v>18715</v>
      </c>
    </row>
    <row r="39" spans="1:26" s="25" customFormat="1" x14ac:dyDescent="0.2">
      <c r="A39" s="23" t="s">
        <v>18804</v>
      </c>
      <c r="B39" s="22" t="s">
        <v>18805</v>
      </c>
      <c r="C39" s="23" t="str">
        <f>"000"</f>
        <v>000</v>
      </c>
      <c r="D39" s="23" t="s">
        <v>18806</v>
      </c>
      <c r="E39" s="22" t="s">
        <v>18805</v>
      </c>
      <c r="F39" s="22" t="s">
        <v>1172</v>
      </c>
      <c r="G39" s="22" t="str">
        <f>VLOOKUP(F39,[1]CHILDCARE_FACILITIES!N:Q,4,0)</f>
        <v>CDC-6742</v>
      </c>
      <c r="H39" s="22" t="e">
        <f>VLOOKUP(G39,'[1]CACFP FRL'!D:G,4,0)</f>
        <v>#N/A</v>
      </c>
      <c r="I39" s="22" t="str">
        <f>VLOOKUP(G39,[1]CHILDCARE_FACILITIES!AK:AL,2,0)</f>
        <v>CDC6742</v>
      </c>
      <c r="J39" s="22" t="e">
        <f>VLOOKUP(I39,'[1]Head Start QF 1-5 Stars'!O:Q,3,0)</f>
        <v>#N/A</v>
      </c>
      <c r="K39" s="23" t="s">
        <v>18804</v>
      </c>
      <c r="L39" s="22" t="s">
        <v>18844</v>
      </c>
      <c r="M39" s="22" t="s">
        <v>1637</v>
      </c>
      <c r="N39" s="22" t="s">
        <v>499</v>
      </c>
      <c r="O39" s="23" t="s">
        <v>207</v>
      </c>
      <c r="P39" s="22" t="str">
        <f>"85349"</f>
        <v>85349</v>
      </c>
      <c r="Q39" s="22" t="str">
        <f>""</f>
        <v/>
      </c>
      <c r="R39" s="22" t="s">
        <v>18809</v>
      </c>
      <c r="S39" s="23" t="s">
        <v>18721</v>
      </c>
      <c r="T39" s="22" t="s">
        <v>18845</v>
      </c>
      <c r="U39" s="22" t="s">
        <v>18713</v>
      </c>
      <c r="V39" s="22" t="s">
        <v>18714</v>
      </c>
      <c r="W39" s="22" t="s">
        <v>18714</v>
      </c>
      <c r="X39" s="22" t="s">
        <v>18714</v>
      </c>
      <c r="Y39" s="23">
        <v>36</v>
      </c>
      <c r="Z39" s="22" t="s">
        <v>18723</v>
      </c>
    </row>
    <row r="40" spans="1:26" x14ac:dyDescent="0.2">
      <c r="A40" s="23" t="s">
        <v>18804</v>
      </c>
      <c r="B40" s="22" t="s">
        <v>18805</v>
      </c>
      <c r="C40" s="23" t="str">
        <f>"000"</f>
        <v>000</v>
      </c>
      <c r="D40" s="23" t="s">
        <v>18806</v>
      </c>
      <c r="E40" s="22" t="s">
        <v>18805</v>
      </c>
      <c r="F40" s="22" t="s">
        <v>18846</v>
      </c>
      <c r="G40" s="22" t="str">
        <f>VLOOKUP(F40,[1]CHILDCARE_FACILITIES!N:Q,4,0)</f>
        <v>CDC-8283</v>
      </c>
      <c r="H40" s="22" t="e">
        <f>VLOOKUP(G40,'[1]CACFP FRL'!D:G,4,0)</f>
        <v>#N/A</v>
      </c>
      <c r="I40" s="22" t="str">
        <f>VLOOKUP(G40,[1]CHILDCARE_FACILITIES!AK:AL,2,0)</f>
        <v>CDC8283</v>
      </c>
      <c r="J40" s="22" t="e">
        <f>VLOOKUP(I40,'[1]Head Start QF 1-5 Stars'!O:Q,3,0)</f>
        <v>#N/A</v>
      </c>
      <c r="K40" s="23" t="s">
        <v>18804</v>
      </c>
      <c r="L40" s="22" t="s">
        <v>18847</v>
      </c>
      <c r="M40" s="22" t="s">
        <v>1637</v>
      </c>
      <c r="N40" s="22" t="s">
        <v>499</v>
      </c>
      <c r="O40" s="23" t="s">
        <v>207</v>
      </c>
      <c r="P40" s="22" t="str">
        <f>"85349"</f>
        <v>85349</v>
      </c>
      <c r="Q40" s="22" t="str">
        <f>""</f>
        <v/>
      </c>
      <c r="R40" s="22" t="s">
        <v>18809</v>
      </c>
      <c r="S40" s="23" t="s">
        <v>18721</v>
      </c>
      <c r="T40" s="22" t="s">
        <v>18848</v>
      </c>
      <c r="U40" s="22" t="s">
        <v>18713</v>
      </c>
      <c r="V40" s="22" t="s">
        <v>18731</v>
      </c>
      <c r="W40" s="22" t="s">
        <v>18731</v>
      </c>
      <c r="X40" s="22" t="s">
        <v>18731</v>
      </c>
      <c r="Y40" s="23">
        <v>76</v>
      </c>
      <c r="Z40" s="22" t="s">
        <v>18723</v>
      </c>
    </row>
    <row r="41" spans="1:26" x14ac:dyDescent="0.2">
      <c r="A41" s="23" t="s">
        <v>18804</v>
      </c>
      <c r="B41" s="22" t="s">
        <v>18805</v>
      </c>
      <c r="C41" s="23" t="str">
        <f>"000"</f>
        <v>000</v>
      </c>
      <c r="D41" s="23" t="s">
        <v>18806</v>
      </c>
      <c r="E41" s="22" t="s">
        <v>18805</v>
      </c>
      <c r="F41" s="22" t="s">
        <v>18849</v>
      </c>
      <c r="G41" s="22" t="str">
        <f>VLOOKUP(F41,[1]CHILDCARE_FACILITIES!N:Q,4,0)</f>
        <v>CDC-9811</v>
      </c>
      <c r="H41" s="22" t="e">
        <f>VLOOKUP(G41,'[1]CACFP FRL'!D:G,4,0)</f>
        <v>#N/A</v>
      </c>
      <c r="I41" s="22" t="str">
        <f>VLOOKUP(G41,[1]CHILDCARE_FACILITIES!AK:AL,2,0)</f>
        <v>CDC9811</v>
      </c>
      <c r="J41" s="22" t="e">
        <f>VLOOKUP(I41,'[1]Head Start QF 1-5 Stars'!O:Q,3,0)</f>
        <v>#N/A</v>
      </c>
      <c r="K41" s="23" t="s">
        <v>18804</v>
      </c>
      <c r="L41" s="22" t="s">
        <v>18850</v>
      </c>
      <c r="M41" s="22" t="s">
        <v>1637</v>
      </c>
      <c r="N41" s="22" t="s">
        <v>499</v>
      </c>
      <c r="O41" s="23" t="s">
        <v>207</v>
      </c>
      <c r="P41" s="22" t="str">
        <f>"85349"</f>
        <v>85349</v>
      </c>
      <c r="Q41" s="22" t="str">
        <f>"3933"</f>
        <v>3933</v>
      </c>
      <c r="R41" s="22" t="s">
        <v>18809</v>
      </c>
      <c r="S41" s="23" t="s">
        <v>18721</v>
      </c>
      <c r="T41" s="22" t="s">
        <v>18851</v>
      </c>
      <c r="U41" s="22" t="s">
        <v>18713</v>
      </c>
      <c r="V41" s="22" t="s">
        <v>18731</v>
      </c>
      <c r="W41" s="22" t="s">
        <v>18731</v>
      </c>
      <c r="X41" s="22" t="s">
        <v>18731</v>
      </c>
      <c r="Y41" s="23">
        <v>74</v>
      </c>
      <c r="Z41" s="22" t="s">
        <v>18723</v>
      </c>
    </row>
    <row r="42" spans="1:26" hidden="1" x14ac:dyDescent="0.2">
      <c r="A42" s="23" t="s">
        <v>18822</v>
      </c>
      <c r="B42" s="22" t="s">
        <v>18823</v>
      </c>
      <c r="C42" s="23" t="str">
        <f>"200"</f>
        <v>200</v>
      </c>
      <c r="D42" s="23" t="s">
        <v>18706</v>
      </c>
      <c r="E42" s="22" t="s">
        <v>18823</v>
      </c>
      <c r="F42" s="22" t="s">
        <v>18852</v>
      </c>
      <c r="G42" s="22" t="str">
        <f>VLOOKUP(F42,[1]CHILDCARE_FACILITIES!N:Q,4,0)</f>
        <v>CDC-5245</v>
      </c>
      <c r="H42" s="22">
        <f>VLOOKUP(G42,'[1]CACFP FRL'!D:G,4,0)</f>
        <v>9846</v>
      </c>
      <c r="I42" s="22" t="str">
        <f>VLOOKUP(G42,[1]CHILDCARE_FACILITIES!AK:AL,2,0)</f>
        <v>CDC5245</v>
      </c>
      <c r="J42" s="22" t="e">
        <f>VLOOKUP(I42,'[1]Head Start QF 1-5 Stars'!O:Q,3,0)</f>
        <v>#N/A</v>
      </c>
      <c r="K42" s="23" t="s">
        <v>18822</v>
      </c>
      <c r="L42" s="22" t="s">
        <v>18853</v>
      </c>
      <c r="M42" s="22" t="s">
        <v>18854</v>
      </c>
      <c r="N42" s="22" t="s">
        <v>1298</v>
      </c>
      <c r="O42" s="23" t="s">
        <v>207</v>
      </c>
      <c r="P42" s="22" t="str">
        <f>"85607"</f>
        <v>85607</v>
      </c>
      <c r="Q42" s="22" t="str">
        <f>"1732"</f>
        <v>1732</v>
      </c>
      <c r="R42" s="22" t="s">
        <v>18841</v>
      </c>
      <c r="S42" s="23" t="s">
        <v>18842</v>
      </c>
      <c r="T42" s="22" t="s">
        <v>18855</v>
      </c>
      <c r="U42" s="22" t="s">
        <v>18713</v>
      </c>
      <c r="V42" s="22" t="s">
        <v>18731</v>
      </c>
      <c r="W42" s="22" t="s">
        <v>18731</v>
      </c>
      <c r="X42" s="22" t="s">
        <v>18731</v>
      </c>
      <c r="Y42" s="23">
        <v>18</v>
      </c>
      <c r="Z42" s="22" t="s">
        <v>18723</v>
      </c>
    </row>
    <row r="43" spans="1:26" x14ac:dyDescent="0.2">
      <c r="A43" s="23" t="s">
        <v>18804</v>
      </c>
      <c r="B43" s="22" t="s">
        <v>18805</v>
      </c>
      <c r="C43" s="23" t="str">
        <f>"000"</f>
        <v>000</v>
      </c>
      <c r="D43" s="23" t="s">
        <v>18806</v>
      </c>
      <c r="E43" s="22" t="s">
        <v>18805</v>
      </c>
      <c r="F43" s="22" t="s">
        <v>18856</v>
      </c>
      <c r="G43" s="22" t="str">
        <f>VLOOKUP(F43,[1]CHILDCARE_FACILITIES!N:Q,4,0)</f>
        <v>CDC-6741</v>
      </c>
      <c r="H43" s="22" t="e">
        <f>VLOOKUP(G43,'[1]CACFP FRL'!D:G,4,0)</f>
        <v>#N/A</v>
      </c>
      <c r="I43" s="22" t="str">
        <f>VLOOKUP(G43,[1]CHILDCARE_FACILITIES!AK:AL,2,0)</f>
        <v>CDC6741</v>
      </c>
      <c r="J43" s="22" t="e">
        <f>VLOOKUP(I43,'[1]Head Start QF 1-5 Stars'!O:Q,3,0)</f>
        <v>#N/A</v>
      </c>
      <c r="K43" s="23" t="s">
        <v>18804</v>
      </c>
      <c r="L43" s="22" t="s">
        <v>18857</v>
      </c>
      <c r="M43" s="22" t="s">
        <v>18858</v>
      </c>
      <c r="N43" s="22" t="s">
        <v>508</v>
      </c>
      <c r="O43" s="23" t="s">
        <v>207</v>
      </c>
      <c r="P43" s="22" t="str">
        <f>"85350"</f>
        <v>85350</v>
      </c>
      <c r="Q43" s="22" t="str">
        <f>""</f>
        <v/>
      </c>
      <c r="R43" s="22" t="s">
        <v>18809</v>
      </c>
      <c r="S43" s="23" t="s">
        <v>18721</v>
      </c>
      <c r="T43" s="22" t="s">
        <v>18859</v>
      </c>
      <c r="U43" s="22" t="s">
        <v>18713</v>
      </c>
      <c r="V43" s="22" t="s">
        <v>18714</v>
      </c>
      <c r="W43" s="22" t="s">
        <v>18714</v>
      </c>
      <c r="X43" s="22" t="s">
        <v>18714</v>
      </c>
      <c r="Y43" s="23">
        <v>152</v>
      </c>
      <c r="Z43" s="22" t="s">
        <v>18723</v>
      </c>
    </row>
    <row r="44" spans="1:26" x14ac:dyDescent="0.2">
      <c r="A44" s="23" t="s">
        <v>18804</v>
      </c>
      <c r="B44" s="22" t="s">
        <v>18805</v>
      </c>
      <c r="C44" s="23" t="str">
        <f>"000"</f>
        <v>000</v>
      </c>
      <c r="D44" s="23" t="s">
        <v>18806</v>
      </c>
      <c r="E44" s="22" t="s">
        <v>18805</v>
      </c>
      <c r="F44" s="22" t="s">
        <v>18860</v>
      </c>
      <c r="G44" s="22" t="str">
        <f>VLOOKUP(F44,[1]CHILDCARE_FACILITIES!N:Q,4,0)</f>
        <v>CDC-8720</v>
      </c>
      <c r="H44" s="22" t="e">
        <f>VLOOKUP(G44,'[1]CACFP FRL'!D:G,4,0)</f>
        <v>#N/A</v>
      </c>
      <c r="I44" s="22" t="str">
        <f>VLOOKUP(G44,[1]CHILDCARE_FACILITIES!AK:AL,2,0)</f>
        <v>CDC8720</v>
      </c>
      <c r="J44" s="22" t="e">
        <f>VLOOKUP(I44,'[1]Head Start QF 1-5 Stars'!O:Q,3,0)</f>
        <v>#N/A</v>
      </c>
      <c r="K44" s="23" t="s">
        <v>18804</v>
      </c>
      <c r="L44" s="22" t="s">
        <v>18861</v>
      </c>
      <c r="M44" s="22" t="s">
        <v>1637</v>
      </c>
      <c r="N44" s="22" t="s">
        <v>18862</v>
      </c>
      <c r="O44" s="23" t="s">
        <v>207</v>
      </c>
      <c r="P44" s="22" t="str">
        <f>"85643"</f>
        <v>85643</v>
      </c>
      <c r="Q44" s="22" t="str">
        <f>"1416"</f>
        <v>1416</v>
      </c>
      <c r="R44" s="22" t="s">
        <v>18841</v>
      </c>
      <c r="S44" s="23" t="s">
        <v>18842</v>
      </c>
      <c r="T44" s="22" t="s">
        <v>18863</v>
      </c>
      <c r="U44" s="22" t="s">
        <v>18713</v>
      </c>
      <c r="V44" s="22" t="s">
        <v>18731</v>
      </c>
      <c r="W44" s="22" t="s">
        <v>18731</v>
      </c>
      <c r="X44" s="22" t="s">
        <v>18731</v>
      </c>
      <c r="Y44" s="23">
        <v>56</v>
      </c>
      <c r="Z44" s="22" t="s">
        <v>18723</v>
      </c>
    </row>
    <row r="45" spans="1:26" x14ac:dyDescent="0.2">
      <c r="A45" s="23" t="s">
        <v>18741</v>
      </c>
      <c r="B45" s="22" t="s">
        <v>18742</v>
      </c>
      <c r="C45" s="23" t="str">
        <f>"200"</f>
        <v>200</v>
      </c>
      <c r="D45" s="23" t="s">
        <v>18706</v>
      </c>
      <c r="E45" s="22" t="s">
        <v>18743</v>
      </c>
      <c r="F45" s="22" t="s">
        <v>1182</v>
      </c>
      <c r="G45" s="22" t="str">
        <f>VLOOKUP(F45,[1]CHILDCARE_FACILITIES!N:Q,4,0)</f>
        <v>CDC-17681</v>
      </c>
      <c r="H45" s="22" t="e">
        <f>VLOOKUP(G45,'[1]CACFP FRL'!D:G,4,0)</f>
        <v>#N/A</v>
      </c>
      <c r="I45" s="22" t="str">
        <f>VLOOKUP(G45,[1]CHILDCARE_FACILITIES!AK:AL,2,0)</f>
        <v>CDC17681</v>
      </c>
      <c r="J45" s="22">
        <f>VLOOKUP(I45,'[1]Head Start QF 1-5 Stars'!O:Q,3,0)</f>
        <v>2722</v>
      </c>
      <c r="K45" s="23" t="s">
        <v>18741</v>
      </c>
      <c r="L45" s="22" t="s">
        <v>18864</v>
      </c>
      <c r="M45" s="22" t="s">
        <v>1637</v>
      </c>
      <c r="N45" s="22" t="s">
        <v>495</v>
      </c>
      <c r="O45" s="23" t="s">
        <v>207</v>
      </c>
      <c r="P45" s="22" t="str">
        <f>"85009"</f>
        <v>85009</v>
      </c>
      <c r="Q45" s="22" t="str">
        <f>"2419"</f>
        <v>2419</v>
      </c>
      <c r="R45" s="22" t="s">
        <v>18710</v>
      </c>
      <c r="S45" s="23" t="s">
        <v>18737</v>
      </c>
      <c r="T45" s="22" t="s">
        <v>18865</v>
      </c>
      <c r="U45" s="22" t="s">
        <v>18713</v>
      </c>
      <c r="V45" s="22" t="s">
        <v>18714</v>
      </c>
      <c r="W45" s="22" t="s">
        <v>18714</v>
      </c>
      <c r="X45" s="22" t="s">
        <v>18714</v>
      </c>
      <c r="Y45" s="23">
        <v>20</v>
      </c>
      <c r="Z45" s="22" t="s">
        <v>18723</v>
      </c>
    </row>
    <row r="46" spans="1:26" x14ac:dyDescent="0.2">
      <c r="A46" s="23" t="s">
        <v>18804</v>
      </c>
      <c r="B46" s="22" t="s">
        <v>18805</v>
      </c>
      <c r="C46" s="23" t="str">
        <f>"000"</f>
        <v>000</v>
      </c>
      <c r="D46" s="23" t="s">
        <v>18806</v>
      </c>
      <c r="E46" s="22" t="s">
        <v>18805</v>
      </c>
      <c r="F46" s="22" t="s">
        <v>18866</v>
      </c>
      <c r="G46" s="22" t="str">
        <f>VLOOKUP(F46,[1]CHILDCARE_FACILITIES!N:Q,4,0)</f>
        <v>CDC-12247</v>
      </c>
      <c r="H46" s="22" t="e">
        <f>VLOOKUP(G46,'[1]CACFP FRL'!D:G,4,0)</f>
        <v>#N/A</v>
      </c>
      <c r="I46" s="22" t="str">
        <f>VLOOKUP(G46,[1]CHILDCARE_FACILITIES!AK:AL,2,0)</f>
        <v>CDC12247</v>
      </c>
      <c r="J46" s="22" t="e">
        <f>VLOOKUP(I46,'[1]Head Start QF 1-5 Stars'!O:Q,3,0)</f>
        <v>#N/A</v>
      </c>
      <c r="K46" s="23" t="s">
        <v>18804</v>
      </c>
      <c r="L46" s="22" t="s">
        <v>18867</v>
      </c>
      <c r="M46" s="22" t="s">
        <v>1637</v>
      </c>
      <c r="N46" s="22" t="s">
        <v>496</v>
      </c>
      <c r="O46" s="23" t="s">
        <v>207</v>
      </c>
      <c r="P46" s="22" t="str">
        <f>"85364"</f>
        <v>85364</v>
      </c>
      <c r="Q46" s="22" t="str">
        <f>"4810"</f>
        <v>4810</v>
      </c>
      <c r="R46" s="22" t="s">
        <v>18809</v>
      </c>
      <c r="S46" s="23" t="s">
        <v>18721</v>
      </c>
      <c r="T46" s="22" t="s">
        <v>18868</v>
      </c>
      <c r="U46" s="22" t="s">
        <v>18713</v>
      </c>
      <c r="V46" s="22" t="s">
        <v>18731</v>
      </c>
      <c r="W46" s="22" t="s">
        <v>18731</v>
      </c>
      <c r="X46" s="22" t="s">
        <v>18731</v>
      </c>
      <c r="Y46" s="23">
        <v>121</v>
      </c>
      <c r="Z46" s="22" t="s">
        <v>18723</v>
      </c>
    </row>
    <row r="47" spans="1:26" hidden="1" x14ac:dyDescent="0.2">
      <c r="A47" s="23" t="s">
        <v>18822</v>
      </c>
      <c r="B47" s="22" t="s">
        <v>18823</v>
      </c>
      <c r="C47" s="23" t="str">
        <f>"000"</f>
        <v>000</v>
      </c>
      <c r="D47" s="23" t="s">
        <v>18718</v>
      </c>
      <c r="E47" s="22" t="s">
        <v>18823</v>
      </c>
      <c r="F47" s="22" t="s">
        <v>18869</v>
      </c>
      <c r="G47" s="22" t="str">
        <f>VLOOKUP(F47,[1]CHILDCARE_FACILITIES!N:Q,4,0)</f>
        <v>CDC-10284</v>
      </c>
      <c r="H47" s="22">
        <f>VLOOKUP(G47,'[1]CACFP FRL'!D:G,4,0)</f>
        <v>84192</v>
      </c>
      <c r="I47" s="22" t="str">
        <f>VLOOKUP(G47,[1]CHILDCARE_FACILITIES!AK:AL,2,0)</f>
        <v>CDC10284</v>
      </c>
      <c r="J47" s="22" t="e">
        <f>VLOOKUP(I47,'[1]Head Start QF 1-5 Stars'!O:Q,3,0)</f>
        <v>#N/A</v>
      </c>
      <c r="K47" s="23" t="s">
        <v>18822</v>
      </c>
      <c r="L47" s="22" t="s">
        <v>18870</v>
      </c>
      <c r="M47" s="22" t="s">
        <v>1637</v>
      </c>
      <c r="N47" s="22" t="s">
        <v>18871</v>
      </c>
      <c r="O47" s="23" t="s">
        <v>207</v>
      </c>
      <c r="P47" s="22" t="str">
        <f>"85321"</f>
        <v>85321</v>
      </c>
      <c r="Q47" s="22" t="str">
        <f>"1840"</f>
        <v>1840</v>
      </c>
      <c r="R47" s="22" t="s">
        <v>996</v>
      </c>
      <c r="S47" s="23" t="s">
        <v>18721</v>
      </c>
      <c r="T47" s="22" t="s">
        <v>18872</v>
      </c>
      <c r="U47" s="22" t="s">
        <v>18713</v>
      </c>
      <c r="V47" s="22" t="s">
        <v>18731</v>
      </c>
      <c r="W47" s="22" t="s">
        <v>18731</v>
      </c>
      <c r="X47" s="22" t="s">
        <v>18731</v>
      </c>
      <c r="Y47" s="23">
        <v>17</v>
      </c>
      <c r="Z47" s="22" t="s">
        <v>18723</v>
      </c>
    </row>
    <row r="48" spans="1:26" hidden="1" x14ac:dyDescent="0.2">
      <c r="A48" s="23" t="s">
        <v>18873</v>
      </c>
      <c r="B48" s="22" t="s">
        <v>18874</v>
      </c>
      <c r="C48" s="23" t="str">
        <f>"200"</f>
        <v>200</v>
      </c>
      <c r="D48" s="23" t="s">
        <v>18706</v>
      </c>
      <c r="E48" s="22" t="s">
        <v>18875</v>
      </c>
      <c r="F48" s="22" t="s">
        <v>18876</v>
      </c>
      <c r="G48" s="22" t="str">
        <f>VLOOKUP(F48,[1]CHILDCARE_FACILITIES!N:Q,4,0)</f>
        <v>CDC-18558</v>
      </c>
      <c r="H48" s="22">
        <f>VLOOKUP(G48,'[1]CACFP FRL'!D:G,4,0)</f>
        <v>86878</v>
      </c>
      <c r="I48" s="22" t="str">
        <f>VLOOKUP(G48,[1]CHILDCARE_FACILITIES!AK:AL,2,0)</f>
        <v>CDC18558</v>
      </c>
      <c r="J48" s="22" t="e">
        <f>VLOOKUP(I48,'[1]Head Start QF 1-5 Stars'!O:Q,3,0)</f>
        <v>#N/A</v>
      </c>
      <c r="K48" s="23" t="s">
        <v>18873</v>
      </c>
      <c r="L48" s="22" t="s">
        <v>694</v>
      </c>
      <c r="M48" s="22" t="s">
        <v>1637</v>
      </c>
      <c r="N48" s="22" t="s">
        <v>495</v>
      </c>
      <c r="O48" s="23" t="s">
        <v>207</v>
      </c>
      <c r="P48" s="22" t="str">
        <f>"85008"</f>
        <v>85008</v>
      </c>
      <c r="Q48" s="22" t="str">
        <f>"5803"</f>
        <v>5803</v>
      </c>
      <c r="R48" s="22" t="s">
        <v>18710</v>
      </c>
      <c r="S48" s="23" t="s">
        <v>18737</v>
      </c>
      <c r="T48" s="22" t="s">
        <v>18877</v>
      </c>
      <c r="U48" s="22" t="s">
        <v>18713</v>
      </c>
      <c r="V48" s="22" t="s">
        <v>18731</v>
      </c>
      <c r="W48" s="22" t="s">
        <v>18714</v>
      </c>
      <c r="X48" s="22" t="s">
        <v>18714</v>
      </c>
      <c r="Y48" s="23">
        <v>16</v>
      </c>
      <c r="Z48" s="22" t="s">
        <v>18715</v>
      </c>
    </row>
    <row r="49" spans="1:26" hidden="1" x14ac:dyDescent="0.2">
      <c r="A49" s="23" t="s">
        <v>18822</v>
      </c>
      <c r="B49" s="22" t="s">
        <v>18823</v>
      </c>
      <c r="C49" s="23" t="str">
        <f>"000"</f>
        <v>000</v>
      </c>
      <c r="D49" s="23" t="s">
        <v>18718</v>
      </c>
      <c r="E49" s="22" t="s">
        <v>18823</v>
      </c>
      <c r="F49" s="22" t="s">
        <v>18878</v>
      </c>
      <c r="G49" s="22" t="str">
        <f>VLOOKUP(F49,[1]CHILDCARE_FACILITIES!N:Q,4,0)</f>
        <v>CDC-3656</v>
      </c>
      <c r="H49" s="22">
        <f>VLOOKUP(G49,'[1]CACFP FRL'!D:G,4,0)</f>
        <v>7928</v>
      </c>
      <c r="I49" s="22" t="str">
        <f>VLOOKUP(G49,[1]CHILDCARE_FACILITIES!AK:AL,2,0)</f>
        <v>CDC3656</v>
      </c>
      <c r="J49" s="22" t="e">
        <f>VLOOKUP(I49,'[1]Head Start QF 1-5 Stars'!O:Q,3,0)</f>
        <v>#N/A</v>
      </c>
      <c r="K49" s="23" t="s">
        <v>18822</v>
      </c>
      <c r="L49" s="22" t="s">
        <v>18879</v>
      </c>
      <c r="M49" s="22" t="s">
        <v>1637</v>
      </c>
      <c r="N49" s="22" t="s">
        <v>764</v>
      </c>
      <c r="O49" s="23" t="s">
        <v>207</v>
      </c>
      <c r="P49" s="22" t="str">
        <f>"85705"</f>
        <v>85705</v>
      </c>
      <c r="Q49" s="22" t="str">
        <f>"2626"</f>
        <v>2626</v>
      </c>
      <c r="R49" s="22" t="s">
        <v>996</v>
      </c>
      <c r="S49" s="23" t="s">
        <v>18842</v>
      </c>
      <c r="T49" s="22" t="s">
        <v>18880</v>
      </c>
      <c r="U49" s="22" t="s">
        <v>18713</v>
      </c>
      <c r="V49" s="22" t="s">
        <v>18731</v>
      </c>
      <c r="W49" s="22" t="s">
        <v>18731</v>
      </c>
      <c r="X49" s="22" t="s">
        <v>18731</v>
      </c>
      <c r="Y49" s="23">
        <v>60</v>
      </c>
      <c r="Z49" s="22" t="s">
        <v>18723</v>
      </c>
    </row>
    <row r="50" spans="1:26" hidden="1" x14ac:dyDescent="0.2">
      <c r="A50" s="23" t="s">
        <v>18716</v>
      </c>
      <c r="B50" s="22" t="s">
        <v>18717</v>
      </c>
      <c r="C50" s="23" t="str">
        <f>"200"</f>
        <v>200</v>
      </c>
      <c r="D50" s="23" t="s">
        <v>18706</v>
      </c>
      <c r="E50" s="22" t="s">
        <v>18717</v>
      </c>
      <c r="F50" s="22" t="s">
        <v>18728</v>
      </c>
      <c r="G50" s="22" t="str">
        <f>VLOOKUP(F50,[1]CHILDCARE_FACILITIES!N:Q,4,0)</f>
        <v>CDC-1955</v>
      </c>
      <c r="H50" s="22" t="e">
        <f>VLOOKUP(G50,'[1]CACFP FRL'!D:G,4,0)</f>
        <v>#N/A</v>
      </c>
      <c r="I50" s="22" t="str">
        <f>VLOOKUP(G50,[1]CHILDCARE_FACILITIES!AK:AL,2,0)</f>
        <v>CDC1955</v>
      </c>
      <c r="J50" s="22" t="e">
        <f>VLOOKUP(I50,'[1]Head Start QF 1-5 Stars'!O:Q,3,0)</f>
        <v>#N/A</v>
      </c>
      <c r="K50" s="23" t="s">
        <v>18716</v>
      </c>
      <c r="L50" s="22" t="s">
        <v>18729</v>
      </c>
      <c r="M50" s="22" t="s">
        <v>1637</v>
      </c>
      <c r="N50" s="22" t="s">
        <v>527</v>
      </c>
      <c r="O50" s="23" t="s">
        <v>207</v>
      </c>
      <c r="P50" s="22" t="str">
        <f>"85326"</f>
        <v>85326</v>
      </c>
      <c r="Q50" s="22" t="str">
        <f>"3107"</f>
        <v>3107</v>
      </c>
      <c r="R50" s="22" t="s">
        <v>18710</v>
      </c>
      <c r="S50" s="23" t="s">
        <v>18721</v>
      </c>
      <c r="T50" s="22" t="s">
        <v>18881</v>
      </c>
      <c r="U50" s="22" t="s">
        <v>18713</v>
      </c>
      <c r="V50" s="22" t="s">
        <v>18731</v>
      </c>
      <c r="W50" s="22" t="s">
        <v>18731</v>
      </c>
      <c r="X50" s="22" t="s">
        <v>18731</v>
      </c>
      <c r="Y50" s="23">
        <v>10</v>
      </c>
      <c r="Z50" s="22" t="s">
        <v>18723</v>
      </c>
    </row>
    <row r="51" spans="1:26" hidden="1" x14ac:dyDescent="0.2">
      <c r="A51" s="23" t="s">
        <v>18716</v>
      </c>
      <c r="B51" s="22" t="s">
        <v>18717</v>
      </c>
      <c r="C51" s="23" t="str">
        <f>"200"</f>
        <v>200</v>
      </c>
      <c r="D51" s="23" t="s">
        <v>18706</v>
      </c>
      <c r="E51" s="22" t="s">
        <v>18717</v>
      </c>
      <c r="F51" s="22" t="s">
        <v>18732</v>
      </c>
      <c r="G51" s="22" t="str">
        <f>VLOOKUP(F51,[1]CHILDCARE_FACILITIES!N:Q,4,0)</f>
        <v>CDC-13963</v>
      </c>
      <c r="H51" s="22" t="e">
        <f>VLOOKUP(G51,'[1]CACFP FRL'!D:G,4,0)</f>
        <v>#N/A</v>
      </c>
      <c r="I51" s="22" t="str">
        <f>VLOOKUP(G51,[1]CHILDCARE_FACILITIES!AK:AL,2,0)</f>
        <v>CDC13963</v>
      </c>
      <c r="J51" s="22" t="e">
        <f>VLOOKUP(I51,'[1]Head Start QF 1-5 Stars'!O:Q,3,0)</f>
        <v>#N/A</v>
      </c>
      <c r="K51" s="23" t="s">
        <v>18716</v>
      </c>
      <c r="L51" s="22" t="s">
        <v>18733</v>
      </c>
      <c r="M51" s="22" t="s">
        <v>1637</v>
      </c>
      <c r="N51" s="22" t="s">
        <v>527</v>
      </c>
      <c r="O51" s="23" t="s">
        <v>207</v>
      </c>
      <c r="P51" s="22" t="str">
        <f>"85326"</f>
        <v>85326</v>
      </c>
      <c r="Q51" s="22" t="str">
        <f>""</f>
        <v/>
      </c>
      <c r="R51" s="22" t="s">
        <v>18710</v>
      </c>
      <c r="S51" s="23" t="s">
        <v>18721</v>
      </c>
      <c r="T51" s="22" t="s">
        <v>18734</v>
      </c>
      <c r="U51" s="22" t="s">
        <v>18713</v>
      </c>
      <c r="V51" s="22" t="s">
        <v>18731</v>
      </c>
      <c r="W51" s="22" t="s">
        <v>18731</v>
      </c>
      <c r="X51" s="22" t="s">
        <v>18731</v>
      </c>
      <c r="Y51" s="23">
        <v>8</v>
      </c>
      <c r="Z51" s="22" t="s">
        <v>18723</v>
      </c>
    </row>
    <row r="52" spans="1:26" hidden="1" x14ac:dyDescent="0.2">
      <c r="A52" s="23" t="s">
        <v>18822</v>
      </c>
      <c r="B52" s="22" t="s">
        <v>18823</v>
      </c>
      <c r="C52" s="23" t="str">
        <f>"000"</f>
        <v>000</v>
      </c>
      <c r="D52" s="23" t="s">
        <v>18718</v>
      </c>
      <c r="E52" s="22" t="s">
        <v>18823</v>
      </c>
      <c r="F52" s="22" t="s">
        <v>18882</v>
      </c>
      <c r="G52" s="22" t="str">
        <f>VLOOKUP(F52,[1]CHILDCARE_FACILITIES!N:Q,4,0)</f>
        <v>CDC-9789</v>
      </c>
      <c r="H52" s="22">
        <f>VLOOKUP(G52,'[1]CACFP FRL'!D:G,4,0)</f>
        <v>80550</v>
      </c>
      <c r="I52" s="22" t="str">
        <f>VLOOKUP(G52,[1]CHILDCARE_FACILITIES!AK:AL,2,0)</f>
        <v>CDC9789</v>
      </c>
      <c r="J52" s="22" t="e">
        <f>VLOOKUP(I52,'[1]Head Start QF 1-5 Stars'!O:Q,3,0)</f>
        <v>#N/A</v>
      </c>
      <c r="K52" s="23" t="s">
        <v>18822</v>
      </c>
      <c r="L52" s="22" t="s">
        <v>18883</v>
      </c>
      <c r="M52" s="22" t="s">
        <v>1637</v>
      </c>
      <c r="N52" s="22" t="s">
        <v>4105</v>
      </c>
      <c r="O52" s="23" t="s">
        <v>207</v>
      </c>
      <c r="P52" s="22" t="str">
        <f>"85602"</f>
        <v>85602</v>
      </c>
      <c r="Q52" s="22" t="str">
        <f>"6871"</f>
        <v>6871</v>
      </c>
      <c r="R52" s="22" t="s">
        <v>18841</v>
      </c>
      <c r="S52" s="23" t="s">
        <v>18842</v>
      </c>
      <c r="T52" s="22" t="s">
        <v>18884</v>
      </c>
      <c r="U52" s="22" t="s">
        <v>18713</v>
      </c>
      <c r="V52" s="22" t="s">
        <v>18731</v>
      </c>
      <c r="W52" s="22" t="s">
        <v>18731</v>
      </c>
      <c r="X52" s="22" t="s">
        <v>18731</v>
      </c>
      <c r="Y52" s="23">
        <v>20</v>
      </c>
      <c r="Z52" s="22" t="s">
        <v>18723</v>
      </c>
    </row>
    <row r="53" spans="1:26" hidden="1" x14ac:dyDescent="0.2">
      <c r="A53" s="23" t="s">
        <v>18822</v>
      </c>
      <c r="B53" s="22" t="s">
        <v>18823</v>
      </c>
      <c r="C53" s="23" t="str">
        <f>"000"</f>
        <v>000</v>
      </c>
      <c r="D53" s="23" t="s">
        <v>18718</v>
      </c>
      <c r="E53" s="22" t="s">
        <v>18823</v>
      </c>
      <c r="F53" s="22" t="s">
        <v>18824</v>
      </c>
      <c r="G53" s="22" t="str">
        <f>VLOOKUP(F53,[1]CHILDCARE_FACILITIES!N:Q,4,0)</f>
        <v>CDC-9344</v>
      </c>
      <c r="H53" s="22">
        <f>VLOOKUP(G53,'[1]CACFP FRL'!D:G,4,0)</f>
        <v>80523</v>
      </c>
      <c r="I53" s="22" t="str">
        <f>VLOOKUP(G53,[1]CHILDCARE_FACILITIES!AK:AL,2,0)</f>
        <v>CDC9344</v>
      </c>
      <c r="J53" s="22" t="e">
        <f>VLOOKUP(I53,'[1]Head Start QF 1-5 Stars'!O:Q,3,0)</f>
        <v>#N/A</v>
      </c>
      <c r="K53" s="23" t="s">
        <v>18822</v>
      </c>
      <c r="L53" s="22" t="s">
        <v>18825</v>
      </c>
      <c r="M53" s="22" t="s">
        <v>18826</v>
      </c>
      <c r="N53" s="22" t="s">
        <v>764</v>
      </c>
      <c r="O53" s="23" t="s">
        <v>207</v>
      </c>
      <c r="P53" s="22" t="str">
        <f>"85745"</f>
        <v>85745</v>
      </c>
      <c r="Q53" s="22" t="str">
        <f>"2790"</f>
        <v>2790</v>
      </c>
      <c r="R53" s="22" t="s">
        <v>996</v>
      </c>
      <c r="S53" s="23" t="s">
        <v>18721</v>
      </c>
      <c r="T53" s="22" t="s">
        <v>18827</v>
      </c>
      <c r="U53" s="22" t="s">
        <v>18713</v>
      </c>
      <c r="V53" s="22" t="s">
        <v>18714</v>
      </c>
      <c r="W53" s="22" t="s">
        <v>18714</v>
      </c>
      <c r="X53" s="22" t="s">
        <v>18714</v>
      </c>
      <c r="Y53" s="23">
        <v>9</v>
      </c>
      <c r="Z53" s="22" t="s">
        <v>18715</v>
      </c>
    </row>
    <row r="54" spans="1:26" hidden="1" x14ac:dyDescent="0.2">
      <c r="A54" s="23" t="s">
        <v>18885</v>
      </c>
      <c r="B54" s="22" t="s">
        <v>18886</v>
      </c>
      <c r="C54" s="23" t="str">
        <f>"200"</f>
        <v>200</v>
      </c>
      <c r="D54" s="23" t="s">
        <v>18706</v>
      </c>
      <c r="E54" s="22" t="s">
        <v>18886</v>
      </c>
      <c r="F54" s="22" t="s">
        <v>18887</v>
      </c>
      <c r="G54" s="22" t="str">
        <f>VLOOKUP(F54,[1]CHILDCARE_FACILITIES!N:Q,4,0)</f>
        <v>CDC-3662</v>
      </c>
      <c r="H54" s="22">
        <f>VLOOKUP(G54,'[1]CACFP FRL'!D:G,4,0)</f>
        <v>78777</v>
      </c>
      <c r="I54" s="22" t="str">
        <f>VLOOKUP(G54,[1]CHILDCARE_FACILITIES!AK:AL,2,0)</f>
        <v>CDC3662</v>
      </c>
      <c r="J54" s="22" t="e">
        <f>VLOOKUP(I54,'[1]Head Start QF 1-5 Stars'!O:Q,3,0)</f>
        <v>#N/A</v>
      </c>
      <c r="K54" s="23" t="s">
        <v>18885</v>
      </c>
      <c r="L54" s="22" t="s">
        <v>18888</v>
      </c>
      <c r="M54" s="22" t="s">
        <v>1637</v>
      </c>
      <c r="N54" s="22" t="s">
        <v>18889</v>
      </c>
      <c r="O54" s="23" t="s">
        <v>207</v>
      </c>
      <c r="P54" s="22" t="str">
        <f>"86442"</f>
        <v>86442</v>
      </c>
      <c r="Q54" s="22" t="str">
        <f>"5737"</f>
        <v>5737</v>
      </c>
      <c r="R54" s="22" t="s">
        <v>18890</v>
      </c>
      <c r="S54" s="23" t="s">
        <v>18764</v>
      </c>
      <c r="T54" s="22" t="s">
        <v>18891</v>
      </c>
      <c r="U54" s="22" t="s">
        <v>18713</v>
      </c>
      <c r="V54" s="22" t="s">
        <v>18731</v>
      </c>
      <c r="W54" s="22" t="s">
        <v>18714</v>
      </c>
      <c r="X54" s="22" t="s">
        <v>18714</v>
      </c>
      <c r="Y54" s="23">
        <v>8</v>
      </c>
      <c r="Z54" s="22" t="s">
        <v>18723</v>
      </c>
    </row>
    <row r="55" spans="1:26" hidden="1" x14ac:dyDescent="0.2">
      <c r="A55" s="23" t="s">
        <v>18892</v>
      </c>
      <c r="B55" s="22" t="s">
        <v>18886</v>
      </c>
      <c r="C55" s="23" t="str">
        <f>"200"</f>
        <v>200</v>
      </c>
      <c r="D55" s="23" t="s">
        <v>18706</v>
      </c>
      <c r="E55" s="22" t="s">
        <v>18886</v>
      </c>
      <c r="F55" s="22" t="s">
        <v>18887</v>
      </c>
      <c r="G55" s="22" t="str">
        <f>VLOOKUP(F55,[1]CHILDCARE_FACILITIES!N:Q,4,0)</f>
        <v>CDC-3662</v>
      </c>
      <c r="H55" s="22">
        <f>VLOOKUP(G55,'[1]CACFP FRL'!D:G,4,0)</f>
        <v>78777</v>
      </c>
      <c r="I55" s="22" t="str">
        <f>VLOOKUP(G55,[1]CHILDCARE_FACILITIES!AK:AL,2,0)</f>
        <v>CDC3662</v>
      </c>
      <c r="J55" s="22" t="e">
        <f>VLOOKUP(I55,'[1]Head Start QF 1-5 Stars'!O:Q,3,0)</f>
        <v>#N/A</v>
      </c>
      <c r="K55" s="23" t="s">
        <v>18892</v>
      </c>
      <c r="L55" s="22" t="s">
        <v>18888</v>
      </c>
      <c r="M55" s="22" t="s">
        <v>1637</v>
      </c>
      <c r="N55" s="22" t="s">
        <v>18889</v>
      </c>
      <c r="O55" s="23" t="s">
        <v>207</v>
      </c>
      <c r="P55" s="22" t="str">
        <f>"86442"</f>
        <v>86442</v>
      </c>
      <c r="Q55" s="22" t="str">
        <f>"5737"</f>
        <v>5737</v>
      </c>
      <c r="R55" s="22" t="s">
        <v>18890</v>
      </c>
      <c r="S55" s="23" t="s">
        <v>18764</v>
      </c>
      <c r="T55" s="22" t="s">
        <v>18891</v>
      </c>
      <c r="U55" s="22" t="s">
        <v>18713</v>
      </c>
      <c r="V55" s="22" t="s">
        <v>18714</v>
      </c>
      <c r="W55" s="22" t="s">
        <v>18714</v>
      </c>
      <c r="X55" s="22" t="s">
        <v>18714</v>
      </c>
      <c r="Y55" s="23">
        <v>8</v>
      </c>
      <c r="Z55" s="22" t="s">
        <v>18723</v>
      </c>
    </row>
    <row r="56" spans="1:26" hidden="1" x14ac:dyDescent="0.2">
      <c r="A56" s="23" t="s">
        <v>18716</v>
      </c>
      <c r="B56" s="22" t="s">
        <v>18717</v>
      </c>
      <c r="C56" s="23" t="str">
        <f>"200"</f>
        <v>200</v>
      </c>
      <c r="D56" s="23" t="s">
        <v>18706</v>
      </c>
      <c r="E56" s="22" t="s">
        <v>18717</v>
      </c>
      <c r="F56" s="22" t="s">
        <v>18735</v>
      </c>
      <c r="G56" s="22" t="str">
        <f>VLOOKUP(F56,[1]CHILDCARE_FACILITIES!N:Q,4,0)</f>
        <v>CDC-1774</v>
      </c>
      <c r="H56" s="22" t="e">
        <f>VLOOKUP(G56,'[1]CACFP FRL'!D:G,4,0)</f>
        <v>#N/A</v>
      </c>
      <c r="I56" s="22" t="str">
        <f>VLOOKUP(G56,[1]CHILDCARE_FACILITIES!AK:AL,2,0)</f>
        <v>CDC1774</v>
      </c>
      <c r="J56" s="22" t="e">
        <f>VLOOKUP(I56,'[1]Head Start QF 1-5 Stars'!O:Q,3,0)</f>
        <v>#N/A</v>
      </c>
      <c r="K56" s="23" t="s">
        <v>18716</v>
      </c>
      <c r="L56" s="22" t="s">
        <v>18736</v>
      </c>
      <c r="M56" s="22" t="s">
        <v>1637</v>
      </c>
      <c r="N56" s="22" t="s">
        <v>379</v>
      </c>
      <c r="O56" s="23" t="s">
        <v>207</v>
      </c>
      <c r="P56" s="22" t="str">
        <f>"85301"</f>
        <v>85301</v>
      </c>
      <c r="Q56" s="22" t="str">
        <f>"4131"</f>
        <v>4131</v>
      </c>
      <c r="R56" s="22" t="s">
        <v>18710</v>
      </c>
      <c r="S56" s="23" t="s">
        <v>18737</v>
      </c>
      <c r="T56" s="22" t="s">
        <v>18893</v>
      </c>
      <c r="U56" s="22" t="s">
        <v>18713</v>
      </c>
      <c r="V56" s="22" t="s">
        <v>18731</v>
      </c>
      <c r="W56" s="22" t="s">
        <v>18731</v>
      </c>
      <c r="X56" s="22" t="s">
        <v>18731</v>
      </c>
      <c r="Y56" s="23">
        <v>8</v>
      </c>
      <c r="Z56" s="22" t="s">
        <v>18723</v>
      </c>
    </row>
    <row r="57" spans="1:26" hidden="1" x14ac:dyDescent="0.2">
      <c r="A57" s="23" t="s">
        <v>18822</v>
      </c>
      <c r="B57" s="22" t="s">
        <v>18823</v>
      </c>
      <c r="C57" s="23" t="str">
        <f>"000"</f>
        <v>000</v>
      </c>
      <c r="D57" s="23" t="s">
        <v>18718</v>
      </c>
      <c r="E57" s="22" t="s">
        <v>18823</v>
      </c>
      <c r="F57" s="22" t="s">
        <v>18824</v>
      </c>
      <c r="G57" s="22" t="str">
        <f>VLOOKUP(F57,[1]CHILDCARE_FACILITIES!N:Q,4,0)</f>
        <v>CDC-9344</v>
      </c>
      <c r="H57" s="22">
        <f>VLOOKUP(G57,'[1]CACFP FRL'!D:G,4,0)</f>
        <v>80523</v>
      </c>
      <c r="I57" s="22" t="str">
        <f>VLOOKUP(G57,[1]CHILDCARE_FACILITIES!AK:AL,2,0)</f>
        <v>CDC9344</v>
      </c>
      <c r="J57" s="22" t="e">
        <f>VLOOKUP(I57,'[1]Head Start QF 1-5 Stars'!O:Q,3,0)</f>
        <v>#N/A</v>
      </c>
      <c r="K57" s="23" t="s">
        <v>18822</v>
      </c>
      <c r="L57" s="22" t="s">
        <v>18834</v>
      </c>
      <c r="M57" s="22" t="s">
        <v>1637</v>
      </c>
      <c r="N57" s="22" t="s">
        <v>18835</v>
      </c>
      <c r="O57" s="23" t="s">
        <v>207</v>
      </c>
      <c r="P57" s="22" t="str">
        <f>"85546"</f>
        <v>85546</v>
      </c>
      <c r="Q57" s="22" t="str">
        <f>"2529"</f>
        <v>2529</v>
      </c>
      <c r="R57" s="22" t="s">
        <v>18836</v>
      </c>
      <c r="S57" s="23" t="s">
        <v>18818</v>
      </c>
      <c r="T57" s="22" t="s">
        <v>18837</v>
      </c>
      <c r="U57" s="22" t="s">
        <v>18713</v>
      </c>
      <c r="V57" s="22" t="s">
        <v>18714</v>
      </c>
      <c r="W57" s="22" t="s">
        <v>18714</v>
      </c>
      <c r="X57" s="22" t="s">
        <v>18714</v>
      </c>
      <c r="Y57" s="23">
        <v>18</v>
      </c>
      <c r="Z57" s="22" t="s">
        <v>18715</v>
      </c>
    </row>
    <row r="58" spans="1:26" s="25" customFormat="1" hidden="1" x14ac:dyDescent="0.2">
      <c r="A58" s="23" t="s">
        <v>18822</v>
      </c>
      <c r="B58" s="22" t="s">
        <v>18823</v>
      </c>
      <c r="C58" s="23" t="str">
        <f>"000"</f>
        <v>000</v>
      </c>
      <c r="D58" s="23" t="s">
        <v>18718</v>
      </c>
      <c r="E58" s="22" t="s">
        <v>18823</v>
      </c>
      <c r="F58" s="22" t="s">
        <v>18852</v>
      </c>
      <c r="G58" s="22" t="str">
        <f>VLOOKUP(F58,[1]CHILDCARE_FACILITIES!N:Q,4,0)</f>
        <v>CDC-5245</v>
      </c>
      <c r="H58" s="22">
        <f>VLOOKUP(G58,'[1]CACFP FRL'!D:G,4,0)</f>
        <v>9846</v>
      </c>
      <c r="I58" s="22" t="str">
        <f>VLOOKUP(G58,[1]CHILDCARE_FACILITIES!AK:AL,2,0)</f>
        <v>CDC5245</v>
      </c>
      <c r="J58" s="22" t="e">
        <f>VLOOKUP(I58,'[1]Head Start QF 1-5 Stars'!O:Q,3,0)</f>
        <v>#N/A</v>
      </c>
      <c r="K58" s="23" t="s">
        <v>18822</v>
      </c>
      <c r="L58" s="22" t="s">
        <v>18853</v>
      </c>
      <c r="M58" s="22" t="s">
        <v>18854</v>
      </c>
      <c r="N58" s="22" t="s">
        <v>1298</v>
      </c>
      <c r="O58" s="23" t="s">
        <v>207</v>
      </c>
      <c r="P58" s="22" t="str">
        <f>"85607"</f>
        <v>85607</v>
      </c>
      <c r="Q58" s="22" t="str">
        <f>"1732"</f>
        <v>1732</v>
      </c>
      <c r="R58" s="22" t="s">
        <v>18841</v>
      </c>
      <c r="S58" s="23" t="s">
        <v>18842</v>
      </c>
      <c r="T58" s="22" t="s">
        <v>18855</v>
      </c>
      <c r="U58" s="22" t="s">
        <v>18713</v>
      </c>
      <c r="V58" s="22" t="s">
        <v>18731</v>
      </c>
      <c r="W58" s="22" t="s">
        <v>18731</v>
      </c>
      <c r="X58" s="22" t="s">
        <v>18731</v>
      </c>
      <c r="Y58" s="23">
        <v>74</v>
      </c>
      <c r="Z58" s="22" t="s">
        <v>18723</v>
      </c>
    </row>
    <row r="59" spans="1:26" s="25" customFormat="1" hidden="1" x14ac:dyDescent="0.2">
      <c r="A59" s="23" t="s">
        <v>18822</v>
      </c>
      <c r="B59" s="22" t="s">
        <v>18823</v>
      </c>
      <c r="C59" s="23" t="str">
        <f>"000"</f>
        <v>000</v>
      </c>
      <c r="D59" s="23" t="s">
        <v>18718</v>
      </c>
      <c r="E59" s="22" t="s">
        <v>18823</v>
      </c>
      <c r="F59" s="22" t="s">
        <v>18894</v>
      </c>
      <c r="G59" s="22" t="str">
        <f>VLOOKUP(F59,[1]CHILDCARE_FACILITIES!N:Q,4,0)</f>
        <v>CDC-3752</v>
      </c>
      <c r="H59" s="22">
        <f>VLOOKUP(G59,'[1]CACFP FRL'!D:G,4,0)</f>
        <v>9851</v>
      </c>
      <c r="I59" s="22" t="str">
        <f>VLOOKUP(G59,[1]CHILDCARE_FACILITIES!AK:AL,2,0)</f>
        <v>CDC3752</v>
      </c>
      <c r="J59" s="22" t="e">
        <f>VLOOKUP(I59,'[1]Head Start QF 1-5 Stars'!O:Q,3,0)</f>
        <v>#N/A</v>
      </c>
      <c r="K59" s="23" t="s">
        <v>18822</v>
      </c>
      <c r="L59" s="22" t="s">
        <v>18895</v>
      </c>
      <c r="M59" s="22" t="s">
        <v>1637</v>
      </c>
      <c r="N59" s="22" t="s">
        <v>18840</v>
      </c>
      <c r="O59" s="23" t="s">
        <v>207</v>
      </c>
      <c r="P59" s="22" t="str">
        <f>"85635"</f>
        <v>85635</v>
      </c>
      <c r="Q59" s="22" t="str">
        <f>"1160"</f>
        <v>1160</v>
      </c>
      <c r="R59" s="22" t="s">
        <v>18841</v>
      </c>
      <c r="S59" s="23" t="s">
        <v>18842</v>
      </c>
      <c r="T59" s="22" t="s">
        <v>18896</v>
      </c>
      <c r="U59" s="22" t="s">
        <v>18713</v>
      </c>
      <c r="V59" s="22" t="s">
        <v>18731</v>
      </c>
      <c r="W59" s="22" t="s">
        <v>18731</v>
      </c>
      <c r="X59" s="22" t="s">
        <v>18731</v>
      </c>
      <c r="Y59" s="23">
        <v>57</v>
      </c>
      <c r="Z59" s="22" t="s">
        <v>18723</v>
      </c>
    </row>
    <row r="60" spans="1:26" hidden="1" x14ac:dyDescent="0.2">
      <c r="A60" s="23" t="s">
        <v>18822</v>
      </c>
      <c r="B60" s="22" t="s">
        <v>18823</v>
      </c>
      <c r="C60" s="23" t="str">
        <f>"000"</f>
        <v>000</v>
      </c>
      <c r="D60" s="23" t="s">
        <v>18718</v>
      </c>
      <c r="E60" s="22" t="s">
        <v>18823</v>
      </c>
      <c r="F60" s="22" t="s">
        <v>18897</v>
      </c>
      <c r="G60" s="22" t="str">
        <f>VLOOKUP(F60,[1]CHILDCARE_FACILITIES!N:Q,4,0)</f>
        <v>CDC-10823</v>
      </c>
      <c r="H60" s="22">
        <f>VLOOKUP(G60,'[1]CACFP FRL'!D:G,4,0)</f>
        <v>84338</v>
      </c>
      <c r="I60" s="22" t="str">
        <f>VLOOKUP(G60,[1]CHILDCARE_FACILITIES!AK:AL,2,0)</f>
        <v>CDC10823</v>
      </c>
      <c r="J60" s="22" t="e">
        <f>VLOOKUP(I60,'[1]Head Start QF 1-5 Stars'!O:Q,3,0)</f>
        <v>#N/A</v>
      </c>
      <c r="K60" s="23" t="s">
        <v>18822</v>
      </c>
      <c r="L60" s="22" t="s">
        <v>18898</v>
      </c>
      <c r="M60" s="22" t="s">
        <v>1637</v>
      </c>
      <c r="N60" s="22" t="s">
        <v>764</v>
      </c>
      <c r="O60" s="23" t="s">
        <v>207</v>
      </c>
      <c r="P60" s="22" t="str">
        <f>"85713"</f>
        <v>85713</v>
      </c>
      <c r="Q60" s="22" t="str">
        <f>"5235"</f>
        <v>5235</v>
      </c>
      <c r="R60" s="22" t="s">
        <v>996</v>
      </c>
      <c r="S60" s="23" t="s">
        <v>18721</v>
      </c>
      <c r="T60" s="22" t="s">
        <v>18899</v>
      </c>
      <c r="U60" s="22" t="s">
        <v>18713</v>
      </c>
      <c r="V60" s="22" t="s">
        <v>18731</v>
      </c>
      <c r="W60" s="22" t="s">
        <v>18731</v>
      </c>
      <c r="X60" s="22" t="s">
        <v>18731</v>
      </c>
      <c r="Y60" s="23">
        <v>74</v>
      </c>
      <c r="Z60" s="22" t="s">
        <v>18723</v>
      </c>
    </row>
    <row r="61" spans="1:26" hidden="1" x14ac:dyDescent="0.2">
      <c r="A61" s="23" t="s">
        <v>18822</v>
      </c>
      <c r="B61" s="22" t="s">
        <v>18823</v>
      </c>
      <c r="C61" s="23" t="str">
        <f>"000"</f>
        <v>000</v>
      </c>
      <c r="D61" s="23" t="s">
        <v>18718</v>
      </c>
      <c r="E61" s="22" t="s">
        <v>18823</v>
      </c>
      <c r="F61" s="22" t="s">
        <v>18900</v>
      </c>
      <c r="G61" s="22" t="str">
        <f>VLOOKUP(F61,[1]CHILDCARE_FACILITIES!N:Q,4,0)</f>
        <v>CDC-3861</v>
      </c>
      <c r="H61" s="22">
        <f>VLOOKUP(G61,'[1]CACFP FRL'!D:G,4,0)</f>
        <v>7930</v>
      </c>
      <c r="I61" s="22" t="str">
        <f>VLOOKUP(G61,[1]CHILDCARE_FACILITIES!AK:AL,2,0)</f>
        <v>CDC3861</v>
      </c>
      <c r="J61" s="22" t="e">
        <f>VLOOKUP(I61,'[1]Head Start QF 1-5 Stars'!O:Q,3,0)</f>
        <v>#N/A</v>
      </c>
      <c r="K61" s="23" t="s">
        <v>18822</v>
      </c>
      <c r="L61" s="22" t="s">
        <v>1294</v>
      </c>
      <c r="M61" s="22" t="s">
        <v>1637</v>
      </c>
      <c r="N61" s="22" t="s">
        <v>413</v>
      </c>
      <c r="O61" s="23" t="s">
        <v>207</v>
      </c>
      <c r="P61" s="22" t="str">
        <f>"85621"</f>
        <v>85621</v>
      </c>
      <c r="Q61" s="22" t="str">
        <f>"3410"</f>
        <v>3410</v>
      </c>
      <c r="R61" s="22" t="s">
        <v>18901</v>
      </c>
      <c r="S61" s="23" t="s">
        <v>18721</v>
      </c>
      <c r="T61" s="22" t="s">
        <v>18902</v>
      </c>
      <c r="U61" s="22" t="s">
        <v>18713</v>
      </c>
      <c r="V61" s="22" t="s">
        <v>18731</v>
      </c>
      <c r="W61" s="22" t="s">
        <v>18731</v>
      </c>
      <c r="X61" s="22" t="s">
        <v>18731</v>
      </c>
      <c r="Y61" s="23">
        <v>60</v>
      </c>
      <c r="Z61" s="22" t="s">
        <v>18723</v>
      </c>
    </row>
    <row r="62" spans="1:26" x14ac:dyDescent="0.2">
      <c r="A62" s="23" t="s">
        <v>18903</v>
      </c>
      <c r="B62" s="22" t="s">
        <v>18742</v>
      </c>
      <c r="C62" s="23" t="str">
        <f>"200"</f>
        <v>200</v>
      </c>
      <c r="D62" s="23" t="s">
        <v>18706</v>
      </c>
      <c r="E62" s="22" t="s">
        <v>18742</v>
      </c>
      <c r="F62" s="22" t="s">
        <v>18904</v>
      </c>
      <c r="G62" s="22" t="str">
        <f>VLOOKUP(F62,[1]CHILDCARE_FACILITIES!N:Q,4,0)</f>
        <v>CDC-16807</v>
      </c>
      <c r="H62" s="22" t="e">
        <f>VLOOKUP(G62,'[1]CACFP FRL'!D:G,4,0)</f>
        <v>#N/A</v>
      </c>
      <c r="I62" s="22" t="str">
        <f>VLOOKUP(G62,[1]CHILDCARE_FACILITIES!AK:AL,2,0)</f>
        <v>CDC16807</v>
      </c>
      <c r="J62" s="22">
        <f>VLOOKUP(I62,'[1]Head Start QF 1-5 Stars'!O:Q,3,0)</f>
        <v>79</v>
      </c>
      <c r="K62" s="23" t="s">
        <v>18903</v>
      </c>
      <c r="L62" s="22" t="s">
        <v>18905</v>
      </c>
      <c r="M62" s="22" t="s">
        <v>1637</v>
      </c>
      <c r="N62" s="22" t="s">
        <v>495</v>
      </c>
      <c r="O62" s="23" t="s">
        <v>207</v>
      </c>
      <c r="P62" s="22" t="str">
        <f>"85033"</f>
        <v>85033</v>
      </c>
      <c r="Q62" s="22" t="str">
        <f>"3138"</f>
        <v>3138</v>
      </c>
      <c r="R62" s="22" t="s">
        <v>18710</v>
      </c>
      <c r="S62" s="23" t="s">
        <v>18737</v>
      </c>
      <c r="T62" s="22" t="s">
        <v>18865</v>
      </c>
      <c r="U62" s="22" t="s">
        <v>18713</v>
      </c>
      <c r="V62" s="22" t="s">
        <v>18714</v>
      </c>
      <c r="W62" s="22" t="s">
        <v>18714</v>
      </c>
      <c r="X62" s="22" t="s">
        <v>18714</v>
      </c>
      <c r="Y62" s="23">
        <v>112</v>
      </c>
      <c r="Z62" s="22" t="s">
        <v>18715</v>
      </c>
    </row>
    <row r="63" spans="1:26" hidden="1" x14ac:dyDescent="0.2">
      <c r="A63" s="23" t="s">
        <v>18822</v>
      </c>
      <c r="B63" s="22" t="s">
        <v>18823</v>
      </c>
      <c r="C63" s="23" t="str">
        <f>"000"</f>
        <v>000</v>
      </c>
      <c r="D63" s="23" t="s">
        <v>18718</v>
      </c>
      <c r="E63" s="22" t="s">
        <v>18823</v>
      </c>
      <c r="F63" s="22" t="s">
        <v>18906</v>
      </c>
      <c r="G63" s="22" t="str">
        <f>VLOOKUP(F63,[1]CHILDCARE_FACILITIES!N:Q,4,0)</f>
        <v>CDC-8138</v>
      </c>
      <c r="H63" s="22">
        <f>VLOOKUP(G63,'[1]CACFP FRL'!D:G,4,0)</f>
        <v>7929</v>
      </c>
      <c r="I63" s="22" t="str">
        <f>VLOOKUP(G63,[1]CHILDCARE_FACILITIES!AK:AL,2,0)</f>
        <v>CDC8138</v>
      </c>
      <c r="J63" s="22" t="e">
        <f>VLOOKUP(I63,'[1]Head Start QF 1-5 Stars'!O:Q,3,0)</f>
        <v>#N/A</v>
      </c>
      <c r="K63" s="23" t="s">
        <v>18822</v>
      </c>
      <c r="L63" s="22" t="s">
        <v>18907</v>
      </c>
      <c r="M63" s="22" t="s">
        <v>1637</v>
      </c>
      <c r="N63" s="22" t="s">
        <v>836</v>
      </c>
      <c r="O63" s="23" t="s">
        <v>207</v>
      </c>
      <c r="P63" s="22" t="str">
        <f>"85603"</f>
        <v>85603</v>
      </c>
      <c r="Q63" s="22" t="str">
        <f>"9744"</f>
        <v>9744</v>
      </c>
      <c r="R63" s="22" t="s">
        <v>18841</v>
      </c>
      <c r="S63" s="23" t="s">
        <v>18842</v>
      </c>
      <c r="T63" s="22" t="s">
        <v>18908</v>
      </c>
      <c r="U63" s="22" t="s">
        <v>18713</v>
      </c>
      <c r="V63" s="22" t="s">
        <v>18731</v>
      </c>
      <c r="W63" s="22" t="s">
        <v>18731</v>
      </c>
      <c r="X63" s="22" t="s">
        <v>18731</v>
      </c>
      <c r="Y63" s="23">
        <v>57</v>
      </c>
      <c r="Z63" s="22" t="s">
        <v>18723</v>
      </c>
    </row>
    <row r="64" spans="1:26" s="25" customFormat="1" hidden="1" x14ac:dyDescent="0.2">
      <c r="A64" s="23" t="s">
        <v>18822</v>
      </c>
      <c r="B64" s="22" t="s">
        <v>18823</v>
      </c>
      <c r="C64" s="23" t="str">
        <f>"000"</f>
        <v>000</v>
      </c>
      <c r="D64" s="23" t="s">
        <v>18718</v>
      </c>
      <c r="E64" s="22" t="s">
        <v>18823</v>
      </c>
      <c r="F64" s="22" t="s">
        <v>18909</v>
      </c>
      <c r="G64" s="22" t="str">
        <f>VLOOKUP(F64,[1]CHILDCARE_FACILITIES!N:Q,4,0)</f>
        <v>CDC-9714</v>
      </c>
      <c r="H64" s="22">
        <f>VLOOKUP(G64,'[1]CACFP FRL'!D:G,4,0)</f>
        <v>80551</v>
      </c>
      <c r="I64" s="22" t="str">
        <f>VLOOKUP(G64,[1]CHILDCARE_FACILITIES!AK:AL,2,0)</f>
        <v>CDC9714</v>
      </c>
      <c r="J64" s="22" t="e">
        <f>VLOOKUP(I64,'[1]Head Start QF 1-5 Stars'!O:Q,3,0)</f>
        <v>#N/A</v>
      </c>
      <c r="K64" s="23" t="s">
        <v>18822</v>
      </c>
      <c r="L64" s="22" t="s">
        <v>18910</v>
      </c>
      <c r="M64" s="22" t="s">
        <v>1637</v>
      </c>
      <c r="N64" s="22" t="s">
        <v>764</v>
      </c>
      <c r="O64" s="23" t="s">
        <v>207</v>
      </c>
      <c r="P64" s="22" t="str">
        <f>"85739"</f>
        <v>85739</v>
      </c>
      <c r="Q64" s="22" t="str">
        <f>"9510"</f>
        <v>9510</v>
      </c>
      <c r="R64" s="22" t="s">
        <v>996</v>
      </c>
      <c r="S64" s="23" t="s">
        <v>18818</v>
      </c>
      <c r="T64" s="22" t="s">
        <v>18911</v>
      </c>
      <c r="U64" s="22" t="s">
        <v>18713</v>
      </c>
      <c r="V64" s="22" t="s">
        <v>18731</v>
      </c>
      <c r="W64" s="22" t="s">
        <v>18731</v>
      </c>
      <c r="X64" s="22" t="s">
        <v>18731</v>
      </c>
      <c r="Y64" s="23">
        <v>37</v>
      </c>
      <c r="Z64" s="22" t="s">
        <v>18723</v>
      </c>
    </row>
    <row r="65" spans="1:26" hidden="1" x14ac:dyDescent="0.2">
      <c r="A65" s="23" t="s">
        <v>18912</v>
      </c>
      <c r="B65" s="22" t="s">
        <v>18913</v>
      </c>
      <c r="C65" s="23" t="str">
        <f>"200"</f>
        <v>200</v>
      </c>
      <c r="D65" s="23" t="s">
        <v>18706</v>
      </c>
      <c r="E65" s="22" t="s">
        <v>18913</v>
      </c>
      <c r="F65" s="22" t="s">
        <v>1077</v>
      </c>
      <c r="G65" s="22" t="str">
        <f>VLOOKUP(F65,[1]CHILDCARE_FACILITIES!N:Q,4,0)</f>
        <v>CDC-3696</v>
      </c>
      <c r="H65" s="22" t="e">
        <f>VLOOKUP(G65,'[1]CACFP FRL'!D:G,4,0)</f>
        <v>#N/A</v>
      </c>
      <c r="I65" s="22" t="str">
        <f>VLOOKUP(G65,[1]CHILDCARE_FACILITIES!AK:AL,2,0)</f>
        <v>CDC3696</v>
      </c>
      <c r="J65" s="22" t="e">
        <f>VLOOKUP(I65,'[1]Head Start QF 1-5 Stars'!O:Q,3,0)</f>
        <v>#N/A</v>
      </c>
      <c r="K65" s="23" t="s">
        <v>18912</v>
      </c>
      <c r="L65" s="22" t="s">
        <v>18914</v>
      </c>
      <c r="M65" s="22" t="s">
        <v>1637</v>
      </c>
      <c r="N65" s="22" t="s">
        <v>391</v>
      </c>
      <c r="O65" s="23" t="s">
        <v>207</v>
      </c>
      <c r="P65" s="22" t="str">
        <f>"86322"</f>
        <v>86322</v>
      </c>
      <c r="Q65" s="22" t="str">
        <f>""</f>
        <v/>
      </c>
      <c r="R65" s="22" t="s">
        <v>18915</v>
      </c>
      <c r="S65" s="23" t="s">
        <v>18818</v>
      </c>
      <c r="T65" s="22" t="s">
        <v>18916</v>
      </c>
      <c r="U65" s="22" t="s">
        <v>18713</v>
      </c>
      <c r="V65" s="22" t="s">
        <v>18731</v>
      </c>
      <c r="W65" s="22" t="s">
        <v>18731</v>
      </c>
      <c r="X65" s="22" t="s">
        <v>18731</v>
      </c>
      <c r="Y65" s="23">
        <v>28</v>
      </c>
      <c r="Z65" s="22" t="s">
        <v>18723</v>
      </c>
    </row>
    <row r="66" spans="1:26" hidden="1" x14ac:dyDescent="0.2">
      <c r="A66" s="23" t="s">
        <v>18822</v>
      </c>
      <c r="B66" s="22" t="s">
        <v>18823</v>
      </c>
      <c r="C66" s="23" t="str">
        <f t="shared" ref="C66:C73" si="2">"000"</f>
        <v>000</v>
      </c>
      <c r="D66" s="23" t="s">
        <v>18718</v>
      </c>
      <c r="E66" s="22" t="s">
        <v>18823</v>
      </c>
      <c r="F66" s="22" t="s">
        <v>18917</v>
      </c>
      <c r="G66" s="22" t="str">
        <f>VLOOKUP(F66,[1]CHILDCARE_FACILITIES!N:Q,4,0)</f>
        <v>CDC-7465</v>
      </c>
      <c r="H66" s="22">
        <f>VLOOKUP(G66,'[1]CACFP FRL'!D:G,4,0)</f>
        <v>9826</v>
      </c>
      <c r="I66" s="22" t="str">
        <f>VLOOKUP(G66,[1]CHILDCARE_FACILITIES!AK:AL,2,0)</f>
        <v>CDC7465</v>
      </c>
      <c r="J66" s="22" t="e">
        <f>VLOOKUP(I66,'[1]Head Start QF 1-5 Stars'!O:Q,3,0)</f>
        <v>#N/A</v>
      </c>
      <c r="K66" s="23" t="s">
        <v>18822</v>
      </c>
      <c r="L66" s="22" t="s">
        <v>18918</v>
      </c>
      <c r="M66" s="22" t="s">
        <v>1637</v>
      </c>
      <c r="N66" s="22" t="s">
        <v>764</v>
      </c>
      <c r="O66" s="23" t="s">
        <v>207</v>
      </c>
      <c r="P66" s="22" t="str">
        <f>"85743"</f>
        <v>85743</v>
      </c>
      <c r="Q66" s="22" t="str">
        <f>"9724"</f>
        <v>9724</v>
      </c>
      <c r="R66" s="22" t="s">
        <v>996</v>
      </c>
      <c r="S66" s="23" t="s">
        <v>18721</v>
      </c>
      <c r="T66" s="22" t="s">
        <v>18919</v>
      </c>
      <c r="U66" s="22" t="s">
        <v>18713</v>
      </c>
      <c r="V66" s="22" t="s">
        <v>18731</v>
      </c>
      <c r="W66" s="22" t="s">
        <v>18731</v>
      </c>
      <c r="X66" s="22" t="s">
        <v>18731</v>
      </c>
      <c r="Y66" s="23">
        <v>40</v>
      </c>
      <c r="Z66" s="22" t="s">
        <v>18723</v>
      </c>
    </row>
    <row r="67" spans="1:26" hidden="1" x14ac:dyDescent="0.2">
      <c r="A67" s="23" t="s">
        <v>18822</v>
      </c>
      <c r="B67" s="22" t="s">
        <v>18823</v>
      </c>
      <c r="C67" s="23" t="str">
        <f t="shared" si="2"/>
        <v>000</v>
      </c>
      <c r="D67" s="23" t="s">
        <v>18718</v>
      </c>
      <c r="E67" s="22" t="s">
        <v>18823</v>
      </c>
      <c r="F67" s="22" t="s">
        <v>18920</v>
      </c>
      <c r="G67" s="22" t="str">
        <f>VLOOKUP(F67,[1]CHILDCARE_FACILITIES!N:Q,4,0)</f>
        <v>CDC-5072</v>
      </c>
      <c r="H67" s="22">
        <f>VLOOKUP(G67,'[1]CACFP FRL'!D:G,4,0)</f>
        <v>7932</v>
      </c>
      <c r="I67" s="22" t="str">
        <f>VLOOKUP(G67,[1]CHILDCARE_FACILITIES!AK:AL,2,0)</f>
        <v>CDC5072</v>
      </c>
      <c r="J67" s="22" t="e">
        <f>VLOOKUP(I67,'[1]Head Start QF 1-5 Stars'!O:Q,3,0)</f>
        <v>#N/A</v>
      </c>
      <c r="K67" s="23" t="s">
        <v>18822</v>
      </c>
      <c r="L67" s="22" t="s">
        <v>18921</v>
      </c>
      <c r="M67" s="22" t="s">
        <v>1637</v>
      </c>
      <c r="N67" s="22" t="s">
        <v>8535</v>
      </c>
      <c r="O67" s="23" t="s">
        <v>207</v>
      </c>
      <c r="P67" s="22" t="str">
        <f>"85534"</f>
        <v>85534</v>
      </c>
      <c r="Q67" s="22" t="str">
        <f>""</f>
        <v/>
      </c>
      <c r="R67" s="22" t="s">
        <v>18922</v>
      </c>
      <c r="S67" s="23" t="s">
        <v>18818</v>
      </c>
      <c r="T67" s="22" t="s">
        <v>18923</v>
      </c>
      <c r="U67" s="22" t="s">
        <v>18713</v>
      </c>
      <c r="V67" s="22" t="s">
        <v>18731</v>
      </c>
      <c r="W67" s="22" t="s">
        <v>18731</v>
      </c>
      <c r="X67" s="22" t="s">
        <v>18731</v>
      </c>
      <c r="Y67" s="23">
        <v>20</v>
      </c>
      <c r="Z67" s="22" t="s">
        <v>18723</v>
      </c>
    </row>
    <row r="68" spans="1:26" hidden="1" x14ac:dyDescent="0.2">
      <c r="A68" s="23" t="s">
        <v>18822</v>
      </c>
      <c r="B68" s="22" t="s">
        <v>18823</v>
      </c>
      <c r="C68" s="23" t="str">
        <f t="shared" si="2"/>
        <v>000</v>
      </c>
      <c r="D68" s="23" t="s">
        <v>18718</v>
      </c>
      <c r="E68" s="22" t="s">
        <v>18823</v>
      </c>
      <c r="F68" s="22" t="s">
        <v>18924</v>
      </c>
      <c r="G68" s="22" t="str">
        <f>VLOOKUP(F68,[1]CHILDCARE_FACILITIES!N:Q,4,0)</f>
        <v>CDC-11133</v>
      </c>
      <c r="H68" s="22">
        <f>VLOOKUP(G68,'[1]CACFP FRL'!D:G,4,0)</f>
        <v>85207</v>
      </c>
      <c r="I68" s="22" t="str">
        <f>VLOOKUP(G68,[1]CHILDCARE_FACILITIES!AK:AL,2,0)</f>
        <v>CDC11133</v>
      </c>
      <c r="J68" s="22" t="e">
        <f>VLOOKUP(I68,'[1]Head Start QF 1-5 Stars'!O:Q,3,0)</f>
        <v>#N/A</v>
      </c>
      <c r="K68" s="23" t="s">
        <v>18822</v>
      </c>
      <c r="L68" s="22" t="s">
        <v>18925</v>
      </c>
      <c r="M68" s="22" t="s">
        <v>1637</v>
      </c>
      <c r="N68" s="22" t="s">
        <v>764</v>
      </c>
      <c r="O68" s="23" t="s">
        <v>207</v>
      </c>
      <c r="P68" s="22" t="str">
        <f>"85756"</f>
        <v>85756</v>
      </c>
      <c r="Q68" s="22" t="str">
        <f>"6683"</f>
        <v>6683</v>
      </c>
      <c r="R68" s="22" t="s">
        <v>996</v>
      </c>
      <c r="S68" s="23" t="s">
        <v>18721</v>
      </c>
      <c r="T68" s="22" t="s">
        <v>18926</v>
      </c>
      <c r="U68" s="22" t="s">
        <v>18713</v>
      </c>
      <c r="V68" s="22" t="s">
        <v>18731</v>
      </c>
      <c r="W68" s="22" t="s">
        <v>18731</v>
      </c>
      <c r="X68" s="22" t="s">
        <v>18731</v>
      </c>
      <c r="Y68" s="23">
        <v>74</v>
      </c>
      <c r="Z68" s="22" t="s">
        <v>18723</v>
      </c>
    </row>
    <row r="69" spans="1:26" hidden="1" x14ac:dyDescent="0.2">
      <c r="A69" s="23" t="s">
        <v>18822</v>
      </c>
      <c r="B69" s="22" t="s">
        <v>18823</v>
      </c>
      <c r="C69" s="23" t="str">
        <f t="shared" si="2"/>
        <v>000</v>
      </c>
      <c r="D69" s="23" t="s">
        <v>18718</v>
      </c>
      <c r="E69" s="22" t="s">
        <v>18823</v>
      </c>
      <c r="F69" s="22" t="s">
        <v>18927</v>
      </c>
      <c r="G69" s="22" t="str">
        <f>VLOOKUP(F69,[1]CHILDCARE_FACILITIES!N:Q,4,0)</f>
        <v>CDC-5587</v>
      </c>
      <c r="H69" s="22">
        <f>VLOOKUP(G69,'[1]CACFP FRL'!D:G,4,0)</f>
        <v>9847</v>
      </c>
      <c r="I69" s="22" t="str">
        <f>VLOOKUP(G69,[1]CHILDCARE_FACILITIES!AK:AL,2,0)</f>
        <v>CDC5587</v>
      </c>
      <c r="J69" s="22" t="e">
        <f>VLOOKUP(I69,'[1]Head Start QF 1-5 Stars'!O:Q,3,0)</f>
        <v>#N/A</v>
      </c>
      <c r="K69" s="23" t="s">
        <v>18822</v>
      </c>
      <c r="L69" s="22" t="s">
        <v>18928</v>
      </c>
      <c r="M69" s="22" t="s">
        <v>1637</v>
      </c>
      <c r="N69" s="22" t="s">
        <v>764</v>
      </c>
      <c r="O69" s="23" t="s">
        <v>207</v>
      </c>
      <c r="P69" s="22" t="str">
        <f>"85730"</f>
        <v>85730</v>
      </c>
      <c r="Q69" s="22" t="str">
        <f>"2288"</f>
        <v>2288</v>
      </c>
      <c r="R69" s="22" t="s">
        <v>996</v>
      </c>
      <c r="S69" s="23" t="s">
        <v>18842</v>
      </c>
      <c r="T69" s="22" t="s">
        <v>18929</v>
      </c>
      <c r="U69" s="22" t="s">
        <v>18713</v>
      </c>
      <c r="V69" s="22" t="s">
        <v>18731</v>
      </c>
      <c r="W69" s="22" t="s">
        <v>18731</v>
      </c>
      <c r="X69" s="22" t="s">
        <v>18731</v>
      </c>
      <c r="Y69" s="23">
        <v>60</v>
      </c>
      <c r="Z69" s="22" t="s">
        <v>18723</v>
      </c>
    </row>
    <row r="70" spans="1:26" hidden="1" x14ac:dyDescent="0.2">
      <c r="A70" s="23" t="s">
        <v>18822</v>
      </c>
      <c r="B70" s="22" t="s">
        <v>18823</v>
      </c>
      <c r="C70" s="23" t="str">
        <f t="shared" si="2"/>
        <v>000</v>
      </c>
      <c r="D70" s="23" t="s">
        <v>18718</v>
      </c>
      <c r="E70" s="22" t="s">
        <v>18823</v>
      </c>
      <c r="F70" s="22" t="s">
        <v>18930</v>
      </c>
      <c r="G70" s="22" t="str">
        <f>VLOOKUP(F70,[1]CHILDCARE_FACILITIES!N:Q,4,0)</f>
        <v>CDC-5896</v>
      </c>
      <c r="H70" s="22">
        <f>VLOOKUP(G70,'[1]CACFP FRL'!D:G,4,0)</f>
        <v>84191</v>
      </c>
      <c r="I70" s="22" t="str">
        <f>VLOOKUP(G70,[1]CHILDCARE_FACILITIES!AK:AL,2,0)</f>
        <v>CDC5896</v>
      </c>
      <c r="J70" s="22" t="e">
        <f>VLOOKUP(I70,'[1]Head Start QF 1-5 Stars'!O:Q,3,0)</f>
        <v>#N/A</v>
      </c>
      <c r="K70" s="23" t="s">
        <v>18822</v>
      </c>
      <c r="L70" s="22" t="s">
        <v>18931</v>
      </c>
      <c r="M70" s="22" t="s">
        <v>1637</v>
      </c>
      <c r="N70" s="22" t="s">
        <v>764</v>
      </c>
      <c r="O70" s="23" t="s">
        <v>207</v>
      </c>
      <c r="P70" s="22" t="str">
        <f>"85705"</f>
        <v>85705</v>
      </c>
      <c r="Q70" s="22" t="str">
        <f>"2370"</f>
        <v>2370</v>
      </c>
      <c r="R70" s="22" t="s">
        <v>996</v>
      </c>
      <c r="S70" s="23" t="s">
        <v>18842</v>
      </c>
      <c r="T70" s="22" t="s">
        <v>18932</v>
      </c>
      <c r="U70" s="22" t="s">
        <v>18713</v>
      </c>
      <c r="V70" s="22" t="s">
        <v>18731</v>
      </c>
      <c r="W70" s="22" t="s">
        <v>18731</v>
      </c>
      <c r="X70" s="22" t="s">
        <v>18731</v>
      </c>
      <c r="Y70" s="23">
        <v>57</v>
      </c>
      <c r="Z70" s="22" t="s">
        <v>18723</v>
      </c>
    </row>
    <row r="71" spans="1:26" hidden="1" x14ac:dyDescent="0.2">
      <c r="A71" s="23" t="s">
        <v>18822</v>
      </c>
      <c r="B71" s="22" t="s">
        <v>18823</v>
      </c>
      <c r="C71" s="23" t="str">
        <f t="shared" si="2"/>
        <v>000</v>
      </c>
      <c r="D71" s="23" t="s">
        <v>18718</v>
      </c>
      <c r="E71" s="22" t="s">
        <v>18823</v>
      </c>
      <c r="F71" s="22" t="s">
        <v>18933</v>
      </c>
      <c r="G71" s="22" t="str">
        <f>VLOOKUP(F71,[1]CHILDCARE_FACILITIES!N:Q,4,0)</f>
        <v>CDC-4222</v>
      </c>
      <c r="H71" s="22">
        <f>VLOOKUP(G71,'[1]CACFP FRL'!D:G,4,0)</f>
        <v>7933</v>
      </c>
      <c r="I71" s="22" t="str">
        <f>VLOOKUP(G71,[1]CHILDCARE_FACILITIES!AK:AL,2,0)</f>
        <v>CDC4222</v>
      </c>
      <c r="J71" s="22" t="e">
        <f>VLOOKUP(I71,'[1]Head Start QF 1-5 Stars'!O:Q,3,0)</f>
        <v>#N/A</v>
      </c>
      <c r="K71" s="23" t="s">
        <v>18822</v>
      </c>
      <c r="L71" s="22" t="s">
        <v>18934</v>
      </c>
      <c r="M71" s="22" t="s">
        <v>1637</v>
      </c>
      <c r="N71" s="22" t="s">
        <v>764</v>
      </c>
      <c r="O71" s="23" t="s">
        <v>207</v>
      </c>
      <c r="P71" s="22" t="str">
        <f>"85705"</f>
        <v>85705</v>
      </c>
      <c r="Q71" s="22" t="str">
        <f>"4133"</f>
        <v>4133</v>
      </c>
      <c r="R71" s="22" t="s">
        <v>996</v>
      </c>
      <c r="S71" s="23" t="s">
        <v>18842</v>
      </c>
      <c r="T71" s="22" t="s">
        <v>18935</v>
      </c>
      <c r="U71" s="22" t="s">
        <v>18713</v>
      </c>
      <c r="V71" s="22" t="s">
        <v>18731</v>
      </c>
      <c r="W71" s="22" t="s">
        <v>18731</v>
      </c>
      <c r="X71" s="22" t="s">
        <v>18731</v>
      </c>
      <c r="Y71" s="23">
        <v>57</v>
      </c>
      <c r="Z71" s="22" t="s">
        <v>18723</v>
      </c>
    </row>
    <row r="72" spans="1:26" s="25" customFormat="1" hidden="1" x14ac:dyDescent="0.2">
      <c r="A72" s="23" t="s">
        <v>18822</v>
      </c>
      <c r="B72" s="22" t="s">
        <v>18823</v>
      </c>
      <c r="C72" s="23" t="str">
        <f t="shared" si="2"/>
        <v>000</v>
      </c>
      <c r="D72" s="23" t="s">
        <v>18718</v>
      </c>
      <c r="E72" s="22" t="s">
        <v>18823</v>
      </c>
      <c r="F72" s="22" t="s">
        <v>18936</v>
      </c>
      <c r="G72" s="22" t="str">
        <f>VLOOKUP(F72,[1]CHILDCARE_FACILITIES!N:Q,4,0)</f>
        <v>CDC-6850</v>
      </c>
      <c r="H72" s="22" t="e">
        <f>VLOOKUP(G72,'[1]CACFP FRL'!D:G,4,0)</f>
        <v>#N/A</v>
      </c>
      <c r="I72" s="22" t="str">
        <f>VLOOKUP(G72,[1]CHILDCARE_FACILITIES!AK:AL,2,0)</f>
        <v>CDC6850</v>
      </c>
      <c r="J72" s="22" t="e">
        <f>VLOOKUP(I72,'[1]Head Start QF 1-5 Stars'!O:Q,3,0)</f>
        <v>#N/A</v>
      </c>
      <c r="K72" s="23" t="s">
        <v>18822</v>
      </c>
      <c r="L72" s="22" t="s">
        <v>18937</v>
      </c>
      <c r="M72" s="22" t="s">
        <v>1637</v>
      </c>
      <c r="N72" s="22" t="s">
        <v>764</v>
      </c>
      <c r="O72" s="23" t="s">
        <v>207</v>
      </c>
      <c r="P72" s="22" t="str">
        <f>"85705"</f>
        <v>85705</v>
      </c>
      <c r="Q72" s="22" t="str">
        <f>"4664"</f>
        <v>4664</v>
      </c>
      <c r="R72" s="22" t="s">
        <v>996</v>
      </c>
      <c r="S72" s="23" t="s">
        <v>18842</v>
      </c>
      <c r="T72" s="22" t="s">
        <v>18938</v>
      </c>
      <c r="U72" s="22" t="s">
        <v>18713</v>
      </c>
      <c r="V72" s="22" t="s">
        <v>18731</v>
      </c>
      <c r="W72" s="22" t="s">
        <v>18731</v>
      </c>
      <c r="X72" s="22" t="s">
        <v>18714</v>
      </c>
      <c r="Y72" s="23">
        <v>34</v>
      </c>
      <c r="Z72" s="22" t="s">
        <v>18723</v>
      </c>
    </row>
    <row r="73" spans="1:26" hidden="1" x14ac:dyDescent="0.2">
      <c r="A73" s="23" t="s">
        <v>18822</v>
      </c>
      <c r="B73" s="22" t="s">
        <v>18823</v>
      </c>
      <c r="C73" s="23" t="str">
        <f t="shared" si="2"/>
        <v>000</v>
      </c>
      <c r="D73" s="23" t="s">
        <v>18718</v>
      </c>
      <c r="E73" s="22" t="s">
        <v>18823</v>
      </c>
      <c r="F73" s="22" t="s">
        <v>18939</v>
      </c>
      <c r="G73" s="22" t="str">
        <f>VLOOKUP(F73,[1]CHILDCARE_FACILITIES!N:Q,4,0)</f>
        <v>CDC-0424</v>
      </c>
      <c r="H73" s="22">
        <f>VLOOKUP(G73,'[1]CACFP FRL'!D:G,4,0)</f>
        <v>7935</v>
      </c>
      <c r="I73" s="22" t="str">
        <f>VLOOKUP(G73,[1]CHILDCARE_FACILITIES!AK:AL,2,0)</f>
        <v>CDC0424</v>
      </c>
      <c r="J73" s="22" t="e">
        <f>VLOOKUP(I73,'[1]Head Start QF 1-5 Stars'!O:Q,3,0)</f>
        <v>#N/A</v>
      </c>
      <c r="K73" s="23" t="s">
        <v>18822</v>
      </c>
      <c r="L73" s="22" t="s">
        <v>18940</v>
      </c>
      <c r="M73" s="22" t="s">
        <v>1637</v>
      </c>
      <c r="N73" s="22" t="s">
        <v>1298</v>
      </c>
      <c r="O73" s="23" t="s">
        <v>207</v>
      </c>
      <c r="P73" s="22" t="str">
        <f>"85607"</f>
        <v>85607</v>
      </c>
      <c r="Q73" s="22" t="str">
        <f>"2828"</f>
        <v>2828</v>
      </c>
      <c r="R73" s="22" t="s">
        <v>18841</v>
      </c>
      <c r="S73" s="23" t="s">
        <v>18842</v>
      </c>
      <c r="T73" s="22" t="s">
        <v>18941</v>
      </c>
      <c r="U73" s="22" t="s">
        <v>18713</v>
      </c>
      <c r="V73" s="22" t="s">
        <v>18731</v>
      </c>
      <c r="W73" s="22" t="s">
        <v>18731</v>
      </c>
      <c r="X73" s="22" t="s">
        <v>18731</v>
      </c>
      <c r="Y73" s="23">
        <v>37</v>
      </c>
      <c r="Z73" s="22" t="s">
        <v>18723</v>
      </c>
    </row>
    <row r="74" spans="1:26" hidden="1" x14ac:dyDescent="0.2">
      <c r="A74" s="23" t="s">
        <v>18759</v>
      </c>
      <c r="B74" s="22" t="s">
        <v>18760</v>
      </c>
      <c r="C74" s="23" t="str">
        <f>"200"</f>
        <v>200</v>
      </c>
      <c r="D74" s="23" t="s">
        <v>18706</v>
      </c>
      <c r="E74" s="22" t="s">
        <v>18761</v>
      </c>
      <c r="F74" s="22" t="s">
        <v>13</v>
      </c>
      <c r="G74" s="22" t="str">
        <f>VLOOKUP(F74,[1]CHILDCARE_FACILITIES!N:Q,4,0)</f>
        <v>CDC-8014</v>
      </c>
      <c r="H74" s="22">
        <f>VLOOKUP(G74,'[1]CACFP FRL'!D:G,4,0)</f>
        <v>10086</v>
      </c>
      <c r="I74" s="22" t="str">
        <f>VLOOKUP(G74,[1]CHILDCARE_FACILITIES!AK:AL,2,0)</f>
        <v>CDC8014</v>
      </c>
      <c r="J74" s="22" t="e">
        <f>VLOOKUP(I74,'[1]Head Start QF 1-5 Stars'!O:Q,3,0)</f>
        <v>#N/A</v>
      </c>
      <c r="K74" s="23" t="s">
        <v>18759</v>
      </c>
      <c r="L74" s="22" t="s">
        <v>18942</v>
      </c>
      <c r="M74" s="22" t="s">
        <v>1637</v>
      </c>
      <c r="N74" s="22" t="s">
        <v>1391</v>
      </c>
      <c r="O74" s="23" t="s">
        <v>207</v>
      </c>
      <c r="P74" s="22" t="str">
        <f>"85122"</f>
        <v>85122</v>
      </c>
      <c r="Q74" s="22" t="str">
        <f>"2315"</f>
        <v>2315</v>
      </c>
      <c r="R74" s="22" t="s">
        <v>18763</v>
      </c>
      <c r="S74" s="23" t="s">
        <v>18818</v>
      </c>
      <c r="T74" s="22" t="s">
        <v>18943</v>
      </c>
      <c r="U74" s="22" t="s">
        <v>18713</v>
      </c>
      <c r="V74" s="22" t="s">
        <v>18731</v>
      </c>
      <c r="W74" s="22" t="s">
        <v>18731</v>
      </c>
      <c r="X74" s="22" t="s">
        <v>18731</v>
      </c>
      <c r="Y74" s="23">
        <v>30</v>
      </c>
      <c r="Z74" s="22" t="s">
        <v>18723</v>
      </c>
    </row>
    <row r="75" spans="1:26" hidden="1" x14ac:dyDescent="0.2">
      <c r="A75" s="23" t="s">
        <v>18822</v>
      </c>
      <c r="B75" s="22" t="s">
        <v>18823</v>
      </c>
      <c r="C75" s="23" t="str">
        <f t="shared" ref="C75:C80" si="3">"000"</f>
        <v>000</v>
      </c>
      <c r="D75" s="23" t="s">
        <v>18718</v>
      </c>
      <c r="E75" s="22" t="s">
        <v>18823</v>
      </c>
      <c r="F75" s="22" t="s">
        <v>18944</v>
      </c>
      <c r="G75" s="22" t="str">
        <f>VLOOKUP(F75,[1]CHILDCARE_FACILITIES!N:Q,4,0)</f>
        <v>CDC-4757</v>
      </c>
      <c r="H75" s="22">
        <f>VLOOKUP(G75,'[1]CACFP FRL'!D:G,4,0)</f>
        <v>85921</v>
      </c>
      <c r="I75" s="22" t="str">
        <f>VLOOKUP(G75,[1]CHILDCARE_FACILITIES!AK:AL,2,0)</f>
        <v>CDC4757</v>
      </c>
      <c r="J75" s="22" t="e">
        <f>VLOOKUP(I75,'[1]Head Start QF 1-5 Stars'!O:Q,3,0)</f>
        <v>#N/A</v>
      </c>
      <c r="K75" s="23" t="s">
        <v>18822</v>
      </c>
      <c r="L75" s="22" t="s">
        <v>1289</v>
      </c>
      <c r="M75" s="22" t="s">
        <v>1637</v>
      </c>
      <c r="N75" s="22" t="s">
        <v>764</v>
      </c>
      <c r="O75" s="23" t="s">
        <v>207</v>
      </c>
      <c r="P75" s="22" t="str">
        <f>"85705"</f>
        <v>85705</v>
      </c>
      <c r="Q75" s="22" t="str">
        <f>"1048"</f>
        <v>1048</v>
      </c>
      <c r="R75" s="22" t="s">
        <v>996</v>
      </c>
      <c r="S75" s="23" t="s">
        <v>18842</v>
      </c>
      <c r="T75" s="22" t="s">
        <v>18945</v>
      </c>
      <c r="U75" s="22" t="s">
        <v>18713</v>
      </c>
      <c r="V75" s="22" t="s">
        <v>18731</v>
      </c>
      <c r="W75" s="22" t="s">
        <v>18731</v>
      </c>
      <c r="X75" s="22" t="s">
        <v>18731</v>
      </c>
      <c r="Y75" s="23">
        <v>57</v>
      </c>
      <c r="Z75" s="22" t="s">
        <v>18723</v>
      </c>
    </row>
    <row r="76" spans="1:26" hidden="1" x14ac:dyDescent="0.2">
      <c r="A76" s="23" t="s">
        <v>18822</v>
      </c>
      <c r="B76" s="22" t="s">
        <v>18823</v>
      </c>
      <c r="C76" s="23" t="str">
        <f t="shared" si="3"/>
        <v>000</v>
      </c>
      <c r="D76" s="23" t="s">
        <v>18718</v>
      </c>
      <c r="E76" s="22" t="s">
        <v>18823</v>
      </c>
      <c r="F76" s="22" t="s">
        <v>45</v>
      </c>
      <c r="G76" s="22" t="str">
        <f>VLOOKUP(F76,[1]CHILDCARE_FACILITIES!N:Q,4,0)</f>
        <v>CDC-4755</v>
      </c>
      <c r="H76" s="22">
        <f>VLOOKUP(G76,'[1]CACFP FRL'!D:G,4,0)</f>
        <v>7936</v>
      </c>
      <c r="I76" s="22" t="str">
        <f>VLOOKUP(G76,[1]CHILDCARE_FACILITIES!AK:AL,2,0)</f>
        <v>CDC4755</v>
      </c>
      <c r="J76" s="22" t="e">
        <f>VLOOKUP(I76,'[1]Head Start QF 1-5 Stars'!O:Q,3,0)</f>
        <v>#N/A</v>
      </c>
      <c r="K76" s="23" t="s">
        <v>18822</v>
      </c>
      <c r="L76" s="22" t="s">
        <v>1517</v>
      </c>
      <c r="M76" s="22" t="s">
        <v>1637</v>
      </c>
      <c r="N76" s="22" t="s">
        <v>764</v>
      </c>
      <c r="O76" s="23" t="s">
        <v>207</v>
      </c>
      <c r="P76" s="22" t="str">
        <f>"85706"</f>
        <v>85706</v>
      </c>
      <c r="Q76" s="22" t="str">
        <f>"3257"</f>
        <v>3257</v>
      </c>
      <c r="R76" s="22" t="s">
        <v>996</v>
      </c>
      <c r="S76" s="23" t="s">
        <v>18721</v>
      </c>
      <c r="T76" s="22" t="s">
        <v>18946</v>
      </c>
      <c r="U76" s="22" t="s">
        <v>18713</v>
      </c>
      <c r="V76" s="22" t="s">
        <v>18731</v>
      </c>
      <c r="W76" s="22" t="s">
        <v>18731</v>
      </c>
      <c r="X76" s="22" t="s">
        <v>18731</v>
      </c>
      <c r="Y76" s="23">
        <v>87</v>
      </c>
      <c r="Z76" s="22" t="s">
        <v>18723</v>
      </c>
    </row>
    <row r="77" spans="1:26" hidden="1" x14ac:dyDescent="0.2">
      <c r="A77" s="23" t="s">
        <v>18822</v>
      </c>
      <c r="B77" s="22" t="s">
        <v>18823</v>
      </c>
      <c r="C77" s="23" t="str">
        <f t="shared" si="3"/>
        <v>000</v>
      </c>
      <c r="D77" s="23" t="s">
        <v>18718</v>
      </c>
      <c r="E77" s="22" t="s">
        <v>18823</v>
      </c>
      <c r="F77" s="22" t="s">
        <v>18947</v>
      </c>
      <c r="G77" s="22" t="str">
        <f>VLOOKUP(F77,[1]CHILDCARE_FACILITIES!N:Q,4,0)</f>
        <v>CDC-3655</v>
      </c>
      <c r="H77" s="22">
        <f>VLOOKUP(G77,'[1]CACFP FRL'!D:G,4,0)</f>
        <v>7938</v>
      </c>
      <c r="I77" s="22" t="str">
        <f>VLOOKUP(G77,[1]CHILDCARE_FACILITIES!AK:AL,2,0)</f>
        <v>CDC3655</v>
      </c>
      <c r="J77" s="22" t="e">
        <f>VLOOKUP(I77,'[1]Head Start QF 1-5 Stars'!O:Q,3,0)</f>
        <v>#N/A</v>
      </c>
      <c r="K77" s="23" t="s">
        <v>18822</v>
      </c>
      <c r="L77" s="22" t="s">
        <v>1539</v>
      </c>
      <c r="M77" s="22" t="s">
        <v>18948</v>
      </c>
      <c r="N77" s="22" t="s">
        <v>764</v>
      </c>
      <c r="O77" s="23" t="s">
        <v>207</v>
      </c>
      <c r="P77" s="22" t="str">
        <f>"85706"</f>
        <v>85706</v>
      </c>
      <c r="Q77" s="22" t="str">
        <f>"1958"</f>
        <v>1958</v>
      </c>
      <c r="R77" s="22" t="s">
        <v>996</v>
      </c>
      <c r="S77" s="23" t="s">
        <v>18721</v>
      </c>
      <c r="T77" s="22" t="s">
        <v>18949</v>
      </c>
      <c r="U77" s="22" t="s">
        <v>18713</v>
      </c>
      <c r="V77" s="22" t="s">
        <v>18731</v>
      </c>
      <c r="W77" s="22" t="s">
        <v>18731</v>
      </c>
      <c r="X77" s="22" t="s">
        <v>18731</v>
      </c>
      <c r="Y77" s="23">
        <v>57</v>
      </c>
      <c r="Z77" s="22" t="s">
        <v>18723</v>
      </c>
    </row>
    <row r="78" spans="1:26" hidden="1" x14ac:dyDescent="0.2">
      <c r="A78" s="23" t="s">
        <v>18822</v>
      </c>
      <c r="B78" s="22" t="s">
        <v>18823</v>
      </c>
      <c r="C78" s="23" t="str">
        <f t="shared" si="3"/>
        <v>000</v>
      </c>
      <c r="D78" s="23" t="s">
        <v>18718</v>
      </c>
      <c r="E78" s="22" t="s">
        <v>18823</v>
      </c>
      <c r="F78" s="22" t="s">
        <v>18950</v>
      </c>
      <c r="G78" s="22" t="str">
        <f>VLOOKUP(F78,[1]CHILDCARE_FACILITIES!N:Q,4,0)</f>
        <v>CDC-5547</v>
      </c>
      <c r="H78" s="22">
        <f>VLOOKUP(G78,'[1]CACFP FRL'!D:G,4,0)</f>
        <v>7939</v>
      </c>
      <c r="I78" s="22" t="str">
        <f>VLOOKUP(G78,[1]CHILDCARE_FACILITIES!AK:AL,2,0)</f>
        <v>CDC5547</v>
      </c>
      <c r="J78" s="22" t="e">
        <f>VLOOKUP(I78,'[1]Head Start QF 1-5 Stars'!O:Q,3,0)</f>
        <v>#N/A</v>
      </c>
      <c r="K78" s="23" t="s">
        <v>18822</v>
      </c>
      <c r="L78" s="22" t="s">
        <v>18951</v>
      </c>
      <c r="M78" s="22" t="s">
        <v>1637</v>
      </c>
      <c r="N78" s="22" t="s">
        <v>1350</v>
      </c>
      <c r="O78" s="23" t="s">
        <v>207</v>
      </c>
      <c r="P78" s="22" t="str">
        <f>"85653"</f>
        <v>85653</v>
      </c>
      <c r="Q78" s="22" t="str">
        <f>"9722"</f>
        <v>9722</v>
      </c>
      <c r="R78" s="22" t="s">
        <v>996</v>
      </c>
      <c r="S78" s="23" t="s">
        <v>18818</v>
      </c>
      <c r="T78" s="22" t="s">
        <v>18952</v>
      </c>
      <c r="U78" s="22" t="s">
        <v>18713</v>
      </c>
      <c r="V78" s="22" t="s">
        <v>18731</v>
      </c>
      <c r="W78" s="22" t="s">
        <v>18731</v>
      </c>
      <c r="X78" s="22" t="s">
        <v>18731</v>
      </c>
      <c r="Y78" s="23">
        <v>50</v>
      </c>
      <c r="Z78" s="22" t="s">
        <v>18723</v>
      </c>
    </row>
    <row r="79" spans="1:26" hidden="1" x14ac:dyDescent="0.2">
      <c r="A79" s="23" t="s">
        <v>18822</v>
      </c>
      <c r="B79" s="22" t="s">
        <v>18823</v>
      </c>
      <c r="C79" s="23" t="str">
        <f t="shared" si="3"/>
        <v>000</v>
      </c>
      <c r="D79" s="23" t="s">
        <v>18718</v>
      </c>
      <c r="E79" s="22" t="s">
        <v>18823</v>
      </c>
      <c r="F79" s="22" t="s">
        <v>18953</v>
      </c>
      <c r="G79" s="22" t="str">
        <f>VLOOKUP(F79,[1]CHILDCARE_FACILITIES!N:Q,4,0)</f>
        <v>CDC-3639</v>
      </c>
      <c r="H79" s="22">
        <f>VLOOKUP(G79,'[1]CACFP FRL'!D:G,4,0)</f>
        <v>9845</v>
      </c>
      <c r="I79" s="22" t="str">
        <f>VLOOKUP(G79,[1]CHILDCARE_FACILITIES!AK:AL,2,0)</f>
        <v>CDC3639</v>
      </c>
      <c r="J79" s="22" t="e">
        <f>VLOOKUP(I79,'[1]Head Start QF 1-5 Stars'!O:Q,3,0)</f>
        <v>#N/A</v>
      </c>
      <c r="K79" s="23" t="s">
        <v>18822</v>
      </c>
      <c r="L79" s="22" t="s">
        <v>18954</v>
      </c>
      <c r="M79" s="22" t="s">
        <v>1637</v>
      </c>
      <c r="N79" s="22" t="s">
        <v>764</v>
      </c>
      <c r="O79" s="23" t="s">
        <v>207</v>
      </c>
      <c r="P79" s="22" t="str">
        <f>"85706"</f>
        <v>85706</v>
      </c>
      <c r="Q79" s="22" t="str">
        <f>"5211"</f>
        <v>5211</v>
      </c>
      <c r="R79" s="22" t="s">
        <v>996</v>
      </c>
      <c r="S79" s="23" t="s">
        <v>18721</v>
      </c>
      <c r="T79" s="22" t="s">
        <v>18955</v>
      </c>
      <c r="U79" s="22" t="s">
        <v>18713</v>
      </c>
      <c r="V79" s="22" t="s">
        <v>18731</v>
      </c>
      <c r="W79" s="22" t="s">
        <v>18731</v>
      </c>
      <c r="X79" s="22" t="s">
        <v>18731</v>
      </c>
      <c r="Y79" s="23">
        <v>94</v>
      </c>
      <c r="Z79" s="22" t="s">
        <v>18723</v>
      </c>
    </row>
    <row r="80" spans="1:26" s="25" customFormat="1" hidden="1" x14ac:dyDescent="0.2">
      <c r="A80" s="23" t="s">
        <v>18822</v>
      </c>
      <c r="B80" s="22" t="s">
        <v>18823</v>
      </c>
      <c r="C80" s="23" t="str">
        <f t="shared" si="3"/>
        <v>000</v>
      </c>
      <c r="D80" s="23" t="s">
        <v>18718</v>
      </c>
      <c r="E80" s="22" t="s">
        <v>18823</v>
      </c>
      <c r="F80" s="22" t="s">
        <v>18956</v>
      </c>
      <c r="G80" s="22" t="str">
        <f>VLOOKUP(F80,[1]CHILDCARE_FACILITIES!N:Q,4,0)</f>
        <v>CDC-5902</v>
      </c>
      <c r="H80" s="22">
        <f>VLOOKUP(G80,'[1]CACFP FRL'!D:G,4,0)</f>
        <v>9840</v>
      </c>
      <c r="I80" s="22" t="str">
        <f>VLOOKUP(G80,[1]CHILDCARE_FACILITIES!AK:AL,2,0)</f>
        <v>CDC5902</v>
      </c>
      <c r="J80" s="22" t="e">
        <f>VLOOKUP(I80,'[1]Head Start QF 1-5 Stars'!O:Q,3,0)</f>
        <v>#N/A</v>
      </c>
      <c r="K80" s="23" t="s">
        <v>18822</v>
      </c>
      <c r="L80" s="22" t="s">
        <v>18957</v>
      </c>
      <c r="M80" s="22" t="s">
        <v>1637</v>
      </c>
      <c r="N80" s="22" t="s">
        <v>764</v>
      </c>
      <c r="O80" s="23" t="s">
        <v>207</v>
      </c>
      <c r="P80" s="22" t="str">
        <f>"85713"</f>
        <v>85713</v>
      </c>
      <c r="Q80" s="22" t="str">
        <f>"1844"</f>
        <v>1844</v>
      </c>
      <c r="R80" s="22" t="s">
        <v>996</v>
      </c>
      <c r="S80" s="23" t="s">
        <v>18721</v>
      </c>
      <c r="T80" s="22" t="s">
        <v>18958</v>
      </c>
      <c r="U80" s="22" t="s">
        <v>18713</v>
      </c>
      <c r="V80" s="22" t="s">
        <v>18731</v>
      </c>
      <c r="W80" s="22" t="s">
        <v>18731</v>
      </c>
      <c r="X80" s="22" t="s">
        <v>18731</v>
      </c>
      <c r="Y80" s="23">
        <v>37</v>
      </c>
      <c r="Z80" s="22" t="s">
        <v>18723</v>
      </c>
    </row>
    <row r="81" spans="1:26" x14ac:dyDescent="0.2">
      <c r="A81" s="23" t="s">
        <v>18959</v>
      </c>
      <c r="B81" s="22" t="s">
        <v>18960</v>
      </c>
      <c r="C81" s="23" t="str">
        <f>"200"</f>
        <v>200</v>
      </c>
      <c r="D81" s="23" t="s">
        <v>18706</v>
      </c>
      <c r="E81" s="22" t="s">
        <v>18960</v>
      </c>
      <c r="F81" s="22" t="s">
        <v>18961</v>
      </c>
      <c r="G81" s="22" t="str">
        <f>VLOOKUP(F81,[1]CHILDCARE_FACILITIES!N:Q,4,0)</f>
        <v>CDC-10099</v>
      </c>
      <c r="H81" s="22" t="e">
        <f>VLOOKUP(G81,'[1]CACFP FRL'!D:G,4,0)</f>
        <v>#N/A</v>
      </c>
      <c r="I81" s="22" t="str">
        <f>VLOOKUP(G81,[1]CHILDCARE_FACILITIES!AK:AL,2,0)</f>
        <v>CDC10099</v>
      </c>
      <c r="J81" s="22" t="e">
        <f>VLOOKUP(I81,'[1]Head Start QF 1-5 Stars'!O:Q,3,0)</f>
        <v>#N/A</v>
      </c>
      <c r="K81" s="23" t="s">
        <v>18959</v>
      </c>
      <c r="L81" s="22" t="s">
        <v>18962</v>
      </c>
      <c r="M81" s="22" t="s">
        <v>1637</v>
      </c>
      <c r="N81" s="22" t="s">
        <v>495</v>
      </c>
      <c r="O81" s="23" t="s">
        <v>207</v>
      </c>
      <c r="P81" s="22" t="str">
        <f>"85004"</f>
        <v>85004</v>
      </c>
      <c r="Q81" s="22" t="str">
        <f>"2801"</f>
        <v>2801</v>
      </c>
      <c r="R81" s="22" t="s">
        <v>18710</v>
      </c>
      <c r="S81" s="23" t="s">
        <v>18737</v>
      </c>
      <c r="T81" s="22" t="s">
        <v>18963</v>
      </c>
      <c r="U81" s="22" t="s">
        <v>18964</v>
      </c>
      <c r="V81" s="22" t="s">
        <v>18731</v>
      </c>
      <c r="W81" s="22" t="s">
        <v>18731</v>
      </c>
      <c r="X81" s="22" t="s">
        <v>18731</v>
      </c>
      <c r="Y81" s="23">
        <v>68</v>
      </c>
      <c r="Z81" s="22" t="s">
        <v>18723</v>
      </c>
    </row>
    <row r="82" spans="1:26" hidden="1" x14ac:dyDescent="0.2">
      <c r="A82" s="23" t="s">
        <v>18822</v>
      </c>
      <c r="B82" s="22" t="s">
        <v>18823</v>
      </c>
      <c r="C82" s="23" t="str">
        <f>"000"</f>
        <v>000</v>
      </c>
      <c r="D82" s="23" t="s">
        <v>18718</v>
      </c>
      <c r="E82" s="22" t="s">
        <v>18823</v>
      </c>
      <c r="F82" s="22" t="s">
        <v>18965</v>
      </c>
      <c r="G82" s="22" t="str">
        <f>VLOOKUP(F82,[1]CHILDCARE_FACILITIES!N:Q,4,0)</f>
        <v>CDC-0598</v>
      </c>
      <c r="H82" s="22">
        <f>VLOOKUP(G82,'[1]CACFP FRL'!D:G,4,0)</f>
        <v>9824</v>
      </c>
      <c r="I82" s="22" t="str">
        <f>VLOOKUP(G82,[1]CHILDCARE_FACILITIES!AK:AL,2,0)</f>
        <v>CDC0598</v>
      </c>
      <c r="J82" s="22" t="e">
        <f>VLOOKUP(I82,'[1]Head Start QF 1-5 Stars'!O:Q,3,0)</f>
        <v>#N/A</v>
      </c>
      <c r="K82" s="23" t="s">
        <v>18822</v>
      </c>
      <c r="L82" s="22" t="s">
        <v>18966</v>
      </c>
      <c r="M82" s="22" t="s">
        <v>18967</v>
      </c>
      <c r="N82" s="22" t="s">
        <v>413</v>
      </c>
      <c r="O82" s="23" t="s">
        <v>207</v>
      </c>
      <c r="P82" s="22" t="str">
        <f>"85621"</f>
        <v>85621</v>
      </c>
      <c r="Q82" s="22" t="str">
        <f>"2344"</f>
        <v>2344</v>
      </c>
      <c r="R82" s="22" t="s">
        <v>18901</v>
      </c>
      <c r="S82" s="23" t="s">
        <v>18721</v>
      </c>
      <c r="T82" s="22" t="s">
        <v>18968</v>
      </c>
      <c r="U82" s="22" t="s">
        <v>18713</v>
      </c>
      <c r="V82" s="22" t="s">
        <v>18731</v>
      </c>
      <c r="W82" s="22" t="s">
        <v>18731</v>
      </c>
      <c r="X82" s="22" t="s">
        <v>18714</v>
      </c>
      <c r="Y82" s="23">
        <v>97</v>
      </c>
      <c r="Z82" s="22" t="s">
        <v>18723</v>
      </c>
    </row>
    <row r="83" spans="1:26" hidden="1" x14ac:dyDescent="0.2">
      <c r="A83" s="23" t="s">
        <v>18969</v>
      </c>
      <c r="B83" s="22" t="s">
        <v>15269</v>
      </c>
      <c r="C83" s="23" t="str">
        <f>"200"</f>
        <v>200</v>
      </c>
      <c r="D83" s="23" t="s">
        <v>18706</v>
      </c>
      <c r="E83" s="22" t="s">
        <v>15269</v>
      </c>
      <c r="F83" s="22" t="s">
        <v>18970</v>
      </c>
      <c r="G83" s="22" t="str">
        <f>VLOOKUP(F83,[1]CHILDCARE_FACILITIES!N:Q,4,0)</f>
        <v>CDC-17844</v>
      </c>
      <c r="H83" s="22" t="e">
        <f>VLOOKUP(G83,'[1]CACFP FRL'!D:G,4,0)</f>
        <v>#N/A</v>
      </c>
      <c r="I83" s="22" t="str">
        <f>VLOOKUP(G83,[1]CHILDCARE_FACILITIES!AK:AL,2,0)</f>
        <v>CDC17844</v>
      </c>
      <c r="J83" s="22">
        <f>VLOOKUP(I83,'[1]Head Start QF 1-5 Stars'!O:Q,3,0)</f>
        <v>3026</v>
      </c>
      <c r="K83" s="23" t="s">
        <v>18969</v>
      </c>
      <c r="L83" s="22" t="s">
        <v>18971</v>
      </c>
      <c r="M83" s="22" t="s">
        <v>1637</v>
      </c>
      <c r="N83" s="22" t="s">
        <v>714</v>
      </c>
      <c r="O83" s="23" t="s">
        <v>207</v>
      </c>
      <c r="P83" s="22" t="str">
        <f>"85201"</f>
        <v>85201</v>
      </c>
      <c r="Q83" s="22" t="str">
        <f>"4105"</f>
        <v>4105</v>
      </c>
      <c r="R83" s="22" t="s">
        <v>18710</v>
      </c>
      <c r="S83" s="23" t="s">
        <v>18711</v>
      </c>
      <c r="T83" s="22" t="s">
        <v>18972</v>
      </c>
      <c r="U83" s="22" t="s">
        <v>18713</v>
      </c>
      <c r="V83" s="22" t="s">
        <v>18714</v>
      </c>
      <c r="W83" s="22" t="s">
        <v>18714</v>
      </c>
      <c r="X83" s="22" t="s">
        <v>18731</v>
      </c>
      <c r="Y83" s="23">
        <v>112</v>
      </c>
      <c r="Z83" s="22" t="s">
        <v>18723</v>
      </c>
    </row>
    <row r="84" spans="1:26" hidden="1" x14ac:dyDescent="0.2">
      <c r="A84" s="23" t="s">
        <v>18973</v>
      </c>
      <c r="B84" s="22" t="s">
        <v>18823</v>
      </c>
      <c r="C84" s="23" t="str">
        <f>"200"</f>
        <v>200</v>
      </c>
      <c r="D84" s="23" t="s">
        <v>18706</v>
      </c>
      <c r="E84" s="22" t="s">
        <v>18823</v>
      </c>
      <c r="F84" s="22" t="s">
        <v>18974</v>
      </c>
      <c r="G84" s="22" t="str">
        <f>VLOOKUP(F84,[1]CHILDCARE_FACILITIES!N:Q,4,0)</f>
        <v>CDC-8494</v>
      </c>
      <c r="H84" s="22">
        <f>VLOOKUP(G84,'[1]CACFP FRL'!D:G,4,0)</f>
        <v>9740</v>
      </c>
      <c r="I84" s="22" t="str">
        <f>VLOOKUP(G84,[1]CHILDCARE_FACILITIES!AK:AL,2,0)</f>
        <v>CDC8494</v>
      </c>
      <c r="J84" s="22">
        <f>VLOOKUP(I84,'[1]Head Start QF 1-5 Stars'!O:Q,3,0)</f>
        <v>325</v>
      </c>
      <c r="K84" s="23" t="s">
        <v>18973</v>
      </c>
      <c r="L84" s="22" t="s">
        <v>18825</v>
      </c>
      <c r="M84" s="22" t="s">
        <v>18826</v>
      </c>
      <c r="N84" s="22" t="s">
        <v>764</v>
      </c>
      <c r="O84" s="23" t="s">
        <v>207</v>
      </c>
      <c r="P84" s="22" t="str">
        <f>"85745"</f>
        <v>85745</v>
      </c>
      <c r="Q84" s="22" t="str">
        <f>"2790"</f>
        <v>2790</v>
      </c>
      <c r="R84" s="22" t="s">
        <v>996</v>
      </c>
      <c r="S84" s="23" t="s">
        <v>18721</v>
      </c>
      <c r="T84" s="22" t="s">
        <v>18827</v>
      </c>
      <c r="U84" s="22" t="s">
        <v>18713</v>
      </c>
      <c r="V84" s="22" t="s">
        <v>18714</v>
      </c>
      <c r="W84" s="22" t="s">
        <v>18714</v>
      </c>
      <c r="X84" s="22" t="s">
        <v>18714</v>
      </c>
      <c r="Y84" s="23">
        <v>8</v>
      </c>
      <c r="Z84" s="22" t="s">
        <v>18715</v>
      </c>
    </row>
    <row r="85" spans="1:26" s="25" customFormat="1" hidden="1" x14ac:dyDescent="0.2">
      <c r="A85" s="23" t="s">
        <v>18822</v>
      </c>
      <c r="B85" s="22" t="s">
        <v>18823</v>
      </c>
      <c r="C85" s="23" t="str">
        <f>"000"</f>
        <v>000</v>
      </c>
      <c r="D85" s="23" t="s">
        <v>18718</v>
      </c>
      <c r="E85" s="22" t="s">
        <v>18823</v>
      </c>
      <c r="F85" s="22" t="s">
        <v>18975</v>
      </c>
      <c r="G85" s="22" t="str">
        <f>VLOOKUP(F85,[1]CHILDCARE_FACILITIES!N:Q,4,0)</f>
        <v>CDC-1080</v>
      </c>
      <c r="H85" s="22">
        <f>VLOOKUP(G85,'[1]CACFP FRL'!D:G,4,0)</f>
        <v>9825</v>
      </c>
      <c r="I85" s="22" t="str">
        <f>VLOOKUP(G85,[1]CHILDCARE_FACILITIES!AK:AL,2,0)</f>
        <v>CDC1080</v>
      </c>
      <c r="J85" s="22" t="e">
        <f>VLOOKUP(I85,'[1]Head Start QF 1-5 Stars'!O:Q,3,0)</f>
        <v>#N/A</v>
      </c>
      <c r="K85" s="23" t="s">
        <v>18822</v>
      </c>
      <c r="L85" s="22" t="s">
        <v>18976</v>
      </c>
      <c r="M85" s="22" t="s">
        <v>1637</v>
      </c>
      <c r="N85" s="22" t="s">
        <v>764</v>
      </c>
      <c r="O85" s="23" t="s">
        <v>207</v>
      </c>
      <c r="P85" s="22" t="str">
        <f>"85705"</f>
        <v>85705</v>
      </c>
      <c r="Q85" s="22" t="str">
        <f>"5607"</f>
        <v>5607</v>
      </c>
      <c r="R85" s="22" t="s">
        <v>996</v>
      </c>
      <c r="S85" s="23" t="s">
        <v>18721</v>
      </c>
      <c r="T85" s="22" t="s">
        <v>18977</v>
      </c>
      <c r="U85" s="22" t="s">
        <v>18713</v>
      </c>
      <c r="V85" s="22" t="s">
        <v>18731</v>
      </c>
      <c r="W85" s="22" t="s">
        <v>18731</v>
      </c>
      <c r="X85" s="22" t="s">
        <v>18714</v>
      </c>
      <c r="Y85" s="23">
        <v>28</v>
      </c>
      <c r="Z85" s="22" t="s">
        <v>18723</v>
      </c>
    </row>
    <row r="86" spans="1:26" s="25" customFormat="1" hidden="1" x14ac:dyDescent="0.2">
      <c r="A86" s="23" t="s">
        <v>18822</v>
      </c>
      <c r="B86" s="22" t="s">
        <v>18823</v>
      </c>
      <c r="C86" s="23" t="str">
        <f>"000"</f>
        <v>000</v>
      </c>
      <c r="D86" s="23" t="s">
        <v>18718</v>
      </c>
      <c r="E86" s="22" t="s">
        <v>18823</v>
      </c>
      <c r="F86" s="22" t="s">
        <v>18978</v>
      </c>
      <c r="G86" s="22" t="str">
        <f>VLOOKUP(F86,[1]CHILDCARE_FACILITIES!N:Q,4,0)</f>
        <v>CDC-7274</v>
      </c>
      <c r="H86" s="22">
        <f>VLOOKUP(G86,'[1]CACFP FRL'!D:G,4,0)</f>
        <v>9854</v>
      </c>
      <c r="I86" s="22" t="str">
        <f>VLOOKUP(G86,[1]CHILDCARE_FACILITIES!AK:AL,2,0)</f>
        <v>CDC7274</v>
      </c>
      <c r="J86" s="22" t="e">
        <f>VLOOKUP(I86,'[1]Head Start QF 1-5 Stars'!O:Q,3,0)</f>
        <v>#N/A</v>
      </c>
      <c r="K86" s="23" t="s">
        <v>18822</v>
      </c>
      <c r="L86" s="22" t="s">
        <v>18979</v>
      </c>
      <c r="M86" s="22" t="s">
        <v>1637</v>
      </c>
      <c r="N86" s="22" t="s">
        <v>3494</v>
      </c>
      <c r="O86" s="23" t="s">
        <v>207</v>
      </c>
      <c r="P86" s="22" t="str">
        <f>"85543"</f>
        <v>85543</v>
      </c>
      <c r="Q86" s="22" t="str">
        <f>""</f>
        <v/>
      </c>
      <c r="R86" s="22" t="s">
        <v>18836</v>
      </c>
      <c r="S86" s="23" t="s">
        <v>18818</v>
      </c>
      <c r="T86" s="22" t="s">
        <v>18980</v>
      </c>
      <c r="U86" s="22" t="s">
        <v>18713</v>
      </c>
      <c r="V86" s="22" t="s">
        <v>18731</v>
      </c>
      <c r="W86" s="22" t="s">
        <v>18731</v>
      </c>
      <c r="X86" s="22" t="s">
        <v>18731</v>
      </c>
      <c r="Y86" s="23">
        <v>55</v>
      </c>
      <c r="Z86" s="22" t="s">
        <v>18723</v>
      </c>
    </row>
    <row r="87" spans="1:26" hidden="1" x14ac:dyDescent="0.2">
      <c r="A87" s="23" t="s">
        <v>18912</v>
      </c>
      <c r="B87" s="22" t="s">
        <v>18913</v>
      </c>
      <c r="C87" s="23" t="str">
        <f>"200"</f>
        <v>200</v>
      </c>
      <c r="D87" s="23" t="s">
        <v>18706</v>
      </c>
      <c r="E87" s="22" t="s">
        <v>18913</v>
      </c>
      <c r="F87" s="22" t="s">
        <v>18981</v>
      </c>
      <c r="G87" s="22" t="str">
        <f>VLOOKUP(F87,[1]CHILDCARE_FACILITIES!N:Q,4,0)</f>
        <v>CDC-15094</v>
      </c>
      <c r="H87" s="22" t="e">
        <f>VLOOKUP(G87,'[1]CACFP FRL'!D:G,4,0)</f>
        <v>#N/A</v>
      </c>
      <c r="I87" s="22" t="str">
        <f>VLOOKUP(G87,[1]CHILDCARE_FACILITIES!AK:AL,2,0)</f>
        <v>CDC15094</v>
      </c>
      <c r="J87" s="22">
        <f>VLOOKUP(I87,'[1]Head Start QF 1-5 Stars'!O:Q,3,0)</f>
        <v>3109</v>
      </c>
      <c r="K87" s="23" t="s">
        <v>18912</v>
      </c>
      <c r="L87" s="22" t="s">
        <v>18982</v>
      </c>
      <c r="M87" s="22" t="s">
        <v>1637</v>
      </c>
      <c r="N87" s="22" t="s">
        <v>18983</v>
      </c>
      <c r="O87" s="23" t="s">
        <v>207</v>
      </c>
      <c r="P87" s="22" t="str">
        <f>"86323"</f>
        <v>86323</v>
      </c>
      <c r="Q87" s="22" t="str">
        <f>"7600"</f>
        <v>7600</v>
      </c>
      <c r="R87" s="22" t="s">
        <v>18915</v>
      </c>
      <c r="S87" s="23" t="s">
        <v>18764</v>
      </c>
      <c r="T87" s="22" t="s">
        <v>18984</v>
      </c>
      <c r="U87" s="22" t="s">
        <v>18713</v>
      </c>
      <c r="V87" s="22" t="s">
        <v>18731</v>
      </c>
      <c r="W87" s="22" t="s">
        <v>18731</v>
      </c>
      <c r="X87" s="22" t="s">
        <v>18731</v>
      </c>
      <c r="Y87" s="23">
        <v>28</v>
      </c>
      <c r="Z87" s="22" t="s">
        <v>18723</v>
      </c>
    </row>
    <row r="88" spans="1:26" hidden="1" x14ac:dyDescent="0.2">
      <c r="A88" s="23" t="s">
        <v>18822</v>
      </c>
      <c r="B88" s="22" t="s">
        <v>18823</v>
      </c>
      <c r="C88" s="23" t="str">
        <f t="shared" ref="C88:C94" si="4">"000"</f>
        <v>000</v>
      </c>
      <c r="D88" s="23" t="s">
        <v>18718</v>
      </c>
      <c r="E88" s="22" t="s">
        <v>18823</v>
      </c>
      <c r="F88" s="22" t="s">
        <v>18985</v>
      </c>
      <c r="G88" s="22" t="str">
        <f>VLOOKUP(F88,[1]CHILDCARE_FACILITIES!N:Q,4,0)</f>
        <v>CDC-7462</v>
      </c>
      <c r="H88" s="22">
        <f>VLOOKUP(G88,'[1]CACFP FRL'!D:G,4,0)</f>
        <v>10371</v>
      </c>
      <c r="I88" s="22" t="str">
        <f>VLOOKUP(G88,[1]CHILDCARE_FACILITIES!AK:AL,2,0)</f>
        <v>CDC7462</v>
      </c>
      <c r="J88" s="22" t="e">
        <f>VLOOKUP(I88,'[1]Head Start QF 1-5 Stars'!O:Q,3,0)</f>
        <v>#N/A</v>
      </c>
      <c r="K88" s="23" t="s">
        <v>18822</v>
      </c>
      <c r="L88" s="22" t="s">
        <v>18986</v>
      </c>
      <c r="M88" s="22" t="s">
        <v>1637</v>
      </c>
      <c r="N88" s="22" t="s">
        <v>764</v>
      </c>
      <c r="O88" s="23" t="s">
        <v>207</v>
      </c>
      <c r="P88" s="22" t="str">
        <f>"85705"</f>
        <v>85705</v>
      </c>
      <c r="Q88" s="22" t="str">
        <f>"3310"</f>
        <v>3310</v>
      </c>
      <c r="R88" s="22" t="s">
        <v>996</v>
      </c>
      <c r="S88" s="23" t="s">
        <v>18842</v>
      </c>
      <c r="T88" s="22" t="s">
        <v>18987</v>
      </c>
      <c r="U88" s="22" t="s">
        <v>18713</v>
      </c>
      <c r="V88" s="22" t="s">
        <v>18731</v>
      </c>
      <c r="W88" s="22" t="s">
        <v>18731</v>
      </c>
      <c r="X88" s="22" t="s">
        <v>18731</v>
      </c>
      <c r="Y88" s="23">
        <v>40</v>
      </c>
      <c r="Z88" s="22" t="s">
        <v>18723</v>
      </c>
    </row>
    <row r="89" spans="1:26" s="25" customFormat="1" hidden="1" x14ac:dyDescent="0.2">
      <c r="A89" s="23" t="s">
        <v>18822</v>
      </c>
      <c r="B89" s="22" t="s">
        <v>18823</v>
      </c>
      <c r="C89" s="23" t="str">
        <f t="shared" si="4"/>
        <v>000</v>
      </c>
      <c r="D89" s="23" t="s">
        <v>18718</v>
      </c>
      <c r="E89" s="22" t="s">
        <v>18823</v>
      </c>
      <c r="F89" s="22" t="s">
        <v>18988</v>
      </c>
      <c r="G89" s="22" t="str">
        <f>VLOOKUP(F89,[1]CHILDCARE_FACILITIES!N:Q,4,0)</f>
        <v>CDC-3052</v>
      </c>
      <c r="H89" s="22">
        <f>VLOOKUP(G89,'[1]CACFP FRL'!D:G,4,0)</f>
        <v>9850</v>
      </c>
      <c r="I89" s="22" t="str">
        <f>VLOOKUP(G89,[1]CHILDCARE_FACILITIES!AK:AL,2,0)</f>
        <v>CDC3052</v>
      </c>
      <c r="J89" s="22" t="e">
        <f>VLOOKUP(I89,'[1]Head Start QF 1-5 Stars'!O:Q,3,0)</f>
        <v>#N/A</v>
      </c>
      <c r="K89" s="23" t="s">
        <v>18822</v>
      </c>
      <c r="L89" s="22" t="s">
        <v>18989</v>
      </c>
      <c r="M89" s="22" t="s">
        <v>1637</v>
      </c>
      <c r="N89" s="22" t="s">
        <v>18840</v>
      </c>
      <c r="O89" s="23" t="s">
        <v>207</v>
      </c>
      <c r="P89" s="22" t="str">
        <f>"85635"</f>
        <v>85635</v>
      </c>
      <c r="Q89" s="22" t="str">
        <f>"3924"</f>
        <v>3924</v>
      </c>
      <c r="R89" s="22" t="s">
        <v>18841</v>
      </c>
      <c r="S89" s="23" t="s">
        <v>18842</v>
      </c>
      <c r="T89" s="22" t="s">
        <v>18990</v>
      </c>
      <c r="U89" s="22" t="s">
        <v>18713</v>
      </c>
      <c r="V89" s="22" t="s">
        <v>18731</v>
      </c>
      <c r="W89" s="22" t="s">
        <v>18731</v>
      </c>
      <c r="X89" s="22" t="s">
        <v>18731</v>
      </c>
      <c r="Y89" s="23">
        <v>57</v>
      </c>
      <c r="Z89" s="22" t="s">
        <v>18723</v>
      </c>
    </row>
    <row r="90" spans="1:26" hidden="1" x14ac:dyDescent="0.2">
      <c r="A90" s="23" t="s">
        <v>18822</v>
      </c>
      <c r="B90" s="22" t="s">
        <v>18823</v>
      </c>
      <c r="C90" s="23" t="str">
        <f t="shared" si="4"/>
        <v>000</v>
      </c>
      <c r="D90" s="23" t="s">
        <v>18718</v>
      </c>
      <c r="E90" s="22" t="s">
        <v>18823</v>
      </c>
      <c r="F90" s="22" t="s">
        <v>18991</v>
      </c>
      <c r="G90" s="22" t="str">
        <f>VLOOKUP(F90,[1]CHILDCARE_FACILITIES!N:Q,4,0)</f>
        <v>CDC-7275</v>
      </c>
      <c r="H90" s="22">
        <f>VLOOKUP(G90,'[1]CACFP FRL'!D:G,4,0)</f>
        <v>9855</v>
      </c>
      <c r="I90" s="22" t="str">
        <f>VLOOKUP(G90,[1]CHILDCARE_FACILITIES!AK:AL,2,0)</f>
        <v>CDC7275</v>
      </c>
      <c r="J90" s="22" t="e">
        <f>VLOOKUP(I90,'[1]Head Start QF 1-5 Stars'!O:Q,3,0)</f>
        <v>#N/A</v>
      </c>
      <c r="K90" s="23" t="s">
        <v>18822</v>
      </c>
      <c r="L90" s="22" t="s">
        <v>1270</v>
      </c>
      <c r="M90" s="22" t="s">
        <v>1637</v>
      </c>
      <c r="N90" s="22" t="s">
        <v>1271</v>
      </c>
      <c r="O90" s="23" t="s">
        <v>207</v>
      </c>
      <c r="P90" s="22" t="str">
        <f>"85648"</f>
        <v>85648</v>
      </c>
      <c r="Q90" s="22" t="str">
        <f>"6271"</f>
        <v>6271</v>
      </c>
      <c r="R90" s="22" t="s">
        <v>18901</v>
      </c>
      <c r="S90" s="23" t="s">
        <v>18721</v>
      </c>
      <c r="T90" s="22" t="s">
        <v>18992</v>
      </c>
      <c r="U90" s="22" t="s">
        <v>18713</v>
      </c>
      <c r="V90" s="22" t="s">
        <v>18731</v>
      </c>
      <c r="W90" s="22" t="s">
        <v>18731</v>
      </c>
      <c r="X90" s="22" t="s">
        <v>18731</v>
      </c>
      <c r="Y90" s="23">
        <v>54</v>
      </c>
      <c r="Z90" s="22" t="s">
        <v>18723</v>
      </c>
    </row>
    <row r="91" spans="1:26" s="25" customFormat="1" hidden="1" x14ac:dyDescent="0.2">
      <c r="A91" s="23" t="s">
        <v>18822</v>
      </c>
      <c r="B91" s="22" t="s">
        <v>18823</v>
      </c>
      <c r="C91" s="23" t="str">
        <f t="shared" si="4"/>
        <v>000</v>
      </c>
      <c r="D91" s="23" t="s">
        <v>18718</v>
      </c>
      <c r="E91" s="22" t="s">
        <v>18823</v>
      </c>
      <c r="F91" s="22" t="s">
        <v>18993</v>
      </c>
      <c r="G91" s="22" t="str">
        <f>VLOOKUP(F91,[1]CHILDCARE_FACILITIES!N:Q,4,0)</f>
        <v>CDC-12138</v>
      </c>
      <c r="H91" s="22">
        <f>VLOOKUP(G91,'[1]CACFP FRL'!D:G,4,0)</f>
        <v>87917</v>
      </c>
      <c r="I91" s="22" t="str">
        <f>VLOOKUP(G91,[1]CHILDCARE_FACILITIES!AK:AL,2,0)</f>
        <v>CDC12138</v>
      </c>
      <c r="J91" s="22" t="e">
        <f>VLOOKUP(I91,'[1]Head Start QF 1-5 Stars'!O:Q,3,0)</f>
        <v>#N/A</v>
      </c>
      <c r="K91" s="23" t="s">
        <v>18822</v>
      </c>
      <c r="L91" s="22" t="s">
        <v>18994</v>
      </c>
      <c r="M91" s="22" t="s">
        <v>1637</v>
      </c>
      <c r="N91" s="22" t="s">
        <v>764</v>
      </c>
      <c r="O91" s="23" t="s">
        <v>207</v>
      </c>
      <c r="P91" s="22" t="str">
        <f>"85711"</f>
        <v>85711</v>
      </c>
      <c r="Q91" s="22" t="str">
        <f>"6221"</f>
        <v>6221</v>
      </c>
      <c r="R91" s="22" t="s">
        <v>996</v>
      </c>
      <c r="S91" s="23" t="s">
        <v>18842</v>
      </c>
      <c r="T91" s="22" t="s">
        <v>18995</v>
      </c>
      <c r="U91" s="22" t="s">
        <v>18713</v>
      </c>
      <c r="V91" s="22" t="s">
        <v>18731</v>
      </c>
      <c r="W91" s="22" t="s">
        <v>18731</v>
      </c>
      <c r="X91" s="22" t="s">
        <v>18731</v>
      </c>
      <c r="Y91" s="23">
        <v>87</v>
      </c>
      <c r="Z91" s="22" t="s">
        <v>18723</v>
      </c>
    </row>
    <row r="92" spans="1:26" hidden="1" x14ac:dyDescent="0.2">
      <c r="A92" s="23" t="s">
        <v>18822</v>
      </c>
      <c r="B92" s="22" t="s">
        <v>18823</v>
      </c>
      <c r="C92" s="23" t="str">
        <f t="shared" si="4"/>
        <v>000</v>
      </c>
      <c r="D92" s="23" t="s">
        <v>18718</v>
      </c>
      <c r="E92" s="22" t="s">
        <v>18823</v>
      </c>
      <c r="F92" s="22" t="s">
        <v>18996</v>
      </c>
      <c r="G92" s="22" t="str">
        <f>VLOOKUP(F92,[1]CHILDCARE_FACILITIES!N:Q,4,0)</f>
        <v>CDC-5897</v>
      </c>
      <c r="H92" s="22">
        <f>VLOOKUP(G92,'[1]CACFP FRL'!D:G,4,0)</f>
        <v>10901</v>
      </c>
      <c r="I92" s="22" t="str">
        <f>VLOOKUP(G92,[1]CHILDCARE_FACILITIES!AK:AL,2,0)</f>
        <v>CDC5897</v>
      </c>
      <c r="J92" s="22" t="e">
        <f>VLOOKUP(I92,'[1]Head Start QF 1-5 Stars'!O:Q,3,0)</f>
        <v>#N/A</v>
      </c>
      <c r="K92" s="23" t="s">
        <v>18822</v>
      </c>
      <c r="L92" s="22" t="s">
        <v>18997</v>
      </c>
      <c r="M92" s="22" t="s">
        <v>1637</v>
      </c>
      <c r="N92" s="22" t="s">
        <v>764</v>
      </c>
      <c r="O92" s="23" t="s">
        <v>207</v>
      </c>
      <c r="P92" s="22" t="str">
        <f>"85756"</f>
        <v>85756</v>
      </c>
      <c r="Q92" s="22" t="str">
        <f>"6543"</f>
        <v>6543</v>
      </c>
      <c r="R92" s="22" t="s">
        <v>996</v>
      </c>
      <c r="S92" s="23" t="s">
        <v>18721</v>
      </c>
      <c r="T92" s="22" t="s">
        <v>18998</v>
      </c>
      <c r="U92" s="22" t="s">
        <v>18713</v>
      </c>
      <c r="V92" s="22" t="s">
        <v>18731</v>
      </c>
      <c r="W92" s="22" t="s">
        <v>18731</v>
      </c>
      <c r="X92" s="22" t="s">
        <v>18731</v>
      </c>
      <c r="Y92" s="23">
        <v>50</v>
      </c>
      <c r="Z92" s="22" t="s">
        <v>18723</v>
      </c>
    </row>
    <row r="93" spans="1:26" s="25" customFormat="1" hidden="1" x14ac:dyDescent="0.2">
      <c r="A93" s="23" t="s">
        <v>18822</v>
      </c>
      <c r="B93" s="22" t="s">
        <v>18823</v>
      </c>
      <c r="C93" s="23" t="str">
        <f t="shared" si="4"/>
        <v>000</v>
      </c>
      <c r="D93" s="23" t="s">
        <v>18718</v>
      </c>
      <c r="E93" s="22" t="s">
        <v>18823</v>
      </c>
      <c r="F93" s="22" t="s">
        <v>18999</v>
      </c>
      <c r="G93" s="22" t="str">
        <f>VLOOKUP(F93,[1]CHILDCARE_FACILITIES!N:Q,4,0)</f>
        <v>CDC-9212</v>
      </c>
      <c r="H93" s="22">
        <f>VLOOKUP(G93,'[1]CACFP FRL'!D:G,4,0)</f>
        <v>7948</v>
      </c>
      <c r="I93" s="22" t="str">
        <f>VLOOKUP(G93,[1]CHILDCARE_FACILITIES!AK:AL,2,0)</f>
        <v>CDC9212</v>
      </c>
      <c r="J93" s="22">
        <f>'[1]Head Start QF 1-5 Stars'!Q124</f>
        <v>1354</v>
      </c>
      <c r="K93" s="23" t="s">
        <v>18822</v>
      </c>
      <c r="L93" s="22" t="s">
        <v>19000</v>
      </c>
      <c r="M93" s="22" t="s">
        <v>1637</v>
      </c>
      <c r="N93" s="22" t="s">
        <v>764</v>
      </c>
      <c r="O93" s="23" t="s">
        <v>207</v>
      </c>
      <c r="P93" s="22" t="str">
        <f>"85701"</f>
        <v>85701</v>
      </c>
      <c r="Q93" s="22" t="str">
        <f>"2900"</f>
        <v>2900</v>
      </c>
      <c r="R93" s="22" t="s">
        <v>996</v>
      </c>
      <c r="S93" s="23" t="s">
        <v>18721</v>
      </c>
      <c r="T93" s="22" t="s">
        <v>19001</v>
      </c>
      <c r="U93" s="22" t="s">
        <v>18713</v>
      </c>
      <c r="V93" s="22" t="s">
        <v>18731</v>
      </c>
      <c r="W93" s="22" t="s">
        <v>18731</v>
      </c>
      <c r="X93" s="22" t="s">
        <v>18714</v>
      </c>
      <c r="Y93" s="23">
        <v>53</v>
      </c>
      <c r="Z93" s="22" t="s">
        <v>18723</v>
      </c>
    </row>
    <row r="94" spans="1:26" s="25" customFormat="1" hidden="1" x14ac:dyDescent="0.2">
      <c r="A94" s="23" t="s">
        <v>18822</v>
      </c>
      <c r="B94" s="22" t="s">
        <v>18823</v>
      </c>
      <c r="C94" s="23" t="str">
        <f t="shared" si="4"/>
        <v>000</v>
      </c>
      <c r="D94" s="23" t="s">
        <v>18718</v>
      </c>
      <c r="E94" s="22" t="s">
        <v>18823</v>
      </c>
      <c r="F94" s="22" t="s">
        <v>19002</v>
      </c>
      <c r="G94" s="22" t="str">
        <f>VLOOKUP(F94,[1]CHILDCARE_FACILITIES!N:Q,4,0)</f>
        <v>CDC-6702</v>
      </c>
      <c r="H94" s="22">
        <f>VLOOKUP(G94,'[1]CACFP FRL'!D:G,4,0)</f>
        <v>9853</v>
      </c>
      <c r="I94" s="22" t="str">
        <f>VLOOKUP(G94,[1]CHILDCARE_FACILITIES!AK:AL,2,0)</f>
        <v>CDC6702</v>
      </c>
      <c r="J94" s="22" t="e">
        <f>VLOOKUP(I94,'[1]Head Start QF 1-5 Stars'!O:Q,3,0)</f>
        <v>#N/A</v>
      </c>
      <c r="K94" s="23" t="s">
        <v>18822</v>
      </c>
      <c r="L94" s="22" t="s">
        <v>19003</v>
      </c>
      <c r="M94" s="22" t="s">
        <v>1637</v>
      </c>
      <c r="N94" s="22" t="s">
        <v>18835</v>
      </c>
      <c r="O94" s="23" t="s">
        <v>207</v>
      </c>
      <c r="P94" s="22" t="str">
        <f>"85546"</f>
        <v>85546</v>
      </c>
      <c r="Q94" s="22" t="str">
        <f>"2534"</f>
        <v>2534</v>
      </c>
      <c r="R94" s="22" t="s">
        <v>18836</v>
      </c>
      <c r="S94" s="23" t="s">
        <v>18818</v>
      </c>
      <c r="T94" s="22" t="s">
        <v>19004</v>
      </c>
      <c r="U94" s="22" t="s">
        <v>18713</v>
      </c>
      <c r="V94" s="22" t="s">
        <v>18731</v>
      </c>
      <c r="W94" s="22" t="s">
        <v>18731</v>
      </c>
      <c r="X94" s="22" t="s">
        <v>18731</v>
      </c>
      <c r="Y94" s="23">
        <v>57</v>
      </c>
      <c r="Z94" s="22" t="s">
        <v>18723</v>
      </c>
    </row>
    <row r="95" spans="1:26" hidden="1" x14ac:dyDescent="0.2">
      <c r="A95" s="23" t="s">
        <v>18796</v>
      </c>
      <c r="B95" s="22" t="s">
        <v>18705</v>
      </c>
      <c r="C95" s="23" t="str">
        <f>"200"</f>
        <v>200</v>
      </c>
      <c r="D95" s="23" t="s">
        <v>18706</v>
      </c>
      <c r="E95" s="22" t="s">
        <v>18797</v>
      </c>
      <c r="F95" s="22" t="s">
        <v>19005</v>
      </c>
      <c r="G95" s="22" t="str">
        <f>VLOOKUP(F95,[1]CHILDCARE_FACILITIES!N:Q,4,0)</f>
        <v>CDC-9830</v>
      </c>
      <c r="H95" s="22" t="e">
        <f>VLOOKUP(G95,'[1]CACFP FRL'!D:G,4,0)</f>
        <v>#N/A</v>
      </c>
      <c r="I95" s="22" t="str">
        <f>VLOOKUP(G95,[1]CHILDCARE_FACILITIES!AK:AL,2,0)</f>
        <v>CDC9830</v>
      </c>
      <c r="J95" s="22" t="e">
        <f>VLOOKUP(I95,'[1]Head Start QF 1-5 Stars'!O:Q,3,0)</f>
        <v>#N/A</v>
      </c>
      <c r="K95" s="23" t="s">
        <v>18796</v>
      </c>
      <c r="L95" s="22" t="s">
        <v>19006</v>
      </c>
      <c r="M95" s="22" t="s">
        <v>1637</v>
      </c>
      <c r="N95" s="22" t="s">
        <v>704</v>
      </c>
      <c r="O95" s="23" t="s">
        <v>207</v>
      </c>
      <c r="P95" s="22" t="str">
        <f>"85283"</f>
        <v>85283</v>
      </c>
      <c r="Q95" s="22" t="str">
        <f>"3599"</f>
        <v>3599</v>
      </c>
      <c r="R95" s="22" t="s">
        <v>18710</v>
      </c>
      <c r="S95" s="23" t="s">
        <v>18711</v>
      </c>
      <c r="T95" s="22" t="s">
        <v>19007</v>
      </c>
      <c r="U95" s="22" t="s">
        <v>18713</v>
      </c>
      <c r="V95" s="22" t="s">
        <v>18714</v>
      </c>
      <c r="W95" s="22" t="s">
        <v>18714</v>
      </c>
      <c r="X95" s="22" t="s">
        <v>18714</v>
      </c>
      <c r="Y95" s="23">
        <v>16</v>
      </c>
      <c r="Z95" s="22" t="s">
        <v>18723</v>
      </c>
    </row>
    <row r="96" spans="1:26" hidden="1" x14ac:dyDescent="0.2">
      <c r="A96" s="23" t="s">
        <v>18822</v>
      </c>
      <c r="B96" s="22" t="s">
        <v>18823</v>
      </c>
      <c r="C96" s="23" t="str">
        <f>"000"</f>
        <v>000</v>
      </c>
      <c r="D96" s="23" t="s">
        <v>18718</v>
      </c>
      <c r="E96" s="22" t="s">
        <v>18823</v>
      </c>
      <c r="F96" s="22" t="s">
        <v>19008</v>
      </c>
      <c r="G96" s="22" t="str">
        <f>VLOOKUP(F96,[1]CHILDCARE_FACILITIES!N:Q,4,0)</f>
        <v>CDC-0279</v>
      </c>
      <c r="H96" s="22">
        <f>VLOOKUP(G96,'[1]CACFP FRL'!D:G,4,0)</f>
        <v>7950</v>
      </c>
      <c r="I96" s="22" t="str">
        <f>VLOOKUP(G96,[1]CHILDCARE_FACILITIES!AK:AL,2,0)</f>
        <v>CDC0279</v>
      </c>
      <c r="J96" s="22" t="e">
        <f>VLOOKUP(I96,'[1]Head Start QF 1-5 Stars'!O:Q,3,0)</f>
        <v>#N/A</v>
      </c>
      <c r="K96" s="23" t="s">
        <v>18822</v>
      </c>
      <c r="L96" s="22" t="s">
        <v>19009</v>
      </c>
      <c r="M96" s="22" t="s">
        <v>1637</v>
      </c>
      <c r="N96" s="22" t="s">
        <v>764</v>
      </c>
      <c r="O96" s="23" t="s">
        <v>207</v>
      </c>
      <c r="P96" s="22" t="str">
        <f>"85713"</f>
        <v>85713</v>
      </c>
      <c r="Q96" s="22" t="str">
        <f>"1541"</f>
        <v>1541</v>
      </c>
      <c r="R96" s="22" t="s">
        <v>996</v>
      </c>
      <c r="S96" s="23" t="s">
        <v>18721</v>
      </c>
      <c r="T96" s="22" t="s">
        <v>19010</v>
      </c>
      <c r="U96" s="22" t="s">
        <v>18713</v>
      </c>
      <c r="V96" s="22" t="s">
        <v>18731</v>
      </c>
      <c r="W96" s="22" t="s">
        <v>18731</v>
      </c>
      <c r="X96" s="22" t="s">
        <v>18731</v>
      </c>
      <c r="Y96" s="23">
        <v>57</v>
      </c>
      <c r="Z96" s="22" t="s">
        <v>18723</v>
      </c>
    </row>
    <row r="97" spans="1:26" hidden="1" x14ac:dyDescent="0.2">
      <c r="A97" s="23" t="s">
        <v>18759</v>
      </c>
      <c r="B97" s="22" t="s">
        <v>18760</v>
      </c>
      <c r="C97" s="23" t="str">
        <f>"200"</f>
        <v>200</v>
      </c>
      <c r="D97" s="23" t="s">
        <v>18706</v>
      </c>
      <c r="E97" s="22" t="s">
        <v>18761</v>
      </c>
      <c r="F97" s="22" t="s">
        <v>6</v>
      </c>
      <c r="G97" s="22" t="str">
        <f>VLOOKUP(F97,[1]CHILDCARE_FACILITIES!N:Q,4,0)</f>
        <v>CDC-6788</v>
      </c>
      <c r="H97" s="22">
        <f>VLOOKUP(G97,'[1]CACFP FRL'!D:G,4,0)</f>
        <v>8070</v>
      </c>
      <c r="I97" s="22" t="str">
        <f>VLOOKUP(G97,[1]CHILDCARE_FACILITIES!AK:AL,2,0)</f>
        <v>CDC6788</v>
      </c>
      <c r="J97" s="22" t="e">
        <f>VLOOKUP(I97,'[1]Head Start QF 1-5 Stars'!O:Q,3,0)</f>
        <v>#N/A</v>
      </c>
      <c r="K97" s="23" t="s">
        <v>18759</v>
      </c>
      <c r="L97" s="22" t="s">
        <v>19011</v>
      </c>
      <c r="M97" s="22" t="s">
        <v>1637</v>
      </c>
      <c r="N97" s="22" t="s">
        <v>751</v>
      </c>
      <c r="O97" s="23" t="s">
        <v>207</v>
      </c>
      <c r="P97" s="22" t="str">
        <f>"85128"</f>
        <v>85128</v>
      </c>
      <c r="Q97" s="22" t="str">
        <f>"4303"</f>
        <v>4303</v>
      </c>
      <c r="R97" s="22" t="s">
        <v>18763</v>
      </c>
      <c r="S97" s="23" t="s">
        <v>18818</v>
      </c>
      <c r="T97" s="22" t="s">
        <v>19012</v>
      </c>
      <c r="U97" s="22" t="s">
        <v>18713</v>
      </c>
      <c r="V97" s="22" t="s">
        <v>18731</v>
      </c>
      <c r="W97" s="22" t="s">
        <v>18731</v>
      </c>
      <c r="X97" s="22" t="s">
        <v>18731</v>
      </c>
      <c r="Y97" s="23">
        <v>20</v>
      </c>
      <c r="Z97" s="22" t="s">
        <v>18723</v>
      </c>
    </row>
    <row r="98" spans="1:26" hidden="1" x14ac:dyDescent="0.2">
      <c r="A98" s="23" t="s">
        <v>18822</v>
      </c>
      <c r="B98" s="22" t="s">
        <v>18823</v>
      </c>
      <c r="C98" s="23" t="str">
        <f t="shared" ref="C98:C107" si="5">"000"</f>
        <v>000</v>
      </c>
      <c r="D98" s="23" t="s">
        <v>18718</v>
      </c>
      <c r="E98" s="22" t="s">
        <v>18823</v>
      </c>
      <c r="F98" s="22" t="s">
        <v>19013</v>
      </c>
      <c r="G98" s="22" t="str">
        <f>VLOOKUP(F98,[1]CHILDCARE_FACILITIES!N:Q,4,0)</f>
        <v>CDC-9329</v>
      </c>
      <c r="H98" s="22">
        <f>VLOOKUP(G98,'[1]CACFP FRL'!D:G,4,0)</f>
        <v>80623</v>
      </c>
      <c r="I98" s="22" t="str">
        <f>VLOOKUP(G98,[1]CHILDCARE_FACILITIES!AK:AL,2,0)</f>
        <v>CDC9329</v>
      </c>
      <c r="J98" s="22" t="e">
        <f>VLOOKUP(I98,'[1]Head Start QF 1-5 Stars'!O:Q,3,0)</f>
        <v>#N/A</v>
      </c>
      <c r="K98" s="23" t="s">
        <v>18822</v>
      </c>
      <c r="L98" s="22" t="s">
        <v>19014</v>
      </c>
      <c r="M98" s="22" t="s">
        <v>1637</v>
      </c>
      <c r="N98" s="22" t="s">
        <v>764</v>
      </c>
      <c r="O98" s="23" t="s">
        <v>207</v>
      </c>
      <c r="P98" s="22" t="str">
        <f>"85756"</f>
        <v>85756</v>
      </c>
      <c r="Q98" s="22" t="str">
        <f>"8909"</f>
        <v>8909</v>
      </c>
      <c r="R98" s="22" t="s">
        <v>996</v>
      </c>
      <c r="S98" s="23" t="s">
        <v>18721</v>
      </c>
      <c r="T98" s="22" t="s">
        <v>19015</v>
      </c>
      <c r="U98" s="22" t="s">
        <v>18713</v>
      </c>
      <c r="V98" s="22" t="s">
        <v>18731</v>
      </c>
      <c r="W98" s="22" t="s">
        <v>18731</v>
      </c>
      <c r="X98" s="22" t="s">
        <v>18731</v>
      </c>
      <c r="Y98" s="23">
        <v>37</v>
      </c>
      <c r="Z98" s="22" t="s">
        <v>18723</v>
      </c>
    </row>
    <row r="99" spans="1:26" hidden="1" x14ac:dyDescent="0.2">
      <c r="A99" s="23" t="s">
        <v>18822</v>
      </c>
      <c r="B99" s="22" t="s">
        <v>18823</v>
      </c>
      <c r="C99" s="23" t="str">
        <f t="shared" si="5"/>
        <v>000</v>
      </c>
      <c r="D99" s="23" t="s">
        <v>18718</v>
      </c>
      <c r="E99" s="22" t="s">
        <v>18823</v>
      </c>
      <c r="F99" s="22" t="s">
        <v>19016</v>
      </c>
      <c r="G99" s="22" t="str">
        <f>VLOOKUP(F99,[1]CHILDCARE_FACILITIES!N:Q,4,0)</f>
        <v>CDC-1569</v>
      </c>
      <c r="H99" s="22">
        <f>VLOOKUP(G99,'[1]CACFP FRL'!D:G,4,0)</f>
        <v>9830</v>
      </c>
      <c r="I99" s="22" t="str">
        <f>VLOOKUP(G99,[1]CHILDCARE_FACILITIES!AK:AL,2,0)</f>
        <v>CDC1569</v>
      </c>
      <c r="J99" s="22" t="e">
        <f>VLOOKUP(I99,'[1]Head Start QF 1-5 Stars'!O:Q,3,0)</f>
        <v>#N/A</v>
      </c>
      <c r="K99" s="23" t="s">
        <v>18822</v>
      </c>
      <c r="L99" s="22" t="s">
        <v>19017</v>
      </c>
      <c r="M99" s="22" t="s">
        <v>1637</v>
      </c>
      <c r="N99" s="22" t="s">
        <v>764</v>
      </c>
      <c r="O99" s="23" t="s">
        <v>207</v>
      </c>
      <c r="P99" s="22" t="str">
        <f>"85706"</f>
        <v>85706</v>
      </c>
      <c r="Q99" s="22" t="str">
        <f>"4303"</f>
        <v>4303</v>
      </c>
      <c r="R99" s="22" t="s">
        <v>996</v>
      </c>
      <c r="S99" s="23" t="s">
        <v>18721</v>
      </c>
      <c r="T99" s="22" t="s">
        <v>19018</v>
      </c>
      <c r="U99" s="22" t="s">
        <v>18713</v>
      </c>
      <c r="V99" s="22" t="s">
        <v>18731</v>
      </c>
      <c r="W99" s="22" t="s">
        <v>18731</v>
      </c>
      <c r="X99" s="22" t="s">
        <v>18731</v>
      </c>
      <c r="Y99" s="23">
        <v>104</v>
      </c>
      <c r="Z99" s="22" t="s">
        <v>18723</v>
      </c>
    </row>
    <row r="100" spans="1:26" s="25" customFormat="1" hidden="1" x14ac:dyDescent="0.2">
      <c r="A100" s="23" t="s">
        <v>18822</v>
      </c>
      <c r="B100" s="22" t="s">
        <v>18823</v>
      </c>
      <c r="C100" s="23" t="str">
        <f t="shared" si="5"/>
        <v>000</v>
      </c>
      <c r="D100" s="23" t="s">
        <v>18718</v>
      </c>
      <c r="E100" s="22" t="s">
        <v>18823</v>
      </c>
      <c r="F100" s="22" t="s">
        <v>19019</v>
      </c>
      <c r="G100" s="22" t="str">
        <f>VLOOKUP(F100,[1]CHILDCARE_FACILITIES!N:Q,4,0)</f>
        <v>CDC-4162</v>
      </c>
      <c r="H100" s="22">
        <f>VLOOKUP(G100,'[1]CACFP FRL'!D:G,4,0)</f>
        <v>7957</v>
      </c>
      <c r="I100" s="22" t="str">
        <f>VLOOKUP(G100,[1]CHILDCARE_FACILITIES!AK:AL,2,0)</f>
        <v>CDC4162</v>
      </c>
      <c r="J100" s="22" t="e">
        <f>VLOOKUP(I100,'[1]Head Start QF 1-5 Stars'!O:Q,3,0)</f>
        <v>#N/A</v>
      </c>
      <c r="K100" s="23" t="s">
        <v>18822</v>
      </c>
      <c r="L100" s="22" t="s">
        <v>19020</v>
      </c>
      <c r="M100" s="22" t="s">
        <v>1637</v>
      </c>
      <c r="N100" s="22" t="s">
        <v>764</v>
      </c>
      <c r="O100" s="23" t="s">
        <v>207</v>
      </c>
      <c r="P100" s="22" t="str">
        <f>"85705"</f>
        <v>85705</v>
      </c>
      <c r="Q100" s="22" t="str">
        <f>"9332"</f>
        <v>9332</v>
      </c>
      <c r="R100" s="22" t="s">
        <v>996</v>
      </c>
      <c r="S100" s="23" t="s">
        <v>18842</v>
      </c>
      <c r="T100" s="22" t="s">
        <v>19021</v>
      </c>
      <c r="U100" s="22" t="s">
        <v>18713</v>
      </c>
      <c r="V100" s="22" t="s">
        <v>18731</v>
      </c>
      <c r="W100" s="22" t="s">
        <v>18731</v>
      </c>
      <c r="X100" s="22" t="s">
        <v>18731</v>
      </c>
      <c r="Y100" s="23">
        <v>57</v>
      </c>
      <c r="Z100" s="22" t="s">
        <v>18723</v>
      </c>
    </row>
    <row r="101" spans="1:26" hidden="1" x14ac:dyDescent="0.2">
      <c r="A101" s="23" t="s">
        <v>18822</v>
      </c>
      <c r="B101" s="22" t="s">
        <v>18823</v>
      </c>
      <c r="C101" s="23" t="str">
        <f t="shared" si="5"/>
        <v>000</v>
      </c>
      <c r="D101" s="23" t="s">
        <v>18718</v>
      </c>
      <c r="E101" s="22" t="s">
        <v>18823</v>
      </c>
      <c r="F101" s="22" t="s">
        <v>83</v>
      </c>
      <c r="G101" s="22" t="str">
        <f>VLOOKUP(F101,[1]CHILDCARE_FACILITIES!N:Q,4,0)</f>
        <v>CDC-5541</v>
      </c>
      <c r="H101" s="22">
        <f>VLOOKUP(G101,'[1]CACFP FRL'!D:G,4,0)</f>
        <v>9849</v>
      </c>
      <c r="I101" s="22" t="str">
        <f>VLOOKUP(G101,[1]CHILDCARE_FACILITIES!AK:AL,2,0)</f>
        <v>CDC5541</v>
      </c>
      <c r="J101" s="22" t="e">
        <f>VLOOKUP(I101,'[1]Head Start QF 1-5 Stars'!O:Q,3,0)</f>
        <v>#N/A</v>
      </c>
      <c r="K101" s="23" t="s">
        <v>18822</v>
      </c>
      <c r="L101" s="22" t="s">
        <v>19022</v>
      </c>
      <c r="M101" s="22" t="s">
        <v>1637</v>
      </c>
      <c r="N101" s="22" t="s">
        <v>413</v>
      </c>
      <c r="O101" s="23" t="s">
        <v>207</v>
      </c>
      <c r="P101" s="22" t="str">
        <f>"85621"</f>
        <v>85621</v>
      </c>
      <c r="Q101" s="22" t="str">
        <f>"2082"</f>
        <v>2082</v>
      </c>
      <c r="R101" s="22" t="s">
        <v>18901</v>
      </c>
      <c r="S101" s="23" t="s">
        <v>18721</v>
      </c>
      <c r="T101" s="22" t="s">
        <v>19023</v>
      </c>
      <c r="U101" s="22" t="s">
        <v>18713</v>
      </c>
      <c r="V101" s="22" t="s">
        <v>18731</v>
      </c>
      <c r="W101" s="22" t="s">
        <v>18731</v>
      </c>
      <c r="X101" s="22" t="s">
        <v>18731</v>
      </c>
      <c r="Y101" s="23">
        <v>57</v>
      </c>
      <c r="Z101" s="22" t="s">
        <v>18723</v>
      </c>
    </row>
    <row r="102" spans="1:26" hidden="1" x14ac:dyDescent="0.2">
      <c r="A102" s="23" t="s">
        <v>18822</v>
      </c>
      <c r="B102" s="22" t="s">
        <v>18823</v>
      </c>
      <c r="C102" s="23" t="str">
        <f t="shared" si="5"/>
        <v>000</v>
      </c>
      <c r="D102" s="23" t="s">
        <v>18718</v>
      </c>
      <c r="E102" s="22" t="s">
        <v>18823</v>
      </c>
      <c r="F102" s="22" t="s">
        <v>19024</v>
      </c>
      <c r="G102" s="22" t="str">
        <f>VLOOKUP(F102,[1]CHILDCARE_FACILITIES!N:Q,4,0)</f>
        <v>CDC-6218</v>
      </c>
      <c r="H102" s="22">
        <f>VLOOKUP(G102,'[1]CACFP FRL'!D:G,4,0)</f>
        <v>9852</v>
      </c>
      <c r="I102" s="22" t="str">
        <f>VLOOKUP(G102,[1]CHILDCARE_FACILITIES!AK:AL,2,0)</f>
        <v>CDC6218</v>
      </c>
      <c r="J102" s="22" t="e">
        <f>VLOOKUP(I102,'[1]Head Start QF 1-5 Stars'!O:Q,3,0)</f>
        <v>#N/A</v>
      </c>
      <c r="K102" s="23" t="s">
        <v>18822</v>
      </c>
      <c r="L102" s="22" t="s">
        <v>19025</v>
      </c>
      <c r="M102" s="22" t="s">
        <v>1637</v>
      </c>
      <c r="N102" s="22" t="s">
        <v>18862</v>
      </c>
      <c r="O102" s="23" t="s">
        <v>207</v>
      </c>
      <c r="P102" s="22" t="str">
        <f>"85643"</f>
        <v>85643</v>
      </c>
      <c r="Q102" s="22" t="str">
        <f>"2035"</f>
        <v>2035</v>
      </c>
      <c r="R102" s="22" t="s">
        <v>18841</v>
      </c>
      <c r="S102" s="23" t="s">
        <v>18842</v>
      </c>
      <c r="T102" s="22" t="s">
        <v>19026</v>
      </c>
      <c r="U102" s="22" t="s">
        <v>18713</v>
      </c>
      <c r="V102" s="22" t="s">
        <v>18731</v>
      </c>
      <c r="W102" s="22" t="s">
        <v>18731</v>
      </c>
      <c r="X102" s="22" t="s">
        <v>18731</v>
      </c>
      <c r="Y102" s="23">
        <v>40</v>
      </c>
      <c r="Z102" s="22" t="s">
        <v>18723</v>
      </c>
    </row>
    <row r="103" spans="1:26" s="25" customFormat="1" hidden="1" x14ac:dyDescent="0.2">
      <c r="A103" s="23" t="s">
        <v>18822</v>
      </c>
      <c r="B103" s="22" t="s">
        <v>18823</v>
      </c>
      <c r="C103" s="23" t="str">
        <f t="shared" si="5"/>
        <v>000</v>
      </c>
      <c r="D103" s="23" t="s">
        <v>18718</v>
      </c>
      <c r="E103" s="22" t="s">
        <v>18823</v>
      </c>
      <c r="F103" s="22" t="s">
        <v>19027</v>
      </c>
      <c r="G103" s="22" t="str">
        <f>VLOOKUP(F103,[1]CHILDCARE_FACILITIES!N:Q,4,0)</f>
        <v>CDC-5586</v>
      </c>
      <c r="H103" s="22">
        <f>VLOOKUP(G103,'[1]CACFP FRL'!D:G,4,0)</f>
        <v>9848</v>
      </c>
      <c r="I103" s="22" t="str">
        <f>VLOOKUP(G103,[1]CHILDCARE_FACILITIES!AK:AL,2,0)</f>
        <v>CDC5586</v>
      </c>
      <c r="J103" s="22" t="e">
        <f>VLOOKUP(I103,'[1]Head Start QF 1-5 Stars'!O:Q,3,0)</f>
        <v>#N/A</v>
      </c>
      <c r="K103" s="23" t="s">
        <v>18822</v>
      </c>
      <c r="L103" s="22" t="s">
        <v>19028</v>
      </c>
      <c r="M103" s="22" t="s">
        <v>19029</v>
      </c>
      <c r="N103" s="22" t="s">
        <v>764</v>
      </c>
      <c r="O103" s="23" t="s">
        <v>207</v>
      </c>
      <c r="P103" s="22" t="str">
        <f>"85712"</f>
        <v>85712</v>
      </c>
      <c r="Q103" s="22" t="str">
        <f>"3363"</f>
        <v>3363</v>
      </c>
      <c r="R103" s="22" t="s">
        <v>996</v>
      </c>
      <c r="S103" s="23" t="s">
        <v>18842</v>
      </c>
      <c r="T103" s="22" t="s">
        <v>19030</v>
      </c>
      <c r="U103" s="22" t="s">
        <v>18713</v>
      </c>
      <c r="V103" s="22" t="s">
        <v>18731</v>
      </c>
      <c r="W103" s="22" t="s">
        <v>18731</v>
      </c>
      <c r="X103" s="22" t="s">
        <v>18731</v>
      </c>
      <c r="Y103" s="23">
        <v>107</v>
      </c>
      <c r="Z103" s="22" t="s">
        <v>18723</v>
      </c>
    </row>
    <row r="104" spans="1:26" s="25" customFormat="1" x14ac:dyDescent="0.2">
      <c r="A104" s="23" t="s">
        <v>18741</v>
      </c>
      <c r="B104" s="22" t="s">
        <v>18742</v>
      </c>
      <c r="C104" s="23" t="str">
        <f t="shared" si="5"/>
        <v>000</v>
      </c>
      <c r="D104" s="23" t="s">
        <v>18718</v>
      </c>
      <c r="E104" s="22" t="s">
        <v>18743</v>
      </c>
      <c r="F104" s="22" t="s">
        <v>19031</v>
      </c>
      <c r="G104" s="22" t="str">
        <f>VLOOKUP(F104,[1]CHILDCARE_FACILITIES!N:Q,4,0)</f>
        <v>CDC-6529</v>
      </c>
      <c r="H104" s="22" t="e">
        <f>VLOOKUP(G104,'[1]CACFP FRL'!D:G,4,0)</f>
        <v>#N/A</v>
      </c>
      <c r="I104" s="22" t="str">
        <f>VLOOKUP(G104,[1]CHILDCARE_FACILITIES!AK:AL,2,0)</f>
        <v>CDC6529</v>
      </c>
      <c r="J104" s="22" t="e">
        <f>VLOOKUP(I104,'[1]Head Start QF 1-5 Stars'!O:Q,3,0)</f>
        <v>#N/A</v>
      </c>
      <c r="K104" s="23" t="s">
        <v>18741</v>
      </c>
      <c r="L104" s="22" t="s">
        <v>19032</v>
      </c>
      <c r="M104" s="22" t="s">
        <v>1637</v>
      </c>
      <c r="N104" s="22" t="s">
        <v>495</v>
      </c>
      <c r="O104" s="23" t="s">
        <v>207</v>
      </c>
      <c r="P104" s="22" t="str">
        <f>"85053"</f>
        <v>85053</v>
      </c>
      <c r="Q104" s="22" t="str">
        <f>"5748"</f>
        <v>5748</v>
      </c>
      <c r="R104" s="22" t="s">
        <v>18710</v>
      </c>
      <c r="S104" s="23" t="s">
        <v>19033</v>
      </c>
      <c r="T104" s="22" t="s">
        <v>18746</v>
      </c>
      <c r="U104" s="22" t="s">
        <v>18964</v>
      </c>
      <c r="V104" s="22" t="s">
        <v>18714</v>
      </c>
      <c r="W104" s="22" t="s">
        <v>18714</v>
      </c>
      <c r="X104" s="22" t="s">
        <v>18714</v>
      </c>
      <c r="Y104" s="23">
        <v>32</v>
      </c>
      <c r="Z104" s="22" t="s">
        <v>18723</v>
      </c>
    </row>
    <row r="105" spans="1:26" s="25" customFormat="1" x14ac:dyDescent="0.2">
      <c r="A105" s="23" t="s">
        <v>18741</v>
      </c>
      <c r="B105" s="22" t="s">
        <v>18742</v>
      </c>
      <c r="C105" s="23" t="str">
        <f t="shared" si="5"/>
        <v>000</v>
      </c>
      <c r="D105" s="23" t="s">
        <v>18718</v>
      </c>
      <c r="E105" s="22" t="s">
        <v>18743</v>
      </c>
      <c r="F105" s="22" t="s">
        <v>1151</v>
      </c>
      <c r="G105" s="22" t="str">
        <f>VLOOKUP(F105,[1]CHILDCARE_FACILITIES!N:Q,4,0)</f>
        <v>CDC-18586</v>
      </c>
      <c r="H105" s="22" t="e">
        <f>VLOOKUP(G105,'[1]CACFP FRL'!D:G,4,0)</f>
        <v>#N/A</v>
      </c>
      <c r="I105" s="22" t="str">
        <f>VLOOKUP(G105,[1]CHILDCARE_FACILITIES!AK:AL,2,0)</f>
        <v>CDC18586</v>
      </c>
      <c r="J105" s="22" t="e">
        <f>VLOOKUP(I105,'[1]Head Start QF 1-5 Stars'!O:Q,3,0)</f>
        <v>#N/A</v>
      </c>
      <c r="K105" s="23" t="s">
        <v>18741</v>
      </c>
      <c r="L105" s="22" t="s">
        <v>19034</v>
      </c>
      <c r="M105" s="22" t="s">
        <v>1637</v>
      </c>
      <c r="N105" s="22" t="s">
        <v>495</v>
      </c>
      <c r="O105" s="23" t="s">
        <v>207</v>
      </c>
      <c r="P105" s="22" t="str">
        <f>"85031"</f>
        <v>85031</v>
      </c>
      <c r="Q105" s="22" t="str">
        <f>"1404"</f>
        <v>1404</v>
      </c>
      <c r="R105" s="22" t="s">
        <v>18710</v>
      </c>
      <c r="S105" s="23" t="s">
        <v>18737</v>
      </c>
      <c r="T105" s="22" t="s">
        <v>18746</v>
      </c>
      <c r="U105" s="22" t="s">
        <v>18713</v>
      </c>
      <c r="V105" s="22" t="s">
        <v>18714</v>
      </c>
      <c r="W105" s="22" t="s">
        <v>18714</v>
      </c>
      <c r="X105" s="22" t="s">
        <v>18714</v>
      </c>
      <c r="Y105" s="23">
        <v>98</v>
      </c>
      <c r="Z105" s="22" t="s">
        <v>18723</v>
      </c>
    </row>
    <row r="106" spans="1:26" x14ac:dyDescent="0.2">
      <c r="A106" s="23" t="s">
        <v>18741</v>
      </c>
      <c r="B106" s="22" t="s">
        <v>18742</v>
      </c>
      <c r="C106" s="23" t="str">
        <f t="shared" si="5"/>
        <v>000</v>
      </c>
      <c r="D106" s="23" t="s">
        <v>18718</v>
      </c>
      <c r="E106" s="22" t="s">
        <v>18743</v>
      </c>
      <c r="F106" s="22" t="s">
        <v>53</v>
      </c>
      <c r="G106" s="22" t="str">
        <f>VLOOKUP(F106,[1]CHILDCARE_FACILITIES!N:Q,4,0)</f>
        <v>CDC-18320</v>
      </c>
      <c r="H106" s="22" t="e">
        <f>VLOOKUP(G106,'[1]CACFP FRL'!D:G,4,0)</f>
        <v>#N/A</v>
      </c>
      <c r="I106" s="22" t="str">
        <f>VLOOKUP(G106,[1]CHILDCARE_FACILITIES!AK:AL,2,0)</f>
        <v>CDC18320</v>
      </c>
      <c r="J106" s="22">
        <f>VLOOKUP(I106,'[1]Head Start QF 1-5 Stars'!O:Q,3,0)</f>
        <v>3046</v>
      </c>
      <c r="K106" s="23" t="s">
        <v>18741</v>
      </c>
      <c r="L106" s="22" t="s">
        <v>19035</v>
      </c>
      <c r="M106" s="22" t="s">
        <v>1637</v>
      </c>
      <c r="N106" s="22" t="s">
        <v>495</v>
      </c>
      <c r="O106" s="23" t="s">
        <v>207</v>
      </c>
      <c r="P106" s="22" t="str">
        <f>"85009"</f>
        <v>85009</v>
      </c>
      <c r="Q106" s="22" t="str">
        <f>"3206"</f>
        <v>3206</v>
      </c>
      <c r="R106" s="22" t="s">
        <v>18710</v>
      </c>
      <c r="S106" s="23" t="s">
        <v>18737</v>
      </c>
      <c r="U106" s="22" t="s">
        <v>18964</v>
      </c>
      <c r="V106" s="22" t="s">
        <v>18714</v>
      </c>
      <c r="W106" s="22" t="s">
        <v>18714</v>
      </c>
      <c r="X106" s="22" t="s">
        <v>18714</v>
      </c>
      <c r="Y106" s="23">
        <v>20</v>
      </c>
      <c r="Z106" s="22" t="s">
        <v>18723</v>
      </c>
    </row>
    <row r="107" spans="1:26" x14ac:dyDescent="0.2">
      <c r="A107" s="23" t="s">
        <v>18741</v>
      </c>
      <c r="B107" s="22" t="s">
        <v>18742</v>
      </c>
      <c r="C107" s="23" t="str">
        <f t="shared" si="5"/>
        <v>000</v>
      </c>
      <c r="D107" s="23" t="s">
        <v>18718</v>
      </c>
      <c r="E107" s="22" t="s">
        <v>18743</v>
      </c>
      <c r="F107" s="22" t="s">
        <v>19036</v>
      </c>
      <c r="G107" s="22" t="str">
        <f>VLOOKUP(F107,[1]CHILDCARE_FACILITIES!N:Q,4,0)</f>
        <v>CDC-6541</v>
      </c>
      <c r="H107" s="22" t="e">
        <f>VLOOKUP(G107,'[1]CACFP FRL'!D:G,4,0)</f>
        <v>#N/A</v>
      </c>
      <c r="I107" s="22" t="str">
        <f>VLOOKUP(G107,[1]CHILDCARE_FACILITIES!AK:AL,2,0)</f>
        <v>CDC6541</v>
      </c>
      <c r="J107" s="22" t="e">
        <f>VLOOKUP(I107,'[1]Head Start QF 1-5 Stars'!O:Q,3,0)</f>
        <v>#N/A</v>
      </c>
      <c r="K107" s="23" t="s">
        <v>18741</v>
      </c>
      <c r="L107" s="22" t="s">
        <v>1411</v>
      </c>
      <c r="M107" s="22" t="s">
        <v>1637</v>
      </c>
      <c r="N107" s="22" t="s">
        <v>495</v>
      </c>
      <c r="O107" s="23" t="s">
        <v>207</v>
      </c>
      <c r="P107" s="22" t="str">
        <f>"85051"</f>
        <v>85051</v>
      </c>
      <c r="Q107" s="22" t="str">
        <f>"3926"</f>
        <v>3926</v>
      </c>
      <c r="R107" s="22" t="s">
        <v>18710</v>
      </c>
      <c r="S107" s="23" t="s">
        <v>19033</v>
      </c>
      <c r="T107" s="22" t="s">
        <v>18746</v>
      </c>
      <c r="U107" s="22" t="s">
        <v>18964</v>
      </c>
      <c r="V107" s="22" t="s">
        <v>18714</v>
      </c>
      <c r="W107" s="22" t="s">
        <v>18714</v>
      </c>
      <c r="X107" s="22" t="s">
        <v>18714</v>
      </c>
      <c r="Y107" s="23">
        <v>32</v>
      </c>
      <c r="Z107" s="22" t="s">
        <v>18723</v>
      </c>
    </row>
    <row r="108" spans="1:26" hidden="1" x14ac:dyDescent="0.2">
      <c r="A108" s="23" t="s">
        <v>19037</v>
      </c>
      <c r="B108" s="22" t="s">
        <v>18874</v>
      </c>
      <c r="C108" s="23" t="str">
        <f>"200"</f>
        <v>200</v>
      </c>
      <c r="D108" s="23" t="s">
        <v>18706</v>
      </c>
      <c r="E108" s="22" t="s">
        <v>18875</v>
      </c>
      <c r="F108" s="22" t="s">
        <v>19038</v>
      </c>
      <c r="G108" s="22" t="str">
        <f>VLOOKUP(F108,[1]CHILDCARE_FACILITIES!N:Q,4,0)</f>
        <v>CDC-9608</v>
      </c>
      <c r="H108" s="22" t="e">
        <f>VLOOKUP(G108,'[1]CACFP FRL'!D:G,4,0)</f>
        <v>#N/A</v>
      </c>
      <c r="I108" s="22" t="str">
        <f>VLOOKUP(G108,[1]CHILDCARE_FACILITIES!AK:AL,2,0)</f>
        <v>CDC9608</v>
      </c>
      <c r="J108" s="22">
        <f>VLOOKUP(I108,'[1]Head Start QF 1-5 Stars'!O:Q,3,0)</f>
        <v>1255</v>
      </c>
      <c r="K108" s="23" t="s">
        <v>19037</v>
      </c>
      <c r="L108" s="22" t="s">
        <v>690</v>
      </c>
      <c r="M108" s="22" t="s">
        <v>1637</v>
      </c>
      <c r="N108" s="22" t="s">
        <v>495</v>
      </c>
      <c r="O108" s="23" t="s">
        <v>207</v>
      </c>
      <c r="P108" s="22" t="str">
        <f>"85008"</f>
        <v>85008</v>
      </c>
      <c r="Q108" s="22" t="str">
        <f>"6320"</f>
        <v>6320</v>
      </c>
      <c r="R108" s="22" t="s">
        <v>18710</v>
      </c>
      <c r="S108" s="23" t="s">
        <v>18737</v>
      </c>
      <c r="T108" s="22" t="s">
        <v>19039</v>
      </c>
      <c r="U108" s="22" t="s">
        <v>18713</v>
      </c>
      <c r="V108" s="22" t="s">
        <v>18731</v>
      </c>
      <c r="W108" s="22" t="s">
        <v>18731</v>
      </c>
      <c r="X108" s="22" t="s">
        <v>18731</v>
      </c>
      <c r="Y108" s="23">
        <v>54</v>
      </c>
      <c r="Z108" s="22" t="s">
        <v>18723</v>
      </c>
    </row>
    <row r="109" spans="1:26" x14ac:dyDescent="0.2">
      <c r="A109" s="23" t="s">
        <v>18741</v>
      </c>
      <c r="B109" s="22" t="s">
        <v>18742</v>
      </c>
      <c r="C109" s="23" t="str">
        <f t="shared" ref="C109:C122" si="6">"000"</f>
        <v>000</v>
      </c>
      <c r="D109" s="23" t="s">
        <v>18718</v>
      </c>
      <c r="E109" s="22" t="s">
        <v>18743</v>
      </c>
      <c r="F109" s="22" t="s">
        <v>19040</v>
      </c>
      <c r="G109" s="22" t="str">
        <f>VLOOKUP(F109,[1]CHILDCARE_FACILITIES!N:Q,4,0)</f>
        <v>CDC-6542</v>
      </c>
      <c r="H109" s="22" t="e">
        <f>VLOOKUP(G109,'[1]CACFP FRL'!D:G,4,0)</f>
        <v>#N/A</v>
      </c>
      <c r="I109" s="22" t="str">
        <f>VLOOKUP(G109,[1]CHILDCARE_FACILITIES!AK:AL,2,0)</f>
        <v>CDC6542</v>
      </c>
      <c r="J109" s="22">
        <f>VLOOKUP(I109,'[1]Head Start QF 1-5 Stars'!O:Q,3,0)</f>
        <v>2292</v>
      </c>
      <c r="K109" s="23" t="s">
        <v>18741</v>
      </c>
      <c r="L109" s="22" t="s">
        <v>19041</v>
      </c>
      <c r="M109" s="22" t="s">
        <v>1637</v>
      </c>
      <c r="N109" s="22" t="s">
        <v>379</v>
      </c>
      <c r="O109" s="23" t="s">
        <v>207</v>
      </c>
      <c r="P109" s="22" t="str">
        <f>"85304"</f>
        <v>85304</v>
      </c>
      <c r="Q109" s="22" t="str">
        <f>"3535"</f>
        <v>3535</v>
      </c>
      <c r="R109" s="22" t="s">
        <v>18710</v>
      </c>
      <c r="S109" s="23" t="s">
        <v>18751</v>
      </c>
      <c r="T109" s="22" t="s">
        <v>18746</v>
      </c>
      <c r="U109" s="22" t="s">
        <v>18964</v>
      </c>
      <c r="V109" s="22" t="s">
        <v>18714</v>
      </c>
      <c r="W109" s="22" t="s">
        <v>18714</v>
      </c>
      <c r="X109" s="22" t="s">
        <v>18714</v>
      </c>
      <c r="Y109" s="23">
        <v>19</v>
      </c>
      <c r="Z109" s="22" t="s">
        <v>18723</v>
      </c>
    </row>
    <row r="110" spans="1:26" s="25" customFormat="1" x14ac:dyDescent="0.2">
      <c r="A110" s="23" t="s">
        <v>18741</v>
      </c>
      <c r="B110" s="22" t="s">
        <v>18742</v>
      </c>
      <c r="C110" s="23" t="str">
        <f t="shared" si="6"/>
        <v>000</v>
      </c>
      <c r="D110" s="23" t="s">
        <v>18718</v>
      </c>
      <c r="E110" s="22" t="s">
        <v>18743</v>
      </c>
      <c r="F110" s="22" t="s">
        <v>14</v>
      </c>
      <c r="G110" s="22" t="str">
        <f>VLOOKUP(F110,[1]CHILDCARE_FACILITIES!N:Q,4,0)</f>
        <v>CDC-1229</v>
      </c>
      <c r="H110" s="22" t="e">
        <f>VLOOKUP(G110,'[1]CACFP FRL'!D:G,4,0)</f>
        <v>#N/A</v>
      </c>
      <c r="I110" s="22" t="str">
        <f>VLOOKUP(G110,[1]CHILDCARE_FACILITIES!AK:AL,2,0)</f>
        <v>CDC1229</v>
      </c>
      <c r="J110" s="22">
        <f>VLOOKUP(I110,'[1]Head Start QF 1-5 Stars'!O:Q,3,0)</f>
        <v>1179</v>
      </c>
      <c r="K110" s="23" t="s">
        <v>18741</v>
      </c>
      <c r="L110" s="22" t="s">
        <v>610</v>
      </c>
      <c r="M110" s="22" t="s">
        <v>1637</v>
      </c>
      <c r="N110" s="22" t="s">
        <v>495</v>
      </c>
      <c r="O110" s="23" t="s">
        <v>207</v>
      </c>
      <c r="P110" s="22" t="str">
        <f>"85009"</f>
        <v>85009</v>
      </c>
      <c r="Q110" s="22" t="str">
        <f>"6557"</f>
        <v>6557</v>
      </c>
      <c r="R110" s="22" t="s">
        <v>18710</v>
      </c>
      <c r="S110" s="23" t="s">
        <v>18737</v>
      </c>
      <c r="T110" s="22" t="s">
        <v>18746</v>
      </c>
      <c r="U110" s="22" t="s">
        <v>18964</v>
      </c>
      <c r="V110" s="22" t="s">
        <v>18714</v>
      </c>
      <c r="W110" s="22" t="s">
        <v>18714</v>
      </c>
      <c r="X110" s="22" t="s">
        <v>18714</v>
      </c>
      <c r="Y110" s="23">
        <v>20</v>
      </c>
      <c r="Z110" s="22" t="s">
        <v>18723</v>
      </c>
    </row>
    <row r="111" spans="1:26" s="25" customFormat="1" x14ac:dyDescent="0.2">
      <c r="A111" s="24" t="s">
        <v>18741</v>
      </c>
      <c r="B111" s="25" t="s">
        <v>18742</v>
      </c>
      <c r="C111" s="24" t="str">
        <f t="shared" si="6"/>
        <v>000</v>
      </c>
      <c r="D111" s="24" t="s">
        <v>18718</v>
      </c>
      <c r="E111" s="25" t="s">
        <v>18743</v>
      </c>
      <c r="F111" s="25" t="s">
        <v>19042</v>
      </c>
      <c r="G111" s="25" t="e">
        <f>VLOOKUP(F111,[1]CHILDCARE_FACILITIES!N:Q,4,0)</f>
        <v>#N/A</v>
      </c>
      <c r="H111" s="25" t="e">
        <f>VLOOKUP(G111,'[1]CACFP FRL'!D:G,4,0)</f>
        <v>#N/A</v>
      </c>
      <c r="I111" s="25" t="e">
        <f>VLOOKUP(G111,[1]CHILDCARE_FACILITIES!AK:AL,2,0)</f>
        <v>#N/A</v>
      </c>
      <c r="J111" s="25" t="e">
        <f>VLOOKUP(I111,'[1]Head Start QF 1-5 Stars'!O:Q,3,0)</f>
        <v>#N/A</v>
      </c>
      <c r="K111" s="24" t="s">
        <v>18741</v>
      </c>
      <c r="L111" s="25" t="s">
        <v>19043</v>
      </c>
      <c r="M111" s="25" t="s">
        <v>1637</v>
      </c>
      <c r="N111" s="25" t="s">
        <v>495</v>
      </c>
      <c r="O111" s="24" t="s">
        <v>207</v>
      </c>
      <c r="P111" s="25" t="str">
        <f>"85040"</f>
        <v>85040</v>
      </c>
      <c r="Q111" s="25" t="str">
        <f>"3053"</f>
        <v>3053</v>
      </c>
      <c r="R111" s="25" t="s">
        <v>18710</v>
      </c>
      <c r="S111" s="24" t="s">
        <v>18737</v>
      </c>
      <c r="T111" s="25" t="s">
        <v>18746</v>
      </c>
      <c r="U111" s="25" t="s">
        <v>18964</v>
      </c>
      <c r="V111" s="25" t="s">
        <v>18714</v>
      </c>
      <c r="W111" s="25" t="s">
        <v>18714</v>
      </c>
      <c r="X111" s="25" t="s">
        <v>18714</v>
      </c>
      <c r="Y111" s="24">
        <v>40</v>
      </c>
      <c r="Z111" s="25" t="s">
        <v>18723</v>
      </c>
    </row>
    <row r="112" spans="1:26" s="25" customFormat="1" x14ac:dyDescent="0.2">
      <c r="A112" s="23" t="s">
        <v>18741</v>
      </c>
      <c r="B112" s="22" t="s">
        <v>18742</v>
      </c>
      <c r="C112" s="23" t="str">
        <f t="shared" si="6"/>
        <v>000</v>
      </c>
      <c r="D112" s="23" t="s">
        <v>18718</v>
      </c>
      <c r="E112" s="22" t="s">
        <v>18743</v>
      </c>
      <c r="F112" s="22" t="s">
        <v>19044</v>
      </c>
      <c r="G112" s="22" t="str">
        <f>VLOOKUP(F112,[1]CHILDCARE_FACILITIES!N:Q,4,0)</f>
        <v>CDC-12279</v>
      </c>
      <c r="H112" s="22" t="e">
        <f>VLOOKUP(G112,'[1]CACFP FRL'!D:G,4,0)</f>
        <v>#N/A</v>
      </c>
      <c r="I112" s="22" t="str">
        <f>VLOOKUP(G112,[1]CHILDCARE_FACILITIES!AK:AL,2,0)</f>
        <v>CDC12279</v>
      </c>
      <c r="J112" s="22">
        <f>VLOOKUP(I112,'[1]Head Start QF 1-5 Stars'!O:Q,3,0)</f>
        <v>976</v>
      </c>
      <c r="K112" s="23" t="s">
        <v>18741</v>
      </c>
      <c r="L112" s="22" t="s">
        <v>19045</v>
      </c>
      <c r="M112" s="22" t="s">
        <v>1637</v>
      </c>
      <c r="N112" s="22" t="s">
        <v>495</v>
      </c>
      <c r="O112" s="23" t="s">
        <v>207</v>
      </c>
      <c r="P112" s="22" t="str">
        <f>"85041"</f>
        <v>85041</v>
      </c>
      <c r="Q112" s="22" t="str">
        <f>"5287"</f>
        <v>5287</v>
      </c>
      <c r="R112" s="22" t="s">
        <v>18710</v>
      </c>
      <c r="S112" s="23" t="s">
        <v>18737</v>
      </c>
      <c r="T112" s="22"/>
      <c r="U112" s="22" t="s">
        <v>18964</v>
      </c>
      <c r="V112" s="22" t="s">
        <v>18714</v>
      </c>
      <c r="W112" s="22" t="s">
        <v>18714</v>
      </c>
      <c r="X112" s="22" t="s">
        <v>18714</v>
      </c>
      <c r="Y112" s="23">
        <v>20</v>
      </c>
      <c r="Z112" s="22" t="s">
        <v>18723</v>
      </c>
    </row>
    <row r="113" spans="1:26" s="25" customFormat="1" x14ac:dyDescent="0.2">
      <c r="A113" s="23" t="s">
        <v>18741</v>
      </c>
      <c r="B113" s="22" t="s">
        <v>18742</v>
      </c>
      <c r="C113" s="23" t="str">
        <f t="shared" si="6"/>
        <v>000</v>
      </c>
      <c r="D113" s="23" t="s">
        <v>18718</v>
      </c>
      <c r="E113" s="22" t="s">
        <v>18743</v>
      </c>
      <c r="F113" s="22" t="s">
        <v>19046</v>
      </c>
      <c r="G113" s="22" t="str">
        <f>VLOOKUP(F113,[1]CHILDCARE_FACILITIES!N:Q,4,0)</f>
        <v>CDC-16658</v>
      </c>
      <c r="H113" s="22" t="e">
        <f>VLOOKUP(G113,'[1]CACFP FRL'!D:G,4,0)</f>
        <v>#N/A</v>
      </c>
      <c r="I113" s="22" t="str">
        <f>VLOOKUP(G113,[1]CHILDCARE_FACILITIES!AK:AL,2,0)</f>
        <v>CDC16658</v>
      </c>
      <c r="J113" s="22">
        <f>VLOOKUP(I113,'[1]Head Start QF 1-5 Stars'!O:Q,3,0)</f>
        <v>2228</v>
      </c>
      <c r="K113" s="23" t="s">
        <v>18741</v>
      </c>
      <c r="L113" s="22" t="s">
        <v>717</v>
      </c>
      <c r="M113" s="22" t="s">
        <v>1637</v>
      </c>
      <c r="N113" s="22" t="s">
        <v>495</v>
      </c>
      <c r="O113" s="23" t="s">
        <v>207</v>
      </c>
      <c r="P113" s="22" t="str">
        <f>"85007"</f>
        <v>85007</v>
      </c>
      <c r="Q113" s="22" t="str">
        <f>"3826"</f>
        <v>3826</v>
      </c>
      <c r="R113" s="22" t="s">
        <v>18710</v>
      </c>
      <c r="S113" s="23" t="s">
        <v>18737</v>
      </c>
      <c r="T113" s="22" t="s">
        <v>18746</v>
      </c>
      <c r="U113" s="22" t="s">
        <v>18964</v>
      </c>
      <c r="V113" s="22" t="s">
        <v>18714</v>
      </c>
      <c r="W113" s="22" t="s">
        <v>18714</v>
      </c>
      <c r="X113" s="22" t="s">
        <v>18714</v>
      </c>
      <c r="Y113" s="23">
        <v>20</v>
      </c>
      <c r="Z113" s="22" t="s">
        <v>18723</v>
      </c>
    </row>
    <row r="114" spans="1:26" x14ac:dyDescent="0.2">
      <c r="A114" s="23" t="s">
        <v>18741</v>
      </c>
      <c r="B114" s="22" t="s">
        <v>18742</v>
      </c>
      <c r="C114" s="23" t="str">
        <f t="shared" si="6"/>
        <v>000</v>
      </c>
      <c r="D114" s="23" t="s">
        <v>18718</v>
      </c>
      <c r="E114" s="22" t="s">
        <v>18743</v>
      </c>
      <c r="F114" s="22" t="s">
        <v>19047</v>
      </c>
      <c r="G114" s="22" t="str">
        <f>VLOOKUP(F114,[1]CHILDCARE_FACILITIES!N:Q,4,0)</f>
        <v>CDC-10139</v>
      </c>
      <c r="H114" s="22" t="e">
        <f>VLOOKUP(G114,'[1]CACFP FRL'!D:G,4,0)</f>
        <v>#N/A</v>
      </c>
      <c r="I114" s="22" t="str">
        <f>VLOOKUP(G114,[1]CHILDCARE_FACILITIES!AK:AL,2,0)</f>
        <v>CDC10139</v>
      </c>
      <c r="J114" s="22">
        <f>VLOOKUP(I114,'[1]Head Start QF 1-5 Stars'!O:Q,3,0)</f>
        <v>726</v>
      </c>
      <c r="K114" s="23" t="s">
        <v>18741</v>
      </c>
      <c r="L114" s="22" t="s">
        <v>19048</v>
      </c>
      <c r="M114" s="22" t="s">
        <v>1637</v>
      </c>
      <c r="N114" s="22" t="s">
        <v>495</v>
      </c>
      <c r="O114" s="23" t="s">
        <v>207</v>
      </c>
      <c r="P114" s="22" t="str">
        <f>"85034"</f>
        <v>85034</v>
      </c>
      <c r="Q114" s="22" t="str">
        <f>"1123"</f>
        <v>1123</v>
      </c>
      <c r="R114" s="22" t="s">
        <v>18710</v>
      </c>
      <c r="S114" s="23" t="s">
        <v>18737</v>
      </c>
      <c r="T114" s="22" t="s">
        <v>18746</v>
      </c>
      <c r="U114" s="22" t="s">
        <v>18964</v>
      </c>
      <c r="V114" s="22" t="s">
        <v>18714</v>
      </c>
      <c r="W114" s="22" t="s">
        <v>18714</v>
      </c>
      <c r="X114" s="22" t="s">
        <v>18714</v>
      </c>
      <c r="Y114" s="23">
        <v>40</v>
      </c>
      <c r="Z114" s="22" t="s">
        <v>18723</v>
      </c>
    </row>
    <row r="115" spans="1:26" x14ac:dyDescent="0.2">
      <c r="A115" s="23" t="s">
        <v>18741</v>
      </c>
      <c r="B115" s="22" t="s">
        <v>18742</v>
      </c>
      <c r="C115" s="23" t="str">
        <f t="shared" si="6"/>
        <v>000</v>
      </c>
      <c r="D115" s="23" t="s">
        <v>18718</v>
      </c>
      <c r="E115" s="22" t="s">
        <v>18743</v>
      </c>
      <c r="F115" s="22" t="s">
        <v>1182</v>
      </c>
      <c r="G115" s="22" t="str">
        <f>VLOOKUP(F115,[1]CHILDCARE_FACILITIES!N:Q,4,0)</f>
        <v>CDC-17681</v>
      </c>
      <c r="H115" s="22" t="e">
        <f>VLOOKUP(G115,'[1]CACFP FRL'!D:G,4,0)</f>
        <v>#N/A</v>
      </c>
      <c r="I115" s="22" t="str">
        <f>VLOOKUP(G115,[1]CHILDCARE_FACILITIES!AK:AL,2,0)</f>
        <v>CDC17681</v>
      </c>
      <c r="J115" s="22">
        <f>VLOOKUP(I115,'[1]Head Start QF 1-5 Stars'!O:Q,3,0)</f>
        <v>2722</v>
      </c>
      <c r="K115" s="23" t="s">
        <v>18741</v>
      </c>
      <c r="L115" s="22" t="s">
        <v>18864</v>
      </c>
      <c r="M115" s="22" t="s">
        <v>1637</v>
      </c>
      <c r="N115" s="22" t="s">
        <v>495</v>
      </c>
      <c r="O115" s="23" t="s">
        <v>207</v>
      </c>
      <c r="P115" s="22" t="str">
        <f>"85009"</f>
        <v>85009</v>
      </c>
      <c r="Q115" s="22" t="str">
        <f>"2419"</f>
        <v>2419</v>
      </c>
      <c r="R115" s="22" t="s">
        <v>18710</v>
      </c>
      <c r="S115" s="23" t="s">
        <v>18737</v>
      </c>
      <c r="T115" s="22" t="s">
        <v>18746</v>
      </c>
      <c r="U115" s="22" t="s">
        <v>18964</v>
      </c>
      <c r="V115" s="22" t="s">
        <v>18714</v>
      </c>
      <c r="W115" s="22" t="s">
        <v>18714</v>
      </c>
      <c r="X115" s="22" t="s">
        <v>18714</v>
      </c>
      <c r="Y115" s="23">
        <v>20</v>
      </c>
      <c r="Z115" s="22" t="s">
        <v>18723</v>
      </c>
    </row>
    <row r="116" spans="1:26" s="25" customFormat="1" x14ac:dyDescent="0.2">
      <c r="A116" s="23" t="s">
        <v>18741</v>
      </c>
      <c r="B116" s="22" t="s">
        <v>18742</v>
      </c>
      <c r="C116" s="23" t="str">
        <f t="shared" si="6"/>
        <v>000</v>
      </c>
      <c r="D116" s="23" t="s">
        <v>18718</v>
      </c>
      <c r="E116" s="22" t="s">
        <v>18743</v>
      </c>
      <c r="F116" s="22" t="s">
        <v>1184</v>
      </c>
      <c r="G116" s="22" t="str">
        <f>VLOOKUP(F116,[1]CHILDCARE_FACILITIES!N:Q,4,0)</f>
        <v>CDC-17680</v>
      </c>
      <c r="H116" s="22" t="e">
        <f>VLOOKUP(G116,'[1]CACFP FRL'!D:G,4,0)</f>
        <v>#N/A</v>
      </c>
      <c r="I116" s="22" t="str">
        <f>VLOOKUP(G116,[1]CHILDCARE_FACILITIES!AK:AL,2,0)</f>
        <v>CDC17680</v>
      </c>
      <c r="J116" s="22">
        <f>VLOOKUP(I116,'[1]Head Start QF 1-5 Stars'!O:Q,3,0)</f>
        <v>3066</v>
      </c>
      <c r="K116" s="23" t="s">
        <v>18741</v>
      </c>
      <c r="L116" s="22" t="s">
        <v>19049</v>
      </c>
      <c r="M116" s="22" t="s">
        <v>1637</v>
      </c>
      <c r="N116" s="22" t="s">
        <v>495</v>
      </c>
      <c r="O116" s="23" t="s">
        <v>207</v>
      </c>
      <c r="P116" s="22" t="str">
        <f>"85035"</f>
        <v>85035</v>
      </c>
      <c r="Q116" s="22" t="str">
        <f>"2801"</f>
        <v>2801</v>
      </c>
      <c r="R116" s="22" t="s">
        <v>18710</v>
      </c>
      <c r="S116" s="23" t="s">
        <v>18737</v>
      </c>
      <c r="T116" s="22" t="s">
        <v>18746</v>
      </c>
      <c r="U116" s="22" t="s">
        <v>18964</v>
      </c>
      <c r="V116" s="22" t="s">
        <v>18714</v>
      </c>
      <c r="W116" s="22" t="s">
        <v>18714</v>
      </c>
      <c r="X116" s="22" t="s">
        <v>18714</v>
      </c>
      <c r="Y116" s="23">
        <v>150</v>
      </c>
      <c r="Z116" s="22" t="s">
        <v>18723</v>
      </c>
    </row>
    <row r="117" spans="1:26" s="25" customFormat="1" x14ac:dyDescent="0.2">
      <c r="A117" s="23" t="s">
        <v>18741</v>
      </c>
      <c r="B117" s="22" t="s">
        <v>18742</v>
      </c>
      <c r="C117" s="23" t="str">
        <f t="shared" si="6"/>
        <v>000</v>
      </c>
      <c r="D117" s="23" t="s">
        <v>18718</v>
      </c>
      <c r="E117" s="22" t="s">
        <v>18743</v>
      </c>
      <c r="F117" s="22" t="s">
        <v>19050</v>
      </c>
      <c r="G117" s="22" t="str">
        <f>VLOOKUP(F117,[1]CHILDCARE_FACILITIES!N:Q,4,0)</f>
        <v>CDC-18315</v>
      </c>
      <c r="H117" s="22" t="e">
        <f>VLOOKUP(G117,'[1]CACFP FRL'!D:G,4,0)</f>
        <v>#N/A</v>
      </c>
      <c r="I117" s="22" t="str">
        <f>VLOOKUP(G117,[1]CHILDCARE_FACILITIES!AK:AL,2,0)</f>
        <v>CDC18315</v>
      </c>
      <c r="J117" s="22">
        <f>VLOOKUP(I117,'[1]Head Start QF 1-5 Stars'!O:Q,3,0)</f>
        <v>3004</v>
      </c>
      <c r="K117" s="23" t="s">
        <v>18741</v>
      </c>
      <c r="L117" s="22" t="s">
        <v>1317</v>
      </c>
      <c r="M117" s="22" t="s">
        <v>1637</v>
      </c>
      <c r="N117" s="22" t="s">
        <v>495</v>
      </c>
      <c r="O117" s="23" t="s">
        <v>207</v>
      </c>
      <c r="P117" s="22" t="str">
        <f>"85042"</f>
        <v>85042</v>
      </c>
      <c r="Q117" s="22" t="str">
        <f>"8220"</f>
        <v>8220</v>
      </c>
      <c r="R117" s="22" t="s">
        <v>18710</v>
      </c>
      <c r="S117" s="23" t="s">
        <v>18737</v>
      </c>
      <c r="T117" s="22" t="s">
        <v>18746</v>
      </c>
      <c r="U117" s="22" t="s">
        <v>18964</v>
      </c>
      <c r="V117" s="22" t="s">
        <v>18714</v>
      </c>
      <c r="W117" s="22" t="s">
        <v>18714</v>
      </c>
      <c r="X117" s="22" t="s">
        <v>18714</v>
      </c>
      <c r="Y117" s="23">
        <v>20</v>
      </c>
      <c r="Z117" s="22" t="s">
        <v>18723</v>
      </c>
    </row>
    <row r="118" spans="1:26" x14ac:dyDescent="0.2">
      <c r="A118" s="23" t="s">
        <v>18741</v>
      </c>
      <c r="B118" s="22" t="s">
        <v>18742</v>
      </c>
      <c r="C118" s="23" t="str">
        <f t="shared" si="6"/>
        <v>000</v>
      </c>
      <c r="D118" s="23" t="s">
        <v>18718</v>
      </c>
      <c r="E118" s="22" t="s">
        <v>18743</v>
      </c>
      <c r="F118" s="22" t="s">
        <v>19051</v>
      </c>
      <c r="G118" s="22" t="str">
        <f>VLOOKUP(F118,[1]CHILDCARE_FACILITIES!N:Q,4,0)</f>
        <v>CDC-11665</v>
      </c>
      <c r="H118" s="22" t="e">
        <f>VLOOKUP(G118,'[1]CACFP FRL'!D:G,4,0)</f>
        <v>#N/A</v>
      </c>
      <c r="I118" s="22" t="str">
        <f>VLOOKUP(G118,[1]CHILDCARE_FACILITIES!AK:AL,2,0)</f>
        <v>CDC11665</v>
      </c>
      <c r="J118" s="22" t="e">
        <f>VLOOKUP(I118,'[1]Head Start QF 1-5 Stars'!O:Q,3,0)</f>
        <v>#N/A</v>
      </c>
      <c r="K118" s="23" t="s">
        <v>18741</v>
      </c>
      <c r="L118" s="22" t="s">
        <v>1330</v>
      </c>
      <c r="M118" s="22" t="s">
        <v>1637</v>
      </c>
      <c r="N118" s="22" t="s">
        <v>495</v>
      </c>
      <c r="O118" s="23" t="s">
        <v>207</v>
      </c>
      <c r="P118" s="22" t="str">
        <f>"85051"</f>
        <v>85051</v>
      </c>
      <c r="Q118" s="22" t="str">
        <f>"3324"</f>
        <v>3324</v>
      </c>
      <c r="R118" s="22" t="s">
        <v>18710</v>
      </c>
      <c r="S118" s="23" t="s">
        <v>19033</v>
      </c>
      <c r="T118" s="22" t="s">
        <v>18746</v>
      </c>
      <c r="U118" s="22" t="s">
        <v>18964</v>
      </c>
      <c r="V118" s="22" t="s">
        <v>18714</v>
      </c>
      <c r="W118" s="22" t="s">
        <v>18714</v>
      </c>
      <c r="X118" s="22" t="s">
        <v>18714</v>
      </c>
      <c r="Y118" s="23">
        <v>38</v>
      </c>
      <c r="Z118" s="22" t="s">
        <v>18723</v>
      </c>
    </row>
    <row r="119" spans="1:26" x14ac:dyDescent="0.2">
      <c r="A119" s="23" t="s">
        <v>18741</v>
      </c>
      <c r="B119" s="22" t="s">
        <v>18742</v>
      </c>
      <c r="C119" s="23" t="str">
        <f t="shared" si="6"/>
        <v>000</v>
      </c>
      <c r="D119" s="23" t="s">
        <v>18718</v>
      </c>
      <c r="E119" s="22" t="s">
        <v>18743</v>
      </c>
      <c r="F119" s="22" t="s">
        <v>19052</v>
      </c>
      <c r="G119" s="22" t="str">
        <f>VLOOKUP(F119,[1]CHILDCARE_FACILITIES!N:Q,4,0)</f>
        <v>CDC-16650</v>
      </c>
      <c r="H119" s="22" t="e">
        <f>VLOOKUP(G119,'[1]CACFP FRL'!D:G,4,0)</f>
        <v>#N/A</v>
      </c>
      <c r="I119" s="22" t="str">
        <f>VLOOKUP(G119,[1]CHILDCARE_FACILITIES!AK:AL,2,0)</f>
        <v>CDC16650</v>
      </c>
      <c r="J119" s="22">
        <f>VLOOKUP(I119,'[1]Head Start QF 1-5 Stars'!O:Q,3,0)</f>
        <v>2229</v>
      </c>
      <c r="K119" s="23" t="s">
        <v>18741</v>
      </c>
      <c r="L119" s="22" t="s">
        <v>1336</v>
      </c>
      <c r="M119" s="22" t="s">
        <v>1637</v>
      </c>
      <c r="N119" s="22" t="s">
        <v>495</v>
      </c>
      <c r="O119" s="23" t="s">
        <v>207</v>
      </c>
      <c r="P119" s="22" t="str">
        <f>"85007"</f>
        <v>85007</v>
      </c>
      <c r="Q119" s="22" t="str">
        <f>"2443"</f>
        <v>2443</v>
      </c>
      <c r="R119" s="22" t="s">
        <v>18710</v>
      </c>
      <c r="S119" s="23" t="s">
        <v>18737</v>
      </c>
      <c r="T119" s="22" t="s">
        <v>18746</v>
      </c>
      <c r="U119" s="22" t="s">
        <v>18964</v>
      </c>
      <c r="V119" s="22" t="s">
        <v>18714</v>
      </c>
      <c r="W119" s="22" t="s">
        <v>18714</v>
      </c>
      <c r="X119" s="22" t="s">
        <v>18714</v>
      </c>
      <c r="Y119" s="23">
        <v>20</v>
      </c>
      <c r="Z119" s="22" t="s">
        <v>18723</v>
      </c>
    </row>
    <row r="120" spans="1:26" x14ac:dyDescent="0.2">
      <c r="A120" s="23" t="s">
        <v>18741</v>
      </c>
      <c r="B120" s="22" t="s">
        <v>18742</v>
      </c>
      <c r="C120" s="23" t="str">
        <f t="shared" si="6"/>
        <v>000</v>
      </c>
      <c r="D120" s="23" t="s">
        <v>18718</v>
      </c>
      <c r="E120" s="22" t="s">
        <v>18743</v>
      </c>
      <c r="F120" s="22" t="s">
        <v>35</v>
      </c>
      <c r="G120" s="22" t="str">
        <f>VLOOKUP(F120,[1]CHILDCARE_FACILITIES!N:Q,4,0)</f>
        <v>CDC-16733</v>
      </c>
      <c r="H120" s="22" t="e">
        <f>VLOOKUP(G120,'[1]CACFP FRL'!D:G,4,0)</f>
        <v>#N/A</v>
      </c>
      <c r="I120" s="22" t="str">
        <f>VLOOKUP(G120,[1]CHILDCARE_FACILITIES!AK:AL,2,0)</f>
        <v>CDC16733</v>
      </c>
      <c r="J120" s="22">
        <f>VLOOKUP(I120,'[1]Head Start QF 1-5 Stars'!O:Q,3,0)</f>
        <v>1402</v>
      </c>
      <c r="K120" s="23" t="s">
        <v>18741</v>
      </c>
      <c r="L120" s="22" t="s">
        <v>19053</v>
      </c>
      <c r="M120" s="22" t="s">
        <v>1637</v>
      </c>
      <c r="N120" s="22" t="s">
        <v>495</v>
      </c>
      <c r="O120" s="23" t="s">
        <v>207</v>
      </c>
      <c r="P120" s="22" t="str">
        <f>"85031"</f>
        <v>85031</v>
      </c>
      <c r="Q120" s="22" t="str">
        <f>"1115"</f>
        <v>1115</v>
      </c>
      <c r="R120" s="22" t="s">
        <v>18710</v>
      </c>
      <c r="S120" s="23" t="s">
        <v>18737</v>
      </c>
      <c r="T120" s="22" t="s">
        <v>18746</v>
      </c>
      <c r="U120" s="22" t="s">
        <v>18964</v>
      </c>
      <c r="V120" s="22" t="s">
        <v>18714</v>
      </c>
      <c r="W120" s="22" t="s">
        <v>18714</v>
      </c>
      <c r="X120" s="22" t="s">
        <v>18714</v>
      </c>
      <c r="Y120" s="23">
        <v>134</v>
      </c>
      <c r="Z120" s="22" t="s">
        <v>18723</v>
      </c>
    </row>
    <row r="121" spans="1:26" s="25" customFormat="1" x14ac:dyDescent="0.2">
      <c r="A121" s="24" t="s">
        <v>18741</v>
      </c>
      <c r="B121" s="25" t="s">
        <v>18742</v>
      </c>
      <c r="C121" s="24" t="str">
        <f t="shared" si="6"/>
        <v>000</v>
      </c>
      <c r="D121" s="24" t="s">
        <v>18718</v>
      </c>
      <c r="E121" s="25" t="s">
        <v>18743</v>
      </c>
      <c r="F121" s="25" t="s">
        <v>7256</v>
      </c>
      <c r="G121" s="25" t="e">
        <f>VLOOKUP(F121,[1]CHILDCARE_FACILITIES!N:Q,4,0)</f>
        <v>#N/A</v>
      </c>
      <c r="H121" s="25" t="e">
        <f>VLOOKUP(G121,'[1]CACFP FRL'!D:G,4,0)</f>
        <v>#N/A</v>
      </c>
      <c r="I121" s="25" t="e">
        <f>VLOOKUP(G121,[1]CHILDCARE_FACILITIES!AK:AL,2,0)</f>
        <v>#N/A</v>
      </c>
      <c r="J121" s="25" t="e">
        <f>VLOOKUP(I121,'[1]Head Start QF 1-5 Stars'!O:Q,3,0)</f>
        <v>#N/A</v>
      </c>
      <c r="K121" s="24" t="s">
        <v>18741</v>
      </c>
      <c r="L121" s="25" t="s">
        <v>19054</v>
      </c>
      <c r="M121" s="25" t="s">
        <v>1637</v>
      </c>
      <c r="N121" s="25" t="s">
        <v>495</v>
      </c>
      <c r="O121" s="24" t="s">
        <v>207</v>
      </c>
      <c r="P121" s="25" t="str">
        <f>"85035"</f>
        <v>85035</v>
      </c>
      <c r="Q121" s="25" t="str">
        <f>"1600"</f>
        <v>1600</v>
      </c>
      <c r="R121" s="25" t="s">
        <v>18710</v>
      </c>
      <c r="S121" s="24" t="s">
        <v>18737</v>
      </c>
      <c r="T121" s="25" t="s">
        <v>18746</v>
      </c>
      <c r="U121" s="25" t="s">
        <v>18964</v>
      </c>
      <c r="V121" s="25" t="s">
        <v>18714</v>
      </c>
      <c r="W121" s="25" t="s">
        <v>18714</v>
      </c>
      <c r="X121" s="25" t="s">
        <v>18714</v>
      </c>
      <c r="Y121" s="24">
        <v>40</v>
      </c>
      <c r="Z121" s="25" t="s">
        <v>18723</v>
      </c>
    </row>
    <row r="122" spans="1:26" x14ac:dyDescent="0.2">
      <c r="A122" s="23" t="s">
        <v>18741</v>
      </c>
      <c r="B122" s="22" t="s">
        <v>18742</v>
      </c>
      <c r="C122" s="23" t="str">
        <f t="shared" si="6"/>
        <v>000</v>
      </c>
      <c r="D122" s="23" t="s">
        <v>18718</v>
      </c>
      <c r="E122" s="22" t="s">
        <v>18743</v>
      </c>
      <c r="F122" s="22" t="s">
        <v>50</v>
      </c>
      <c r="G122" s="22" t="str">
        <f>VLOOKUP(F122,[1]CHILDCARE_FACILITIES!N:Q,4,0)</f>
        <v>CDC-1167</v>
      </c>
      <c r="H122" s="22" t="e">
        <f>VLOOKUP(G122,'[1]CACFP FRL'!D:G,4,0)</f>
        <v>#N/A</v>
      </c>
      <c r="I122" s="22" t="str">
        <f>VLOOKUP(G122,[1]CHILDCARE_FACILITIES!AK:AL,2,0)</f>
        <v>CDC1167</v>
      </c>
      <c r="J122" s="22">
        <f>VLOOKUP(I122,'[1]Head Start QF 1-5 Stars'!O:Q,3,0)</f>
        <v>873</v>
      </c>
      <c r="K122" s="23" t="s">
        <v>18741</v>
      </c>
      <c r="L122" s="22" t="s">
        <v>655</v>
      </c>
      <c r="M122" s="22" t="s">
        <v>1637</v>
      </c>
      <c r="N122" s="22" t="s">
        <v>495</v>
      </c>
      <c r="O122" s="23" t="s">
        <v>207</v>
      </c>
      <c r="P122" s="22" t="str">
        <f>"85040"</f>
        <v>85040</v>
      </c>
      <c r="Q122" s="22" t="str">
        <f>"1103"</f>
        <v>1103</v>
      </c>
      <c r="R122" s="22" t="s">
        <v>18710</v>
      </c>
      <c r="S122" s="23" t="s">
        <v>18737</v>
      </c>
      <c r="T122" s="22" t="s">
        <v>18746</v>
      </c>
      <c r="U122" s="22" t="s">
        <v>18964</v>
      </c>
      <c r="V122" s="22" t="s">
        <v>18714</v>
      </c>
      <c r="W122" s="22" t="s">
        <v>18714</v>
      </c>
      <c r="X122" s="22" t="s">
        <v>18714</v>
      </c>
      <c r="Y122" s="23">
        <v>71</v>
      </c>
      <c r="Z122" s="22" t="s">
        <v>18723</v>
      </c>
    </row>
    <row r="123" spans="1:26" hidden="1" x14ac:dyDescent="0.2">
      <c r="A123" s="23" t="s">
        <v>19037</v>
      </c>
      <c r="B123" s="22" t="s">
        <v>18874</v>
      </c>
      <c r="C123" s="23" t="str">
        <f>"200"</f>
        <v>200</v>
      </c>
      <c r="D123" s="23" t="s">
        <v>18706</v>
      </c>
      <c r="E123" s="22" t="s">
        <v>18875</v>
      </c>
      <c r="F123" s="22" t="s">
        <v>19055</v>
      </c>
      <c r="G123" s="22" t="str">
        <f>VLOOKUP(F123,[1]CHILDCARE_FACILITIES!N:Q,4,0)</f>
        <v>CDC-4663</v>
      </c>
      <c r="H123" s="22" t="e">
        <f>VLOOKUP(G123,'[1]CACFP FRL'!D:G,4,0)</f>
        <v>#N/A</v>
      </c>
      <c r="I123" s="22" t="str">
        <f>VLOOKUP(G123,[1]CHILDCARE_FACILITIES!AK:AL,2,0)</f>
        <v>CDC4663</v>
      </c>
      <c r="J123" s="22">
        <f>VLOOKUP(I123,'[1]Head Start QF 1-5 Stars'!O:Q,3,0)</f>
        <v>1132</v>
      </c>
      <c r="K123" s="23" t="s">
        <v>19037</v>
      </c>
      <c r="L123" s="22" t="s">
        <v>19056</v>
      </c>
      <c r="M123" s="22" t="s">
        <v>1637</v>
      </c>
      <c r="N123" s="22" t="s">
        <v>495</v>
      </c>
      <c r="O123" s="23" t="s">
        <v>207</v>
      </c>
      <c r="P123" s="22" t="str">
        <f>"85022"</f>
        <v>85022</v>
      </c>
      <c r="Q123" s="22" t="str">
        <f>"8102"</f>
        <v>8102</v>
      </c>
      <c r="R123" s="22" t="s">
        <v>18710</v>
      </c>
      <c r="S123" s="23" t="s">
        <v>19033</v>
      </c>
      <c r="T123" s="22" t="s">
        <v>19039</v>
      </c>
      <c r="U123" s="22" t="s">
        <v>18713</v>
      </c>
      <c r="V123" s="22" t="s">
        <v>18714</v>
      </c>
      <c r="W123" s="22" t="s">
        <v>18714</v>
      </c>
      <c r="X123" s="22" t="s">
        <v>18714</v>
      </c>
      <c r="Y123" s="23">
        <v>36</v>
      </c>
      <c r="Z123" s="22" t="s">
        <v>18723</v>
      </c>
    </row>
    <row r="124" spans="1:26" x14ac:dyDescent="0.2">
      <c r="A124" s="24" t="s">
        <v>18741</v>
      </c>
      <c r="B124" s="25" t="s">
        <v>18742</v>
      </c>
      <c r="C124" s="24" t="str">
        <f>"000"</f>
        <v>000</v>
      </c>
      <c r="D124" s="24" t="s">
        <v>18718</v>
      </c>
      <c r="E124" s="25" t="s">
        <v>18743</v>
      </c>
      <c r="F124" s="25" t="s">
        <v>19057</v>
      </c>
      <c r="G124" s="25" t="e">
        <f>VLOOKUP(F124,[1]CHILDCARE_FACILITIES!N:Q,4,0)</f>
        <v>#N/A</v>
      </c>
      <c r="H124" s="25" t="e">
        <f>VLOOKUP(G124,'[1]CACFP FRL'!D:G,4,0)</f>
        <v>#N/A</v>
      </c>
      <c r="I124" s="25" t="e">
        <f>VLOOKUP(G124,[1]CHILDCARE_FACILITIES!AK:AL,2,0)</f>
        <v>#N/A</v>
      </c>
      <c r="J124" s="25" t="e">
        <f>VLOOKUP(I124,'[1]Head Start QF 1-5 Stars'!O:Q,3,0)</f>
        <v>#N/A</v>
      </c>
      <c r="K124" s="24" t="s">
        <v>18741</v>
      </c>
      <c r="L124" s="25" t="s">
        <v>579</v>
      </c>
      <c r="M124" s="25" t="s">
        <v>1637</v>
      </c>
      <c r="N124" s="25" t="s">
        <v>495</v>
      </c>
      <c r="O124" s="24" t="s">
        <v>207</v>
      </c>
      <c r="P124" s="25" t="str">
        <f>"85035"</f>
        <v>85035</v>
      </c>
      <c r="Q124" s="25" t="str">
        <f>"3706"</f>
        <v>3706</v>
      </c>
      <c r="R124" s="25" t="s">
        <v>18710</v>
      </c>
      <c r="S124" s="24" t="s">
        <v>18737</v>
      </c>
      <c r="T124" s="25" t="s">
        <v>18746</v>
      </c>
      <c r="U124" s="25" t="s">
        <v>18964</v>
      </c>
      <c r="V124" s="25" t="s">
        <v>18714</v>
      </c>
      <c r="W124" s="25" t="s">
        <v>18714</v>
      </c>
      <c r="X124" s="25" t="s">
        <v>18714</v>
      </c>
      <c r="Y124" s="24">
        <v>30</v>
      </c>
      <c r="Z124" s="25" t="s">
        <v>18723</v>
      </c>
    </row>
    <row r="125" spans="1:26" x14ac:dyDescent="0.2">
      <c r="A125" s="23" t="s">
        <v>18741</v>
      </c>
      <c r="B125" s="22" t="s">
        <v>18742</v>
      </c>
      <c r="C125" s="23" t="str">
        <f>"000"</f>
        <v>000</v>
      </c>
      <c r="D125" s="23" t="s">
        <v>18718</v>
      </c>
      <c r="E125" s="22" t="s">
        <v>18743</v>
      </c>
      <c r="F125" s="22" t="s">
        <v>19058</v>
      </c>
      <c r="G125" s="22" t="str">
        <f>VLOOKUP(F125,[1]CHILDCARE_FACILITIES!N:Q,4,0)</f>
        <v>CDC-4134</v>
      </c>
      <c r="H125" s="22" t="e">
        <f>VLOOKUP(G125,'[1]CACFP FRL'!D:G,4,0)</f>
        <v>#N/A</v>
      </c>
      <c r="I125" s="22" t="str">
        <f>VLOOKUP(G125,[1]CHILDCARE_FACILITIES!AK:AL,2,0)</f>
        <v>CDC4134</v>
      </c>
      <c r="J125" s="22">
        <f>VLOOKUP(I125,'[1]Head Start QF 1-5 Stars'!O:Q,3,0)</f>
        <v>2279</v>
      </c>
      <c r="K125" s="23" t="s">
        <v>18741</v>
      </c>
      <c r="L125" s="22" t="s">
        <v>19059</v>
      </c>
      <c r="M125" s="22" t="s">
        <v>1637</v>
      </c>
      <c r="N125" s="22" t="s">
        <v>495</v>
      </c>
      <c r="O125" s="23" t="s">
        <v>207</v>
      </c>
      <c r="P125" s="22" t="str">
        <f>"85023"</f>
        <v>85023</v>
      </c>
      <c r="Q125" s="22" t="str">
        <f>"1402"</f>
        <v>1402</v>
      </c>
      <c r="R125" s="22" t="s">
        <v>18710</v>
      </c>
      <c r="S125" s="23" t="s">
        <v>19033</v>
      </c>
      <c r="T125" s="22" t="s">
        <v>18746</v>
      </c>
      <c r="U125" s="22" t="s">
        <v>18964</v>
      </c>
      <c r="V125" s="22" t="s">
        <v>18731</v>
      </c>
      <c r="W125" s="22" t="s">
        <v>18714</v>
      </c>
      <c r="X125" s="22" t="s">
        <v>18731</v>
      </c>
      <c r="Y125" s="23">
        <v>40</v>
      </c>
      <c r="Z125" s="22" t="s">
        <v>18723</v>
      </c>
    </row>
    <row r="126" spans="1:26" x14ac:dyDescent="0.2">
      <c r="A126" s="23" t="s">
        <v>18741</v>
      </c>
      <c r="B126" s="22" t="s">
        <v>18742</v>
      </c>
      <c r="C126" s="23" t="str">
        <f>"000"</f>
        <v>000</v>
      </c>
      <c r="D126" s="23" t="s">
        <v>18718</v>
      </c>
      <c r="E126" s="22" t="s">
        <v>18743</v>
      </c>
      <c r="F126" s="22" t="s">
        <v>19060</v>
      </c>
      <c r="G126" s="22" t="str">
        <f>VLOOKUP(F126,[1]CHILDCARE_FACILITIES!N:Q,4,0)</f>
        <v>CDC-17677</v>
      </c>
      <c r="H126" s="22" t="e">
        <f>VLOOKUP(G126,'[1]CACFP FRL'!D:G,4,0)</f>
        <v>#N/A</v>
      </c>
      <c r="I126" s="22" t="str">
        <f>VLOOKUP(G126,[1]CHILDCARE_FACILITIES!AK:AL,2,0)</f>
        <v>CDC17677</v>
      </c>
      <c r="J126" s="22">
        <f>VLOOKUP(I126,'[1]Head Start QF 1-5 Stars'!O:Q,3,0)</f>
        <v>2597</v>
      </c>
      <c r="K126" s="23" t="s">
        <v>18741</v>
      </c>
      <c r="L126" s="22" t="s">
        <v>1396</v>
      </c>
      <c r="M126" s="22" t="s">
        <v>1637</v>
      </c>
      <c r="N126" s="22" t="s">
        <v>495</v>
      </c>
      <c r="O126" s="23" t="s">
        <v>207</v>
      </c>
      <c r="P126" s="22" t="str">
        <f>"85017"</f>
        <v>85017</v>
      </c>
      <c r="Q126" s="22" t="str">
        <f>"2316"</f>
        <v>2316</v>
      </c>
      <c r="R126" s="22" t="s">
        <v>18710</v>
      </c>
      <c r="S126" s="23" t="s">
        <v>18737</v>
      </c>
      <c r="T126" s="22" t="s">
        <v>19061</v>
      </c>
      <c r="U126" s="22" t="s">
        <v>18713</v>
      </c>
      <c r="V126" s="22" t="s">
        <v>18731</v>
      </c>
      <c r="W126" s="22" t="s">
        <v>18731</v>
      </c>
      <c r="X126" s="22" t="s">
        <v>18714</v>
      </c>
      <c r="Y126" s="23">
        <v>64</v>
      </c>
      <c r="Z126" s="22" t="s">
        <v>18723</v>
      </c>
    </row>
    <row r="127" spans="1:26" x14ac:dyDescent="0.2">
      <c r="A127" s="23" t="s">
        <v>18741</v>
      </c>
      <c r="B127" s="22" t="s">
        <v>18742</v>
      </c>
      <c r="C127" s="23" t="str">
        <f>"000"</f>
        <v>000</v>
      </c>
      <c r="D127" s="23" t="s">
        <v>18718</v>
      </c>
      <c r="E127" s="22" t="s">
        <v>18743</v>
      </c>
      <c r="F127" s="22" t="s">
        <v>19062</v>
      </c>
      <c r="G127" s="22" t="str">
        <f>VLOOKUP(F127,[1]CHILDCARE_FACILITIES!N:Q,4,0)</f>
        <v>CDC-6793</v>
      </c>
      <c r="H127" s="22" t="e">
        <f>VLOOKUP(G127,'[1]CACFP FRL'!D:G,4,0)</f>
        <v>#N/A</v>
      </c>
      <c r="I127" s="22" t="str">
        <f>VLOOKUP(G127,[1]CHILDCARE_FACILITIES!AK:AL,2,0)</f>
        <v>CDC6793</v>
      </c>
      <c r="J127" s="22" t="e">
        <f>VLOOKUP(I127,'[1]Head Start QF 1-5 Stars'!O:Q,3,0)</f>
        <v>#N/A</v>
      </c>
      <c r="K127" s="23" t="s">
        <v>18741</v>
      </c>
      <c r="L127" s="22" t="s">
        <v>1338</v>
      </c>
      <c r="M127" s="22" t="s">
        <v>1637</v>
      </c>
      <c r="N127" s="22" t="s">
        <v>495</v>
      </c>
      <c r="O127" s="23" t="s">
        <v>207</v>
      </c>
      <c r="P127" s="22" t="str">
        <f>"85020"</f>
        <v>85020</v>
      </c>
      <c r="Q127" s="22" t="str">
        <f>"3113"</f>
        <v>3113</v>
      </c>
      <c r="R127" s="22" t="s">
        <v>18710</v>
      </c>
      <c r="S127" s="23" t="s">
        <v>18711</v>
      </c>
      <c r="T127" s="22" t="s">
        <v>18746</v>
      </c>
      <c r="U127" s="22" t="s">
        <v>18964</v>
      </c>
      <c r="V127" s="22" t="s">
        <v>18714</v>
      </c>
      <c r="W127" s="22" t="s">
        <v>18714</v>
      </c>
      <c r="X127" s="22" t="s">
        <v>18714</v>
      </c>
      <c r="Y127" s="23">
        <v>26</v>
      </c>
      <c r="Z127" s="22" t="s">
        <v>18723</v>
      </c>
    </row>
    <row r="128" spans="1:26" hidden="1" x14ac:dyDescent="0.2">
      <c r="A128" s="23" t="s">
        <v>19037</v>
      </c>
      <c r="B128" s="22" t="s">
        <v>18874</v>
      </c>
      <c r="C128" s="23" t="str">
        <f>"200"</f>
        <v>200</v>
      </c>
      <c r="D128" s="23" t="s">
        <v>18706</v>
      </c>
      <c r="E128" s="22" t="s">
        <v>18875</v>
      </c>
      <c r="F128" s="22" t="s">
        <v>1212</v>
      </c>
      <c r="G128" s="22" t="str">
        <f>VLOOKUP(F128,[1]CHILDCARE_FACILITIES!N:Q,4,0)</f>
        <v>CDC-15893</v>
      </c>
      <c r="H128" s="22">
        <f>VLOOKUP(G128,'[1]CACFP FRL'!D:G,4,0)</f>
        <v>91234</v>
      </c>
      <c r="I128" s="22" t="str">
        <f>VLOOKUP(G128,[1]CHILDCARE_FACILITIES!AK:AL,2,0)</f>
        <v>CDC15893</v>
      </c>
      <c r="J128" s="22">
        <f>VLOOKUP(I128,'[1]Head Start QF 1-5 Stars'!O:Q,3,0)</f>
        <v>1410</v>
      </c>
      <c r="K128" s="23" t="s">
        <v>19037</v>
      </c>
      <c r="L128" s="22" t="s">
        <v>19063</v>
      </c>
      <c r="M128" s="22" t="s">
        <v>1637</v>
      </c>
      <c r="N128" s="22" t="s">
        <v>495</v>
      </c>
      <c r="O128" s="23" t="s">
        <v>207</v>
      </c>
      <c r="P128" s="22" t="str">
        <f>"85008"</f>
        <v>85008</v>
      </c>
      <c r="Q128" s="22" t="str">
        <f>"5803"</f>
        <v>5803</v>
      </c>
      <c r="R128" s="22" t="s">
        <v>18710</v>
      </c>
      <c r="S128" s="23" t="s">
        <v>18737</v>
      </c>
      <c r="T128" s="22" t="s">
        <v>19039</v>
      </c>
      <c r="U128" s="22" t="s">
        <v>18713</v>
      </c>
      <c r="V128" s="22" t="s">
        <v>18714</v>
      </c>
      <c r="W128" s="22" t="s">
        <v>18714</v>
      </c>
      <c r="X128" s="22" t="s">
        <v>18714</v>
      </c>
      <c r="Y128" s="23">
        <v>72</v>
      </c>
      <c r="Z128" s="22" t="s">
        <v>18723</v>
      </c>
    </row>
    <row r="129" spans="1:26" x14ac:dyDescent="0.2">
      <c r="A129" s="23" t="s">
        <v>18741</v>
      </c>
      <c r="B129" s="22" t="s">
        <v>18742</v>
      </c>
      <c r="C129" s="23" t="str">
        <f>"000"</f>
        <v>000</v>
      </c>
      <c r="D129" s="23" t="s">
        <v>18718</v>
      </c>
      <c r="E129" s="22" t="s">
        <v>18743</v>
      </c>
      <c r="F129" s="22" t="s">
        <v>19064</v>
      </c>
      <c r="G129" s="22" t="str">
        <f>VLOOKUP(F129,[1]CHILDCARE_FACILITIES!N:Q,4,0)</f>
        <v>CDC-18316</v>
      </c>
      <c r="H129" s="22" t="e">
        <f>VLOOKUP(G129,'[1]CACFP FRL'!D:G,4,0)</f>
        <v>#N/A</v>
      </c>
      <c r="I129" s="22" t="str">
        <f>VLOOKUP(G129,[1]CHILDCARE_FACILITIES!AK:AL,2,0)</f>
        <v>CDC18316</v>
      </c>
      <c r="J129" s="22">
        <f>VLOOKUP(I129,'[1]Head Start QF 1-5 Stars'!O:Q,3,0)</f>
        <v>3005</v>
      </c>
      <c r="K129" s="23" t="s">
        <v>18741</v>
      </c>
      <c r="L129" s="22" t="s">
        <v>1383</v>
      </c>
      <c r="M129" s="22" t="s">
        <v>1637</v>
      </c>
      <c r="N129" s="22" t="s">
        <v>495</v>
      </c>
      <c r="O129" s="23" t="s">
        <v>207</v>
      </c>
      <c r="P129" s="22" t="str">
        <f>"85041"</f>
        <v>85041</v>
      </c>
      <c r="Q129" s="22" t="str">
        <f>"5400"</f>
        <v>5400</v>
      </c>
      <c r="R129" s="22" t="s">
        <v>18710</v>
      </c>
      <c r="S129" s="23" t="s">
        <v>18737</v>
      </c>
      <c r="T129" s="22" t="s">
        <v>18746</v>
      </c>
      <c r="U129" s="22" t="s">
        <v>18964</v>
      </c>
      <c r="V129" s="22" t="s">
        <v>18714</v>
      </c>
      <c r="W129" s="22" t="s">
        <v>18714</v>
      </c>
      <c r="X129" s="22" t="s">
        <v>18714</v>
      </c>
      <c r="Y129" s="23">
        <v>20</v>
      </c>
      <c r="Z129" s="22" t="s">
        <v>18723</v>
      </c>
    </row>
    <row r="130" spans="1:26" x14ac:dyDescent="0.2">
      <c r="A130" s="23" t="s">
        <v>18741</v>
      </c>
      <c r="B130" s="22" t="s">
        <v>18742</v>
      </c>
      <c r="C130" s="23" t="str">
        <f>"000"</f>
        <v>000</v>
      </c>
      <c r="D130" s="23" t="s">
        <v>18718</v>
      </c>
      <c r="E130" s="22" t="s">
        <v>18743</v>
      </c>
      <c r="F130" s="22" t="s">
        <v>89</v>
      </c>
      <c r="G130" s="22" t="str">
        <f>VLOOKUP(F130,[1]CHILDCARE_FACILITIES!N:Q,4,0)</f>
        <v>CDC-6331</v>
      </c>
      <c r="H130" s="22" t="e">
        <f>VLOOKUP(G130,'[1]CACFP FRL'!D:G,4,0)</f>
        <v>#N/A</v>
      </c>
      <c r="I130" s="22" t="str">
        <f>VLOOKUP(G130,[1]CHILDCARE_FACILITIES!AK:AL,2,0)</f>
        <v>CDC6331</v>
      </c>
      <c r="J130" s="22" t="e">
        <f>VLOOKUP(I130,'[1]Head Start QF 1-5 Stars'!O:Q,3,0)</f>
        <v>#N/A</v>
      </c>
      <c r="K130" s="23" t="s">
        <v>18741</v>
      </c>
      <c r="L130" s="22" t="s">
        <v>672</v>
      </c>
      <c r="M130" s="22" t="s">
        <v>1637</v>
      </c>
      <c r="N130" s="22" t="s">
        <v>495</v>
      </c>
      <c r="O130" s="23" t="s">
        <v>207</v>
      </c>
      <c r="P130" s="22" t="str">
        <f>"85006"</f>
        <v>85006</v>
      </c>
      <c r="Q130" s="22" t="str">
        <f>"3603"</f>
        <v>3603</v>
      </c>
      <c r="R130" s="22" t="s">
        <v>18710</v>
      </c>
      <c r="S130" s="23" t="s">
        <v>18737</v>
      </c>
      <c r="T130" s="22" t="s">
        <v>18746</v>
      </c>
      <c r="U130" s="22" t="s">
        <v>18964</v>
      </c>
      <c r="V130" s="22" t="s">
        <v>18714</v>
      </c>
      <c r="W130" s="22" t="s">
        <v>18714</v>
      </c>
      <c r="X130" s="22" t="s">
        <v>18714</v>
      </c>
      <c r="Y130" s="23">
        <v>20</v>
      </c>
      <c r="Z130" s="22" t="s">
        <v>18723</v>
      </c>
    </row>
    <row r="131" spans="1:26" hidden="1" x14ac:dyDescent="0.2">
      <c r="A131" s="23" t="s">
        <v>18716</v>
      </c>
      <c r="B131" s="22" t="s">
        <v>18717</v>
      </c>
      <c r="C131" s="23" t="str">
        <f>"200"</f>
        <v>200</v>
      </c>
      <c r="D131" s="23" t="s">
        <v>18706</v>
      </c>
      <c r="E131" s="22" t="s">
        <v>18717</v>
      </c>
      <c r="F131" s="22" t="s">
        <v>18747</v>
      </c>
      <c r="G131" s="22" t="str">
        <f>VLOOKUP(F131,[1]CHILDCARE_FACILITIES!N:Q,4,0)</f>
        <v>CDC-17055</v>
      </c>
      <c r="H131" s="22" t="e">
        <f>VLOOKUP(G131,'[1]CACFP FRL'!D:G,4,0)</f>
        <v>#N/A</v>
      </c>
      <c r="I131" s="22" t="str">
        <f>VLOOKUP(G131,[1]CHILDCARE_FACILITIES!AK:AL,2,0)</f>
        <v>CDC17055</v>
      </c>
      <c r="J131" s="22" t="e">
        <f>VLOOKUP(I131,'[1]Head Start QF 1-5 Stars'!O:Q,3,0)</f>
        <v>#N/A</v>
      </c>
      <c r="K131" s="23" t="s">
        <v>18716</v>
      </c>
      <c r="L131" s="22" t="s">
        <v>18748</v>
      </c>
      <c r="M131" s="22" t="s">
        <v>18749</v>
      </c>
      <c r="N131" s="22" t="s">
        <v>18750</v>
      </c>
      <c r="O131" s="23" t="s">
        <v>207</v>
      </c>
      <c r="P131" s="22" t="str">
        <f>"85335"</f>
        <v>85335</v>
      </c>
      <c r="Q131" s="22" t="str">
        <f>"2469"</f>
        <v>2469</v>
      </c>
      <c r="R131" s="22" t="s">
        <v>18710</v>
      </c>
      <c r="S131" s="23" t="s">
        <v>18751</v>
      </c>
      <c r="T131" s="22" t="s">
        <v>18752</v>
      </c>
      <c r="U131" s="22" t="s">
        <v>18713</v>
      </c>
      <c r="V131" s="22" t="s">
        <v>18714</v>
      </c>
      <c r="W131" s="22" t="s">
        <v>18714</v>
      </c>
      <c r="X131" s="22" t="s">
        <v>18714</v>
      </c>
      <c r="Y131" s="23">
        <v>20</v>
      </c>
      <c r="Z131" s="22" t="s">
        <v>18723</v>
      </c>
    </row>
    <row r="132" spans="1:26" x14ac:dyDescent="0.2">
      <c r="A132" s="23" t="s">
        <v>18741</v>
      </c>
      <c r="B132" s="22" t="s">
        <v>18742</v>
      </c>
      <c r="C132" s="23" t="str">
        <f>"000"</f>
        <v>000</v>
      </c>
      <c r="D132" s="23" t="s">
        <v>18718</v>
      </c>
      <c r="E132" s="22" t="s">
        <v>18743</v>
      </c>
      <c r="F132" s="22" t="s">
        <v>1183</v>
      </c>
      <c r="G132" s="22" t="str">
        <f>VLOOKUP(F132,[1]CHILDCARE_FACILITIES!N:Q,4,0)</f>
        <v>CDC-18681</v>
      </c>
      <c r="H132" s="22" t="e">
        <f>VLOOKUP(G132,'[1]CACFP FRL'!D:G,4,0)</f>
        <v>#N/A</v>
      </c>
      <c r="I132" s="22" t="str">
        <f>VLOOKUP(G132,[1]CHILDCARE_FACILITIES!AK:AL,2,0)</f>
        <v>CDC18681</v>
      </c>
      <c r="J132" s="22" t="e">
        <f>VLOOKUP(I132,'[1]Head Start QF 1-5 Stars'!O:Q,3,0)</f>
        <v>#N/A</v>
      </c>
      <c r="K132" s="23" t="s">
        <v>18741</v>
      </c>
      <c r="L132" s="22" t="s">
        <v>19065</v>
      </c>
      <c r="M132" s="22" t="s">
        <v>1637</v>
      </c>
      <c r="N132" s="22" t="s">
        <v>495</v>
      </c>
      <c r="O132" s="23" t="s">
        <v>207</v>
      </c>
      <c r="P132" s="22" t="str">
        <f>"85033"</f>
        <v>85033</v>
      </c>
      <c r="Q132" s="22" t="str">
        <f>"4036"</f>
        <v>4036</v>
      </c>
      <c r="R132" s="22" t="s">
        <v>18710</v>
      </c>
      <c r="S132" s="23" t="s">
        <v>18737</v>
      </c>
      <c r="T132" s="22" t="s">
        <v>18746</v>
      </c>
      <c r="U132" s="22" t="s">
        <v>18964</v>
      </c>
      <c r="V132" s="22" t="s">
        <v>18714</v>
      </c>
      <c r="W132" s="22" t="s">
        <v>18714</v>
      </c>
      <c r="X132" s="22" t="s">
        <v>18714</v>
      </c>
      <c r="Y132" s="23">
        <v>20</v>
      </c>
      <c r="Z132" s="22" t="s">
        <v>18723</v>
      </c>
    </row>
    <row r="133" spans="1:26" hidden="1" x14ac:dyDescent="0.2">
      <c r="A133" s="23" t="s">
        <v>18759</v>
      </c>
      <c r="B133" s="22" t="s">
        <v>18760</v>
      </c>
      <c r="C133" s="23" t="str">
        <f>"200"</f>
        <v>200</v>
      </c>
      <c r="D133" s="23" t="s">
        <v>18706</v>
      </c>
      <c r="E133" s="22" t="s">
        <v>18761</v>
      </c>
      <c r="F133" s="22" t="s">
        <v>51</v>
      </c>
      <c r="G133" s="22" t="str">
        <f>VLOOKUP(F133,[1]CHILDCARE_FACILITIES!N:Q,4,0)</f>
        <v>CDC-18477</v>
      </c>
      <c r="H133" s="22">
        <f>VLOOKUP(G133,'[1]CACFP FRL'!D:G,4,0)</f>
        <v>8072</v>
      </c>
      <c r="I133" s="22" t="str">
        <f>VLOOKUP(G133,[1]CHILDCARE_FACILITIES!AK:AL,2,0)</f>
        <v>CDC18477</v>
      </c>
      <c r="J133" s="22" t="e">
        <f>VLOOKUP(I133,'[1]Head Start QF 1-5 Stars'!O:Q,3,0)</f>
        <v>#N/A</v>
      </c>
      <c r="K133" s="23" t="s">
        <v>18759</v>
      </c>
      <c r="L133" s="22" t="s">
        <v>19066</v>
      </c>
      <c r="M133" s="22" t="s">
        <v>1637</v>
      </c>
      <c r="N133" s="22" t="s">
        <v>760</v>
      </c>
      <c r="O133" s="23" t="s">
        <v>207</v>
      </c>
      <c r="P133" s="22" t="str">
        <f>"85131"</f>
        <v>85131</v>
      </c>
      <c r="Q133" s="22" t="str">
        <f>"2503"</f>
        <v>2503</v>
      </c>
      <c r="R133" s="22" t="s">
        <v>18763</v>
      </c>
      <c r="S133" s="23" t="s">
        <v>18818</v>
      </c>
      <c r="T133" s="22" t="s">
        <v>19067</v>
      </c>
      <c r="U133" s="22" t="s">
        <v>18713</v>
      </c>
      <c r="V133" s="22" t="s">
        <v>18731</v>
      </c>
      <c r="W133" s="22" t="s">
        <v>18731</v>
      </c>
      <c r="X133" s="22" t="s">
        <v>18731</v>
      </c>
      <c r="Y133" s="23">
        <v>8</v>
      </c>
      <c r="Z133" s="22" t="s">
        <v>18723</v>
      </c>
    </row>
    <row r="134" spans="1:26" x14ac:dyDescent="0.2">
      <c r="A134" s="24" t="s">
        <v>18741</v>
      </c>
      <c r="B134" s="25" t="s">
        <v>18742</v>
      </c>
      <c r="C134" s="24" t="str">
        <f>"000"</f>
        <v>000</v>
      </c>
      <c r="D134" s="24" t="s">
        <v>18718</v>
      </c>
      <c r="E134" s="25" t="s">
        <v>18743</v>
      </c>
      <c r="F134" s="25" t="s">
        <v>19068</v>
      </c>
      <c r="G134" s="25" t="e">
        <f>VLOOKUP(F134,[1]CHILDCARE_FACILITIES!N:Q,4,0)</f>
        <v>#N/A</v>
      </c>
      <c r="H134" s="25" t="e">
        <f>VLOOKUP(G134,'[1]CACFP FRL'!D:G,4,0)</f>
        <v>#N/A</v>
      </c>
      <c r="I134" s="25" t="e">
        <f>VLOOKUP(G134,[1]CHILDCARE_FACILITIES!AK:AL,2,0)</f>
        <v>#N/A</v>
      </c>
      <c r="J134" s="25" t="e">
        <f>VLOOKUP(I134,'[1]Head Start QF 1-5 Stars'!O:Q,3,0)</f>
        <v>#N/A</v>
      </c>
      <c r="K134" s="24" t="s">
        <v>18741</v>
      </c>
      <c r="L134" s="25" t="s">
        <v>19069</v>
      </c>
      <c r="M134" s="25" t="s">
        <v>1637</v>
      </c>
      <c r="N134" s="25" t="s">
        <v>495</v>
      </c>
      <c r="O134" s="24" t="s">
        <v>207</v>
      </c>
      <c r="P134" s="25" t="str">
        <f>"85042"</f>
        <v>85042</v>
      </c>
      <c r="Q134" s="25" t="str">
        <f>"4211"</f>
        <v>4211</v>
      </c>
      <c r="R134" s="25" t="s">
        <v>18710</v>
      </c>
      <c r="S134" s="24" t="s">
        <v>18737</v>
      </c>
      <c r="T134" s="25" t="s">
        <v>19070</v>
      </c>
      <c r="U134" s="25" t="s">
        <v>18713</v>
      </c>
      <c r="V134" s="25" t="s">
        <v>18731</v>
      </c>
      <c r="W134" s="25" t="s">
        <v>18731</v>
      </c>
      <c r="X134" s="25" t="s">
        <v>18714</v>
      </c>
      <c r="Y134" s="24">
        <v>20</v>
      </c>
      <c r="Z134" s="25" t="s">
        <v>18723</v>
      </c>
    </row>
    <row r="135" spans="1:26" x14ac:dyDescent="0.2">
      <c r="A135" s="23" t="s">
        <v>18741</v>
      </c>
      <c r="B135" s="22" t="s">
        <v>18742</v>
      </c>
      <c r="C135" s="23" t="str">
        <f>"000"</f>
        <v>000</v>
      </c>
      <c r="D135" s="23" t="s">
        <v>18718</v>
      </c>
      <c r="E135" s="22" t="s">
        <v>18743</v>
      </c>
      <c r="F135" s="22" t="s">
        <v>19071</v>
      </c>
      <c r="G135" s="22" t="str">
        <f>VLOOKUP(F135,[1]CHILDCARE_FACILITIES!N:Q,4,0)</f>
        <v>CDC-15330</v>
      </c>
      <c r="H135" s="22" t="e">
        <f>VLOOKUP(G135,'[1]CACFP FRL'!D:G,4,0)</f>
        <v>#N/A</v>
      </c>
      <c r="I135" s="22" t="str">
        <f>VLOOKUP(G135,[1]CHILDCARE_FACILITIES!AK:AL,2,0)</f>
        <v>CDC15330</v>
      </c>
      <c r="J135" s="22">
        <f>VLOOKUP(I135,'[1]Head Start QF 1-5 Stars'!O:Q,3,0)</f>
        <v>949</v>
      </c>
      <c r="K135" s="23" t="s">
        <v>18741</v>
      </c>
      <c r="L135" s="22" t="s">
        <v>1377</v>
      </c>
      <c r="M135" s="22" t="s">
        <v>1637</v>
      </c>
      <c r="N135" s="22" t="s">
        <v>495</v>
      </c>
      <c r="O135" s="23" t="s">
        <v>207</v>
      </c>
      <c r="P135" s="22" t="str">
        <f>"85043"</f>
        <v>85043</v>
      </c>
      <c r="Q135" s="22" t="str">
        <f>"3309"</f>
        <v>3309</v>
      </c>
      <c r="R135" s="22" t="s">
        <v>18710</v>
      </c>
      <c r="S135" s="23" t="s">
        <v>18737</v>
      </c>
      <c r="T135" s="22" t="s">
        <v>18746</v>
      </c>
      <c r="U135" s="22" t="s">
        <v>18964</v>
      </c>
      <c r="V135" s="22" t="s">
        <v>18714</v>
      </c>
      <c r="W135" s="22" t="s">
        <v>18714</v>
      </c>
      <c r="X135" s="22" t="s">
        <v>18714</v>
      </c>
      <c r="Y135" s="23">
        <v>20</v>
      </c>
      <c r="Z135" s="22" t="s">
        <v>18723</v>
      </c>
    </row>
    <row r="136" spans="1:26" x14ac:dyDescent="0.2">
      <c r="A136" s="24" t="s">
        <v>18741</v>
      </c>
      <c r="B136" s="25" t="s">
        <v>18742</v>
      </c>
      <c r="C136" s="24" t="str">
        <f>"000"</f>
        <v>000</v>
      </c>
      <c r="D136" s="24" t="s">
        <v>18718</v>
      </c>
      <c r="E136" s="25" t="s">
        <v>18743</v>
      </c>
      <c r="F136" s="25" t="s">
        <v>7288</v>
      </c>
      <c r="G136" s="25" t="e">
        <f>VLOOKUP(F136,[1]CHILDCARE_FACILITIES!N:Q,4,0)</f>
        <v>#N/A</v>
      </c>
      <c r="H136" s="25" t="e">
        <f>VLOOKUP(G136,'[1]CACFP FRL'!D:G,4,0)</f>
        <v>#N/A</v>
      </c>
      <c r="I136" s="25" t="e">
        <f>VLOOKUP(G136,[1]CHILDCARE_FACILITIES!AK:AL,2,0)</f>
        <v>#N/A</v>
      </c>
      <c r="J136" s="25" t="e">
        <f>VLOOKUP(I136,'[1]Head Start QF 1-5 Stars'!O:Q,3,0)</f>
        <v>#N/A</v>
      </c>
      <c r="K136" s="24" t="s">
        <v>18741</v>
      </c>
      <c r="L136" s="25" t="s">
        <v>19072</v>
      </c>
      <c r="M136" s="25" t="s">
        <v>1637</v>
      </c>
      <c r="N136" s="25" t="s">
        <v>495</v>
      </c>
      <c r="O136" s="24" t="s">
        <v>207</v>
      </c>
      <c r="P136" s="25" t="str">
        <f>"85031"</f>
        <v>85031</v>
      </c>
      <c r="Q136" s="25" t="str">
        <f>"2503"</f>
        <v>2503</v>
      </c>
      <c r="R136" s="25" t="s">
        <v>18710</v>
      </c>
      <c r="S136" s="24" t="s">
        <v>18737</v>
      </c>
      <c r="T136" s="25" t="s">
        <v>18746</v>
      </c>
      <c r="U136" s="25" t="s">
        <v>18964</v>
      </c>
      <c r="V136" s="25" t="s">
        <v>18714</v>
      </c>
      <c r="W136" s="25" t="s">
        <v>18714</v>
      </c>
      <c r="X136" s="25" t="s">
        <v>18714</v>
      </c>
      <c r="Y136" s="24">
        <v>30</v>
      </c>
      <c r="Z136" s="25" t="s">
        <v>18723</v>
      </c>
    </row>
    <row r="137" spans="1:26" hidden="1" x14ac:dyDescent="0.2">
      <c r="A137" s="23" t="s">
        <v>19037</v>
      </c>
      <c r="B137" s="22" t="s">
        <v>18874</v>
      </c>
      <c r="C137" s="23" t="str">
        <f>"200"</f>
        <v>200</v>
      </c>
      <c r="D137" s="23" t="s">
        <v>18706</v>
      </c>
      <c r="E137" s="22" t="s">
        <v>18875</v>
      </c>
      <c r="F137" s="22" t="s">
        <v>19073</v>
      </c>
      <c r="G137" s="22" t="str">
        <f>VLOOKUP(F137,[1]CHILDCARE_FACILITIES!N:Q,4,0)</f>
        <v>CDC-8463</v>
      </c>
      <c r="H137" s="22" t="e">
        <f>VLOOKUP(G137,'[1]CACFP FRL'!D:G,4,0)</f>
        <v>#N/A</v>
      </c>
      <c r="I137" s="22" t="str">
        <f>VLOOKUP(G137,[1]CHILDCARE_FACILITIES!AK:AL,2,0)</f>
        <v>CDC8463</v>
      </c>
      <c r="J137" s="22">
        <f>VLOOKUP(I137,'[1]Head Start QF 1-5 Stars'!O:Q,3,0)</f>
        <v>1412</v>
      </c>
      <c r="K137" s="23" t="s">
        <v>19037</v>
      </c>
      <c r="L137" s="22" t="s">
        <v>19074</v>
      </c>
      <c r="M137" s="22" t="s">
        <v>1637</v>
      </c>
      <c r="N137" s="22" t="s">
        <v>495</v>
      </c>
      <c r="O137" s="23" t="s">
        <v>207</v>
      </c>
      <c r="P137" s="22" t="str">
        <f>"85013"</f>
        <v>85013</v>
      </c>
      <c r="Q137" s="22" t="str">
        <f>"3688"</f>
        <v>3688</v>
      </c>
      <c r="R137" s="22" t="s">
        <v>18710</v>
      </c>
      <c r="S137" s="23" t="s">
        <v>18737</v>
      </c>
      <c r="T137" s="22" t="s">
        <v>19039</v>
      </c>
      <c r="U137" s="22" t="s">
        <v>18713</v>
      </c>
      <c r="V137" s="22" t="s">
        <v>18731</v>
      </c>
      <c r="W137" s="22" t="s">
        <v>18731</v>
      </c>
      <c r="X137" s="22" t="s">
        <v>18731</v>
      </c>
      <c r="Y137" s="23">
        <v>36</v>
      </c>
      <c r="Z137" s="22" t="s">
        <v>18723</v>
      </c>
    </row>
    <row r="138" spans="1:26" x14ac:dyDescent="0.2">
      <c r="A138" s="23" t="s">
        <v>18741</v>
      </c>
      <c r="B138" s="22" t="s">
        <v>18742</v>
      </c>
      <c r="C138" s="23" t="str">
        <f>"000"</f>
        <v>000</v>
      </c>
      <c r="D138" s="23" t="s">
        <v>18718</v>
      </c>
      <c r="E138" s="22" t="s">
        <v>18743</v>
      </c>
      <c r="F138" s="22" t="s">
        <v>54</v>
      </c>
      <c r="G138" s="22" t="str">
        <f>VLOOKUP(F138,[1]CHILDCARE_FACILITIES!N:Q,4,0)</f>
        <v>CDC-18683</v>
      </c>
      <c r="H138" s="22" t="e">
        <f>VLOOKUP(G138,'[1]CACFP FRL'!D:G,4,0)</f>
        <v>#N/A</v>
      </c>
      <c r="I138" s="22" t="str">
        <f>VLOOKUP(G138,[1]CHILDCARE_FACILITIES!AK:AL,2,0)</f>
        <v>CDC18683</v>
      </c>
      <c r="J138" s="22" t="e">
        <f>VLOOKUP(I138,'[1]Head Start QF 1-5 Stars'!O:Q,3,0)</f>
        <v>#N/A</v>
      </c>
      <c r="K138" s="23" t="s">
        <v>18741</v>
      </c>
      <c r="L138" s="22" t="s">
        <v>19075</v>
      </c>
      <c r="M138" s="22" t="s">
        <v>1637</v>
      </c>
      <c r="N138" s="22" t="s">
        <v>495</v>
      </c>
      <c r="O138" s="23" t="s">
        <v>207</v>
      </c>
      <c r="P138" s="22" t="str">
        <f>"85033"</f>
        <v>85033</v>
      </c>
      <c r="Q138" s="22" t="str">
        <f>"4459"</f>
        <v>4459</v>
      </c>
      <c r="R138" s="22" t="s">
        <v>18710</v>
      </c>
      <c r="S138" s="23" t="s">
        <v>18737</v>
      </c>
      <c r="T138" s="22" t="s">
        <v>18746</v>
      </c>
      <c r="U138" s="22" t="s">
        <v>18964</v>
      </c>
      <c r="V138" s="22" t="s">
        <v>18714</v>
      </c>
      <c r="W138" s="22" t="s">
        <v>18714</v>
      </c>
      <c r="X138" s="22" t="s">
        <v>18714</v>
      </c>
      <c r="Y138" s="23">
        <v>40</v>
      </c>
      <c r="Z138" s="22" t="s">
        <v>18723</v>
      </c>
    </row>
    <row r="139" spans="1:26" hidden="1" x14ac:dyDescent="0.2">
      <c r="A139" s="23" t="s">
        <v>18822</v>
      </c>
      <c r="B139" s="22" t="s">
        <v>18823</v>
      </c>
      <c r="C139" s="23" t="str">
        <f>"200"</f>
        <v>200</v>
      </c>
      <c r="D139" s="23" t="s">
        <v>18706</v>
      </c>
      <c r="E139" s="22" t="s">
        <v>18823</v>
      </c>
      <c r="F139" s="22" t="s">
        <v>18927</v>
      </c>
      <c r="G139" s="22" t="str">
        <f>VLOOKUP(F139,[1]CHILDCARE_FACILITIES!N:Q,4,0)</f>
        <v>CDC-5587</v>
      </c>
      <c r="H139" s="22">
        <f>VLOOKUP(G139,'[1]CACFP FRL'!D:G,4,0)</f>
        <v>9847</v>
      </c>
      <c r="I139" s="22" t="str">
        <f>VLOOKUP(G139,[1]CHILDCARE_FACILITIES!AK:AL,2,0)</f>
        <v>CDC5587</v>
      </c>
      <c r="J139" s="22" t="e">
        <f>VLOOKUP(I139,'[1]Head Start QF 1-5 Stars'!O:Q,3,0)</f>
        <v>#N/A</v>
      </c>
      <c r="K139" s="23" t="s">
        <v>18822</v>
      </c>
      <c r="L139" s="22" t="s">
        <v>18928</v>
      </c>
      <c r="M139" s="22" t="s">
        <v>1637</v>
      </c>
      <c r="N139" s="22" t="s">
        <v>764</v>
      </c>
      <c r="O139" s="23" t="s">
        <v>207</v>
      </c>
      <c r="P139" s="22" t="str">
        <f>"85730"</f>
        <v>85730</v>
      </c>
      <c r="Q139" s="22" t="str">
        <f>"2288"</f>
        <v>2288</v>
      </c>
      <c r="R139" s="22" t="s">
        <v>996</v>
      </c>
      <c r="S139" s="23" t="s">
        <v>18842</v>
      </c>
      <c r="T139" s="22" t="s">
        <v>18929</v>
      </c>
      <c r="U139" s="22" t="s">
        <v>18713</v>
      </c>
      <c r="V139" s="22" t="s">
        <v>18731</v>
      </c>
      <c r="W139" s="22" t="s">
        <v>18731</v>
      </c>
      <c r="X139" s="22" t="s">
        <v>18731</v>
      </c>
      <c r="Y139" s="23">
        <v>10</v>
      </c>
      <c r="Z139" s="22" t="s">
        <v>18723</v>
      </c>
    </row>
    <row r="140" spans="1:26" x14ac:dyDescent="0.2">
      <c r="A140" s="23" t="s">
        <v>18741</v>
      </c>
      <c r="B140" s="22" t="s">
        <v>18742</v>
      </c>
      <c r="C140" s="23" t="str">
        <f>"000"</f>
        <v>000</v>
      </c>
      <c r="D140" s="23" t="s">
        <v>18718</v>
      </c>
      <c r="E140" s="22" t="s">
        <v>18743</v>
      </c>
      <c r="F140" s="22" t="s">
        <v>19076</v>
      </c>
      <c r="G140" s="22" t="str">
        <f>VLOOKUP(F140,[1]CHILDCARE_FACILITIES!N:Q,4,0)</f>
        <v>CDC-14314</v>
      </c>
      <c r="H140" s="22" t="e">
        <f>VLOOKUP(G140,'[1]CACFP FRL'!D:G,4,0)</f>
        <v>#N/A</v>
      </c>
      <c r="I140" s="22" t="str">
        <f>VLOOKUP(G140,[1]CHILDCARE_FACILITIES!AK:AL,2,0)</f>
        <v>CDC14314</v>
      </c>
      <c r="J140" s="22">
        <f>VLOOKUP(I140,'[1]Head Start QF 1-5 Stars'!O:Q,3,0)</f>
        <v>2596</v>
      </c>
      <c r="K140" s="23" t="s">
        <v>18741</v>
      </c>
      <c r="L140" s="22" t="s">
        <v>1400</v>
      </c>
      <c r="M140" s="22" t="s">
        <v>1637</v>
      </c>
      <c r="N140" s="22" t="s">
        <v>495</v>
      </c>
      <c r="O140" s="23" t="s">
        <v>207</v>
      </c>
      <c r="P140" s="22" t="str">
        <f>"85017"</f>
        <v>85017</v>
      </c>
      <c r="Q140" s="22" t="str">
        <f>"4046"</f>
        <v>4046</v>
      </c>
      <c r="R140" s="22" t="s">
        <v>18710</v>
      </c>
      <c r="S140" s="23" t="s">
        <v>18737</v>
      </c>
      <c r="T140" s="22" t="s">
        <v>18746</v>
      </c>
      <c r="U140" s="22" t="s">
        <v>18964</v>
      </c>
      <c r="V140" s="22" t="s">
        <v>18714</v>
      </c>
      <c r="W140" s="22" t="s">
        <v>18714</v>
      </c>
      <c r="X140" s="22" t="s">
        <v>18714</v>
      </c>
      <c r="Y140" s="23">
        <v>64</v>
      </c>
      <c r="Z140" s="22" t="s">
        <v>18723</v>
      </c>
    </row>
    <row r="141" spans="1:26" hidden="1" x14ac:dyDescent="0.2">
      <c r="A141" s="23" t="s">
        <v>19077</v>
      </c>
      <c r="B141" s="22" t="s">
        <v>15269</v>
      </c>
      <c r="C141" s="23" t="str">
        <f>"200"</f>
        <v>200</v>
      </c>
      <c r="D141" s="23" t="s">
        <v>18706</v>
      </c>
      <c r="E141" s="22" t="s">
        <v>15269</v>
      </c>
      <c r="F141" s="22" t="s">
        <v>1125</v>
      </c>
      <c r="G141" s="22" t="str">
        <f>VLOOKUP(F141,[1]CHILDCARE_FACILITIES!N:Q,4,0)</f>
        <v>CDC-8249</v>
      </c>
      <c r="H141" s="22" t="e">
        <f>VLOOKUP(G141,'[1]CACFP FRL'!D:G,4,0)</f>
        <v>#N/A</v>
      </c>
      <c r="I141" s="22" t="str">
        <f>VLOOKUP(G141,[1]CHILDCARE_FACILITIES!AK:AL,2,0)</f>
        <v>CDC8249</v>
      </c>
      <c r="J141" s="22" t="e">
        <f>VLOOKUP(I141,'[1]Head Start QF 1-5 Stars'!O:Q,3,0)</f>
        <v>#N/A</v>
      </c>
      <c r="K141" s="23" t="s">
        <v>19077</v>
      </c>
      <c r="L141" s="22" t="s">
        <v>19078</v>
      </c>
      <c r="M141" s="22" t="s">
        <v>1637</v>
      </c>
      <c r="N141" s="22" t="s">
        <v>495</v>
      </c>
      <c r="O141" s="23" t="s">
        <v>207</v>
      </c>
      <c r="P141" s="22" t="str">
        <f>"85008"</f>
        <v>85008</v>
      </c>
      <c r="Q141" s="22" t="str">
        <f>"6014"</f>
        <v>6014</v>
      </c>
      <c r="R141" s="22" t="s">
        <v>18710</v>
      </c>
      <c r="S141" s="23" t="s">
        <v>18737</v>
      </c>
      <c r="T141" s="22" t="s">
        <v>19079</v>
      </c>
      <c r="U141" s="22" t="s">
        <v>18713</v>
      </c>
      <c r="V141" s="22" t="s">
        <v>18714</v>
      </c>
      <c r="W141" s="22" t="s">
        <v>18714</v>
      </c>
      <c r="X141" s="22" t="s">
        <v>18714</v>
      </c>
      <c r="Y141" s="23">
        <v>68</v>
      </c>
      <c r="Z141" s="22" t="s">
        <v>18723</v>
      </c>
    </row>
    <row r="142" spans="1:26" hidden="1" x14ac:dyDescent="0.2">
      <c r="A142" s="23" t="s">
        <v>18796</v>
      </c>
      <c r="B142" s="22" t="s">
        <v>18705</v>
      </c>
      <c r="C142" s="23" t="str">
        <f>"200"</f>
        <v>200</v>
      </c>
      <c r="D142" s="23" t="s">
        <v>18706</v>
      </c>
      <c r="E142" s="22" t="s">
        <v>18797</v>
      </c>
      <c r="F142" s="22" t="s">
        <v>19080</v>
      </c>
      <c r="G142" s="22" t="str">
        <f>VLOOKUP(F142,[1]CHILDCARE_FACILITIES!N:Q,4,0)</f>
        <v>CDC-7866</v>
      </c>
      <c r="H142" s="22" t="e">
        <f>VLOOKUP(G142,'[1]CACFP FRL'!D:G,4,0)</f>
        <v>#N/A</v>
      </c>
      <c r="I142" s="22" t="str">
        <f>VLOOKUP(G142,[1]CHILDCARE_FACILITIES!AK:AL,2,0)</f>
        <v>CDC7866</v>
      </c>
      <c r="J142" s="22" t="e">
        <f>VLOOKUP(I142,'[1]Head Start QF 1-5 Stars'!O:Q,3,0)</f>
        <v>#N/A</v>
      </c>
      <c r="K142" s="23" t="s">
        <v>18796</v>
      </c>
      <c r="L142" s="22" t="s">
        <v>19081</v>
      </c>
      <c r="M142" s="22" t="s">
        <v>1637</v>
      </c>
      <c r="N142" s="22" t="s">
        <v>714</v>
      </c>
      <c r="O142" s="23" t="s">
        <v>207</v>
      </c>
      <c r="P142" s="22" t="str">
        <f>"85201"</f>
        <v>85201</v>
      </c>
      <c r="Q142" s="22" t="str">
        <f>"6756"</f>
        <v>6756</v>
      </c>
      <c r="R142" s="22" t="s">
        <v>18710</v>
      </c>
      <c r="S142" s="23" t="s">
        <v>18711</v>
      </c>
      <c r="T142" s="22" t="s">
        <v>19082</v>
      </c>
      <c r="U142" s="22" t="s">
        <v>18713</v>
      </c>
      <c r="V142" s="22" t="s">
        <v>18714</v>
      </c>
      <c r="W142" s="22" t="s">
        <v>18714</v>
      </c>
      <c r="X142" s="22" t="s">
        <v>18714</v>
      </c>
      <c r="Y142" s="23">
        <v>8</v>
      </c>
      <c r="Z142" s="22" t="s">
        <v>18723</v>
      </c>
    </row>
    <row r="143" spans="1:26" x14ac:dyDescent="0.2">
      <c r="A143" s="23" t="s">
        <v>18741</v>
      </c>
      <c r="B143" s="22" t="s">
        <v>18742</v>
      </c>
      <c r="C143" s="23" t="str">
        <f>"000"</f>
        <v>000</v>
      </c>
      <c r="D143" s="23" t="s">
        <v>18718</v>
      </c>
      <c r="E143" s="22" t="s">
        <v>18743</v>
      </c>
      <c r="F143" s="22" t="s">
        <v>19083</v>
      </c>
      <c r="G143" s="22" t="str">
        <f>VLOOKUP(F143,[1]CHILDCARE_FACILITIES!N:Q,4,0)</f>
        <v>CDC-6329</v>
      </c>
      <c r="H143" s="22" t="e">
        <f>VLOOKUP(G143,'[1]CACFP FRL'!D:G,4,0)</f>
        <v>#N/A</v>
      </c>
      <c r="I143" s="22" t="str">
        <f>VLOOKUP(G143,[1]CHILDCARE_FACILITIES!AK:AL,2,0)</f>
        <v>CDC6329</v>
      </c>
      <c r="J143" s="22" t="e">
        <f>VLOOKUP(I143,'[1]Head Start QF 1-5 Stars'!O:Q,3,0)</f>
        <v>#N/A</v>
      </c>
      <c r="K143" s="23" t="s">
        <v>18741</v>
      </c>
      <c r="L143" s="22" t="s">
        <v>1361</v>
      </c>
      <c r="M143" s="22" t="s">
        <v>1637</v>
      </c>
      <c r="N143" s="22" t="s">
        <v>495</v>
      </c>
      <c r="O143" s="23" t="s">
        <v>207</v>
      </c>
      <c r="P143" s="22" t="str">
        <f>"85015"</f>
        <v>85015</v>
      </c>
      <c r="Q143" s="22" t="str">
        <f>"5904"</f>
        <v>5904</v>
      </c>
      <c r="R143" s="22" t="s">
        <v>18710</v>
      </c>
      <c r="S143" s="23" t="s">
        <v>18737</v>
      </c>
      <c r="T143" s="22" t="s">
        <v>18746</v>
      </c>
      <c r="U143" s="22" t="s">
        <v>18964</v>
      </c>
      <c r="V143" s="22" t="s">
        <v>18714</v>
      </c>
      <c r="W143" s="22" t="s">
        <v>18714</v>
      </c>
      <c r="X143" s="22" t="s">
        <v>18714</v>
      </c>
      <c r="Y143" s="23">
        <v>20</v>
      </c>
      <c r="Z143" s="22" t="s">
        <v>18723</v>
      </c>
    </row>
    <row r="144" spans="1:26" x14ac:dyDescent="0.2">
      <c r="A144" s="24" t="s">
        <v>18741</v>
      </c>
      <c r="B144" s="25" t="s">
        <v>18742</v>
      </c>
      <c r="C144" s="24" t="str">
        <f>"000"</f>
        <v>000</v>
      </c>
      <c r="D144" s="24" t="s">
        <v>18718</v>
      </c>
      <c r="E144" s="25" t="s">
        <v>18743</v>
      </c>
      <c r="F144" s="25" t="s">
        <v>7272</v>
      </c>
      <c r="G144" s="25" t="e">
        <f>VLOOKUP(F144,[1]CHILDCARE_FACILITIES!N:Q,4,0)</f>
        <v>#N/A</v>
      </c>
      <c r="H144" s="25" t="e">
        <f>VLOOKUP(G144,'[1]CACFP FRL'!D:G,4,0)</f>
        <v>#N/A</v>
      </c>
      <c r="I144" s="25" t="e">
        <f>VLOOKUP(G144,[1]CHILDCARE_FACILITIES!AK:AL,2,0)</f>
        <v>#N/A</v>
      </c>
      <c r="J144" s="25" t="e">
        <f>VLOOKUP(I144,'[1]Head Start QF 1-5 Stars'!O:Q,3,0)</f>
        <v>#N/A</v>
      </c>
      <c r="K144" s="24" t="s">
        <v>18741</v>
      </c>
      <c r="L144" s="25" t="s">
        <v>19084</v>
      </c>
      <c r="M144" s="25" t="s">
        <v>1637</v>
      </c>
      <c r="N144" s="25" t="s">
        <v>495</v>
      </c>
      <c r="O144" s="24" t="s">
        <v>207</v>
      </c>
      <c r="P144" s="25" t="str">
        <f>"85033"</f>
        <v>85033</v>
      </c>
      <c r="Q144" s="25" t="str">
        <f>"2712"</f>
        <v>2712</v>
      </c>
      <c r="R144" s="25" t="s">
        <v>18710</v>
      </c>
      <c r="S144" s="24" t="s">
        <v>18737</v>
      </c>
      <c r="T144" s="25" t="s">
        <v>18746</v>
      </c>
      <c r="U144" s="25" t="s">
        <v>18964</v>
      </c>
      <c r="V144" s="25" t="s">
        <v>18714</v>
      </c>
      <c r="W144" s="25" t="s">
        <v>18714</v>
      </c>
      <c r="X144" s="25" t="s">
        <v>18714</v>
      </c>
      <c r="Y144" s="24">
        <v>30</v>
      </c>
      <c r="Z144" s="25" t="s">
        <v>18723</v>
      </c>
    </row>
    <row r="145" spans="1:26" hidden="1" x14ac:dyDescent="0.2">
      <c r="A145" s="23" t="s">
        <v>18796</v>
      </c>
      <c r="B145" s="22" t="s">
        <v>18705</v>
      </c>
      <c r="C145" s="23" t="str">
        <f>"200"</f>
        <v>200</v>
      </c>
      <c r="D145" s="23" t="s">
        <v>18706</v>
      </c>
      <c r="E145" s="22" t="s">
        <v>18797</v>
      </c>
      <c r="F145" s="22" t="s">
        <v>19085</v>
      </c>
      <c r="G145" s="22" t="str">
        <f>VLOOKUP(F145,[1]CHILDCARE_FACILITIES!N:Q,4,0)</f>
        <v>CDC-17071</v>
      </c>
      <c r="H145" s="22" t="e">
        <f>VLOOKUP(G145,'[1]CACFP FRL'!D:G,4,0)</f>
        <v>#N/A</v>
      </c>
      <c r="I145" s="22" t="str">
        <f>VLOOKUP(G145,[1]CHILDCARE_FACILITIES!AK:AL,2,0)</f>
        <v>CDC17071</v>
      </c>
      <c r="J145" s="22" t="e">
        <f>VLOOKUP(I145,'[1]Head Start QF 1-5 Stars'!O:Q,3,0)</f>
        <v>#N/A</v>
      </c>
      <c r="K145" s="23" t="s">
        <v>18796</v>
      </c>
      <c r="L145" s="22" t="s">
        <v>19086</v>
      </c>
      <c r="M145" s="22" t="s">
        <v>19087</v>
      </c>
      <c r="N145" s="22" t="s">
        <v>714</v>
      </c>
      <c r="O145" s="23" t="s">
        <v>207</v>
      </c>
      <c r="P145" s="22" t="str">
        <f>"85201"</f>
        <v>85201</v>
      </c>
      <c r="Q145" s="22" t="str">
        <f>"6701"</f>
        <v>6701</v>
      </c>
      <c r="R145" s="22" t="s">
        <v>18710</v>
      </c>
      <c r="S145" s="23" t="s">
        <v>18711</v>
      </c>
      <c r="T145" s="22" t="s">
        <v>19088</v>
      </c>
      <c r="U145" s="22" t="s">
        <v>18713</v>
      </c>
      <c r="V145" s="22" t="s">
        <v>18714</v>
      </c>
      <c r="W145" s="22" t="s">
        <v>18714</v>
      </c>
      <c r="X145" s="22" t="s">
        <v>18714</v>
      </c>
      <c r="Y145" s="23">
        <v>16</v>
      </c>
      <c r="Z145" s="22" t="s">
        <v>18723</v>
      </c>
    </row>
    <row r="146" spans="1:26" hidden="1" x14ac:dyDescent="0.2">
      <c r="A146" s="23" t="s">
        <v>18912</v>
      </c>
      <c r="B146" s="22" t="s">
        <v>18913</v>
      </c>
      <c r="C146" s="23" t="str">
        <f>"200"</f>
        <v>200</v>
      </c>
      <c r="D146" s="23" t="s">
        <v>18706</v>
      </c>
      <c r="E146" s="22" t="s">
        <v>18913</v>
      </c>
      <c r="F146" s="22" t="s">
        <v>19089</v>
      </c>
      <c r="G146" s="22" t="str">
        <f>VLOOKUP(F146,[1]CHILDCARE_FACILITIES!N:Q,4,0)</f>
        <v>CDC-16394</v>
      </c>
      <c r="H146" s="22" t="e">
        <f>VLOOKUP(G146,'[1]CACFP FRL'!D:G,4,0)</f>
        <v>#N/A</v>
      </c>
      <c r="I146" s="22" t="str">
        <f>VLOOKUP(G146,[1]CHILDCARE_FACILITIES!AK:AL,2,0)</f>
        <v>CDC16394</v>
      </c>
      <c r="J146" s="22" t="e">
        <f>VLOOKUP(I146,'[1]Head Start QF 1-5 Stars'!O:Q,3,0)</f>
        <v>#N/A</v>
      </c>
      <c r="K146" s="23" t="s">
        <v>18912</v>
      </c>
      <c r="L146" s="22" t="s">
        <v>19090</v>
      </c>
      <c r="M146" s="22" t="s">
        <v>1637</v>
      </c>
      <c r="N146" s="22" t="s">
        <v>1380</v>
      </c>
      <c r="O146" s="23" t="s">
        <v>207</v>
      </c>
      <c r="P146" s="22" t="str">
        <f>"86004"</f>
        <v>86004</v>
      </c>
      <c r="Q146" s="22" t="str">
        <f>"2437"</f>
        <v>2437</v>
      </c>
      <c r="R146" s="22" t="s">
        <v>19091</v>
      </c>
      <c r="S146" s="23" t="s">
        <v>18818</v>
      </c>
      <c r="T146" s="22" t="s">
        <v>19092</v>
      </c>
      <c r="U146" s="22" t="s">
        <v>18713</v>
      </c>
      <c r="V146" s="22" t="s">
        <v>18731</v>
      </c>
      <c r="W146" s="22" t="s">
        <v>18714</v>
      </c>
      <c r="X146" s="22" t="s">
        <v>18714</v>
      </c>
      <c r="Y146" s="23">
        <v>36</v>
      </c>
      <c r="Z146" s="22" t="s">
        <v>18723</v>
      </c>
    </row>
    <row r="147" spans="1:26" x14ac:dyDescent="0.2">
      <c r="A147" s="23" t="s">
        <v>18741</v>
      </c>
      <c r="B147" s="22" t="s">
        <v>18742</v>
      </c>
      <c r="C147" s="23" t="str">
        <f>"000"</f>
        <v>000</v>
      </c>
      <c r="D147" s="23" t="s">
        <v>18718</v>
      </c>
      <c r="E147" s="22" t="s">
        <v>18743</v>
      </c>
      <c r="F147" s="22" t="s">
        <v>19093</v>
      </c>
      <c r="G147" s="22" t="str">
        <f>VLOOKUP(F147,[1]CHILDCARE_FACILITIES!N:Q,4,0)</f>
        <v>CDC-18280</v>
      </c>
      <c r="H147" s="22" t="e">
        <f>VLOOKUP(G147,'[1]CACFP FRL'!D:G,4,0)</f>
        <v>#N/A</v>
      </c>
      <c r="I147" s="22" t="str">
        <f>VLOOKUP(G147,[1]CHILDCARE_FACILITIES!AK:AL,2,0)</f>
        <v>CDC18280</v>
      </c>
      <c r="J147" s="22">
        <f>VLOOKUP(I147,'[1]Head Start QF 1-5 Stars'!O:Q,3,0)</f>
        <v>877</v>
      </c>
      <c r="K147" s="23" t="s">
        <v>18741</v>
      </c>
      <c r="L147" s="22" t="s">
        <v>627</v>
      </c>
      <c r="M147" s="22" t="s">
        <v>1637</v>
      </c>
      <c r="N147" s="22" t="s">
        <v>495</v>
      </c>
      <c r="O147" s="23" t="s">
        <v>207</v>
      </c>
      <c r="P147" s="22" t="str">
        <f>"85041"</f>
        <v>85041</v>
      </c>
      <c r="Q147" s="22" t="str">
        <f>"5804"</f>
        <v>5804</v>
      </c>
      <c r="R147" s="22" t="s">
        <v>18710</v>
      </c>
      <c r="S147" s="23" t="s">
        <v>18737</v>
      </c>
      <c r="T147" s="22" t="s">
        <v>18746</v>
      </c>
      <c r="U147" s="22" t="s">
        <v>18964</v>
      </c>
      <c r="V147" s="22" t="s">
        <v>18714</v>
      </c>
      <c r="W147" s="22" t="s">
        <v>18714</v>
      </c>
      <c r="X147" s="22" t="s">
        <v>18714</v>
      </c>
      <c r="Y147" s="23">
        <v>20</v>
      </c>
      <c r="Z147" s="22" t="s">
        <v>18723</v>
      </c>
    </row>
    <row r="148" spans="1:26" hidden="1" x14ac:dyDescent="0.2">
      <c r="A148" s="23" t="s">
        <v>18759</v>
      </c>
      <c r="B148" s="22" t="s">
        <v>18760</v>
      </c>
      <c r="C148" s="23" t="str">
        <f>"200"</f>
        <v>200</v>
      </c>
      <c r="D148" s="23" t="s">
        <v>18706</v>
      </c>
      <c r="E148" s="22" t="s">
        <v>18761</v>
      </c>
      <c r="F148" s="22" t="s">
        <v>19094</v>
      </c>
      <c r="G148" s="22" t="str">
        <f>VLOOKUP(F148,[1]CHILDCARE_FACILITIES!N:Q,4,0)</f>
        <v>CDC-10719</v>
      </c>
      <c r="H148" s="22">
        <f>VLOOKUP(G148,'[1]CACFP FRL'!D:G,4,0)</f>
        <v>10098</v>
      </c>
      <c r="I148" s="22" t="str">
        <f>VLOOKUP(G148,[1]CHILDCARE_FACILITIES!AK:AL,2,0)</f>
        <v>CDC10719</v>
      </c>
      <c r="J148" s="22" t="e">
        <f>VLOOKUP(I148,'[1]Head Start QF 1-5 Stars'!O:Q,3,0)</f>
        <v>#N/A</v>
      </c>
      <c r="K148" s="23" t="s">
        <v>18759</v>
      </c>
      <c r="L148" s="22" t="s">
        <v>19095</v>
      </c>
      <c r="M148" s="22" t="s">
        <v>1637</v>
      </c>
      <c r="N148" s="22" t="s">
        <v>19096</v>
      </c>
      <c r="O148" s="23" t="s">
        <v>207</v>
      </c>
      <c r="P148" s="22" t="str">
        <f>"85132"</f>
        <v>85132</v>
      </c>
      <c r="Q148" s="22" t="str">
        <f>"8137"</f>
        <v>8137</v>
      </c>
      <c r="R148" s="22" t="s">
        <v>18763</v>
      </c>
      <c r="S148" s="23" t="s">
        <v>18764</v>
      </c>
      <c r="T148" s="22" t="s">
        <v>19097</v>
      </c>
      <c r="U148" s="22" t="s">
        <v>18713</v>
      </c>
      <c r="V148" s="22" t="s">
        <v>18731</v>
      </c>
      <c r="W148" s="22" t="s">
        <v>18731</v>
      </c>
      <c r="X148" s="22" t="s">
        <v>18731</v>
      </c>
      <c r="Y148" s="23">
        <v>18</v>
      </c>
      <c r="Z148" s="22" t="s">
        <v>18723</v>
      </c>
    </row>
    <row r="149" spans="1:26" x14ac:dyDescent="0.2">
      <c r="A149" s="23" t="s">
        <v>18741</v>
      </c>
      <c r="B149" s="22" t="s">
        <v>18742</v>
      </c>
      <c r="C149" s="23" t="str">
        <f>"000"</f>
        <v>000</v>
      </c>
      <c r="D149" s="23" t="s">
        <v>18718</v>
      </c>
      <c r="E149" s="22" t="s">
        <v>18743</v>
      </c>
      <c r="F149" s="22" t="s">
        <v>52</v>
      </c>
      <c r="G149" s="22" t="str">
        <f>VLOOKUP(F149,[1]CHILDCARE_FACILITIES!N:Q,4,0)</f>
        <v>CDC-17067</v>
      </c>
      <c r="H149" s="22" t="e">
        <f>VLOOKUP(G149,'[1]CACFP FRL'!D:G,4,0)</f>
        <v>#N/A</v>
      </c>
      <c r="I149" s="22" t="str">
        <f>VLOOKUP(G149,[1]CHILDCARE_FACILITIES!AK:AL,2,0)</f>
        <v>CDC17067</v>
      </c>
      <c r="J149" s="22">
        <f>VLOOKUP(I149,'[1]Head Start QF 1-5 Stars'!O:Q,3,0)</f>
        <v>2754</v>
      </c>
      <c r="K149" s="23" t="s">
        <v>18741</v>
      </c>
      <c r="L149" s="22" t="s">
        <v>603</v>
      </c>
      <c r="M149" s="22" t="s">
        <v>1637</v>
      </c>
      <c r="N149" s="22" t="s">
        <v>495</v>
      </c>
      <c r="O149" s="23" t="s">
        <v>207</v>
      </c>
      <c r="P149" s="22" t="str">
        <f>"85009"</f>
        <v>85009</v>
      </c>
      <c r="Q149" s="22" t="str">
        <f>"3437"</f>
        <v>3437</v>
      </c>
      <c r="R149" s="22" t="s">
        <v>18710</v>
      </c>
      <c r="S149" s="23" t="s">
        <v>18737</v>
      </c>
      <c r="T149" s="22" t="s">
        <v>18746</v>
      </c>
      <c r="U149" s="22" t="s">
        <v>18964</v>
      </c>
      <c r="V149" s="22" t="s">
        <v>18714</v>
      </c>
      <c r="W149" s="22" t="s">
        <v>18714</v>
      </c>
      <c r="X149" s="22" t="s">
        <v>18714</v>
      </c>
      <c r="Y149" s="23">
        <v>20</v>
      </c>
      <c r="Z149" s="22" t="s">
        <v>18723</v>
      </c>
    </row>
    <row r="150" spans="1:26" x14ac:dyDescent="0.2">
      <c r="A150" s="23" t="s">
        <v>18741</v>
      </c>
      <c r="B150" s="22" t="s">
        <v>18742</v>
      </c>
      <c r="C150" s="23" t="str">
        <f>"000"</f>
        <v>000</v>
      </c>
      <c r="D150" s="23" t="s">
        <v>18718</v>
      </c>
      <c r="E150" s="22" t="s">
        <v>18743</v>
      </c>
      <c r="F150" s="22" t="s">
        <v>19098</v>
      </c>
      <c r="G150" s="22" t="str">
        <f>VLOOKUP(F150,[1]CHILDCARE_FACILITIES!N:Q,4,0)</f>
        <v>CDC-9883</v>
      </c>
      <c r="H150" s="22" t="e">
        <f>VLOOKUP(G150,'[1]CACFP FRL'!D:G,4,0)</f>
        <v>#N/A</v>
      </c>
      <c r="I150" s="22" t="str">
        <f>VLOOKUP(G150,[1]CHILDCARE_FACILITIES!AK:AL,2,0)</f>
        <v>CDC9883</v>
      </c>
      <c r="J150" s="22">
        <f>VLOOKUP(I150,'[1]Head Start QF 1-5 Stars'!O:Q,3,0)</f>
        <v>946</v>
      </c>
      <c r="K150" s="23" t="s">
        <v>18741</v>
      </c>
      <c r="L150" s="22" t="s">
        <v>659</v>
      </c>
      <c r="M150" s="22" t="s">
        <v>1637</v>
      </c>
      <c r="N150" s="22" t="s">
        <v>495</v>
      </c>
      <c r="O150" s="23" t="s">
        <v>207</v>
      </c>
      <c r="P150" s="22" t="str">
        <f>"85042"</f>
        <v>85042</v>
      </c>
      <c r="Q150" s="22" t="str">
        <f>"5517"</f>
        <v>5517</v>
      </c>
      <c r="R150" s="22" t="s">
        <v>18710</v>
      </c>
      <c r="S150" s="23" t="s">
        <v>18737</v>
      </c>
      <c r="U150" s="22" t="s">
        <v>18964</v>
      </c>
      <c r="V150" s="22" t="s">
        <v>18714</v>
      </c>
      <c r="W150" s="22" t="s">
        <v>18714</v>
      </c>
      <c r="X150" s="22" t="s">
        <v>18714</v>
      </c>
      <c r="Y150" s="23">
        <v>30</v>
      </c>
      <c r="Z150" s="22" t="s">
        <v>18723</v>
      </c>
    </row>
    <row r="151" spans="1:26" hidden="1" x14ac:dyDescent="0.2">
      <c r="A151" s="23" t="s">
        <v>18885</v>
      </c>
      <c r="B151" s="22" t="s">
        <v>18886</v>
      </c>
      <c r="C151" s="23" t="str">
        <f>"200"</f>
        <v>200</v>
      </c>
      <c r="D151" s="23" t="s">
        <v>18706</v>
      </c>
      <c r="E151" s="22" t="s">
        <v>18886</v>
      </c>
      <c r="F151" s="22" t="s">
        <v>19099</v>
      </c>
      <c r="G151" s="22" t="str">
        <f>VLOOKUP(F151,[1]CHILDCARE_FACILITIES!N:Q,4,0)</f>
        <v>CDC-4753</v>
      </c>
      <c r="H151" s="22">
        <f>VLOOKUP(G151,'[1]CACFP FRL'!D:G,4,0)</f>
        <v>10191</v>
      </c>
      <c r="I151" s="22" t="str">
        <f>VLOOKUP(G151,[1]CHILDCARE_FACILITIES!AK:AL,2,0)</f>
        <v>CDC4753</v>
      </c>
      <c r="J151" s="22" t="e">
        <f>VLOOKUP(I151,'[1]Head Start QF 1-5 Stars'!O:Q,3,0)</f>
        <v>#N/A</v>
      </c>
      <c r="K151" s="23" t="s">
        <v>18885</v>
      </c>
      <c r="L151" s="22" t="s">
        <v>19100</v>
      </c>
      <c r="M151" s="22" t="s">
        <v>1637</v>
      </c>
      <c r="N151" s="22" t="s">
        <v>496</v>
      </c>
      <c r="O151" s="23" t="s">
        <v>207</v>
      </c>
      <c r="P151" s="22" t="str">
        <f>"85365"</f>
        <v>85365</v>
      </c>
      <c r="Q151" s="22" t="str">
        <f>"7115"</f>
        <v>7115</v>
      </c>
      <c r="R151" s="22" t="s">
        <v>18809</v>
      </c>
      <c r="S151" s="23" t="s">
        <v>18764</v>
      </c>
      <c r="T151" s="22" t="s">
        <v>19101</v>
      </c>
      <c r="U151" s="22" t="s">
        <v>18713</v>
      </c>
      <c r="V151" s="22" t="s">
        <v>18731</v>
      </c>
      <c r="W151" s="22" t="s">
        <v>18714</v>
      </c>
      <c r="X151" s="22" t="s">
        <v>18714</v>
      </c>
      <c r="Y151" s="23">
        <v>16</v>
      </c>
      <c r="Z151" s="22" t="s">
        <v>18723</v>
      </c>
    </row>
    <row r="152" spans="1:26" s="25" customFormat="1" x14ac:dyDescent="0.2">
      <c r="A152" s="23" t="s">
        <v>18741</v>
      </c>
      <c r="B152" s="22" t="s">
        <v>18742</v>
      </c>
      <c r="C152" s="23" t="str">
        <f t="shared" ref="C152:C160" si="7">"000"</f>
        <v>000</v>
      </c>
      <c r="D152" s="23" t="s">
        <v>18718</v>
      </c>
      <c r="E152" s="22" t="s">
        <v>18743</v>
      </c>
      <c r="F152" s="22" t="s">
        <v>19102</v>
      </c>
      <c r="G152" s="22" t="str">
        <f>VLOOKUP(F152,[1]CHILDCARE_FACILITIES!N:Q,4,0)</f>
        <v>CDC-6548</v>
      </c>
      <c r="H152" s="22" t="e">
        <f>VLOOKUP(G152,'[1]CACFP FRL'!D:G,4,0)</f>
        <v>#N/A</v>
      </c>
      <c r="I152" s="22" t="str">
        <f>VLOOKUP(G152,[1]CHILDCARE_FACILITIES!AK:AL,2,0)</f>
        <v>CDC6548</v>
      </c>
      <c r="J152" s="22" t="e">
        <f>VLOOKUP(I152,'[1]Head Start QF 1-5 Stars'!O:Q,3,0)</f>
        <v>#N/A</v>
      </c>
      <c r="K152" s="23" t="s">
        <v>18741</v>
      </c>
      <c r="L152" s="22" t="s">
        <v>19103</v>
      </c>
      <c r="M152" s="22" t="s">
        <v>1637</v>
      </c>
      <c r="N152" s="22" t="s">
        <v>495</v>
      </c>
      <c r="O152" s="23" t="s">
        <v>207</v>
      </c>
      <c r="P152" s="22" t="str">
        <f>"85023"</f>
        <v>85023</v>
      </c>
      <c r="Q152" s="22" t="str">
        <f>"6023"</f>
        <v>6023</v>
      </c>
      <c r="R152" s="22" t="s">
        <v>18710</v>
      </c>
      <c r="S152" s="23" t="s">
        <v>19033</v>
      </c>
      <c r="T152" s="22" t="s">
        <v>18746</v>
      </c>
      <c r="U152" s="22" t="s">
        <v>18964</v>
      </c>
      <c r="V152" s="22" t="s">
        <v>18714</v>
      </c>
      <c r="W152" s="22" t="s">
        <v>18714</v>
      </c>
      <c r="X152" s="22" t="s">
        <v>18714</v>
      </c>
      <c r="Y152" s="23">
        <v>19</v>
      </c>
      <c r="Z152" s="22" t="s">
        <v>18723</v>
      </c>
    </row>
    <row r="153" spans="1:26" x14ac:dyDescent="0.2">
      <c r="A153" s="23" t="s">
        <v>18741</v>
      </c>
      <c r="B153" s="22" t="s">
        <v>18742</v>
      </c>
      <c r="C153" s="23" t="str">
        <f t="shared" si="7"/>
        <v>000</v>
      </c>
      <c r="D153" s="23" t="s">
        <v>18718</v>
      </c>
      <c r="E153" s="22" t="s">
        <v>18743</v>
      </c>
      <c r="F153" s="22" t="s">
        <v>19104</v>
      </c>
      <c r="G153" s="22" t="str">
        <f>VLOOKUP(F153,[1]CHILDCARE_FACILITIES!N:Q,4,0)</f>
        <v>CDC-5025</v>
      </c>
      <c r="H153" s="22" t="e">
        <f>VLOOKUP(G153,'[1]CACFP FRL'!D:G,4,0)</f>
        <v>#N/A</v>
      </c>
      <c r="I153" s="22" t="str">
        <f>VLOOKUP(G153,[1]CHILDCARE_FACILITIES!AK:AL,2,0)</f>
        <v>CDC5025</v>
      </c>
      <c r="J153" s="22">
        <f>VLOOKUP(I153,'[1]Head Start QF 1-5 Stars'!O:Q,3,0)</f>
        <v>977</v>
      </c>
      <c r="K153" s="23" t="s">
        <v>18741</v>
      </c>
      <c r="L153" s="22" t="s">
        <v>635</v>
      </c>
      <c r="M153" s="22" t="s">
        <v>1637</v>
      </c>
      <c r="N153" s="22" t="s">
        <v>495</v>
      </c>
      <c r="O153" s="23" t="s">
        <v>207</v>
      </c>
      <c r="P153" s="22" t="str">
        <f>"85041"</f>
        <v>85041</v>
      </c>
      <c r="Q153" s="22" t="str">
        <f>"5500"</f>
        <v>5500</v>
      </c>
      <c r="R153" s="22" t="s">
        <v>18710</v>
      </c>
      <c r="S153" s="23" t="s">
        <v>18737</v>
      </c>
      <c r="T153" s="22" t="s">
        <v>18746</v>
      </c>
      <c r="U153" s="22" t="s">
        <v>18964</v>
      </c>
      <c r="V153" s="22" t="s">
        <v>18714</v>
      </c>
      <c r="W153" s="22" t="s">
        <v>18714</v>
      </c>
      <c r="X153" s="22" t="s">
        <v>18714</v>
      </c>
      <c r="Y153" s="23">
        <v>30</v>
      </c>
      <c r="Z153" s="22" t="s">
        <v>18723</v>
      </c>
    </row>
    <row r="154" spans="1:26" x14ac:dyDescent="0.2">
      <c r="A154" s="24" t="s">
        <v>18741</v>
      </c>
      <c r="B154" s="25" t="s">
        <v>18742</v>
      </c>
      <c r="C154" s="24" t="str">
        <f t="shared" si="7"/>
        <v>000</v>
      </c>
      <c r="D154" s="24" t="s">
        <v>18718</v>
      </c>
      <c r="E154" s="25" t="s">
        <v>18743</v>
      </c>
      <c r="F154" s="25" t="s">
        <v>19105</v>
      </c>
      <c r="G154" s="25" t="e">
        <f>VLOOKUP(F154,[1]CHILDCARE_FACILITIES!N:Q,4,0)</f>
        <v>#N/A</v>
      </c>
      <c r="H154" s="25" t="e">
        <f>VLOOKUP(G154,'[1]CACFP FRL'!D:G,4,0)</f>
        <v>#N/A</v>
      </c>
      <c r="I154" s="25" t="e">
        <f>VLOOKUP(G154,[1]CHILDCARE_FACILITIES!AK:AL,2,0)</f>
        <v>#N/A</v>
      </c>
      <c r="J154" s="25" t="e">
        <f>VLOOKUP(I154,'[1]Head Start QF 1-5 Stars'!O:Q,3,0)</f>
        <v>#N/A</v>
      </c>
      <c r="K154" s="24" t="s">
        <v>18741</v>
      </c>
      <c r="L154" s="25" t="s">
        <v>585</v>
      </c>
      <c r="M154" s="25" t="s">
        <v>1637</v>
      </c>
      <c r="N154" s="25" t="s">
        <v>495</v>
      </c>
      <c r="O154" s="24" t="s">
        <v>207</v>
      </c>
      <c r="P154" s="25" t="str">
        <f>"85035"</f>
        <v>85035</v>
      </c>
      <c r="Q154" s="25" t="str">
        <f>"2213"</f>
        <v>2213</v>
      </c>
      <c r="R154" s="25" t="s">
        <v>18710</v>
      </c>
      <c r="S154" s="24" t="s">
        <v>18737</v>
      </c>
      <c r="T154" s="25" t="s">
        <v>18746</v>
      </c>
      <c r="U154" s="25" t="s">
        <v>18964</v>
      </c>
      <c r="V154" s="25" t="s">
        <v>18714</v>
      </c>
      <c r="W154" s="25" t="s">
        <v>18714</v>
      </c>
      <c r="X154" s="25" t="s">
        <v>18714</v>
      </c>
      <c r="Y154" s="24">
        <v>80</v>
      </c>
      <c r="Z154" s="25" t="s">
        <v>18723</v>
      </c>
    </row>
    <row r="155" spans="1:26" s="25" customFormat="1" x14ac:dyDescent="0.2">
      <c r="A155" s="24" t="s">
        <v>18741</v>
      </c>
      <c r="B155" s="25" t="s">
        <v>18742</v>
      </c>
      <c r="C155" s="24" t="str">
        <f t="shared" si="7"/>
        <v>000</v>
      </c>
      <c r="D155" s="24" t="s">
        <v>18718</v>
      </c>
      <c r="E155" s="25" t="s">
        <v>18743</v>
      </c>
      <c r="F155" s="25" t="s">
        <v>19106</v>
      </c>
      <c r="G155" s="25" t="e">
        <f>VLOOKUP(F155,[1]CHILDCARE_FACILITIES!N:Q,4,0)</f>
        <v>#N/A</v>
      </c>
      <c r="H155" s="25" t="e">
        <f>VLOOKUP(G155,'[1]CACFP FRL'!D:G,4,0)</f>
        <v>#N/A</v>
      </c>
      <c r="I155" s="25" t="e">
        <f>VLOOKUP(G155,[1]CHILDCARE_FACILITIES!AK:AL,2,0)</f>
        <v>#N/A</v>
      </c>
      <c r="J155" s="25" t="e">
        <f>VLOOKUP(I155,'[1]Head Start QF 1-5 Stars'!O:Q,3,0)</f>
        <v>#N/A</v>
      </c>
      <c r="K155" s="24" t="s">
        <v>18741</v>
      </c>
      <c r="L155" s="25" t="s">
        <v>19107</v>
      </c>
      <c r="M155" s="25" t="s">
        <v>1637</v>
      </c>
      <c r="N155" s="25" t="s">
        <v>495</v>
      </c>
      <c r="O155" s="24" t="s">
        <v>207</v>
      </c>
      <c r="P155" s="25" t="str">
        <f>"85031"</f>
        <v>85031</v>
      </c>
      <c r="Q155" s="25" t="str">
        <f>"3707"</f>
        <v>3707</v>
      </c>
      <c r="R155" s="25" t="s">
        <v>18710</v>
      </c>
      <c r="S155" s="24" t="s">
        <v>18737</v>
      </c>
      <c r="T155" s="25" t="s">
        <v>18746</v>
      </c>
      <c r="U155" s="25" t="s">
        <v>18964</v>
      </c>
      <c r="V155" s="25" t="s">
        <v>18714</v>
      </c>
      <c r="W155" s="25" t="s">
        <v>18714</v>
      </c>
      <c r="X155" s="25" t="s">
        <v>18714</v>
      </c>
      <c r="Y155" s="24">
        <v>20</v>
      </c>
      <c r="Z155" s="25" t="s">
        <v>18723</v>
      </c>
    </row>
    <row r="156" spans="1:26" s="25" customFormat="1" x14ac:dyDescent="0.2">
      <c r="A156" s="23" t="s">
        <v>18741</v>
      </c>
      <c r="B156" s="22" t="s">
        <v>18742</v>
      </c>
      <c r="C156" s="23" t="str">
        <f t="shared" si="7"/>
        <v>000</v>
      </c>
      <c r="D156" s="23" t="s">
        <v>18718</v>
      </c>
      <c r="E156" s="22" t="s">
        <v>18743</v>
      </c>
      <c r="F156" s="22" t="s">
        <v>59</v>
      </c>
      <c r="G156" s="22" t="str">
        <f>VLOOKUP(F156,[1]CHILDCARE_FACILITIES!N:Q,4,0)</f>
        <v>CDC-1770</v>
      </c>
      <c r="H156" s="22" t="e">
        <f>VLOOKUP(G156,'[1]CACFP FRL'!D:G,4,0)</f>
        <v>#N/A</v>
      </c>
      <c r="I156" s="22" t="str">
        <f>VLOOKUP(G156,[1]CHILDCARE_FACILITIES!AK:AL,2,0)</f>
        <v>CDC1770</v>
      </c>
      <c r="J156" s="22">
        <f>VLOOKUP(I156,'[1]Head Start QF 1-5 Stars'!O:Q,3,0)</f>
        <v>1164</v>
      </c>
      <c r="K156" s="23" t="s">
        <v>18741</v>
      </c>
      <c r="L156" s="22" t="s">
        <v>19108</v>
      </c>
      <c r="M156" s="22" t="s">
        <v>1637</v>
      </c>
      <c r="N156" s="22" t="s">
        <v>495</v>
      </c>
      <c r="O156" s="23" t="s">
        <v>207</v>
      </c>
      <c r="P156" s="22" t="str">
        <f>"85009"</f>
        <v>85009</v>
      </c>
      <c r="Q156" s="22" t="str">
        <f>"5680"</f>
        <v>5680</v>
      </c>
      <c r="R156" s="22" t="s">
        <v>18710</v>
      </c>
      <c r="S156" s="23" t="s">
        <v>18737</v>
      </c>
      <c r="T156" s="22" t="s">
        <v>18746</v>
      </c>
      <c r="U156" s="22" t="s">
        <v>18964</v>
      </c>
      <c r="V156" s="22" t="s">
        <v>18714</v>
      </c>
      <c r="W156" s="22" t="s">
        <v>18714</v>
      </c>
      <c r="X156" s="22" t="s">
        <v>18714</v>
      </c>
      <c r="Y156" s="23">
        <v>20</v>
      </c>
      <c r="Z156" s="22" t="s">
        <v>18723</v>
      </c>
    </row>
    <row r="157" spans="1:26" x14ac:dyDescent="0.2">
      <c r="A157" s="23" t="s">
        <v>18741</v>
      </c>
      <c r="B157" s="22" t="s">
        <v>18742</v>
      </c>
      <c r="C157" s="23" t="str">
        <f t="shared" si="7"/>
        <v>000</v>
      </c>
      <c r="D157" s="23" t="s">
        <v>18718</v>
      </c>
      <c r="E157" s="22" t="s">
        <v>18743</v>
      </c>
      <c r="F157" s="22" t="s">
        <v>19109</v>
      </c>
      <c r="G157" s="22" t="str">
        <f>VLOOKUP(F157,[1]CHILDCARE_FACILITIES!N:Q,4,0)</f>
        <v>CDC-16669</v>
      </c>
      <c r="H157" s="22" t="e">
        <f>VLOOKUP(G157,'[1]CACFP FRL'!D:G,4,0)</f>
        <v>#N/A</v>
      </c>
      <c r="I157" s="22" t="str">
        <f>VLOOKUP(G157,[1]CHILDCARE_FACILITIES!AK:AL,2,0)</f>
        <v>CDC16669</v>
      </c>
      <c r="J157" s="22">
        <f>VLOOKUP(I157,'[1]Head Start QF 1-5 Stars'!O:Q,3,0)</f>
        <v>2650</v>
      </c>
      <c r="K157" s="23" t="s">
        <v>18741</v>
      </c>
      <c r="L157" s="22" t="s">
        <v>1365</v>
      </c>
      <c r="M157" s="22" t="s">
        <v>1637</v>
      </c>
      <c r="N157" s="22" t="s">
        <v>495</v>
      </c>
      <c r="O157" s="23" t="s">
        <v>207</v>
      </c>
      <c r="P157" s="22" t="str">
        <f>"85041"</f>
        <v>85041</v>
      </c>
      <c r="Q157" s="22" t="str">
        <f>"2615"</f>
        <v>2615</v>
      </c>
      <c r="R157" s="22" t="s">
        <v>18710</v>
      </c>
      <c r="S157" s="23" t="s">
        <v>18737</v>
      </c>
      <c r="T157" s="22" t="s">
        <v>18746</v>
      </c>
      <c r="U157" s="22" t="s">
        <v>18964</v>
      </c>
      <c r="V157" s="22" t="s">
        <v>18714</v>
      </c>
      <c r="W157" s="22" t="s">
        <v>18714</v>
      </c>
      <c r="X157" s="22" t="s">
        <v>18714</v>
      </c>
      <c r="Y157" s="23">
        <v>80</v>
      </c>
      <c r="Z157" s="22" t="s">
        <v>18723</v>
      </c>
    </row>
    <row r="158" spans="1:26" x14ac:dyDescent="0.2">
      <c r="A158" s="23" t="s">
        <v>18741</v>
      </c>
      <c r="B158" s="22" t="s">
        <v>18742</v>
      </c>
      <c r="C158" s="23" t="str">
        <f t="shared" si="7"/>
        <v>000</v>
      </c>
      <c r="D158" s="23" t="s">
        <v>18718</v>
      </c>
      <c r="E158" s="22" t="s">
        <v>18743</v>
      </c>
      <c r="F158" s="22" t="s">
        <v>19110</v>
      </c>
      <c r="G158" s="22" t="str">
        <f>VLOOKUP(F158,[1]CHILDCARE_FACILITIES!N:Q,4,0)</f>
        <v>CDC-1174</v>
      </c>
      <c r="H158" s="22" t="e">
        <f>VLOOKUP(G158,'[1]CACFP FRL'!D:G,4,0)</f>
        <v>#N/A</v>
      </c>
      <c r="I158" s="22" t="str">
        <f>VLOOKUP(G158,[1]CHILDCARE_FACILITIES!AK:AL,2,0)</f>
        <v>CDC1174</v>
      </c>
      <c r="J158" s="22">
        <f>VLOOKUP(I158,'[1]Head Start QF 1-5 Stars'!O:Q,3,0)</f>
        <v>332</v>
      </c>
      <c r="K158" s="23" t="s">
        <v>18741</v>
      </c>
      <c r="L158" s="22" t="s">
        <v>19111</v>
      </c>
      <c r="M158" s="22" t="s">
        <v>1637</v>
      </c>
      <c r="N158" s="22" t="s">
        <v>495</v>
      </c>
      <c r="O158" s="23" t="s">
        <v>207</v>
      </c>
      <c r="P158" s="22" t="str">
        <f>"85040"</f>
        <v>85040</v>
      </c>
      <c r="Q158" s="22" t="str">
        <f>"2528"</f>
        <v>2528</v>
      </c>
      <c r="R158" s="22" t="s">
        <v>18710</v>
      </c>
      <c r="S158" s="23" t="s">
        <v>18737</v>
      </c>
      <c r="T158" s="22" t="s">
        <v>18746</v>
      </c>
      <c r="U158" s="22" t="s">
        <v>18964</v>
      </c>
      <c r="V158" s="22" t="s">
        <v>18714</v>
      </c>
      <c r="W158" s="22" t="s">
        <v>18714</v>
      </c>
      <c r="X158" s="22" t="s">
        <v>18714</v>
      </c>
      <c r="Y158" s="23">
        <v>51</v>
      </c>
      <c r="Z158" s="22" t="s">
        <v>18723</v>
      </c>
    </row>
    <row r="159" spans="1:26" s="25" customFormat="1" x14ac:dyDescent="0.2">
      <c r="A159" s="23" t="s">
        <v>18741</v>
      </c>
      <c r="B159" s="22" t="s">
        <v>18742</v>
      </c>
      <c r="C159" s="23" t="str">
        <f t="shared" si="7"/>
        <v>000</v>
      </c>
      <c r="D159" s="23" t="s">
        <v>18718</v>
      </c>
      <c r="E159" s="22" t="s">
        <v>18743</v>
      </c>
      <c r="F159" s="22" t="s">
        <v>19112</v>
      </c>
      <c r="G159" s="22" t="str">
        <f>VLOOKUP(F159,[1]CHILDCARE_FACILITIES!N:Q,4,0)</f>
        <v>CDC-5026</v>
      </c>
      <c r="H159" s="22" t="e">
        <f>VLOOKUP(G159,'[1]CACFP FRL'!D:G,4,0)</f>
        <v>#N/A</v>
      </c>
      <c r="I159" s="22" t="str">
        <f>VLOOKUP(G159,[1]CHILDCARE_FACILITIES!AK:AL,2,0)</f>
        <v>CDC5026</v>
      </c>
      <c r="J159" s="22">
        <f>VLOOKUP(I159,'[1]Head Start QF 1-5 Stars'!O:Q,3,0)</f>
        <v>965</v>
      </c>
      <c r="K159" s="23" t="s">
        <v>18741</v>
      </c>
      <c r="L159" s="22" t="s">
        <v>653</v>
      </c>
      <c r="M159" s="22" t="s">
        <v>1637</v>
      </c>
      <c r="N159" s="22" t="s">
        <v>495</v>
      </c>
      <c r="O159" s="23" t="s">
        <v>207</v>
      </c>
      <c r="P159" s="22" t="str">
        <f>"85042"</f>
        <v>85042</v>
      </c>
      <c r="Q159" s="22" t="str">
        <f>"7600"</f>
        <v>7600</v>
      </c>
      <c r="R159" s="22" t="s">
        <v>18710</v>
      </c>
      <c r="S159" s="23" t="s">
        <v>18737</v>
      </c>
      <c r="T159" s="22" t="s">
        <v>18746</v>
      </c>
      <c r="U159" s="22" t="s">
        <v>18964</v>
      </c>
      <c r="V159" s="22" t="s">
        <v>18714</v>
      </c>
      <c r="W159" s="22" t="s">
        <v>18714</v>
      </c>
      <c r="X159" s="22" t="s">
        <v>18714</v>
      </c>
      <c r="Y159" s="23">
        <v>50</v>
      </c>
      <c r="Z159" s="22" t="s">
        <v>18723</v>
      </c>
    </row>
    <row r="160" spans="1:26" s="25" customFormat="1" x14ac:dyDescent="0.2">
      <c r="A160" s="23" t="s">
        <v>18741</v>
      </c>
      <c r="B160" s="22" t="s">
        <v>18742</v>
      </c>
      <c r="C160" s="23" t="str">
        <f t="shared" si="7"/>
        <v>000</v>
      </c>
      <c r="D160" s="23" t="s">
        <v>18718</v>
      </c>
      <c r="E160" s="22" t="s">
        <v>18743</v>
      </c>
      <c r="F160" s="22" t="s">
        <v>19113</v>
      </c>
      <c r="G160" s="22" t="str">
        <f>VLOOKUP(F160,[1]CHILDCARE_FACILITIES!N:Q,4,0)</f>
        <v>CDC-6792</v>
      </c>
      <c r="H160" s="22" t="e">
        <f>VLOOKUP(G160,'[1]CACFP FRL'!D:G,4,0)</f>
        <v>#N/A</v>
      </c>
      <c r="I160" s="22" t="str">
        <f>VLOOKUP(G160,[1]CHILDCARE_FACILITIES!AK:AL,2,0)</f>
        <v>CDC6792</v>
      </c>
      <c r="J160" s="22" t="e">
        <f>VLOOKUP(I160,'[1]Head Start QF 1-5 Stars'!O:Q,3,0)</f>
        <v>#N/A</v>
      </c>
      <c r="K160" s="23" t="s">
        <v>18741</v>
      </c>
      <c r="L160" s="22" t="s">
        <v>19114</v>
      </c>
      <c r="M160" s="22" t="s">
        <v>1637</v>
      </c>
      <c r="N160" s="22" t="s">
        <v>495</v>
      </c>
      <c r="O160" s="23" t="s">
        <v>207</v>
      </c>
      <c r="P160" s="22" t="str">
        <f>"85051"</f>
        <v>85051</v>
      </c>
      <c r="Q160" s="22" t="str">
        <f>"4778"</f>
        <v>4778</v>
      </c>
      <c r="R160" s="22" t="s">
        <v>18710</v>
      </c>
      <c r="S160" s="23" t="s">
        <v>19033</v>
      </c>
      <c r="T160" s="22" t="s">
        <v>18746</v>
      </c>
      <c r="U160" s="22" t="s">
        <v>18964</v>
      </c>
      <c r="V160" s="22" t="s">
        <v>18714</v>
      </c>
      <c r="W160" s="22" t="s">
        <v>18714</v>
      </c>
      <c r="X160" s="22" t="s">
        <v>18714</v>
      </c>
      <c r="Y160" s="23">
        <v>30</v>
      </c>
      <c r="Z160" s="22" t="s">
        <v>18723</v>
      </c>
    </row>
    <row r="161" spans="1:26" hidden="1" x14ac:dyDescent="0.2">
      <c r="A161" s="23" t="s">
        <v>18724</v>
      </c>
      <c r="B161" s="22" t="s">
        <v>18705</v>
      </c>
      <c r="C161" s="23" t="str">
        <f>"200"</f>
        <v>200</v>
      </c>
      <c r="D161" s="23" t="s">
        <v>18706</v>
      </c>
      <c r="E161" s="22" t="s">
        <v>18705</v>
      </c>
      <c r="F161" s="22" t="s">
        <v>19115</v>
      </c>
      <c r="G161" s="22" t="str">
        <f>VLOOKUP(F161,[1]CHILDCARE_FACILITIES!N:Q,4,0)</f>
        <v>CDC-16208</v>
      </c>
      <c r="H161" s="22">
        <f>VLOOKUP(G161,'[1]CACFP FRL'!D:G,4,0)</f>
        <v>91893</v>
      </c>
      <c r="I161" s="22" t="str">
        <f>VLOOKUP(G161,[1]CHILDCARE_FACILITIES!AK:AL,2,0)</f>
        <v>CDC16208</v>
      </c>
      <c r="J161" s="22" t="e">
        <f>VLOOKUP(I161,'[1]Head Start QF 1-5 Stars'!O:Q,3,0)</f>
        <v>#N/A</v>
      </c>
      <c r="K161" s="23" t="s">
        <v>18724</v>
      </c>
      <c r="L161" s="22" t="s">
        <v>19116</v>
      </c>
      <c r="M161" s="22" t="s">
        <v>1637</v>
      </c>
      <c r="N161" s="22" t="s">
        <v>527</v>
      </c>
      <c r="O161" s="23" t="s">
        <v>207</v>
      </c>
      <c r="P161" s="22" t="str">
        <f>"85326"</f>
        <v>85326</v>
      </c>
      <c r="Q161" s="22" t="str">
        <f>"2300"</f>
        <v>2300</v>
      </c>
      <c r="R161" s="22" t="s">
        <v>18710</v>
      </c>
      <c r="S161" s="23" t="s">
        <v>18721</v>
      </c>
      <c r="T161" s="22" t="s">
        <v>19117</v>
      </c>
      <c r="U161" s="22" t="s">
        <v>18713</v>
      </c>
      <c r="V161" s="22" t="s">
        <v>18714</v>
      </c>
      <c r="W161" s="22" t="s">
        <v>18714</v>
      </c>
      <c r="X161" s="22" t="s">
        <v>18714</v>
      </c>
      <c r="Y161" s="23">
        <v>16</v>
      </c>
      <c r="Z161" s="22" t="s">
        <v>18715</v>
      </c>
    </row>
    <row r="162" spans="1:26" x14ac:dyDescent="0.2">
      <c r="A162" s="23" t="s">
        <v>18741</v>
      </c>
      <c r="B162" s="22" t="s">
        <v>18742</v>
      </c>
      <c r="C162" s="23" t="str">
        <f>"000"</f>
        <v>000</v>
      </c>
      <c r="D162" s="23" t="s">
        <v>18718</v>
      </c>
      <c r="E162" s="22" t="s">
        <v>18743</v>
      </c>
      <c r="F162" s="22" t="s">
        <v>19118</v>
      </c>
      <c r="G162" s="22" t="str">
        <f>VLOOKUP(F162,[1]CHILDCARE_FACILITIES!N:Q,4,0)</f>
        <v>CDC-18142</v>
      </c>
      <c r="H162" s="22" t="e">
        <f>VLOOKUP(G162,'[1]CACFP FRL'!D:G,4,0)</f>
        <v>#N/A</v>
      </c>
      <c r="I162" s="22" t="str">
        <f>VLOOKUP(G162,[1]CHILDCARE_FACILITIES!AK:AL,2,0)</f>
        <v>CDC18142</v>
      </c>
      <c r="J162" s="22">
        <f>VLOOKUP(I162,'[1]Head Start QF 1-5 Stars'!O:Q,3,0)</f>
        <v>2694</v>
      </c>
      <c r="K162" s="23" t="s">
        <v>18741</v>
      </c>
      <c r="L162" s="22" t="s">
        <v>19119</v>
      </c>
      <c r="M162" s="22" t="s">
        <v>1637</v>
      </c>
      <c r="N162" s="22" t="s">
        <v>495</v>
      </c>
      <c r="O162" s="23" t="s">
        <v>207</v>
      </c>
      <c r="P162" s="22" t="str">
        <f>"85003"</f>
        <v>85003</v>
      </c>
      <c r="Q162" s="22" t="str">
        <f>"2752"</f>
        <v>2752</v>
      </c>
      <c r="R162" s="22" t="s">
        <v>18710</v>
      </c>
      <c r="S162" s="23" t="s">
        <v>18737</v>
      </c>
      <c r="T162" s="22" t="s">
        <v>18746</v>
      </c>
      <c r="U162" s="22" t="s">
        <v>18964</v>
      </c>
      <c r="V162" s="22" t="s">
        <v>18714</v>
      </c>
      <c r="W162" s="22" t="s">
        <v>18714</v>
      </c>
      <c r="X162" s="22" t="s">
        <v>18714</v>
      </c>
      <c r="Y162" s="23">
        <v>20</v>
      </c>
      <c r="Z162" s="22" t="s">
        <v>18723</v>
      </c>
    </row>
    <row r="163" spans="1:26" hidden="1" x14ac:dyDescent="0.2">
      <c r="A163" s="23" t="s">
        <v>18873</v>
      </c>
      <c r="B163" s="22" t="s">
        <v>18874</v>
      </c>
      <c r="C163" s="23" t="str">
        <f>"200"</f>
        <v>200</v>
      </c>
      <c r="D163" s="23" t="s">
        <v>18706</v>
      </c>
      <c r="E163" s="22" t="s">
        <v>18875</v>
      </c>
      <c r="F163" s="22" t="s">
        <v>19120</v>
      </c>
      <c r="G163" s="22" t="str">
        <f>VLOOKUP(F163,[1]CHILDCARE_FACILITIES!N:Q,4,0)</f>
        <v>CDC-8105</v>
      </c>
      <c r="H163" s="22">
        <f>VLOOKUP(G163,'[1]CACFP FRL'!D:G,4,0)</f>
        <v>78729</v>
      </c>
      <c r="I163" s="22" t="str">
        <f>VLOOKUP(G163,[1]CHILDCARE_FACILITIES!AK:AL,2,0)</f>
        <v>CDC8105</v>
      </c>
      <c r="J163" s="22">
        <f>VLOOKUP(I163,'[1]Head Start QF 1-5 Stars'!O:Q,3,0)</f>
        <v>1256</v>
      </c>
      <c r="K163" s="23" t="s">
        <v>18873</v>
      </c>
      <c r="L163" s="22" t="s">
        <v>678</v>
      </c>
      <c r="M163" s="22" t="s">
        <v>1637</v>
      </c>
      <c r="N163" s="22" t="s">
        <v>495</v>
      </c>
      <c r="O163" s="23" t="s">
        <v>207</v>
      </c>
      <c r="P163" s="22" t="str">
        <f>"85008"</f>
        <v>85008</v>
      </c>
      <c r="Q163" s="22" t="str">
        <f>"5210"</f>
        <v>5210</v>
      </c>
      <c r="R163" s="22" t="s">
        <v>18710</v>
      </c>
      <c r="S163" s="23" t="s">
        <v>18737</v>
      </c>
      <c r="T163" s="22" t="s">
        <v>19039</v>
      </c>
      <c r="U163" s="22" t="s">
        <v>18713</v>
      </c>
      <c r="V163" s="22" t="s">
        <v>18714</v>
      </c>
      <c r="W163" s="22" t="s">
        <v>18714</v>
      </c>
      <c r="X163" s="22" t="s">
        <v>18731</v>
      </c>
      <c r="Y163" s="23">
        <v>8</v>
      </c>
      <c r="Z163" s="22" t="s">
        <v>18715</v>
      </c>
    </row>
    <row r="164" spans="1:26" x14ac:dyDescent="0.2">
      <c r="A164" s="23" t="s">
        <v>19121</v>
      </c>
      <c r="B164" s="22" t="s">
        <v>18960</v>
      </c>
      <c r="C164" s="23" t="str">
        <f>"200"</f>
        <v>200</v>
      </c>
      <c r="D164" s="23" t="s">
        <v>19122</v>
      </c>
      <c r="E164" s="22" t="s">
        <v>19123</v>
      </c>
      <c r="F164" s="22" t="s">
        <v>23</v>
      </c>
      <c r="G164" s="22" t="str">
        <f>VLOOKUP(F164,[1]CHILDCARE_FACILITIES!N:Q,4,0)</f>
        <v>CDC-17552</v>
      </c>
      <c r="H164" s="22" t="e">
        <f>VLOOKUP(G164,'[1]CACFP FRL'!D:G,4,0)</f>
        <v>#N/A</v>
      </c>
      <c r="I164" s="22" t="str">
        <f>VLOOKUP(G164,[1]CHILDCARE_FACILITIES!AK:AL,2,0)</f>
        <v>CDC17552</v>
      </c>
      <c r="J164" s="22" t="e">
        <f>VLOOKUP(I164,'[1]Head Start QF 1-5 Stars'!O:Q,3,0)</f>
        <v>#N/A</v>
      </c>
      <c r="K164" s="23" t="s">
        <v>19121</v>
      </c>
      <c r="L164" s="22" t="s">
        <v>19124</v>
      </c>
      <c r="M164" s="22" t="s">
        <v>1637</v>
      </c>
      <c r="N164" s="22" t="s">
        <v>760</v>
      </c>
      <c r="O164" s="23" t="s">
        <v>207</v>
      </c>
      <c r="P164" s="22" t="str">
        <f>"85131"</f>
        <v>85131</v>
      </c>
      <c r="Q164" s="22" t="str">
        <f>"2322"</f>
        <v>2322</v>
      </c>
      <c r="R164" s="22" t="s">
        <v>18763</v>
      </c>
      <c r="S164" s="23" t="s">
        <v>18818</v>
      </c>
      <c r="T164" s="22" t="s">
        <v>18819</v>
      </c>
      <c r="U164" s="22" t="s">
        <v>18713</v>
      </c>
      <c r="V164" s="22" t="s">
        <v>18714</v>
      </c>
      <c r="W164" s="22" t="s">
        <v>18714</v>
      </c>
      <c r="X164" s="22" t="s">
        <v>18714</v>
      </c>
      <c r="Y164" s="23">
        <v>16</v>
      </c>
      <c r="Z164" s="22" t="s">
        <v>18723</v>
      </c>
    </row>
    <row r="165" spans="1:26" x14ac:dyDescent="0.2">
      <c r="A165" s="23" t="s">
        <v>18741</v>
      </c>
      <c r="B165" s="22" t="s">
        <v>18742</v>
      </c>
      <c r="C165" s="23" t="str">
        <f>"000"</f>
        <v>000</v>
      </c>
      <c r="D165" s="23" t="s">
        <v>18718</v>
      </c>
      <c r="E165" s="22" t="s">
        <v>18743</v>
      </c>
      <c r="F165" s="22" t="s">
        <v>19125</v>
      </c>
      <c r="G165" s="22" t="str">
        <f>VLOOKUP(F165,[1]CHILDCARE_FACILITIES!N:Q,4,0)</f>
        <v>CDC-7633</v>
      </c>
      <c r="H165" s="22" t="e">
        <f>VLOOKUP(G165,'[1]CACFP FRL'!D:G,4,0)</f>
        <v>#N/A</v>
      </c>
      <c r="I165" s="22" t="str">
        <f>VLOOKUP(G165,[1]CHILDCARE_FACILITIES!AK:AL,2,0)</f>
        <v>CDC7633</v>
      </c>
      <c r="J165" s="22" t="e">
        <f>VLOOKUP(I165,'[1]Head Start QF 1-5 Stars'!O:Q,3,0)</f>
        <v>#N/A</v>
      </c>
      <c r="K165" s="23" t="s">
        <v>18741</v>
      </c>
      <c r="L165" s="22" t="s">
        <v>613</v>
      </c>
      <c r="M165" s="22" t="s">
        <v>1637</v>
      </c>
      <c r="N165" s="22" t="s">
        <v>495</v>
      </c>
      <c r="O165" s="23" t="s">
        <v>207</v>
      </c>
      <c r="P165" s="22" t="str">
        <f>"85015"</f>
        <v>85015</v>
      </c>
      <c r="Q165" s="22" t="str">
        <f>"1555"</f>
        <v>1555</v>
      </c>
      <c r="R165" s="22" t="s">
        <v>18710</v>
      </c>
      <c r="S165" s="23" t="s">
        <v>18737</v>
      </c>
      <c r="T165" s="22" t="s">
        <v>18746</v>
      </c>
      <c r="U165" s="22" t="s">
        <v>18964</v>
      </c>
      <c r="V165" s="22" t="s">
        <v>18714</v>
      </c>
      <c r="W165" s="22" t="s">
        <v>18714</v>
      </c>
      <c r="X165" s="22" t="s">
        <v>18714</v>
      </c>
      <c r="Y165" s="23">
        <v>19</v>
      </c>
      <c r="Z165" s="22" t="s">
        <v>18723</v>
      </c>
    </row>
    <row r="166" spans="1:26" hidden="1" x14ac:dyDescent="0.2">
      <c r="A166" s="23" t="s">
        <v>18796</v>
      </c>
      <c r="B166" s="22" t="s">
        <v>18705</v>
      </c>
      <c r="C166" s="23" t="str">
        <f>"200"</f>
        <v>200</v>
      </c>
      <c r="D166" s="23" t="s">
        <v>18706</v>
      </c>
      <c r="E166" s="22" t="s">
        <v>18797</v>
      </c>
      <c r="F166" s="22" t="s">
        <v>19126</v>
      </c>
      <c r="G166" s="22" t="str">
        <f>VLOOKUP(F166,[1]CHILDCARE_FACILITIES!N:Q,4,0)</f>
        <v>CDC-10936</v>
      </c>
      <c r="H166" s="22" t="e">
        <f>VLOOKUP(G166,'[1]CACFP FRL'!D:G,4,0)</f>
        <v>#N/A</v>
      </c>
      <c r="I166" s="22" t="str">
        <f>VLOOKUP(G166,[1]CHILDCARE_FACILITIES!AK:AL,2,0)</f>
        <v>CDC10936</v>
      </c>
      <c r="J166" s="22" t="e">
        <f>VLOOKUP(I166,'[1]Head Start QF 1-5 Stars'!O:Q,3,0)</f>
        <v>#N/A</v>
      </c>
      <c r="K166" s="23" t="s">
        <v>18796</v>
      </c>
      <c r="L166" s="22" t="s">
        <v>19127</v>
      </c>
      <c r="M166" s="22" t="s">
        <v>1637</v>
      </c>
      <c r="N166" s="22" t="s">
        <v>1593</v>
      </c>
      <c r="O166" s="23" t="s">
        <v>207</v>
      </c>
      <c r="P166" s="22" t="str">
        <f>"85233"</f>
        <v>85233</v>
      </c>
      <c r="Q166" s="22" t="str">
        <f>"5410"</f>
        <v>5410</v>
      </c>
      <c r="R166" s="22" t="s">
        <v>18710</v>
      </c>
      <c r="S166" s="23" t="s">
        <v>18832</v>
      </c>
      <c r="T166" s="22" t="s">
        <v>19128</v>
      </c>
      <c r="U166" s="22" t="s">
        <v>18713</v>
      </c>
      <c r="V166" s="22" t="s">
        <v>18714</v>
      </c>
      <c r="W166" s="22" t="s">
        <v>18714</v>
      </c>
      <c r="X166" s="22" t="s">
        <v>18714</v>
      </c>
      <c r="Y166" s="23">
        <v>12</v>
      </c>
      <c r="Z166" s="22" t="s">
        <v>18723</v>
      </c>
    </row>
    <row r="167" spans="1:26" s="25" customFormat="1" x14ac:dyDescent="0.2">
      <c r="A167" s="23" t="s">
        <v>18741</v>
      </c>
      <c r="B167" s="22" t="s">
        <v>18742</v>
      </c>
      <c r="C167" s="23" t="str">
        <f>"000"</f>
        <v>000</v>
      </c>
      <c r="D167" s="23" t="s">
        <v>18718</v>
      </c>
      <c r="E167" s="22" t="s">
        <v>18743</v>
      </c>
      <c r="F167" s="22" t="s">
        <v>55</v>
      </c>
      <c r="G167" s="22" t="str">
        <f>VLOOKUP(F167,[1]CHILDCARE_FACILITIES!N:Q,4,0)</f>
        <v>CDC-16668</v>
      </c>
      <c r="H167" s="22" t="e">
        <f>VLOOKUP(G167,'[1]CACFP FRL'!D:G,4,0)</f>
        <v>#N/A</v>
      </c>
      <c r="I167" s="22" t="str">
        <f>VLOOKUP(G167,[1]CHILDCARE_FACILITIES!AK:AL,2,0)</f>
        <v>CDC16668</v>
      </c>
      <c r="J167" s="22">
        <f>VLOOKUP(I167,'[1]Head Start QF 1-5 Stars'!O:Q,3,0)</f>
        <v>2723</v>
      </c>
      <c r="K167" s="23" t="s">
        <v>18741</v>
      </c>
      <c r="L167" s="22" t="s">
        <v>19129</v>
      </c>
      <c r="M167" s="22" t="s">
        <v>1637</v>
      </c>
      <c r="N167" s="22" t="s">
        <v>495</v>
      </c>
      <c r="O167" s="23" t="s">
        <v>207</v>
      </c>
      <c r="P167" s="22" t="str">
        <f>"85009"</f>
        <v>85009</v>
      </c>
      <c r="Q167" s="22" t="str">
        <f>"2039"</f>
        <v>2039</v>
      </c>
      <c r="R167" s="22" t="s">
        <v>18710</v>
      </c>
      <c r="S167" s="23" t="s">
        <v>18737</v>
      </c>
      <c r="T167" s="22" t="s">
        <v>18746</v>
      </c>
      <c r="U167" s="22" t="s">
        <v>18964</v>
      </c>
      <c r="V167" s="22" t="s">
        <v>18714</v>
      </c>
      <c r="W167" s="22" t="s">
        <v>18714</v>
      </c>
      <c r="X167" s="22" t="s">
        <v>18714</v>
      </c>
      <c r="Y167" s="23">
        <v>40</v>
      </c>
      <c r="Z167" s="22" t="s">
        <v>18723</v>
      </c>
    </row>
    <row r="168" spans="1:26" s="25" customFormat="1" x14ac:dyDescent="0.2">
      <c r="A168" s="23" t="s">
        <v>18741</v>
      </c>
      <c r="B168" s="22" t="s">
        <v>18742</v>
      </c>
      <c r="C168" s="23" t="str">
        <f>"000"</f>
        <v>000</v>
      </c>
      <c r="D168" s="23" t="s">
        <v>18718</v>
      </c>
      <c r="E168" s="22" t="s">
        <v>18743</v>
      </c>
      <c r="F168" s="22" t="s">
        <v>19130</v>
      </c>
      <c r="G168" s="22" t="str">
        <f>VLOOKUP(F168,[1]CHILDCARE_FACILITIES!N:Q,4,0)</f>
        <v>CDC-6794</v>
      </c>
      <c r="H168" s="22" t="e">
        <f>VLOOKUP(G168,'[1]CACFP FRL'!D:G,4,0)</f>
        <v>#N/A</v>
      </c>
      <c r="I168" s="22" t="str">
        <f>VLOOKUP(G168,[1]CHILDCARE_FACILITIES!AK:AL,2,0)</f>
        <v>CDC6794</v>
      </c>
      <c r="J168" s="22" t="e">
        <f>VLOOKUP(I168,'[1]Head Start QF 1-5 Stars'!O:Q,3,0)</f>
        <v>#N/A</v>
      </c>
      <c r="K168" s="23" t="s">
        <v>18741</v>
      </c>
      <c r="L168" s="22" t="s">
        <v>1275</v>
      </c>
      <c r="M168" s="22" t="s">
        <v>1637</v>
      </c>
      <c r="N168" s="22" t="s">
        <v>495</v>
      </c>
      <c r="O168" s="23" t="s">
        <v>207</v>
      </c>
      <c r="P168" s="22" t="str">
        <f>"85029"</f>
        <v>85029</v>
      </c>
      <c r="Q168" s="22" t="str">
        <f>"1661"</f>
        <v>1661</v>
      </c>
      <c r="R168" s="22" t="s">
        <v>18710</v>
      </c>
      <c r="S168" s="23" t="s">
        <v>19033</v>
      </c>
      <c r="T168" s="22" t="s">
        <v>18746</v>
      </c>
      <c r="U168" s="22" t="s">
        <v>18964</v>
      </c>
      <c r="V168" s="22" t="s">
        <v>18714</v>
      </c>
      <c r="W168" s="22" t="s">
        <v>18714</v>
      </c>
      <c r="X168" s="22" t="s">
        <v>18714</v>
      </c>
      <c r="Y168" s="23">
        <v>19</v>
      </c>
      <c r="Z168" s="22" t="s">
        <v>18723</v>
      </c>
    </row>
    <row r="169" spans="1:26" x14ac:dyDescent="0.2">
      <c r="A169" s="23" t="s">
        <v>18741</v>
      </c>
      <c r="B169" s="22" t="s">
        <v>18742</v>
      </c>
      <c r="C169" s="23" t="str">
        <f>"000"</f>
        <v>000</v>
      </c>
      <c r="D169" s="23" t="s">
        <v>18718</v>
      </c>
      <c r="E169" s="22" t="s">
        <v>18743</v>
      </c>
      <c r="F169" s="22" t="s">
        <v>19131</v>
      </c>
      <c r="G169" s="22" t="str">
        <f>VLOOKUP(F169,[1]CHILDCARE_FACILITIES!N:Q,4,0)</f>
        <v>CDC-11675</v>
      </c>
      <c r="H169" s="22" t="e">
        <f>VLOOKUP(G169,'[1]CACFP FRL'!D:G,4,0)</f>
        <v>#N/A</v>
      </c>
      <c r="I169" s="22" t="str">
        <f>VLOOKUP(G169,[1]CHILDCARE_FACILITIES!AK:AL,2,0)</f>
        <v>CDC11675</v>
      </c>
      <c r="J169" s="22" t="e">
        <f>VLOOKUP(I169,'[1]Head Start QF 1-5 Stars'!O:Q,3,0)</f>
        <v>#N/A</v>
      </c>
      <c r="K169" s="23" t="s">
        <v>18741</v>
      </c>
      <c r="L169" s="22" t="s">
        <v>1412</v>
      </c>
      <c r="M169" s="22" t="s">
        <v>1637</v>
      </c>
      <c r="N169" s="22" t="s">
        <v>495</v>
      </c>
      <c r="O169" s="23" t="s">
        <v>207</v>
      </c>
      <c r="P169" s="22" t="str">
        <f>"85029"</f>
        <v>85029</v>
      </c>
      <c r="Q169" s="22" t="str">
        <f>"5130"</f>
        <v>5130</v>
      </c>
      <c r="R169" s="22" t="s">
        <v>18710</v>
      </c>
      <c r="S169" s="23" t="s">
        <v>19033</v>
      </c>
      <c r="T169" s="22" t="s">
        <v>18746</v>
      </c>
      <c r="U169" s="22" t="s">
        <v>18964</v>
      </c>
      <c r="V169" s="22" t="s">
        <v>18714</v>
      </c>
      <c r="W169" s="22" t="s">
        <v>18714</v>
      </c>
      <c r="X169" s="22" t="s">
        <v>18714</v>
      </c>
      <c r="Y169" s="23">
        <v>62</v>
      </c>
      <c r="Z169" s="22" t="s">
        <v>18723</v>
      </c>
    </row>
    <row r="170" spans="1:26" x14ac:dyDescent="0.2">
      <c r="A170" s="23" t="s">
        <v>18741</v>
      </c>
      <c r="B170" s="22" t="s">
        <v>18742</v>
      </c>
      <c r="C170" s="23" t="str">
        <f>"000"</f>
        <v>000</v>
      </c>
      <c r="D170" s="23" t="s">
        <v>18718</v>
      </c>
      <c r="E170" s="22" t="s">
        <v>18743</v>
      </c>
      <c r="F170" s="22" t="s">
        <v>1239</v>
      </c>
      <c r="G170" s="22" t="str">
        <f>VLOOKUP(F170,[1]CHILDCARE_FACILITIES!N:Q,4,0)</f>
        <v>CDC-6526</v>
      </c>
      <c r="H170" s="22" t="e">
        <f>VLOOKUP(G170,'[1]CACFP FRL'!D:G,4,0)</f>
        <v>#N/A</v>
      </c>
      <c r="I170" s="22" t="str">
        <f>VLOOKUP(G170,[1]CHILDCARE_FACILITIES!AK:AL,2,0)</f>
        <v>CDC6526</v>
      </c>
      <c r="J170" s="22">
        <f>VLOOKUP(I170,'[1]Head Start QF 1-5 Stars'!O:Q,3,0)</f>
        <v>2301</v>
      </c>
      <c r="K170" s="23" t="s">
        <v>18741</v>
      </c>
      <c r="L170" s="22" t="s">
        <v>19132</v>
      </c>
      <c r="M170" s="22" t="s">
        <v>1637</v>
      </c>
      <c r="N170" s="22" t="s">
        <v>495</v>
      </c>
      <c r="O170" s="23" t="s">
        <v>207</v>
      </c>
      <c r="P170" s="22" t="str">
        <f>"85017"</f>
        <v>85017</v>
      </c>
      <c r="Q170" s="22" t="str">
        <f>"1055"</f>
        <v>1055</v>
      </c>
      <c r="R170" s="22" t="s">
        <v>18710</v>
      </c>
      <c r="S170" s="23" t="s">
        <v>18737</v>
      </c>
      <c r="T170" s="22" t="s">
        <v>18746</v>
      </c>
      <c r="U170" s="22" t="s">
        <v>18964</v>
      </c>
      <c r="V170" s="22" t="s">
        <v>18714</v>
      </c>
      <c r="W170" s="22" t="s">
        <v>18714</v>
      </c>
      <c r="X170" s="22" t="s">
        <v>18714</v>
      </c>
      <c r="Y170" s="23">
        <v>51</v>
      </c>
      <c r="Z170" s="22" t="s">
        <v>18723</v>
      </c>
    </row>
    <row r="171" spans="1:26" hidden="1" x14ac:dyDescent="0.2">
      <c r="A171" s="23" t="s">
        <v>18724</v>
      </c>
      <c r="B171" s="22" t="s">
        <v>18705</v>
      </c>
      <c r="C171" s="23" t="str">
        <f>"200"</f>
        <v>200</v>
      </c>
      <c r="D171" s="23" t="s">
        <v>18706</v>
      </c>
      <c r="E171" s="22" t="s">
        <v>18705</v>
      </c>
      <c r="F171" s="22" t="s">
        <v>19133</v>
      </c>
      <c r="G171" s="22" t="str">
        <f>VLOOKUP(F171,[1]CHILDCARE_FACILITIES!N:Q,4,0)</f>
        <v>CDC-8108</v>
      </c>
      <c r="H171" s="22" t="e">
        <f>VLOOKUP(G171,'[1]CACFP FRL'!D:G,4,0)</f>
        <v>#N/A</v>
      </c>
      <c r="I171" s="22" t="str">
        <f>VLOOKUP(G171,[1]CHILDCARE_FACILITIES!AK:AL,2,0)</f>
        <v>CDC8108</v>
      </c>
      <c r="J171" s="22" t="e">
        <f>VLOOKUP(I171,'[1]Head Start QF 1-5 Stars'!O:Q,3,0)</f>
        <v>#N/A</v>
      </c>
      <c r="K171" s="23" t="s">
        <v>18724</v>
      </c>
      <c r="L171" s="22" t="s">
        <v>19134</v>
      </c>
      <c r="M171" s="22" t="s">
        <v>1637</v>
      </c>
      <c r="N171" s="22" t="s">
        <v>18815</v>
      </c>
      <c r="O171" s="23" t="s">
        <v>207</v>
      </c>
      <c r="P171" s="22" t="str">
        <f>"85378"</f>
        <v>85378</v>
      </c>
      <c r="Q171" s="22" t="str">
        <f>"4174"</f>
        <v>4174</v>
      </c>
      <c r="R171" s="22" t="s">
        <v>18710</v>
      </c>
      <c r="S171" s="23" t="s">
        <v>18751</v>
      </c>
      <c r="T171" s="22" t="s">
        <v>19135</v>
      </c>
      <c r="U171" s="22" t="s">
        <v>18713</v>
      </c>
      <c r="V171" s="22" t="s">
        <v>18714</v>
      </c>
      <c r="W171" s="22" t="s">
        <v>18714</v>
      </c>
      <c r="X171" s="22" t="s">
        <v>18714</v>
      </c>
      <c r="Y171" s="23">
        <v>24</v>
      </c>
      <c r="Z171" s="22" t="s">
        <v>18715</v>
      </c>
    </row>
    <row r="172" spans="1:26" hidden="1" x14ac:dyDescent="0.2">
      <c r="A172" s="23" t="s">
        <v>18796</v>
      </c>
      <c r="B172" s="22" t="s">
        <v>18705</v>
      </c>
      <c r="C172" s="23" t="str">
        <f>"200"</f>
        <v>200</v>
      </c>
      <c r="D172" s="23" t="s">
        <v>18706</v>
      </c>
      <c r="E172" s="22" t="s">
        <v>18797</v>
      </c>
      <c r="F172" s="22" t="s">
        <v>19136</v>
      </c>
      <c r="G172" s="22" t="str">
        <f>VLOOKUP(F172,[1]CHILDCARE_FACILITIES!N:Q,4,0)</f>
        <v>CDC-10137</v>
      </c>
      <c r="H172" s="22" t="e">
        <f>VLOOKUP(G172,'[1]CACFP FRL'!D:G,4,0)</f>
        <v>#N/A</v>
      </c>
      <c r="I172" s="22" t="str">
        <f>VLOOKUP(G172,[1]CHILDCARE_FACILITIES!AK:AL,2,0)</f>
        <v>CDC10137</v>
      </c>
      <c r="J172" s="22">
        <f>VLOOKUP(I172,'[1]Head Start QF 1-5 Stars'!O:Q,3,0)</f>
        <v>2991</v>
      </c>
      <c r="K172" s="23" t="s">
        <v>18796</v>
      </c>
      <c r="L172" s="22" t="s">
        <v>19137</v>
      </c>
      <c r="M172" s="22" t="s">
        <v>1637</v>
      </c>
      <c r="N172" s="22" t="s">
        <v>19138</v>
      </c>
      <c r="O172" s="23" t="s">
        <v>207</v>
      </c>
      <c r="P172" s="22" t="str">
        <f>"85283"</f>
        <v>85283</v>
      </c>
      <c r="Q172" s="22" t="str">
        <f>"2529"</f>
        <v>2529</v>
      </c>
      <c r="R172" s="22" t="s">
        <v>18710</v>
      </c>
      <c r="S172" s="23" t="s">
        <v>18737</v>
      </c>
      <c r="T172" s="22" t="s">
        <v>19139</v>
      </c>
      <c r="U172" s="22" t="s">
        <v>18713</v>
      </c>
      <c r="V172" s="22" t="s">
        <v>18714</v>
      </c>
      <c r="W172" s="22" t="s">
        <v>18714</v>
      </c>
      <c r="X172" s="22" t="s">
        <v>18714</v>
      </c>
      <c r="Y172" s="23">
        <v>20</v>
      </c>
      <c r="Z172" s="22" t="s">
        <v>18723</v>
      </c>
    </row>
    <row r="173" spans="1:26" x14ac:dyDescent="0.2">
      <c r="A173" s="23" t="s">
        <v>18741</v>
      </c>
      <c r="B173" s="22" t="s">
        <v>18742</v>
      </c>
      <c r="C173" s="23" t="str">
        <f>"000"</f>
        <v>000</v>
      </c>
      <c r="D173" s="23" t="s">
        <v>18718</v>
      </c>
      <c r="E173" s="22" t="s">
        <v>18743</v>
      </c>
      <c r="F173" s="22" t="s">
        <v>19140</v>
      </c>
      <c r="G173" s="22" t="str">
        <f>VLOOKUP(F173,[1]CHILDCARE_FACILITIES!N:Q,4,0)</f>
        <v>CDC-17068</v>
      </c>
      <c r="H173" s="22" t="e">
        <f>VLOOKUP(G173,'[1]CACFP FRL'!D:G,4,0)</f>
        <v>#N/A</v>
      </c>
      <c r="I173" s="22" t="str">
        <f>VLOOKUP(G173,[1]CHILDCARE_FACILITIES!AK:AL,2,0)</f>
        <v>CDC17068</v>
      </c>
      <c r="J173" s="22">
        <f>VLOOKUP(I173,'[1]Head Start QF 1-5 Stars'!O:Q,3,0)</f>
        <v>2755</v>
      </c>
      <c r="K173" s="23" t="s">
        <v>18741</v>
      </c>
      <c r="L173" s="22" t="s">
        <v>591</v>
      </c>
      <c r="M173" s="22" t="s">
        <v>1637</v>
      </c>
      <c r="N173" s="22" t="s">
        <v>495</v>
      </c>
      <c r="O173" s="23" t="s">
        <v>207</v>
      </c>
      <c r="P173" s="22" t="str">
        <f>"85009"</f>
        <v>85009</v>
      </c>
      <c r="Q173" s="22" t="str">
        <f>"1304"</f>
        <v>1304</v>
      </c>
      <c r="R173" s="22" t="s">
        <v>18710</v>
      </c>
      <c r="S173" s="23" t="s">
        <v>18737</v>
      </c>
      <c r="T173" s="22" t="s">
        <v>18746</v>
      </c>
      <c r="U173" s="22" t="s">
        <v>18964</v>
      </c>
      <c r="V173" s="22" t="s">
        <v>18714</v>
      </c>
      <c r="W173" s="22" t="s">
        <v>18714</v>
      </c>
      <c r="X173" s="22" t="s">
        <v>18714</v>
      </c>
      <c r="Y173" s="23">
        <v>40</v>
      </c>
      <c r="Z173" s="22" t="s">
        <v>18723</v>
      </c>
    </row>
    <row r="174" spans="1:26" x14ac:dyDescent="0.2">
      <c r="A174" s="24" t="s">
        <v>18741</v>
      </c>
      <c r="B174" s="25" t="s">
        <v>18742</v>
      </c>
      <c r="C174" s="24" t="str">
        <f>"000"</f>
        <v>000</v>
      </c>
      <c r="D174" s="24" t="s">
        <v>18718</v>
      </c>
      <c r="E174" s="25" t="s">
        <v>18743</v>
      </c>
      <c r="F174" s="25" t="s">
        <v>19141</v>
      </c>
      <c r="G174" s="25" t="e">
        <f>VLOOKUP(F174,[1]CHILDCARE_FACILITIES!N:Q,4,0)</f>
        <v>#N/A</v>
      </c>
      <c r="H174" s="25" t="e">
        <f>VLOOKUP(G174,'[1]CACFP FRL'!D:G,4,0)</f>
        <v>#N/A</v>
      </c>
      <c r="I174" s="25" t="e">
        <f>VLOOKUP(G174,[1]CHILDCARE_FACILITIES!AK:AL,2,0)</f>
        <v>#N/A</v>
      </c>
      <c r="J174" s="25" t="e">
        <f>VLOOKUP(I174,'[1]Head Start QF 1-5 Stars'!O:Q,3,0)</f>
        <v>#N/A</v>
      </c>
      <c r="K174" s="24" t="s">
        <v>18741</v>
      </c>
      <c r="L174" s="25" t="s">
        <v>19142</v>
      </c>
      <c r="M174" s="25" t="s">
        <v>1637</v>
      </c>
      <c r="N174" s="25" t="s">
        <v>495</v>
      </c>
      <c r="O174" s="24" t="s">
        <v>207</v>
      </c>
      <c r="P174" s="25" t="str">
        <f>"85035"</f>
        <v>85035</v>
      </c>
      <c r="Q174" s="25" t="str">
        <f>"3424"</f>
        <v>3424</v>
      </c>
      <c r="R174" s="25" t="s">
        <v>18710</v>
      </c>
      <c r="S174" s="24" t="s">
        <v>18737</v>
      </c>
      <c r="T174" s="25" t="s">
        <v>18746</v>
      </c>
      <c r="U174" s="25" t="s">
        <v>18964</v>
      </c>
      <c r="V174" s="25" t="s">
        <v>18714</v>
      </c>
      <c r="W174" s="25" t="s">
        <v>18714</v>
      </c>
      <c r="X174" s="25" t="s">
        <v>18714</v>
      </c>
      <c r="Y174" s="24">
        <v>30</v>
      </c>
      <c r="Z174" s="25" t="s">
        <v>18723</v>
      </c>
    </row>
    <row r="175" spans="1:26" hidden="1" x14ac:dyDescent="0.2">
      <c r="A175" s="23" t="s">
        <v>18892</v>
      </c>
      <c r="B175" s="22" t="s">
        <v>18886</v>
      </c>
      <c r="C175" s="23" t="str">
        <f>"200"</f>
        <v>200</v>
      </c>
      <c r="D175" s="23" t="s">
        <v>18706</v>
      </c>
      <c r="E175" s="22" t="s">
        <v>18886</v>
      </c>
      <c r="F175" s="22" t="s">
        <v>1093</v>
      </c>
      <c r="G175" s="22" t="str">
        <f>VLOOKUP(F175,[1]CHILDCARE_FACILITIES!N:Q,4,0)</f>
        <v>CDC-4596</v>
      </c>
      <c r="H175" s="22">
        <f>VLOOKUP(G175,'[1]CACFP FRL'!D:G,4,0)</f>
        <v>10196</v>
      </c>
      <c r="I175" s="22" t="str">
        <f>VLOOKUP(G175,[1]CHILDCARE_FACILITIES!AK:AL,2,0)</f>
        <v>CDC4596</v>
      </c>
      <c r="J175" s="22" t="e">
        <f>VLOOKUP(I175,'[1]Head Start QF 1-5 Stars'!O:Q,3,0)</f>
        <v>#N/A</v>
      </c>
      <c r="K175" s="23" t="s">
        <v>18892</v>
      </c>
      <c r="L175" s="22" t="s">
        <v>19143</v>
      </c>
      <c r="M175" s="22" t="s">
        <v>1637</v>
      </c>
      <c r="N175" s="22" t="s">
        <v>496</v>
      </c>
      <c r="O175" s="23" t="s">
        <v>207</v>
      </c>
      <c r="P175" s="22" t="str">
        <f>"85365"</f>
        <v>85365</v>
      </c>
      <c r="Q175" s="22" t="str">
        <f>"2425"</f>
        <v>2425</v>
      </c>
      <c r="R175" s="22" t="s">
        <v>18809</v>
      </c>
      <c r="S175" s="23" t="s">
        <v>18721</v>
      </c>
      <c r="T175" s="22" t="s">
        <v>19144</v>
      </c>
      <c r="U175" s="22" t="s">
        <v>18713</v>
      </c>
      <c r="V175" s="22" t="s">
        <v>18714</v>
      </c>
      <c r="W175" s="22" t="s">
        <v>18714</v>
      </c>
      <c r="X175" s="22" t="s">
        <v>18714</v>
      </c>
      <c r="Y175" s="23">
        <v>28</v>
      </c>
      <c r="Z175" s="22" t="s">
        <v>18723</v>
      </c>
    </row>
    <row r="176" spans="1:26" x14ac:dyDescent="0.2">
      <c r="A176" s="23" t="s">
        <v>18741</v>
      </c>
      <c r="B176" s="22" t="s">
        <v>18742</v>
      </c>
      <c r="C176" s="23" t="str">
        <f t="shared" ref="C176:C181" si="8">"000"</f>
        <v>000</v>
      </c>
      <c r="D176" s="23" t="s">
        <v>18718</v>
      </c>
      <c r="E176" s="22" t="s">
        <v>18743</v>
      </c>
      <c r="F176" s="22" t="s">
        <v>19145</v>
      </c>
      <c r="G176" s="22" t="str">
        <f>VLOOKUP(F176,[1]CHILDCARE_FACILITIES!N:Q,4,0)</f>
        <v>CDC-17419</v>
      </c>
      <c r="H176" s="22" t="e">
        <f>VLOOKUP(G176,'[1]CACFP FRL'!D:G,4,0)</f>
        <v>#N/A</v>
      </c>
      <c r="I176" s="22" t="str">
        <f>VLOOKUP(G176,[1]CHILDCARE_FACILITIES!AK:AL,2,0)</f>
        <v>CDC17419</v>
      </c>
      <c r="J176" s="22">
        <f>VLOOKUP(I176,'[1]Head Start QF 1-5 Stars'!O:Q,3,0)</f>
        <v>2588</v>
      </c>
      <c r="K176" s="23" t="s">
        <v>18741</v>
      </c>
      <c r="L176" s="22" t="s">
        <v>19146</v>
      </c>
      <c r="M176" s="22" t="s">
        <v>1637</v>
      </c>
      <c r="N176" s="22" t="s">
        <v>495</v>
      </c>
      <c r="O176" s="23" t="s">
        <v>207</v>
      </c>
      <c r="P176" s="22" t="str">
        <f>"85051"</f>
        <v>85051</v>
      </c>
      <c r="Q176" s="22" t="str">
        <f>"6417"</f>
        <v>6417</v>
      </c>
      <c r="R176" s="22" t="s">
        <v>18710</v>
      </c>
      <c r="S176" s="23" t="s">
        <v>19033</v>
      </c>
      <c r="T176" s="22" t="s">
        <v>18746</v>
      </c>
      <c r="U176" s="22" t="s">
        <v>18964</v>
      </c>
      <c r="V176" s="22" t="s">
        <v>18714</v>
      </c>
      <c r="W176" s="22" t="s">
        <v>18714</v>
      </c>
      <c r="X176" s="22" t="s">
        <v>18714</v>
      </c>
      <c r="Y176" s="23">
        <v>19</v>
      </c>
      <c r="Z176" s="22" t="s">
        <v>18723</v>
      </c>
    </row>
    <row r="177" spans="1:26" s="25" customFormat="1" x14ac:dyDescent="0.2">
      <c r="A177" s="23" t="s">
        <v>18741</v>
      </c>
      <c r="B177" s="22" t="s">
        <v>18742</v>
      </c>
      <c r="C177" s="23" t="str">
        <f t="shared" si="8"/>
        <v>000</v>
      </c>
      <c r="D177" s="23" t="s">
        <v>18718</v>
      </c>
      <c r="E177" s="22" t="s">
        <v>18743</v>
      </c>
      <c r="F177" s="22" t="s">
        <v>19147</v>
      </c>
      <c r="G177" s="22" t="str">
        <f>VLOOKUP(F177,[1]CHILDCARE_FACILITIES!N:Q,4,0)</f>
        <v>CDC-15084</v>
      </c>
      <c r="H177" s="22" t="e">
        <f>VLOOKUP(G177,'[1]CACFP FRL'!D:G,4,0)</f>
        <v>#N/A</v>
      </c>
      <c r="I177" s="22" t="str">
        <f>VLOOKUP(G177,[1]CHILDCARE_FACILITIES!AK:AL,2,0)</f>
        <v>CDC15084</v>
      </c>
      <c r="J177" s="22">
        <f>VLOOKUP(I177,'[1]Head Start QF 1-5 Stars'!O:Q,3,0)</f>
        <v>1362</v>
      </c>
      <c r="K177" s="23" t="s">
        <v>18741</v>
      </c>
      <c r="L177" s="22" t="s">
        <v>19148</v>
      </c>
      <c r="M177" s="22" t="s">
        <v>1637</v>
      </c>
      <c r="N177" s="22" t="s">
        <v>495</v>
      </c>
      <c r="O177" s="23" t="s">
        <v>207</v>
      </c>
      <c r="P177" s="22" t="str">
        <f>"85037"</f>
        <v>85037</v>
      </c>
      <c r="Q177" s="22" t="str">
        <f>"2369"</f>
        <v>2369</v>
      </c>
      <c r="R177" s="22" t="s">
        <v>18710</v>
      </c>
      <c r="S177" s="23" t="s">
        <v>18721</v>
      </c>
      <c r="T177" s="22" t="s">
        <v>18746</v>
      </c>
      <c r="U177" s="22" t="s">
        <v>18964</v>
      </c>
      <c r="V177" s="22" t="s">
        <v>18714</v>
      </c>
      <c r="W177" s="22" t="s">
        <v>18714</v>
      </c>
      <c r="X177" s="22" t="s">
        <v>18714</v>
      </c>
      <c r="Y177" s="23">
        <v>90</v>
      </c>
      <c r="Z177" s="22" t="s">
        <v>18723</v>
      </c>
    </row>
    <row r="178" spans="1:26" x14ac:dyDescent="0.2">
      <c r="A178" s="23" t="s">
        <v>18741</v>
      </c>
      <c r="B178" s="22" t="s">
        <v>18742</v>
      </c>
      <c r="C178" s="23" t="str">
        <f t="shared" si="8"/>
        <v>000</v>
      </c>
      <c r="D178" s="23" t="s">
        <v>18718</v>
      </c>
      <c r="E178" s="22" t="s">
        <v>18743</v>
      </c>
      <c r="F178" s="22" t="s">
        <v>19149</v>
      </c>
      <c r="G178" s="22" t="str">
        <f>VLOOKUP(F178,[1]CHILDCARE_FACILITIES!N:Q,4,0)</f>
        <v>CDC-17065</v>
      </c>
      <c r="H178" s="22" t="e">
        <f>VLOOKUP(G178,'[1]CACFP FRL'!D:G,4,0)</f>
        <v>#N/A</v>
      </c>
      <c r="I178" s="22" t="str">
        <f>VLOOKUP(G178,[1]CHILDCARE_FACILITIES!AK:AL,2,0)</f>
        <v>CDC17065</v>
      </c>
      <c r="J178" s="22">
        <f>VLOOKUP(I178,'[1]Head Start QF 1-5 Stars'!O:Q,3,0)</f>
        <v>2726</v>
      </c>
      <c r="K178" s="23" t="s">
        <v>18741</v>
      </c>
      <c r="L178" s="22" t="s">
        <v>19150</v>
      </c>
      <c r="M178" s="22" t="s">
        <v>1637</v>
      </c>
      <c r="N178" s="22" t="s">
        <v>495</v>
      </c>
      <c r="O178" s="23" t="s">
        <v>207</v>
      </c>
      <c r="P178" s="22" t="str">
        <f>"85035"</f>
        <v>85035</v>
      </c>
      <c r="Q178" s="22" t="str">
        <f>"1335"</f>
        <v>1335</v>
      </c>
      <c r="R178" s="22" t="s">
        <v>18710</v>
      </c>
      <c r="S178" s="23" t="s">
        <v>18737</v>
      </c>
      <c r="T178" s="22" t="s">
        <v>18746</v>
      </c>
      <c r="U178" s="22" t="s">
        <v>18964</v>
      </c>
      <c r="V178" s="22" t="s">
        <v>18714</v>
      </c>
      <c r="W178" s="22" t="s">
        <v>18714</v>
      </c>
      <c r="X178" s="22" t="s">
        <v>18714</v>
      </c>
      <c r="Y178" s="23">
        <v>40</v>
      </c>
      <c r="Z178" s="22" t="s">
        <v>18723</v>
      </c>
    </row>
    <row r="179" spans="1:26" s="25" customFormat="1" x14ac:dyDescent="0.2">
      <c r="A179" s="23" t="s">
        <v>18741</v>
      </c>
      <c r="B179" s="22" t="s">
        <v>18742</v>
      </c>
      <c r="C179" s="23" t="str">
        <f t="shared" si="8"/>
        <v>000</v>
      </c>
      <c r="D179" s="23" t="s">
        <v>18718</v>
      </c>
      <c r="E179" s="22" t="s">
        <v>18743</v>
      </c>
      <c r="F179" s="22" t="s">
        <v>18988</v>
      </c>
      <c r="G179" s="22" t="str">
        <f>VLOOKUP(F179,[1]CHILDCARE_FACILITIES!N:Q,4,0)</f>
        <v>CDC-3052</v>
      </c>
      <c r="H179" s="22">
        <f>VLOOKUP(G179,'[1]CACFP FRL'!D:G,4,0)</f>
        <v>9850</v>
      </c>
      <c r="I179" s="22" t="str">
        <f>VLOOKUP(G179,[1]CHILDCARE_FACILITIES!AK:AL,2,0)</f>
        <v>CDC3052</v>
      </c>
      <c r="J179" s="22" t="e">
        <f>VLOOKUP(I179,'[1]Head Start QF 1-5 Stars'!O:Q,3,0)</f>
        <v>#N/A</v>
      </c>
      <c r="K179" s="23" t="s">
        <v>18741</v>
      </c>
      <c r="L179" s="22" t="s">
        <v>593</v>
      </c>
      <c r="M179" s="22" t="s">
        <v>1637</v>
      </c>
      <c r="N179" s="22" t="s">
        <v>495</v>
      </c>
      <c r="O179" s="23" t="s">
        <v>207</v>
      </c>
      <c r="P179" s="22" t="str">
        <f>"85019"</f>
        <v>85019</v>
      </c>
      <c r="Q179" s="22" t="str">
        <f>"3998"</f>
        <v>3998</v>
      </c>
      <c r="R179" s="22" t="s">
        <v>18710</v>
      </c>
      <c r="S179" s="23" t="s">
        <v>18737</v>
      </c>
      <c r="T179" s="22" t="s">
        <v>18746</v>
      </c>
      <c r="U179" s="22" t="s">
        <v>18964</v>
      </c>
      <c r="V179" s="22" t="s">
        <v>18714</v>
      </c>
      <c r="W179" s="22" t="s">
        <v>18714</v>
      </c>
      <c r="X179" s="22" t="s">
        <v>18714</v>
      </c>
      <c r="Y179" s="23">
        <v>40</v>
      </c>
      <c r="Z179" s="22" t="s">
        <v>18723</v>
      </c>
    </row>
    <row r="180" spans="1:26" x14ac:dyDescent="0.2">
      <c r="A180" s="23" t="s">
        <v>18741</v>
      </c>
      <c r="B180" s="22" t="s">
        <v>18742</v>
      </c>
      <c r="C180" s="23" t="str">
        <f t="shared" si="8"/>
        <v>000</v>
      </c>
      <c r="D180" s="23" t="s">
        <v>18718</v>
      </c>
      <c r="E180" s="22" t="s">
        <v>18743</v>
      </c>
      <c r="F180" s="22" t="s">
        <v>1158</v>
      </c>
      <c r="G180" s="22" t="str">
        <f>VLOOKUP(F180,[1]CHILDCARE_FACILITIES!N:Q,4,0)</f>
        <v>CDC-6532</v>
      </c>
      <c r="H180" s="22" t="e">
        <f>VLOOKUP(G180,'[1]CACFP FRL'!D:G,4,0)</f>
        <v>#N/A</v>
      </c>
      <c r="I180" s="22" t="str">
        <f>VLOOKUP(G180,[1]CHILDCARE_FACILITIES!AK:AL,2,0)</f>
        <v>CDC6532</v>
      </c>
      <c r="J180" s="22">
        <f>VLOOKUP(I180,'[1]Head Start QF 1-5 Stars'!O:Q,3,0)</f>
        <v>2293</v>
      </c>
      <c r="K180" s="23" t="s">
        <v>18741</v>
      </c>
      <c r="L180" s="22" t="s">
        <v>1534</v>
      </c>
      <c r="M180" s="22" t="s">
        <v>1637</v>
      </c>
      <c r="N180" s="22" t="s">
        <v>495</v>
      </c>
      <c r="O180" s="23" t="s">
        <v>207</v>
      </c>
      <c r="P180" s="22" t="str">
        <f>"85021"</f>
        <v>85021</v>
      </c>
      <c r="Q180" s="22" t="str">
        <f>"4211"</f>
        <v>4211</v>
      </c>
      <c r="R180" s="22" t="s">
        <v>18710</v>
      </c>
      <c r="S180" s="23" t="s">
        <v>18711</v>
      </c>
      <c r="T180" s="22" t="s">
        <v>18746</v>
      </c>
      <c r="U180" s="22" t="s">
        <v>18964</v>
      </c>
      <c r="V180" s="22" t="s">
        <v>18714</v>
      </c>
      <c r="W180" s="22" t="s">
        <v>18714</v>
      </c>
      <c r="X180" s="22" t="s">
        <v>18714</v>
      </c>
      <c r="Y180" s="23">
        <v>50</v>
      </c>
      <c r="Z180" s="22" t="s">
        <v>18723</v>
      </c>
    </row>
    <row r="181" spans="1:26" ht="15" customHeight="1" x14ac:dyDescent="0.2">
      <c r="A181" s="23" t="s">
        <v>18741</v>
      </c>
      <c r="B181" s="22" t="s">
        <v>18742</v>
      </c>
      <c r="C181" s="23" t="str">
        <f t="shared" si="8"/>
        <v>000</v>
      </c>
      <c r="D181" s="23" t="s">
        <v>18718</v>
      </c>
      <c r="E181" s="22" t="s">
        <v>18743</v>
      </c>
      <c r="F181" s="22" t="s">
        <v>19151</v>
      </c>
      <c r="G181" s="22" t="str">
        <f>VLOOKUP(F181,[1]CHILDCARE_FACILITIES!N:Q,4,0)</f>
        <v>CDC-7314</v>
      </c>
      <c r="H181" s="22" t="e">
        <f>VLOOKUP(G181,'[1]CACFP FRL'!D:G,4,0)</f>
        <v>#N/A</v>
      </c>
      <c r="I181" s="22" t="str">
        <f>VLOOKUP(G181,[1]CHILDCARE_FACILITIES!AK:AL,2,0)</f>
        <v>CDC7314</v>
      </c>
      <c r="J181" s="22" t="e">
        <f>VLOOKUP(I181,'[1]Head Start QF 1-5 Stars'!O:Q,3,0)</f>
        <v>#N/A</v>
      </c>
      <c r="K181" s="23" t="s">
        <v>18741</v>
      </c>
      <c r="L181" s="22" t="s">
        <v>19152</v>
      </c>
      <c r="M181" s="22" t="s">
        <v>1637</v>
      </c>
      <c r="N181" s="22" t="s">
        <v>495</v>
      </c>
      <c r="O181" s="23" t="s">
        <v>207</v>
      </c>
      <c r="P181" s="22" t="str">
        <f>"85029"</f>
        <v>85029</v>
      </c>
      <c r="Q181" s="22" t="str">
        <f>"2209"</f>
        <v>2209</v>
      </c>
      <c r="R181" s="22" t="s">
        <v>18710</v>
      </c>
      <c r="S181" s="23" t="s">
        <v>19033</v>
      </c>
      <c r="T181" s="22" t="s">
        <v>18746</v>
      </c>
      <c r="U181" s="22" t="s">
        <v>18964</v>
      </c>
      <c r="V181" s="22" t="s">
        <v>18714</v>
      </c>
      <c r="W181" s="22" t="s">
        <v>18714</v>
      </c>
      <c r="X181" s="22" t="s">
        <v>18714</v>
      </c>
      <c r="Y181" s="23">
        <v>44</v>
      </c>
      <c r="Z181" s="22" t="s">
        <v>18723</v>
      </c>
    </row>
    <row r="182" spans="1:26" hidden="1" x14ac:dyDescent="0.2">
      <c r="A182" s="23" t="s">
        <v>18912</v>
      </c>
      <c r="B182" s="22" t="s">
        <v>18913</v>
      </c>
      <c r="C182" s="23" t="str">
        <f>"200"</f>
        <v>200</v>
      </c>
      <c r="D182" s="23" t="s">
        <v>18706</v>
      </c>
      <c r="E182" s="22" t="s">
        <v>18913</v>
      </c>
      <c r="F182" s="22" t="s">
        <v>19153</v>
      </c>
      <c r="G182" s="22" t="str">
        <f>VLOOKUP(F182,[1]CHILDCARE_FACILITIES!N:Q,4,0)</f>
        <v>CDC-1360</v>
      </c>
      <c r="H182" s="22" t="e">
        <f>VLOOKUP(G182,'[1]CACFP FRL'!D:G,4,0)</f>
        <v>#N/A</v>
      </c>
      <c r="I182" s="22" t="str">
        <f>VLOOKUP(G182,[1]CHILDCARE_FACILITIES!AK:AL,2,0)</f>
        <v>CDC1360</v>
      </c>
      <c r="J182" s="22" t="e">
        <f>VLOOKUP(I182,'[1]Head Start QF 1-5 Stars'!O:Q,3,0)</f>
        <v>#N/A</v>
      </c>
      <c r="K182" s="23" t="s">
        <v>18912</v>
      </c>
      <c r="L182" s="22" t="s">
        <v>19154</v>
      </c>
      <c r="M182" s="22" t="s">
        <v>1637</v>
      </c>
      <c r="N182" s="22" t="s">
        <v>19155</v>
      </c>
      <c r="O182" s="23" t="s">
        <v>207</v>
      </c>
      <c r="P182" s="22" t="str">
        <f>"86025"</f>
        <v>86025</v>
      </c>
      <c r="Q182" s="22" t="str">
        <f>"2823"</f>
        <v>2823</v>
      </c>
      <c r="R182" s="22" t="s">
        <v>19156</v>
      </c>
      <c r="S182" s="23" t="s">
        <v>18818</v>
      </c>
      <c r="T182" s="22" t="s">
        <v>19157</v>
      </c>
      <c r="U182" s="22" t="s">
        <v>18713</v>
      </c>
      <c r="V182" s="22" t="s">
        <v>18714</v>
      </c>
      <c r="W182" s="22" t="s">
        <v>18714</v>
      </c>
      <c r="X182" s="22" t="s">
        <v>18714</v>
      </c>
      <c r="Y182" s="23">
        <v>28</v>
      </c>
      <c r="Z182" s="22" t="s">
        <v>18723</v>
      </c>
    </row>
    <row r="183" spans="1:26" x14ac:dyDescent="0.2">
      <c r="A183" s="23" t="s">
        <v>18741</v>
      </c>
      <c r="B183" s="22" t="s">
        <v>18742</v>
      </c>
      <c r="C183" s="23" t="str">
        <f>"000"</f>
        <v>000</v>
      </c>
      <c r="D183" s="23" t="s">
        <v>18718</v>
      </c>
      <c r="E183" s="22" t="s">
        <v>18743</v>
      </c>
      <c r="F183" s="22" t="s">
        <v>19158</v>
      </c>
      <c r="G183" s="22" t="str">
        <f>VLOOKUP(F183,[1]CHILDCARE_FACILITIES!N:Q,4,0)</f>
        <v>CDC-14313</v>
      </c>
      <c r="H183" s="22" t="e">
        <f>VLOOKUP(G183,'[1]CACFP FRL'!D:G,4,0)</f>
        <v>#N/A</v>
      </c>
      <c r="I183" s="22" t="str">
        <f>VLOOKUP(G183,[1]CHILDCARE_FACILITIES!AK:AL,2,0)</f>
        <v>CDC14313</v>
      </c>
      <c r="J183" s="22">
        <f>VLOOKUP(I183,'[1]Head Start QF 1-5 Stars'!O:Q,3,0)</f>
        <v>2687</v>
      </c>
      <c r="K183" s="23" t="s">
        <v>18741</v>
      </c>
      <c r="L183" s="22" t="s">
        <v>18431</v>
      </c>
      <c r="M183" s="22" t="s">
        <v>1637</v>
      </c>
      <c r="N183" s="22" t="s">
        <v>495</v>
      </c>
      <c r="O183" s="23" t="s">
        <v>207</v>
      </c>
      <c r="P183" s="22" t="str">
        <f>"85019"</f>
        <v>85019</v>
      </c>
      <c r="Q183" s="22" t="str">
        <f>"2133"</f>
        <v>2133</v>
      </c>
      <c r="R183" s="22" t="s">
        <v>18710</v>
      </c>
      <c r="S183" s="23" t="s">
        <v>18737</v>
      </c>
      <c r="T183" s="22" t="s">
        <v>18746</v>
      </c>
      <c r="U183" s="22" t="s">
        <v>18964</v>
      </c>
      <c r="V183" s="22" t="s">
        <v>18714</v>
      </c>
      <c r="W183" s="22" t="s">
        <v>18714</v>
      </c>
      <c r="X183" s="22" t="s">
        <v>18714</v>
      </c>
      <c r="Y183" s="23">
        <v>64</v>
      </c>
      <c r="Z183" s="22" t="s">
        <v>18723</v>
      </c>
    </row>
    <row r="184" spans="1:26" s="25" customFormat="1" x14ac:dyDescent="0.2">
      <c r="A184" s="23" t="s">
        <v>18741</v>
      </c>
      <c r="B184" s="22" t="s">
        <v>18742</v>
      </c>
      <c r="C184" s="23" t="str">
        <f>"000"</f>
        <v>000</v>
      </c>
      <c r="D184" s="23" t="s">
        <v>18718</v>
      </c>
      <c r="E184" s="22" t="s">
        <v>18743</v>
      </c>
      <c r="F184" s="22" t="s">
        <v>1243</v>
      </c>
      <c r="G184" s="22" t="str">
        <f>VLOOKUP(F184,[1]CHILDCARE_FACILITIES!N:Q,4,0)</f>
        <v>CDC-6539</v>
      </c>
      <c r="H184" s="22" t="e">
        <f>VLOOKUP(G184,'[1]CACFP FRL'!D:G,4,0)</f>
        <v>#N/A</v>
      </c>
      <c r="I184" s="22" t="str">
        <f>VLOOKUP(G184,[1]CHILDCARE_FACILITIES!AK:AL,2,0)</f>
        <v>CDC6539</v>
      </c>
      <c r="J184" s="22">
        <f>VLOOKUP(I184,'[1]Head Start QF 1-5 Stars'!O:Q,3,0)</f>
        <v>1297</v>
      </c>
      <c r="K184" s="23" t="s">
        <v>18741</v>
      </c>
      <c r="L184" s="22" t="s">
        <v>19159</v>
      </c>
      <c r="M184" s="22" t="s">
        <v>1637</v>
      </c>
      <c r="N184" s="22" t="s">
        <v>495</v>
      </c>
      <c r="O184" s="23" t="s">
        <v>207</v>
      </c>
      <c r="P184" s="22" t="str">
        <f>"85029"</f>
        <v>85029</v>
      </c>
      <c r="Q184" s="22" t="str">
        <f>"2735"</f>
        <v>2735</v>
      </c>
      <c r="R184" s="22" t="s">
        <v>18710</v>
      </c>
      <c r="S184" s="23" t="s">
        <v>19033</v>
      </c>
      <c r="T184" s="22" t="s">
        <v>18746</v>
      </c>
      <c r="U184" s="22" t="s">
        <v>18964</v>
      </c>
      <c r="V184" s="22" t="s">
        <v>18714</v>
      </c>
      <c r="W184" s="22" t="s">
        <v>18714</v>
      </c>
      <c r="X184" s="22" t="s">
        <v>18714</v>
      </c>
      <c r="Y184" s="23">
        <v>36</v>
      </c>
      <c r="Z184" s="22" t="s">
        <v>18723</v>
      </c>
    </row>
    <row r="185" spans="1:26" s="25" customFormat="1" x14ac:dyDescent="0.2">
      <c r="A185" s="23" t="s">
        <v>18741</v>
      </c>
      <c r="B185" s="22" t="s">
        <v>18742</v>
      </c>
      <c r="C185" s="23" t="str">
        <f>"000"</f>
        <v>000</v>
      </c>
      <c r="D185" s="23" t="s">
        <v>18718</v>
      </c>
      <c r="E185" s="22" t="s">
        <v>18743</v>
      </c>
      <c r="F185" s="22" t="s">
        <v>19160</v>
      </c>
      <c r="G185" s="22" t="str">
        <f>VLOOKUP(F185,[1]CHILDCARE_FACILITIES!N:Q,4,0)</f>
        <v>CDC-18019</v>
      </c>
      <c r="H185" s="22" t="e">
        <f>VLOOKUP(G185,'[1]CACFP FRL'!D:G,4,0)</f>
        <v>#N/A</v>
      </c>
      <c r="I185" s="22" t="str">
        <f>VLOOKUP(G185,[1]CHILDCARE_FACILITIES!AK:AL,2,0)</f>
        <v>CDC18019</v>
      </c>
      <c r="J185" s="22">
        <f>VLOOKUP(I185,'[1]Head Start QF 1-5 Stars'!O:Q,3,0)</f>
        <v>2996</v>
      </c>
      <c r="K185" s="23" t="s">
        <v>18741</v>
      </c>
      <c r="L185" s="22" t="s">
        <v>19161</v>
      </c>
      <c r="M185" s="22" t="s">
        <v>1637</v>
      </c>
      <c r="N185" s="22" t="s">
        <v>495</v>
      </c>
      <c r="O185" s="23" t="s">
        <v>207</v>
      </c>
      <c r="P185" s="22" t="str">
        <f>"85041"</f>
        <v>85041</v>
      </c>
      <c r="Q185" s="22" t="str">
        <f>"8312"</f>
        <v>8312</v>
      </c>
      <c r="R185" s="22" t="s">
        <v>18710</v>
      </c>
      <c r="S185" s="23" t="s">
        <v>18737</v>
      </c>
      <c r="T185" s="22" t="s">
        <v>18746</v>
      </c>
      <c r="U185" s="22" t="s">
        <v>18964</v>
      </c>
      <c r="V185" s="22" t="s">
        <v>18714</v>
      </c>
      <c r="W185" s="22" t="s">
        <v>18714</v>
      </c>
      <c r="X185" s="22" t="s">
        <v>18714</v>
      </c>
      <c r="Y185" s="23">
        <v>51</v>
      </c>
      <c r="Z185" s="22" t="s">
        <v>18723</v>
      </c>
    </row>
    <row r="186" spans="1:26" x14ac:dyDescent="0.2">
      <c r="A186" s="23" t="s">
        <v>18741</v>
      </c>
      <c r="B186" s="22" t="s">
        <v>18742</v>
      </c>
      <c r="C186" s="23" t="str">
        <f>"000"</f>
        <v>000</v>
      </c>
      <c r="D186" s="23" t="s">
        <v>18718</v>
      </c>
      <c r="E186" s="22" t="s">
        <v>18743</v>
      </c>
      <c r="F186" s="22" t="s">
        <v>19162</v>
      </c>
      <c r="G186" s="22" t="str">
        <f>VLOOKUP(F186,[1]CHILDCARE_FACILITIES!N:Q,4,0)</f>
        <v>CDC-18002</v>
      </c>
      <c r="H186" s="22" t="e">
        <f>VLOOKUP(G186,'[1]CACFP FRL'!D:G,4,0)</f>
        <v>#N/A</v>
      </c>
      <c r="I186" s="22" t="str">
        <f>VLOOKUP(G186,[1]CHILDCARE_FACILITIES!AK:AL,2,0)</f>
        <v>CDC18002</v>
      </c>
      <c r="J186" s="22">
        <f>VLOOKUP(I186,'[1]Head Start QF 1-5 Stars'!O:Q,3,0)</f>
        <v>3017</v>
      </c>
      <c r="K186" s="23" t="s">
        <v>18741</v>
      </c>
      <c r="L186" s="22" t="s">
        <v>19163</v>
      </c>
      <c r="M186" s="22" t="s">
        <v>1637</v>
      </c>
      <c r="N186" s="22" t="s">
        <v>495</v>
      </c>
      <c r="O186" s="23" t="s">
        <v>207</v>
      </c>
      <c r="P186" s="22" t="str">
        <f>"85033"</f>
        <v>85033</v>
      </c>
      <c r="Q186" s="22" t="str">
        <f>"3521"</f>
        <v>3521</v>
      </c>
      <c r="R186" s="22" t="s">
        <v>18710</v>
      </c>
      <c r="S186" s="23" t="s">
        <v>18737</v>
      </c>
      <c r="T186" s="22" t="s">
        <v>18746</v>
      </c>
      <c r="U186" s="22" t="s">
        <v>18964</v>
      </c>
      <c r="V186" s="22" t="s">
        <v>18714</v>
      </c>
      <c r="W186" s="22" t="s">
        <v>18714</v>
      </c>
      <c r="X186" s="22" t="s">
        <v>18714</v>
      </c>
      <c r="Y186" s="23">
        <v>20</v>
      </c>
      <c r="Z186" s="22" t="s">
        <v>18723</v>
      </c>
    </row>
    <row r="187" spans="1:26" hidden="1" x14ac:dyDescent="0.2">
      <c r="A187" s="23" t="s">
        <v>18822</v>
      </c>
      <c r="B187" s="22" t="s">
        <v>18823</v>
      </c>
      <c r="C187" s="23" t="str">
        <f>"200"</f>
        <v>200</v>
      </c>
      <c r="D187" s="23" t="s">
        <v>18706</v>
      </c>
      <c r="E187" s="22" t="s">
        <v>18823</v>
      </c>
      <c r="F187" s="22" t="s">
        <v>19164</v>
      </c>
      <c r="G187" s="22" t="str">
        <f>VLOOKUP(F187,[1]CHILDCARE_FACILITIES!N:Q,4,0)</f>
        <v>CDC-5896</v>
      </c>
      <c r="H187" s="22">
        <f>VLOOKUP(G187,'[1]CACFP FRL'!D:G,4,0)</f>
        <v>84191</v>
      </c>
      <c r="I187" s="22" t="str">
        <f>VLOOKUP(G187,[1]CHILDCARE_FACILITIES!AK:AL,2,0)</f>
        <v>CDC5896</v>
      </c>
      <c r="J187" s="22" t="e">
        <f>VLOOKUP(I187,'[1]Head Start QF 1-5 Stars'!O:Q,3,0)</f>
        <v>#N/A</v>
      </c>
      <c r="K187" s="23" t="s">
        <v>18822</v>
      </c>
      <c r="L187" s="22" t="s">
        <v>18931</v>
      </c>
      <c r="M187" s="22" t="s">
        <v>1637</v>
      </c>
      <c r="N187" s="22" t="s">
        <v>764</v>
      </c>
      <c r="O187" s="23" t="s">
        <v>207</v>
      </c>
      <c r="P187" s="22" t="str">
        <f>"85705"</f>
        <v>85705</v>
      </c>
      <c r="Q187" s="22" t="str">
        <f>"2370"</f>
        <v>2370</v>
      </c>
      <c r="R187" s="22" t="s">
        <v>996</v>
      </c>
      <c r="S187" s="23" t="s">
        <v>18842</v>
      </c>
      <c r="T187" s="22" t="s">
        <v>18932</v>
      </c>
      <c r="U187" s="22" t="s">
        <v>18713</v>
      </c>
      <c r="V187" s="22" t="s">
        <v>18731</v>
      </c>
      <c r="W187" s="22" t="s">
        <v>18731</v>
      </c>
      <c r="X187" s="22" t="s">
        <v>18731</v>
      </c>
      <c r="Y187" s="23">
        <v>10</v>
      </c>
      <c r="Z187" s="22" t="s">
        <v>18723</v>
      </c>
    </row>
    <row r="188" spans="1:26" s="25" customFormat="1" x14ac:dyDescent="0.2">
      <c r="A188" s="23" t="s">
        <v>18741</v>
      </c>
      <c r="B188" s="22" t="s">
        <v>18742</v>
      </c>
      <c r="C188" s="23" t="str">
        <f>"000"</f>
        <v>000</v>
      </c>
      <c r="D188" s="23" t="s">
        <v>18718</v>
      </c>
      <c r="E188" s="22" t="s">
        <v>18743</v>
      </c>
      <c r="F188" s="22" t="s">
        <v>60</v>
      </c>
      <c r="G188" s="22" t="str">
        <f>VLOOKUP(F188,[1]CHILDCARE_FACILITIES!N:Q,4,0)</f>
        <v>CDC-11529</v>
      </c>
      <c r="H188" s="22" t="e">
        <f>VLOOKUP(G188,'[1]CACFP FRL'!D:G,4,0)</f>
        <v>#N/A</v>
      </c>
      <c r="I188" s="22" t="str">
        <f>VLOOKUP(G188,[1]CHILDCARE_FACILITIES!AK:AL,2,0)</f>
        <v>CDC11529</v>
      </c>
      <c r="J188" s="22">
        <f>VLOOKUP(I188,'[1]Head Start QF 1-5 Stars'!O:Q,3,0)</f>
        <v>1262</v>
      </c>
      <c r="K188" s="23" t="s">
        <v>18741</v>
      </c>
      <c r="L188" s="22" t="s">
        <v>19165</v>
      </c>
      <c r="M188" s="22" t="s">
        <v>1637</v>
      </c>
      <c r="N188" s="22" t="s">
        <v>495</v>
      </c>
      <c r="O188" s="23" t="s">
        <v>207</v>
      </c>
      <c r="P188" s="22" t="str">
        <f>"85009"</f>
        <v>85009</v>
      </c>
      <c r="Q188" s="22" t="str">
        <f>"4849"</f>
        <v>4849</v>
      </c>
      <c r="R188" s="22" t="s">
        <v>18710</v>
      </c>
      <c r="S188" s="23" t="s">
        <v>18737</v>
      </c>
      <c r="T188" s="22" t="s">
        <v>18746</v>
      </c>
      <c r="U188" s="22" t="s">
        <v>18964</v>
      </c>
      <c r="V188" s="22" t="s">
        <v>18714</v>
      </c>
      <c r="W188" s="22" t="s">
        <v>18714</v>
      </c>
      <c r="X188" s="22" t="s">
        <v>18714</v>
      </c>
      <c r="Y188" s="23">
        <v>20</v>
      </c>
      <c r="Z188" s="22" t="s">
        <v>18723</v>
      </c>
    </row>
    <row r="189" spans="1:26" s="25" customFormat="1" x14ac:dyDescent="0.2">
      <c r="A189" s="24" t="s">
        <v>18741</v>
      </c>
      <c r="B189" s="25" t="s">
        <v>18742</v>
      </c>
      <c r="C189" s="24" t="str">
        <f>"000"</f>
        <v>000</v>
      </c>
      <c r="D189" s="24" t="s">
        <v>18718</v>
      </c>
      <c r="E189" s="25" t="s">
        <v>18743</v>
      </c>
      <c r="F189" s="25" t="s">
        <v>19166</v>
      </c>
      <c r="G189" s="25" t="e">
        <f>VLOOKUP(F189,[1]CHILDCARE_FACILITIES!N:Q,4,0)</f>
        <v>#N/A</v>
      </c>
      <c r="H189" s="25" t="e">
        <f>VLOOKUP(G189,'[1]CACFP FRL'!D:G,4,0)</f>
        <v>#N/A</v>
      </c>
      <c r="I189" s="25" t="e">
        <f>VLOOKUP(G189,[1]CHILDCARE_FACILITIES!AK:AL,2,0)</f>
        <v>#N/A</v>
      </c>
      <c r="J189" s="25" t="e">
        <f>VLOOKUP(I189,'[1]Head Start QF 1-5 Stars'!O:Q,3,0)</f>
        <v>#N/A</v>
      </c>
      <c r="K189" s="24" t="s">
        <v>18741</v>
      </c>
      <c r="L189" s="25" t="s">
        <v>19159</v>
      </c>
      <c r="M189" s="25" t="s">
        <v>1637</v>
      </c>
      <c r="N189" s="25" t="s">
        <v>495</v>
      </c>
      <c r="O189" s="24" t="s">
        <v>207</v>
      </c>
      <c r="P189" s="25" t="str">
        <f>"85029"</f>
        <v>85029</v>
      </c>
      <c r="Q189" s="25" t="str">
        <f>"2735"</f>
        <v>2735</v>
      </c>
      <c r="R189" s="25" t="s">
        <v>18710</v>
      </c>
      <c r="S189" s="24" t="s">
        <v>19033</v>
      </c>
      <c r="T189" s="25" t="s">
        <v>18746</v>
      </c>
      <c r="U189" s="25" t="s">
        <v>18964</v>
      </c>
      <c r="V189" s="25" t="s">
        <v>18714</v>
      </c>
      <c r="W189" s="25" t="s">
        <v>18714</v>
      </c>
      <c r="X189" s="25" t="s">
        <v>18714</v>
      </c>
      <c r="Y189" s="24">
        <v>20</v>
      </c>
      <c r="Z189" s="25" t="s">
        <v>18723</v>
      </c>
    </row>
    <row r="190" spans="1:26" x14ac:dyDescent="0.2">
      <c r="A190" s="23" t="s">
        <v>18741</v>
      </c>
      <c r="B190" s="22" t="s">
        <v>18742</v>
      </c>
      <c r="C190" s="23" t="str">
        <f>"000"</f>
        <v>000</v>
      </c>
      <c r="D190" s="23" t="s">
        <v>18718</v>
      </c>
      <c r="E190" s="22" t="s">
        <v>18743</v>
      </c>
      <c r="F190" s="22" t="s">
        <v>19167</v>
      </c>
      <c r="G190" s="22" t="str">
        <f>VLOOKUP(F190,[1]CHILDCARE_FACILITIES!N:Q,4,0)</f>
        <v>CDC-13709</v>
      </c>
      <c r="H190" s="22" t="e">
        <f>VLOOKUP(G190,'[1]CACFP FRL'!D:G,4,0)</f>
        <v>#N/A</v>
      </c>
      <c r="I190" s="22" t="str">
        <f>VLOOKUP(G190,[1]CHILDCARE_FACILITIES!AK:AL,2,0)</f>
        <v>CDC13709</v>
      </c>
      <c r="J190" s="22" t="e">
        <f>VLOOKUP(I190,'[1]Head Start QF 1-5 Stars'!O:Q,3,0)</f>
        <v>#N/A</v>
      </c>
      <c r="K190" s="23" t="s">
        <v>18741</v>
      </c>
      <c r="L190" s="22" t="s">
        <v>19168</v>
      </c>
      <c r="M190" s="22" t="s">
        <v>1637</v>
      </c>
      <c r="N190" s="22" t="s">
        <v>495</v>
      </c>
      <c r="O190" s="23" t="s">
        <v>207</v>
      </c>
      <c r="P190" s="22" t="str">
        <f>"85020"</f>
        <v>85020</v>
      </c>
      <c r="Q190" s="22" t="str">
        <f>"2070"</f>
        <v>2070</v>
      </c>
      <c r="R190" s="22" t="s">
        <v>18710</v>
      </c>
      <c r="S190" s="23" t="s">
        <v>18711</v>
      </c>
      <c r="T190" s="22" t="s">
        <v>18746</v>
      </c>
      <c r="U190" s="22" t="s">
        <v>18964</v>
      </c>
      <c r="V190" s="22" t="s">
        <v>18714</v>
      </c>
      <c r="W190" s="22" t="s">
        <v>18714</v>
      </c>
      <c r="X190" s="22" t="s">
        <v>18714</v>
      </c>
      <c r="Y190" s="23">
        <v>20</v>
      </c>
      <c r="Z190" s="22" t="s">
        <v>18723</v>
      </c>
    </row>
    <row r="191" spans="1:26" hidden="1" x14ac:dyDescent="0.2">
      <c r="A191" s="23" t="s">
        <v>18892</v>
      </c>
      <c r="B191" s="22" t="s">
        <v>18886</v>
      </c>
      <c r="C191" s="23" t="str">
        <f>"200"</f>
        <v>200</v>
      </c>
      <c r="D191" s="23" t="s">
        <v>18706</v>
      </c>
      <c r="E191" s="22" t="s">
        <v>18886</v>
      </c>
      <c r="F191" s="22" t="s">
        <v>19169</v>
      </c>
      <c r="G191" s="22" t="str">
        <f>VLOOKUP(F191,[1]CHILDCARE_FACILITIES!N:Q,4,0)</f>
        <v>CDC-17070</v>
      </c>
      <c r="H191" s="22">
        <f>VLOOKUP(G191,'[1]CACFP FRL'!D:G,4,0)</f>
        <v>80574</v>
      </c>
      <c r="I191" s="22" t="str">
        <f>VLOOKUP(G191,[1]CHILDCARE_FACILITIES!AK:AL,2,0)</f>
        <v>CDC17070</v>
      </c>
      <c r="J191" s="22" t="e">
        <f>VLOOKUP(I191,'[1]Head Start QF 1-5 Stars'!O:Q,3,0)</f>
        <v>#N/A</v>
      </c>
      <c r="K191" s="23" t="s">
        <v>18892</v>
      </c>
      <c r="L191" s="22" t="s">
        <v>19170</v>
      </c>
      <c r="M191" s="22" t="s">
        <v>1637</v>
      </c>
      <c r="N191" s="22" t="s">
        <v>522</v>
      </c>
      <c r="O191" s="23" t="s">
        <v>207</v>
      </c>
      <c r="P191" s="22" t="str">
        <f>"86401"</f>
        <v>86401</v>
      </c>
      <c r="Q191" s="22" t="str">
        <f>"6174"</f>
        <v>6174</v>
      </c>
      <c r="R191" s="22" t="s">
        <v>18890</v>
      </c>
      <c r="S191" s="23" t="s">
        <v>18764</v>
      </c>
      <c r="T191" s="22" t="s">
        <v>19171</v>
      </c>
      <c r="U191" s="22" t="s">
        <v>18713</v>
      </c>
      <c r="V191" s="22" t="s">
        <v>18714</v>
      </c>
      <c r="W191" s="22" t="s">
        <v>18714</v>
      </c>
      <c r="X191" s="22" t="s">
        <v>18714</v>
      </c>
      <c r="Y191" s="23">
        <v>8</v>
      </c>
      <c r="Z191" s="22" t="s">
        <v>18723</v>
      </c>
    </row>
    <row r="192" spans="1:26" x14ac:dyDescent="0.2">
      <c r="A192" s="23" t="s">
        <v>18741</v>
      </c>
      <c r="B192" s="22" t="s">
        <v>18742</v>
      </c>
      <c r="C192" s="23" t="str">
        <f>"000"</f>
        <v>000</v>
      </c>
      <c r="D192" s="23" t="s">
        <v>18718</v>
      </c>
      <c r="E192" s="22" t="s">
        <v>18743</v>
      </c>
      <c r="F192" s="22" t="s">
        <v>19172</v>
      </c>
      <c r="G192" s="22" t="str">
        <f>VLOOKUP(F192,[1]CHILDCARE_FACILITIES!N:Q,4,0)</f>
        <v>CDC-12294</v>
      </c>
      <c r="H192" s="22" t="e">
        <f>VLOOKUP(G192,'[1]CACFP FRL'!D:G,4,0)</f>
        <v>#N/A</v>
      </c>
      <c r="I192" s="22" t="str">
        <f>VLOOKUP(G192,[1]CHILDCARE_FACILITIES!AK:AL,2,0)</f>
        <v>CDC12294</v>
      </c>
      <c r="J192" s="22">
        <f>VLOOKUP(I192,'[1]Head Start QF 1-5 Stars'!O:Q,3,0)</f>
        <v>2593</v>
      </c>
      <c r="K192" s="23" t="s">
        <v>18741</v>
      </c>
      <c r="L192" s="22" t="s">
        <v>19173</v>
      </c>
      <c r="M192" s="22" t="s">
        <v>1637</v>
      </c>
      <c r="N192" s="22" t="s">
        <v>495</v>
      </c>
      <c r="O192" s="23" t="s">
        <v>207</v>
      </c>
      <c r="P192" s="22" t="str">
        <f>"85043"</f>
        <v>85043</v>
      </c>
      <c r="Q192" s="22" t="str">
        <f>"2584"</f>
        <v>2584</v>
      </c>
      <c r="R192" s="22" t="s">
        <v>18710</v>
      </c>
      <c r="S192" s="23" t="s">
        <v>18737</v>
      </c>
      <c r="T192" s="22" t="s">
        <v>18746</v>
      </c>
      <c r="U192" s="22" t="s">
        <v>18964</v>
      </c>
      <c r="V192" s="22" t="s">
        <v>18714</v>
      </c>
      <c r="W192" s="22" t="s">
        <v>18714</v>
      </c>
      <c r="X192" s="22" t="s">
        <v>18714</v>
      </c>
      <c r="Y192" s="23">
        <v>20</v>
      </c>
      <c r="Z192" s="22" t="s">
        <v>18723</v>
      </c>
    </row>
    <row r="193" spans="1:26" x14ac:dyDescent="0.2">
      <c r="A193" s="23" t="s">
        <v>18741</v>
      </c>
      <c r="B193" s="22" t="s">
        <v>18742</v>
      </c>
      <c r="C193" s="23" t="str">
        <f>"000"</f>
        <v>000</v>
      </c>
      <c r="D193" s="23" t="s">
        <v>18718</v>
      </c>
      <c r="E193" s="22" t="s">
        <v>18743</v>
      </c>
      <c r="F193" s="22" t="s">
        <v>19174</v>
      </c>
      <c r="G193" s="22" t="str">
        <f>VLOOKUP(F193,[1]CHILDCARE_FACILITIES!N:Q,4,0)</f>
        <v>CDC-6425</v>
      </c>
      <c r="H193" s="22" t="e">
        <f>VLOOKUP(G193,'[1]CACFP FRL'!D:G,4,0)</f>
        <v>#N/A</v>
      </c>
      <c r="I193" s="22" t="str">
        <f>VLOOKUP(G193,[1]CHILDCARE_FACILITIES!AK:AL,2,0)</f>
        <v>CDC6425</v>
      </c>
      <c r="J193" s="22" t="e">
        <f>VLOOKUP(I193,'[1]Head Start QF 1-5 Stars'!O:Q,3,0)</f>
        <v>#N/A</v>
      </c>
      <c r="K193" s="23" t="s">
        <v>18741</v>
      </c>
      <c r="L193" s="22" t="s">
        <v>19175</v>
      </c>
      <c r="M193" s="22" t="s">
        <v>1637</v>
      </c>
      <c r="N193" s="22" t="s">
        <v>495</v>
      </c>
      <c r="O193" s="23" t="s">
        <v>207</v>
      </c>
      <c r="P193" s="22" t="str">
        <f>"85053"</f>
        <v>85053</v>
      </c>
      <c r="Q193" s="22" t="str">
        <f>"1935"</f>
        <v>1935</v>
      </c>
      <c r="R193" s="22" t="s">
        <v>18710</v>
      </c>
      <c r="S193" s="23" t="s">
        <v>19033</v>
      </c>
      <c r="T193" s="22" t="s">
        <v>18746</v>
      </c>
      <c r="U193" s="22" t="s">
        <v>18964</v>
      </c>
      <c r="V193" s="22" t="s">
        <v>18731</v>
      </c>
      <c r="W193" s="22" t="s">
        <v>18714</v>
      </c>
      <c r="X193" s="22" t="s">
        <v>18731</v>
      </c>
      <c r="Y193" s="23">
        <v>20</v>
      </c>
      <c r="Z193" s="22" t="s">
        <v>18723</v>
      </c>
    </row>
    <row r="194" spans="1:26" x14ac:dyDescent="0.2">
      <c r="A194" s="23" t="s">
        <v>18741</v>
      </c>
      <c r="B194" s="22" t="s">
        <v>18742</v>
      </c>
      <c r="C194" s="23" t="str">
        <f>"000"</f>
        <v>000</v>
      </c>
      <c r="D194" s="23" t="s">
        <v>18718</v>
      </c>
      <c r="E194" s="22" t="s">
        <v>18743</v>
      </c>
      <c r="F194" s="22" t="s">
        <v>19176</v>
      </c>
      <c r="G194" s="22" t="str">
        <f>VLOOKUP(F194,[1]CHILDCARE_FACILITIES!N:Q,4,0)</f>
        <v>CDC-1172</v>
      </c>
      <c r="H194" s="22" t="e">
        <f>VLOOKUP(G194,'[1]CACFP FRL'!D:G,4,0)</f>
        <v>#N/A</v>
      </c>
      <c r="I194" s="22" t="str">
        <f>VLOOKUP(G194,[1]CHILDCARE_FACILITIES!AK:AL,2,0)</f>
        <v>CDC1172</v>
      </c>
      <c r="J194" s="22">
        <f>VLOOKUP(I194,'[1]Head Start QF 1-5 Stars'!O:Q,3,0)</f>
        <v>874</v>
      </c>
      <c r="K194" s="23" t="s">
        <v>18741</v>
      </c>
      <c r="L194" s="22" t="s">
        <v>665</v>
      </c>
      <c r="M194" s="22" t="s">
        <v>1637</v>
      </c>
      <c r="N194" s="22" t="s">
        <v>495</v>
      </c>
      <c r="O194" s="23" t="s">
        <v>207</v>
      </c>
      <c r="P194" s="22" t="str">
        <f>"85042"</f>
        <v>85042</v>
      </c>
      <c r="Q194" s="22" t="str">
        <f>"5801"</f>
        <v>5801</v>
      </c>
      <c r="R194" s="22" t="s">
        <v>18710</v>
      </c>
      <c r="S194" s="23" t="s">
        <v>18737</v>
      </c>
      <c r="T194" s="22" t="s">
        <v>18746</v>
      </c>
      <c r="U194" s="22" t="s">
        <v>18964</v>
      </c>
      <c r="V194" s="22" t="s">
        <v>18714</v>
      </c>
      <c r="W194" s="22" t="s">
        <v>18714</v>
      </c>
      <c r="X194" s="22" t="s">
        <v>18714</v>
      </c>
      <c r="Y194" s="23">
        <v>31</v>
      </c>
      <c r="Z194" s="22" t="s">
        <v>18723</v>
      </c>
    </row>
    <row r="195" spans="1:26" hidden="1" x14ac:dyDescent="0.2">
      <c r="A195" s="23" t="s">
        <v>18716</v>
      </c>
      <c r="B195" s="22" t="s">
        <v>18717</v>
      </c>
      <c r="C195" s="23" t="str">
        <f>"200"</f>
        <v>200</v>
      </c>
      <c r="D195" s="23" t="s">
        <v>18706</v>
      </c>
      <c r="E195" s="22" t="s">
        <v>18717</v>
      </c>
      <c r="F195" s="22" t="s">
        <v>1071</v>
      </c>
      <c r="G195" s="22" t="str">
        <f>VLOOKUP(F195,[1]CHILDCARE_FACILITIES!N:Q,4,0)</f>
        <v>CDC-1935</v>
      </c>
      <c r="H195" s="22" t="e">
        <f>VLOOKUP(G195,'[1]CACFP FRL'!D:G,4,0)</f>
        <v>#N/A</v>
      </c>
      <c r="I195" s="22" t="str">
        <f>VLOOKUP(G195,[1]CHILDCARE_FACILITIES!AK:AL,2,0)</f>
        <v>CDC1935</v>
      </c>
      <c r="J195" s="22" t="e">
        <f>VLOOKUP(I195,'[1]Head Start QF 1-5 Stars'!O:Q,3,0)</f>
        <v>#N/A</v>
      </c>
      <c r="K195" s="23" t="s">
        <v>18716</v>
      </c>
      <c r="L195" s="22" t="s">
        <v>577</v>
      </c>
      <c r="M195" s="22" t="s">
        <v>1637</v>
      </c>
      <c r="N195" s="22" t="s">
        <v>379</v>
      </c>
      <c r="O195" s="23" t="s">
        <v>207</v>
      </c>
      <c r="P195" s="22" t="str">
        <f>"85301"</f>
        <v>85301</v>
      </c>
      <c r="Q195" s="22" t="str">
        <f>"3963"</f>
        <v>3963</v>
      </c>
      <c r="R195" s="22" t="s">
        <v>18710</v>
      </c>
      <c r="S195" s="23" t="s">
        <v>18737</v>
      </c>
      <c r="T195" s="22" t="s">
        <v>19177</v>
      </c>
      <c r="U195" s="22" t="s">
        <v>18713</v>
      </c>
      <c r="V195" s="22" t="s">
        <v>18731</v>
      </c>
      <c r="W195" s="22" t="s">
        <v>18731</v>
      </c>
      <c r="X195" s="22" t="s">
        <v>18731</v>
      </c>
      <c r="Y195" s="23">
        <v>8</v>
      </c>
      <c r="Z195" s="22" t="s">
        <v>18723</v>
      </c>
    </row>
    <row r="196" spans="1:26" x14ac:dyDescent="0.2">
      <c r="A196" s="23" t="s">
        <v>18741</v>
      </c>
      <c r="B196" s="22" t="s">
        <v>18742</v>
      </c>
      <c r="C196" s="23" t="str">
        <f>"000"</f>
        <v>000</v>
      </c>
      <c r="D196" s="23" t="s">
        <v>18718</v>
      </c>
      <c r="E196" s="22" t="s">
        <v>18743</v>
      </c>
      <c r="F196" s="22" t="s">
        <v>19178</v>
      </c>
      <c r="G196" s="22" t="str">
        <f>VLOOKUP(F196,[1]CHILDCARE_FACILITIES!N:Q,4,0)</f>
        <v>CDC-15540</v>
      </c>
      <c r="H196" s="22" t="e">
        <f>VLOOKUP(G196,'[1]CACFP FRL'!D:G,4,0)</f>
        <v>#N/A</v>
      </c>
      <c r="I196" s="22" t="str">
        <f>VLOOKUP(G196,[1]CHILDCARE_FACILITIES!AK:AL,2,0)</f>
        <v>CDC15540</v>
      </c>
      <c r="J196" s="22">
        <f>VLOOKUP(I196,'[1]Head Start QF 1-5 Stars'!O:Q,3,0)</f>
        <v>2756</v>
      </c>
      <c r="K196" s="23" t="s">
        <v>18741</v>
      </c>
      <c r="L196" s="22" t="s">
        <v>19179</v>
      </c>
      <c r="M196" s="22" t="s">
        <v>1637</v>
      </c>
      <c r="N196" s="22" t="s">
        <v>495</v>
      </c>
      <c r="O196" s="23" t="s">
        <v>207</v>
      </c>
      <c r="P196" s="22" t="str">
        <f>"85040"</f>
        <v>85040</v>
      </c>
      <c r="Q196" s="22" t="str">
        <f>"2150"</f>
        <v>2150</v>
      </c>
      <c r="R196" s="22" t="s">
        <v>18710</v>
      </c>
      <c r="S196" s="23" t="s">
        <v>18737</v>
      </c>
      <c r="T196" s="22" t="s">
        <v>18746</v>
      </c>
      <c r="U196" s="22" t="s">
        <v>18964</v>
      </c>
      <c r="V196" s="22" t="s">
        <v>18714</v>
      </c>
      <c r="W196" s="22" t="s">
        <v>18714</v>
      </c>
      <c r="X196" s="22" t="s">
        <v>18714</v>
      </c>
      <c r="Y196" s="23">
        <v>20</v>
      </c>
      <c r="Z196" s="22" t="s">
        <v>18723</v>
      </c>
    </row>
    <row r="197" spans="1:26" x14ac:dyDescent="0.2">
      <c r="A197" s="23" t="s">
        <v>18903</v>
      </c>
      <c r="B197" s="22" t="s">
        <v>18742</v>
      </c>
      <c r="C197" s="23" t="str">
        <f>"200"</f>
        <v>200</v>
      </c>
      <c r="D197" s="23" t="s">
        <v>18706</v>
      </c>
      <c r="E197" s="22" t="s">
        <v>18742</v>
      </c>
      <c r="F197" s="22" t="s">
        <v>19180</v>
      </c>
      <c r="G197" s="22" t="str">
        <f>VLOOKUP(F197,[1]CHILDCARE_FACILITIES!N:Q,4,0)</f>
        <v>CDC-17644</v>
      </c>
      <c r="H197" s="22">
        <f>VLOOKUP(G197,'[1]CACFP FRL'!D:G,4,0)</f>
        <v>92724</v>
      </c>
      <c r="I197" s="22" t="str">
        <f>VLOOKUP(G197,[1]CHILDCARE_FACILITIES!AK:AL,2,0)</f>
        <v>CDC17644</v>
      </c>
      <c r="J197" s="22" t="e">
        <f>VLOOKUP(I197,'[1]Head Start QF 1-5 Stars'!O:Q,3,0)</f>
        <v>#N/A</v>
      </c>
      <c r="K197" s="23" t="s">
        <v>18903</v>
      </c>
      <c r="L197" s="22" t="s">
        <v>19181</v>
      </c>
      <c r="M197" s="22" t="s">
        <v>1637</v>
      </c>
      <c r="N197" s="22" t="s">
        <v>495</v>
      </c>
      <c r="O197" s="23" t="s">
        <v>207</v>
      </c>
      <c r="P197" s="22" t="str">
        <f>"85015"</f>
        <v>85015</v>
      </c>
      <c r="Q197" s="22" t="str">
        <f>"3514"</f>
        <v>3514</v>
      </c>
      <c r="R197" s="22" t="s">
        <v>18710</v>
      </c>
      <c r="S197" s="23" t="s">
        <v>18737</v>
      </c>
      <c r="T197" s="22" t="s">
        <v>19182</v>
      </c>
      <c r="U197" s="22" t="s">
        <v>18713</v>
      </c>
      <c r="V197" s="22" t="s">
        <v>18714</v>
      </c>
      <c r="W197" s="22" t="s">
        <v>18714</v>
      </c>
      <c r="X197" s="22" t="s">
        <v>18714</v>
      </c>
      <c r="Y197" s="23">
        <v>32</v>
      </c>
      <c r="Z197" s="22" t="s">
        <v>18723</v>
      </c>
    </row>
    <row r="198" spans="1:26" s="25" customFormat="1" x14ac:dyDescent="0.2">
      <c r="A198" s="23" t="s">
        <v>18741</v>
      </c>
      <c r="B198" s="22" t="s">
        <v>18742</v>
      </c>
      <c r="C198" s="23" t="str">
        <f>"000"</f>
        <v>000</v>
      </c>
      <c r="D198" s="23" t="s">
        <v>18718</v>
      </c>
      <c r="E198" s="22" t="s">
        <v>18743</v>
      </c>
      <c r="F198" s="22" t="s">
        <v>19183</v>
      </c>
      <c r="G198" s="22" t="str">
        <f>VLOOKUP(F198,[1]CHILDCARE_FACILITIES!N:Q,4,0)</f>
        <v>CDC-17441</v>
      </c>
      <c r="H198" s="22" t="e">
        <f>VLOOKUP(G198,'[1]CACFP FRL'!D:G,4,0)</f>
        <v>#N/A</v>
      </c>
      <c r="I198" s="22" t="str">
        <f>VLOOKUP(G198,[1]CHILDCARE_FACILITIES!AK:AL,2,0)</f>
        <v>CDC17441</v>
      </c>
      <c r="J198" s="22">
        <f>VLOOKUP(I198,'[1]Head Start QF 1-5 Stars'!O:Q,3,0)</f>
        <v>2294</v>
      </c>
      <c r="K198" s="23" t="s">
        <v>18741</v>
      </c>
      <c r="L198" s="22" t="s">
        <v>19184</v>
      </c>
      <c r="M198" s="22" t="s">
        <v>1637</v>
      </c>
      <c r="N198" s="22" t="s">
        <v>495</v>
      </c>
      <c r="O198" s="23" t="s">
        <v>207</v>
      </c>
      <c r="P198" s="22" t="str">
        <f>"85029"</f>
        <v>85029</v>
      </c>
      <c r="Q198" s="22" t="str">
        <f>"3031"</f>
        <v>3031</v>
      </c>
      <c r="R198" s="22" t="s">
        <v>18710</v>
      </c>
      <c r="S198" s="23" t="s">
        <v>19033</v>
      </c>
      <c r="T198" s="22" t="s">
        <v>18746</v>
      </c>
      <c r="U198" s="22" t="s">
        <v>18964</v>
      </c>
      <c r="V198" s="22" t="s">
        <v>18714</v>
      </c>
      <c r="W198" s="22" t="s">
        <v>18714</v>
      </c>
      <c r="X198" s="22" t="s">
        <v>18714</v>
      </c>
      <c r="Y198" s="23">
        <v>20</v>
      </c>
      <c r="Z198" s="22" t="s">
        <v>18723</v>
      </c>
    </row>
    <row r="199" spans="1:26" x14ac:dyDescent="0.2">
      <c r="A199" s="23" t="s">
        <v>18741</v>
      </c>
      <c r="B199" s="22" t="s">
        <v>18742</v>
      </c>
      <c r="C199" s="23" t="str">
        <f>"000"</f>
        <v>000</v>
      </c>
      <c r="D199" s="23" t="s">
        <v>18718</v>
      </c>
      <c r="E199" s="22" t="s">
        <v>18743</v>
      </c>
      <c r="F199" s="22" t="s">
        <v>19185</v>
      </c>
      <c r="G199" s="22" t="str">
        <f>VLOOKUP(F199,[1]CHILDCARE_FACILITIES!N:Q,4,0)</f>
        <v>CDC-17371</v>
      </c>
      <c r="H199" s="22" t="e">
        <f>VLOOKUP(G199,'[1]CACFP FRL'!D:G,4,0)</f>
        <v>#N/A</v>
      </c>
      <c r="I199" s="22" t="str">
        <f>VLOOKUP(G199,[1]CHILDCARE_FACILITIES!AK:AL,2,0)</f>
        <v>CDC17371</v>
      </c>
      <c r="J199" s="22">
        <f>VLOOKUP(I199,'[1]Head Start QF 1-5 Stars'!O:Q,3,0)</f>
        <v>2591</v>
      </c>
      <c r="K199" s="23" t="s">
        <v>18741</v>
      </c>
      <c r="L199" s="22" t="s">
        <v>19186</v>
      </c>
      <c r="M199" s="22" t="s">
        <v>1637</v>
      </c>
      <c r="N199" s="22" t="s">
        <v>495</v>
      </c>
      <c r="O199" s="23" t="s">
        <v>207</v>
      </c>
      <c r="P199" s="22" t="str">
        <f>"85043"</f>
        <v>85043</v>
      </c>
      <c r="Q199" s="22" t="str">
        <f>"7504"</f>
        <v>7504</v>
      </c>
      <c r="R199" s="22" t="s">
        <v>18710</v>
      </c>
      <c r="S199" s="23" t="s">
        <v>18721</v>
      </c>
      <c r="T199" s="22" t="s">
        <v>19187</v>
      </c>
      <c r="U199" s="22" t="s">
        <v>18964</v>
      </c>
      <c r="V199" s="22" t="s">
        <v>18714</v>
      </c>
      <c r="W199" s="22" t="s">
        <v>18714</v>
      </c>
      <c r="X199" s="22" t="s">
        <v>18714</v>
      </c>
      <c r="Y199" s="23">
        <v>20</v>
      </c>
      <c r="Z199" s="22" t="s">
        <v>18723</v>
      </c>
    </row>
    <row r="200" spans="1:26" x14ac:dyDescent="0.2">
      <c r="A200" s="24" t="s">
        <v>18741</v>
      </c>
      <c r="B200" s="25" t="s">
        <v>18742</v>
      </c>
      <c r="C200" s="24" t="str">
        <f>"000"</f>
        <v>000</v>
      </c>
      <c r="D200" s="24" t="s">
        <v>18718</v>
      </c>
      <c r="E200" s="25" t="s">
        <v>18743</v>
      </c>
      <c r="F200" s="25" t="s">
        <v>19188</v>
      </c>
      <c r="G200" s="25" t="e">
        <f>VLOOKUP(F200,[1]CHILDCARE_FACILITIES!N:Q,4,0)</f>
        <v>#N/A</v>
      </c>
      <c r="H200" s="25" t="e">
        <f>VLOOKUP(G200,'[1]CACFP FRL'!D:G,4,0)</f>
        <v>#N/A</v>
      </c>
      <c r="I200" s="25" t="e">
        <f>VLOOKUP(G200,[1]CHILDCARE_FACILITIES!AK:AL,2,0)</f>
        <v>#N/A</v>
      </c>
      <c r="J200" s="25" t="e">
        <f>VLOOKUP(I200,'[1]Head Start QF 1-5 Stars'!O:Q,3,0)</f>
        <v>#N/A</v>
      </c>
      <c r="K200" s="24" t="s">
        <v>18741</v>
      </c>
      <c r="L200" s="25" t="s">
        <v>19189</v>
      </c>
      <c r="M200" s="25" t="s">
        <v>1637</v>
      </c>
      <c r="N200" s="25" t="s">
        <v>495</v>
      </c>
      <c r="O200" s="24" t="s">
        <v>207</v>
      </c>
      <c r="P200" s="25" t="str">
        <f>"85041"</f>
        <v>85041</v>
      </c>
      <c r="Q200" s="25" t="str">
        <f>"7920"</f>
        <v>7920</v>
      </c>
      <c r="R200" s="25" t="s">
        <v>18710</v>
      </c>
      <c r="S200" s="24" t="s">
        <v>18737</v>
      </c>
      <c r="T200" s="25" t="s">
        <v>19070</v>
      </c>
      <c r="U200" s="25" t="s">
        <v>18964</v>
      </c>
      <c r="V200" s="25" t="s">
        <v>18731</v>
      </c>
      <c r="W200" s="25" t="s">
        <v>18731</v>
      </c>
      <c r="X200" s="25" t="s">
        <v>18714</v>
      </c>
      <c r="Y200" s="24">
        <v>20</v>
      </c>
      <c r="Z200" s="25" t="s">
        <v>18723</v>
      </c>
    </row>
    <row r="201" spans="1:26" hidden="1" x14ac:dyDescent="0.2">
      <c r="A201" s="23" t="s">
        <v>18716</v>
      </c>
      <c r="B201" s="22" t="s">
        <v>18717</v>
      </c>
      <c r="C201" s="23" t="str">
        <f>"200"</f>
        <v>200</v>
      </c>
      <c r="D201" s="23" t="s">
        <v>18706</v>
      </c>
      <c r="E201" s="22" t="s">
        <v>18717</v>
      </c>
      <c r="F201" s="22" t="s">
        <v>18754</v>
      </c>
      <c r="G201" s="22" t="str">
        <f>VLOOKUP(F201,[1]CHILDCARE_FACILITIES!N:Q,4,0)</f>
        <v>CDC-5044</v>
      </c>
      <c r="H201" s="22" t="e">
        <f>VLOOKUP(G201,'[1]CACFP FRL'!D:G,4,0)</f>
        <v>#N/A</v>
      </c>
      <c r="I201" s="22" t="str">
        <f>VLOOKUP(G201,[1]CHILDCARE_FACILITIES!AK:AL,2,0)</f>
        <v>CDC5044</v>
      </c>
      <c r="J201" s="22" t="e">
        <f>VLOOKUP(I201,'[1]Head Start QF 1-5 Stars'!O:Q,3,0)</f>
        <v>#N/A</v>
      </c>
      <c r="K201" s="23" t="s">
        <v>18716</v>
      </c>
      <c r="L201" s="22" t="s">
        <v>568</v>
      </c>
      <c r="M201" s="22" t="s">
        <v>1637</v>
      </c>
      <c r="N201" s="22" t="s">
        <v>379</v>
      </c>
      <c r="O201" s="23" t="s">
        <v>207</v>
      </c>
      <c r="P201" s="22" t="str">
        <f>"85301"</f>
        <v>85301</v>
      </c>
      <c r="Q201" s="22" t="str">
        <f>"5541"</f>
        <v>5541</v>
      </c>
      <c r="R201" s="22" t="s">
        <v>18710</v>
      </c>
      <c r="S201" s="23" t="s">
        <v>18737</v>
      </c>
      <c r="T201" s="22" t="s">
        <v>18755</v>
      </c>
      <c r="U201" s="22" t="s">
        <v>18713</v>
      </c>
      <c r="V201" s="22" t="s">
        <v>18731</v>
      </c>
      <c r="W201" s="22" t="s">
        <v>18731</v>
      </c>
      <c r="X201" s="22" t="s">
        <v>18731</v>
      </c>
      <c r="Y201" s="23">
        <v>26</v>
      </c>
      <c r="Z201" s="22" t="s">
        <v>18723</v>
      </c>
    </row>
    <row r="202" spans="1:26" x14ac:dyDescent="0.2">
      <c r="A202" s="23" t="s">
        <v>18741</v>
      </c>
      <c r="B202" s="22" t="s">
        <v>18742</v>
      </c>
      <c r="C202" s="23" t="str">
        <f>"000"</f>
        <v>000</v>
      </c>
      <c r="D202" s="23" t="s">
        <v>18718</v>
      </c>
      <c r="E202" s="22" t="s">
        <v>18743</v>
      </c>
      <c r="F202" s="22" t="s">
        <v>19190</v>
      </c>
      <c r="G202" s="22" t="str">
        <f>VLOOKUP(F202,[1]CHILDCARE_FACILITIES!N:Q,4,0)</f>
        <v>CDC-4135</v>
      </c>
      <c r="H202" s="22" t="e">
        <f>VLOOKUP(G202,'[1]CACFP FRL'!D:G,4,0)</f>
        <v>#N/A</v>
      </c>
      <c r="I202" s="22" t="str">
        <f>VLOOKUP(G202,[1]CHILDCARE_FACILITIES!AK:AL,2,0)</f>
        <v>CDC4135</v>
      </c>
      <c r="J202" s="22">
        <f>VLOOKUP(I202,'[1]Head Start QF 1-5 Stars'!O:Q,3,0)</f>
        <v>2278</v>
      </c>
      <c r="K202" s="23" t="s">
        <v>18741</v>
      </c>
      <c r="L202" s="22" t="s">
        <v>19191</v>
      </c>
      <c r="M202" s="22" t="s">
        <v>1637</v>
      </c>
      <c r="N202" s="22" t="s">
        <v>495</v>
      </c>
      <c r="O202" s="23" t="s">
        <v>207</v>
      </c>
      <c r="P202" s="22" t="str">
        <f>"85023"</f>
        <v>85023</v>
      </c>
      <c r="Q202" s="22" t="str">
        <f>"2341"</f>
        <v>2341</v>
      </c>
      <c r="R202" s="22" t="s">
        <v>18710</v>
      </c>
      <c r="S202" s="23" t="s">
        <v>19033</v>
      </c>
      <c r="T202" s="22" t="s">
        <v>18746</v>
      </c>
      <c r="U202" s="22" t="s">
        <v>18964</v>
      </c>
      <c r="V202" s="22" t="s">
        <v>18731</v>
      </c>
      <c r="W202" s="22" t="s">
        <v>18714</v>
      </c>
      <c r="X202" s="22" t="s">
        <v>18731</v>
      </c>
      <c r="Y202" s="23">
        <v>40</v>
      </c>
      <c r="Z202" s="22" t="s">
        <v>18723</v>
      </c>
    </row>
    <row r="203" spans="1:26" x14ac:dyDescent="0.2">
      <c r="A203" s="23" t="s">
        <v>19121</v>
      </c>
      <c r="B203" s="22" t="s">
        <v>18960</v>
      </c>
      <c r="C203" s="23" t="str">
        <f>"200"</f>
        <v>200</v>
      </c>
      <c r="D203" s="23" t="s">
        <v>19122</v>
      </c>
      <c r="E203" s="22" t="s">
        <v>19123</v>
      </c>
      <c r="F203" s="22" t="s">
        <v>19192</v>
      </c>
      <c r="G203" s="22" t="str">
        <f>VLOOKUP(F203,[1]CHILDCARE_FACILITIES!N:Q,4,0)</f>
        <v>CDC-14047</v>
      </c>
      <c r="H203" s="22">
        <f>VLOOKUP(G203,'[1]CACFP FRL'!D:G,4,0)</f>
        <v>90465</v>
      </c>
      <c r="I203" s="22" t="str">
        <f>VLOOKUP(G203,[1]CHILDCARE_FACILITIES!AK:AL,2,0)</f>
        <v>CDC14047</v>
      </c>
      <c r="J203" s="22">
        <f>VLOOKUP(I203,'[1]Head Start QF 1-5 Stars'!O:Q,3,0)</f>
        <v>933</v>
      </c>
      <c r="K203" s="23" t="s">
        <v>19121</v>
      </c>
      <c r="L203" s="22" t="s">
        <v>19193</v>
      </c>
      <c r="M203" s="22" t="s">
        <v>1637</v>
      </c>
      <c r="N203" s="22" t="s">
        <v>496</v>
      </c>
      <c r="O203" s="23" t="s">
        <v>207</v>
      </c>
      <c r="P203" s="22" t="str">
        <f>"85364"</f>
        <v>85364</v>
      </c>
      <c r="Q203" s="22" t="str">
        <f>"3107"</f>
        <v>3107</v>
      </c>
      <c r="R203" s="22" t="s">
        <v>18809</v>
      </c>
      <c r="S203" s="23" t="s">
        <v>18721</v>
      </c>
      <c r="T203" s="22" t="s">
        <v>19194</v>
      </c>
      <c r="U203" s="22" t="s">
        <v>18713</v>
      </c>
      <c r="V203" s="22" t="s">
        <v>18714</v>
      </c>
      <c r="W203" s="22" t="s">
        <v>18714</v>
      </c>
      <c r="X203" s="22" t="s">
        <v>18714</v>
      </c>
      <c r="Y203" s="23">
        <v>1</v>
      </c>
      <c r="Z203" s="22" t="s">
        <v>18723</v>
      </c>
    </row>
    <row r="204" spans="1:26" s="25" customFormat="1" x14ac:dyDescent="0.2">
      <c r="A204" s="23" t="s">
        <v>18741</v>
      </c>
      <c r="B204" s="22" t="s">
        <v>18742</v>
      </c>
      <c r="C204" s="23" t="str">
        <f t="shared" ref="C204:C210" si="9">"000"</f>
        <v>000</v>
      </c>
      <c r="D204" s="23" t="s">
        <v>18718</v>
      </c>
      <c r="E204" s="22" t="s">
        <v>18743</v>
      </c>
      <c r="F204" s="22" t="s">
        <v>93</v>
      </c>
      <c r="G204" s="22" t="str">
        <f>VLOOKUP(F204,[1]CHILDCARE_FACILITIES!N:Q,4,0)</f>
        <v>CDC-6795</v>
      </c>
      <c r="H204" s="22" t="e">
        <f>VLOOKUP(G204,'[1]CACFP FRL'!D:G,4,0)</f>
        <v>#N/A</v>
      </c>
      <c r="I204" s="22" t="str">
        <f>VLOOKUP(G204,[1]CHILDCARE_FACILITIES!AK:AL,2,0)</f>
        <v>CDC6795</v>
      </c>
      <c r="J204" s="22" t="e">
        <f>VLOOKUP(I204,'[1]Head Start QF 1-5 Stars'!O:Q,3,0)</f>
        <v>#N/A</v>
      </c>
      <c r="K204" s="23" t="s">
        <v>18741</v>
      </c>
      <c r="L204" s="22" t="s">
        <v>696</v>
      </c>
      <c r="M204" s="22" t="s">
        <v>1637</v>
      </c>
      <c r="N204" s="22" t="s">
        <v>495</v>
      </c>
      <c r="O204" s="23" t="s">
        <v>207</v>
      </c>
      <c r="P204" s="22" t="str">
        <f>"85051"</f>
        <v>85051</v>
      </c>
      <c r="Q204" s="22" t="str">
        <f>"6301"</f>
        <v>6301</v>
      </c>
      <c r="R204" s="22" t="s">
        <v>18710</v>
      </c>
      <c r="S204" s="23" t="s">
        <v>18711</v>
      </c>
      <c r="T204" s="22" t="s">
        <v>18746</v>
      </c>
      <c r="U204" s="22" t="s">
        <v>18964</v>
      </c>
      <c r="V204" s="22" t="s">
        <v>18714</v>
      </c>
      <c r="W204" s="22" t="s">
        <v>18714</v>
      </c>
      <c r="X204" s="22" t="s">
        <v>18714</v>
      </c>
      <c r="Y204" s="23">
        <v>30</v>
      </c>
      <c r="Z204" s="22" t="s">
        <v>18723</v>
      </c>
    </row>
    <row r="205" spans="1:26" x14ac:dyDescent="0.2">
      <c r="A205" s="23" t="s">
        <v>18741</v>
      </c>
      <c r="B205" s="22" t="s">
        <v>18742</v>
      </c>
      <c r="C205" s="23" t="str">
        <f t="shared" si="9"/>
        <v>000</v>
      </c>
      <c r="D205" s="23" t="s">
        <v>18718</v>
      </c>
      <c r="E205" s="22" t="s">
        <v>18743</v>
      </c>
      <c r="F205" s="22" t="s">
        <v>19195</v>
      </c>
      <c r="G205" s="22" t="str">
        <f>VLOOKUP(F205,[1]CHILDCARE_FACILITIES!N:Q,4,0)</f>
        <v>CDC-14433</v>
      </c>
      <c r="H205" s="22" t="e">
        <f>VLOOKUP(G205,'[1]CACFP FRL'!D:G,4,0)</f>
        <v>#N/A</v>
      </c>
      <c r="I205" s="22" t="str">
        <f>VLOOKUP(G205,[1]CHILDCARE_FACILITIES!AK:AL,2,0)</f>
        <v>CDC14433</v>
      </c>
      <c r="J205" s="22" t="e">
        <f>VLOOKUP(I205,'[1]Head Start QF 1-5 Stars'!O:Q,3,0)</f>
        <v>#N/A</v>
      </c>
      <c r="K205" s="23" t="s">
        <v>18741</v>
      </c>
      <c r="L205" s="22" t="s">
        <v>1521</v>
      </c>
      <c r="M205" s="22" t="s">
        <v>1637</v>
      </c>
      <c r="N205" s="22" t="s">
        <v>495</v>
      </c>
      <c r="O205" s="23" t="s">
        <v>207</v>
      </c>
      <c r="P205" s="22" t="str">
        <f>"85043"</f>
        <v>85043</v>
      </c>
      <c r="Q205" s="22" t="str">
        <f>"6580"</f>
        <v>6580</v>
      </c>
      <c r="R205" s="22" t="s">
        <v>18710</v>
      </c>
      <c r="S205" s="23" t="s">
        <v>18737</v>
      </c>
      <c r="T205" s="22" t="s">
        <v>18746</v>
      </c>
      <c r="U205" s="22" t="s">
        <v>18964</v>
      </c>
      <c r="V205" s="22" t="s">
        <v>18714</v>
      </c>
      <c r="W205" s="22" t="s">
        <v>18714</v>
      </c>
      <c r="X205" s="22" t="s">
        <v>18714</v>
      </c>
      <c r="Y205" s="23">
        <v>70</v>
      </c>
      <c r="Z205" s="22" t="s">
        <v>18723</v>
      </c>
    </row>
    <row r="206" spans="1:26" x14ac:dyDescent="0.2">
      <c r="A206" s="23" t="s">
        <v>18741</v>
      </c>
      <c r="B206" s="22" t="s">
        <v>18742</v>
      </c>
      <c r="C206" s="23" t="str">
        <f t="shared" si="9"/>
        <v>000</v>
      </c>
      <c r="D206" s="23" t="s">
        <v>18718</v>
      </c>
      <c r="E206" s="22" t="s">
        <v>18743</v>
      </c>
      <c r="F206" s="22" t="s">
        <v>1097</v>
      </c>
      <c r="G206" s="22" t="str">
        <f>VLOOKUP(F206,[1]CHILDCARE_FACILITIES!N:Q,4,0)</f>
        <v>CDC-6172</v>
      </c>
      <c r="H206" s="22" t="e">
        <f>VLOOKUP(G206,'[1]CACFP FRL'!D:G,4,0)</f>
        <v>#N/A</v>
      </c>
      <c r="I206" s="22" t="str">
        <f>VLOOKUP(G206,[1]CHILDCARE_FACILITIES!AK:AL,2,0)</f>
        <v>CDC6172</v>
      </c>
      <c r="J206" s="22">
        <f>VLOOKUP(I206,'[1]Head Start QF 1-5 Stars'!O:Q,3,0)</f>
        <v>2594</v>
      </c>
      <c r="K206" s="23" t="s">
        <v>18741</v>
      </c>
      <c r="L206" s="22" t="s">
        <v>608</v>
      </c>
      <c r="M206" s="22" t="s">
        <v>1637</v>
      </c>
      <c r="N206" s="22" t="s">
        <v>495</v>
      </c>
      <c r="O206" s="23" t="s">
        <v>207</v>
      </c>
      <c r="P206" s="22" t="str">
        <f>"85015"</f>
        <v>85015</v>
      </c>
      <c r="Q206" s="22" t="str">
        <f>"3478"</f>
        <v>3478</v>
      </c>
      <c r="R206" s="22" t="s">
        <v>18710</v>
      </c>
      <c r="S206" s="23" t="s">
        <v>18737</v>
      </c>
      <c r="T206" s="22" t="s">
        <v>18746</v>
      </c>
      <c r="U206" s="22" t="s">
        <v>18964</v>
      </c>
      <c r="V206" s="22" t="s">
        <v>18714</v>
      </c>
      <c r="W206" s="22" t="s">
        <v>18714</v>
      </c>
      <c r="X206" s="22" t="s">
        <v>18714</v>
      </c>
      <c r="Y206" s="23">
        <v>64</v>
      </c>
      <c r="Z206" s="22" t="s">
        <v>18723</v>
      </c>
    </row>
    <row r="207" spans="1:26" x14ac:dyDescent="0.2">
      <c r="A207" s="23" t="s">
        <v>18741</v>
      </c>
      <c r="B207" s="22" t="s">
        <v>18742</v>
      </c>
      <c r="C207" s="23" t="str">
        <f t="shared" si="9"/>
        <v>000</v>
      </c>
      <c r="D207" s="23" t="s">
        <v>18718</v>
      </c>
      <c r="E207" s="22" t="s">
        <v>18743</v>
      </c>
      <c r="F207" s="22" t="s">
        <v>19196</v>
      </c>
      <c r="G207" s="22" t="str">
        <f>VLOOKUP(F207,[1]CHILDCARE_FACILITIES!N:Q,4,0)</f>
        <v>CDC-1666</v>
      </c>
      <c r="H207" s="22" t="e">
        <f>VLOOKUP(G207,'[1]CACFP FRL'!D:G,4,0)</f>
        <v>#N/A</v>
      </c>
      <c r="I207" s="22" t="str">
        <f>VLOOKUP(G207,[1]CHILDCARE_FACILITIES!AK:AL,2,0)</f>
        <v>CDC1666</v>
      </c>
      <c r="J207" s="22">
        <f>VLOOKUP(I207,'[1]Head Start QF 1-5 Stars'!O:Q,3,0)</f>
        <v>2302</v>
      </c>
      <c r="K207" s="23" t="s">
        <v>18741</v>
      </c>
      <c r="L207" s="22" t="s">
        <v>1406</v>
      </c>
      <c r="M207" s="22" t="s">
        <v>1637</v>
      </c>
      <c r="N207" s="22" t="s">
        <v>495</v>
      </c>
      <c r="O207" s="23" t="s">
        <v>207</v>
      </c>
      <c r="P207" s="22" t="str">
        <f>"85008"</f>
        <v>85008</v>
      </c>
      <c r="Q207" s="22" t="str">
        <f>"6107"</f>
        <v>6107</v>
      </c>
      <c r="R207" s="22" t="s">
        <v>18710</v>
      </c>
      <c r="S207" s="23" t="s">
        <v>18737</v>
      </c>
      <c r="T207" s="22" t="s">
        <v>18746</v>
      </c>
      <c r="U207" s="22" t="s">
        <v>18964</v>
      </c>
      <c r="V207" s="22" t="s">
        <v>18714</v>
      </c>
      <c r="W207" s="22" t="s">
        <v>18714</v>
      </c>
      <c r="X207" s="22" t="s">
        <v>18714</v>
      </c>
      <c r="Y207" s="23">
        <v>40</v>
      </c>
      <c r="Z207" s="22" t="s">
        <v>18723</v>
      </c>
    </row>
    <row r="208" spans="1:26" s="25" customFormat="1" hidden="1" x14ac:dyDescent="0.2">
      <c r="A208" s="24" t="s">
        <v>19197</v>
      </c>
      <c r="B208" s="25" t="s">
        <v>19198</v>
      </c>
      <c r="C208" s="24" t="str">
        <f t="shared" si="9"/>
        <v>000</v>
      </c>
      <c r="D208" s="24" t="s">
        <v>19199</v>
      </c>
      <c r="E208" s="25" t="s">
        <v>19200</v>
      </c>
      <c r="F208" s="25" t="s">
        <v>19201</v>
      </c>
      <c r="G208" s="25" t="e">
        <f>VLOOKUP(F208,[1]CHILDCARE_FACILITIES!N:Q,4,0)</f>
        <v>#N/A</v>
      </c>
      <c r="H208" s="25" t="e">
        <f>VLOOKUP(G208,'[1]CACFP FRL'!D:G,4,0)</f>
        <v>#N/A</v>
      </c>
      <c r="I208" s="25" t="e">
        <f>VLOOKUP(G208,[1]CHILDCARE_FACILITIES!AK:AL,2,0)</f>
        <v>#N/A</v>
      </c>
      <c r="J208" s="25">
        <f>'[1]Head Start QF 1-5 Stars'!Q97</f>
        <v>125</v>
      </c>
      <c r="K208" s="24" t="s">
        <v>19197</v>
      </c>
      <c r="L208" s="25" t="s">
        <v>19202</v>
      </c>
      <c r="M208" s="25" t="s">
        <v>19198</v>
      </c>
      <c r="N208" s="25" t="s">
        <v>508</v>
      </c>
      <c r="O208" s="24" t="s">
        <v>207</v>
      </c>
      <c r="P208" s="25" t="str">
        <f>"85350"</f>
        <v>85350</v>
      </c>
      <c r="Q208" s="25" t="str">
        <f>"7001"</f>
        <v>7001</v>
      </c>
      <c r="R208" s="25" t="s">
        <v>18809</v>
      </c>
      <c r="S208" s="24" t="s">
        <v>18721</v>
      </c>
      <c r="T208" s="25" t="s">
        <v>19203</v>
      </c>
      <c r="U208" s="25" t="s">
        <v>18713</v>
      </c>
      <c r="V208" s="25" t="s">
        <v>18714</v>
      </c>
      <c r="W208" s="25" t="s">
        <v>18714</v>
      </c>
      <c r="X208" s="25" t="s">
        <v>18731</v>
      </c>
      <c r="Y208" s="24">
        <v>20</v>
      </c>
      <c r="Z208" s="25" t="s">
        <v>18715</v>
      </c>
    </row>
    <row r="209" spans="1:26" s="25" customFormat="1" hidden="1" x14ac:dyDescent="0.2">
      <c r="A209" s="24" t="s">
        <v>19204</v>
      </c>
      <c r="B209" s="25" t="s">
        <v>19205</v>
      </c>
      <c r="C209" s="24" t="str">
        <f t="shared" si="9"/>
        <v>000</v>
      </c>
      <c r="D209" s="24" t="s">
        <v>19199</v>
      </c>
      <c r="E209" s="25" t="s">
        <v>19206</v>
      </c>
      <c r="F209" s="25" t="s">
        <v>19207</v>
      </c>
      <c r="G209" s="25" t="e">
        <f>VLOOKUP(F209,[1]CHILDCARE_FACILITIES!N:Q,4,0)</f>
        <v>#N/A</v>
      </c>
      <c r="H209" s="25" t="e">
        <f>VLOOKUP(G209,'[1]CACFP FRL'!D:G,4,0)</f>
        <v>#N/A</v>
      </c>
      <c r="I209" s="25" t="e">
        <f>VLOOKUP(G209,[1]CHILDCARE_FACILITIES!AK:AL,2,0)</f>
        <v>#N/A</v>
      </c>
      <c r="J209" s="25">
        <f>'[1]Head Start QF 1-5 Stars'!Q98</f>
        <v>102</v>
      </c>
      <c r="K209" s="24" t="s">
        <v>19204</v>
      </c>
      <c r="L209" s="25" t="s">
        <v>19208</v>
      </c>
      <c r="M209" s="25" t="s">
        <v>1637</v>
      </c>
      <c r="N209" s="25" t="s">
        <v>2658</v>
      </c>
      <c r="O209" s="24" t="s">
        <v>207</v>
      </c>
      <c r="P209" s="25" t="str">
        <f>"85344"</f>
        <v>85344</v>
      </c>
      <c r="Q209" s="25" t="str">
        <f>"9766"</f>
        <v>9766</v>
      </c>
      <c r="R209" s="25" t="s">
        <v>19209</v>
      </c>
      <c r="S209" s="24" t="s">
        <v>18764</v>
      </c>
      <c r="T209" s="25" t="s">
        <v>19210</v>
      </c>
      <c r="U209" s="25" t="s">
        <v>18713</v>
      </c>
      <c r="V209" s="25" t="s">
        <v>18714</v>
      </c>
      <c r="W209" s="25" t="s">
        <v>18714</v>
      </c>
      <c r="X209" s="25" t="s">
        <v>18731</v>
      </c>
      <c r="Y209" s="24">
        <v>183</v>
      </c>
      <c r="Z209" s="25" t="s">
        <v>18723</v>
      </c>
    </row>
    <row r="210" spans="1:26" s="25" customFormat="1" hidden="1" x14ac:dyDescent="0.2">
      <c r="A210" s="24" t="s">
        <v>19211</v>
      </c>
      <c r="B210" s="25" t="s">
        <v>19212</v>
      </c>
      <c r="C210" s="24" t="str">
        <f t="shared" si="9"/>
        <v>000</v>
      </c>
      <c r="D210" s="24" t="s">
        <v>19199</v>
      </c>
      <c r="E210" s="25" t="s">
        <v>19212</v>
      </c>
      <c r="F210" s="25" t="s">
        <v>19213</v>
      </c>
      <c r="G210" s="25" t="e">
        <f>VLOOKUP(F210,[1]CHILDCARE_FACILITIES!N:Q,4,0)</f>
        <v>#N/A</v>
      </c>
      <c r="H210" s="25" t="e">
        <f>VLOOKUP(G210,'[1]CACFP FRL'!D:G,4,0)</f>
        <v>#N/A</v>
      </c>
      <c r="I210" s="25" t="e">
        <f>VLOOKUP(G210,[1]CHILDCARE_FACILITIES!AK:AL,2,0)</f>
        <v>#N/A</v>
      </c>
      <c r="J210" s="25" t="e">
        <f>VLOOKUP(I210,'[1]Head Start QF 1-5 Stars'!O:Q,3,0)</f>
        <v>#N/A</v>
      </c>
      <c r="K210" s="24" t="s">
        <v>19211</v>
      </c>
      <c r="L210" s="25" t="s">
        <v>19214</v>
      </c>
      <c r="M210" s="25" t="s">
        <v>1637</v>
      </c>
      <c r="N210" s="25" t="s">
        <v>1327</v>
      </c>
      <c r="O210" s="24" t="s">
        <v>207</v>
      </c>
      <c r="P210" s="25" t="str">
        <f>"85339"</f>
        <v>85339</v>
      </c>
      <c r="Q210" s="25" t="str">
        <f>""</f>
        <v/>
      </c>
      <c r="R210" s="25" t="s">
        <v>18710</v>
      </c>
      <c r="S210" s="24" t="s">
        <v>18818</v>
      </c>
      <c r="T210" s="25" t="s">
        <v>19215</v>
      </c>
      <c r="U210" s="25" t="s">
        <v>18713</v>
      </c>
      <c r="V210" s="25" t="s">
        <v>18714</v>
      </c>
      <c r="W210" s="25" t="s">
        <v>18714</v>
      </c>
      <c r="X210" s="25" t="s">
        <v>18731</v>
      </c>
      <c r="Y210" s="24">
        <v>52</v>
      </c>
      <c r="Z210" s="25" t="s">
        <v>18723</v>
      </c>
    </row>
    <row r="211" spans="1:26" hidden="1" x14ac:dyDescent="0.2">
      <c r="A211" s="24" t="s">
        <v>19211</v>
      </c>
      <c r="B211" s="25" t="s">
        <v>19212</v>
      </c>
      <c r="C211" s="24" t="str">
        <f>"200"</f>
        <v>200</v>
      </c>
      <c r="D211" s="24" t="s">
        <v>19216</v>
      </c>
      <c r="E211" s="25" t="s">
        <v>19217</v>
      </c>
      <c r="F211" s="25" t="s">
        <v>19213</v>
      </c>
      <c r="G211" s="25" t="e">
        <f>VLOOKUP(F211,[1]CHILDCARE_FACILITIES!N:Q,4,0)</f>
        <v>#N/A</v>
      </c>
      <c r="H211" s="25" t="e">
        <f>VLOOKUP(G211,'[1]CACFP FRL'!D:G,4,0)</f>
        <v>#N/A</v>
      </c>
      <c r="I211" s="25" t="e">
        <f>VLOOKUP(G211,[1]CHILDCARE_FACILITIES!AK:AL,2,0)</f>
        <v>#N/A</v>
      </c>
      <c r="J211" s="25" t="e">
        <f>VLOOKUP(I211,'[1]Head Start QF 1-5 Stars'!O:Q,3,0)</f>
        <v>#N/A</v>
      </c>
      <c r="K211" s="24" t="s">
        <v>19211</v>
      </c>
      <c r="L211" s="25" t="s">
        <v>19214</v>
      </c>
      <c r="M211" s="25" t="s">
        <v>1637</v>
      </c>
      <c r="N211" s="25" t="s">
        <v>1327</v>
      </c>
      <c r="O211" s="24" t="s">
        <v>207</v>
      </c>
      <c r="P211" s="25" t="str">
        <f>"85339"</f>
        <v>85339</v>
      </c>
      <c r="Q211" s="25" t="str">
        <f>""</f>
        <v/>
      </c>
      <c r="R211" s="25" t="s">
        <v>18710</v>
      </c>
      <c r="S211" s="24" t="s">
        <v>18818</v>
      </c>
      <c r="T211" s="25" t="s">
        <v>19215</v>
      </c>
      <c r="U211" s="25" t="s">
        <v>18713</v>
      </c>
      <c r="V211" s="25" t="s">
        <v>18714</v>
      </c>
      <c r="W211" s="25" t="s">
        <v>18714</v>
      </c>
      <c r="X211" s="25" t="s">
        <v>18731</v>
      </c>
      <c r="Y211" s="24">
        <v>28</v>
      </c>
      <c r="Z211" s="25" t="s">
        <v>18723</v>
      </c>
    </row>
    <row r="212" spans="1:26" hidden="1" x14ac:dyDescent="0.2">
      <c r="A212" s="24" t="s">
        <v>19218</v>
      </c>
      <c r="B212" s="25" t="s">
        <v>19212</v>
      </c>
      <c r="C212" s="24" t="str">
        <f>"200"</f>
        <v>200</v>
      </c>
      <c r="D212" s="24" t="s">
        <v>19216</v>
      </c>
      <c r="E212" s="25" t="s">
        <v>19217</v>
      </c>
      <c r="F212" s="25" t="s">
        <v>19219</v>
      </c>
      <c r="G212" s="25" t="e">
        <f>VLOOKUP(F212,[1]CHILDCARE_FACILITIES!N:Q,4,0)</f>
        <v>#N/A</v>
      </c>
      <c r="H212" s="25" t="e">
        <f>VLOOKUP(G212,'[1]CACFP FRL'!D:G,4,0)</f>
        <v>#N/A</v>
      </c>
      <c r="I212" s="25" t="e">
        <f>VLOOKUP(G212,[1]CHILDCARE_FACILITIES!AK:AL,2,0)</f>
        <v>#N/A</v>
      </c>
      <c r="J212" s="25" t="e">
        <f>VLOOKUP(I212,'[1]Head Start QF 1-5 Stars'!O:Q,3,0)</f>
        <v>#N/A</v>
      </c>
      <c r="K212" s="24" t="s">
        <v>19218</v>
      </c>
      <c r="L212" s="25" t="s">
        <v>19220</v>
      </c>
      <c r="M212" s="25" t="s">
        <v>1637</v>
      </c>
      <c r="N212" s="25" t="s">
        <v>396</v>
      </c>
      <c r="O212" s="24" t="s">
        <v>207</v>
      </c>
      <c r="P212" s="25" t="str">
        <f>"85147"</f>
        <v>85147</v>
      </c>
      <c r="Q212" s="25" t="str">
        <f>""</f>
        <v/>
      </c>
      <c r="R212" s="25" t="s">
        <v>18763</v>
      </c>
      <c r="S212" s="24" t="s">
        <v>18818</v>
      </c>
      <c r="T212" s="25" t="s">
        <v>19221</v>
      </c>
      <c r="U212" s="25" t="s">
        <v>18713</v>
      </c>
      <c r="V212" s="25" t="s">
        <v>18714</v>
      </c>
      <c r="W212" s="25" t="s">
        <v>18714</v>
      </c>
      <c r="X212" s="25" t="s">
        <v>18714</v>
      </c>
      <c r="Y212" s="24">
        <v>56</v>
      </c>
      <c r="Z212" s="25" t="s">
        <v>18715</v>
      </c>
    </row>
    <row r="213" spans="1:26" s="25" customFormat="1" hidden="1" x14ac:dyDescent="0.2">
      <c r="A213" s="24" t="s">
        <v>19211</v>
      </c>
      <c r="B213" s="25" t="s">
        <v>19212</v>
      </c>
      <c r="C213" s="24" t="str">
        <f>"000"</f>
        <v>000</v>
      </c>
      <c r="D213" s="24" t="s">
        <v>19199</v>
      </c>
      <c r="E213" s="25" t="s">
        <v>19212</v>
      </c>
      <c r="F213" s="25" t="s">
        <v>19222</v>
      </c>
      <c r="G213" s="25" t="e">
        <f>VLOOKUP(F213,[1]CHILDCARE_FACILITIES!N:Q,4,0)</f>
        <v>#N/A</v>
      </c>
      <c r="H213" s="25" t="e">
        <f>VLOOKUP(G213,'[1]CACFP FRL'!D:G,4,0)</f>
        <v>#N/A</v>
      </c>
      <c r="I213" s="25" t="e">
        <f>VLOOKUP(G213,[1]CHILDCARE_FACILITIES!AK:AL,2,0)</f>
        <v>#N/A</v>
      </c>
      <c r="J213" s="25" t="e">
        <f>VLOOKUP(I213,'[1]Head Start QF 1-5 Stars'!O:Q,3,0)</f>
        <v>#N/A</v>
      </c>
      <c r="K213" s="24" t="s">
        <v>19211</v>
      </c>
      <c r="L213" s="25" t="s">
        <v>19223</v>
      </c>
      <c r="M213" s="25" t="s">
        <v>1637</v>
      </c>
      <c r="N213" s="25" t="s">
        <v>396</v>
      </c>
      <c r="O213" s="24" t="s">
        <v>207</v>
      </c>
      <c r="P213" s="25" t="str">
        <f>"85147"</f>
        <v>85147</v>
      </c>
      <c r="Q213" s="25" t="str">
        <f>""</f>
        <v/>
      </c>
      <c r="R213" s="25" t="s">
        <v>18763</v>
      </c>
      <c r="S213" s="24" t="s">
        <v>18818</v>
      </c>
      <c r="T213" s="25" t="s">
        <v>19224</v>
      </c>
      <c r="U213" s="25" t="s">
        <v>18713</v>
      </c>
      <c r="V213" s="25" t="s">
        <v>18714</v>
      </c>
      <c r="W213" s="25" t="s">
        <v>18714</v>
      </c>
      <c r="X213" s="25" t="s">
        <v>18731</v>
      </c>
      <c r="Y213" s="24">
        <v>57</v>
      </c>
      <c r="Z213" s="25" t="s">
        <v>18723</v>
      </c>
    </row>
    <row r="214" spans="1:26" hidden="1" x14ac:dyDescent="0.2">
      <c r="A214" s="24" t="s">
        <v>19211</v>
      </c>
      <c r="B214" s="25" t="s">
        <v>19212</v>
      </c>
      <c r="C214" s="24" t="str">
        <f>"200"</f>
        <v>200</v>
      </c>
      <c r="D214" s="24" t="s">
        <v>19216</v>
      </c>
      <c r="E214" s="25" t="s">
        <v>19217</v>
      </c>
      <c r="F214" s="25" t="s">
        <v>19222</v>
      </c>
      <c r="G214" s="25" t="e">
        <f>VLOOKUP(F214,[1]CHILDCARE_FACILITIES!N:Q,4,0)</f>
        <v>#N/A</v>
      </c>
      <c r="H214" s="25" t="e">
        <f>VLOOKUP(G214,'[1]CACFP FRL'!D:G,4,0)</f>
        <v>#N/A</v>
      </c>
      <c r="I214" s="25" t="e">
        <f>VLOOKUP(G214,[1]CHILDCARE_FACILITIES!AK:AL,2,0)</f>
        <v>#N/A</v>
      </c>
      <c r="J214" s="25">
        <f>'[1]Head Start QF 1-5 Stars'!Q119</f>
        <v>2197</v>
      </c>
      <c r="K214" s="24" t="s">
        <v>19211</v>
      </c>
      <c r="L214" s="25" t="s">
        <v>19223</v>
      </c>
      <c r="M214" s="25" t="s">
        <v>1637</v>
      </c>
      <c r="N214" s="25" t="s">
        <v>396</v>
      </c>
      <c r="O214" s="24" t="s">
        <v>207</v>
      </c>
      <c r="P214" s="25" t="str">
        <f>"85147"</f>
        <v>85147</v>
      </c>
      <c r="Q214" s="25" t="str">
        <f>""</f>
        <v/>
      </c>
      <c r="R214" s="25" t="s">
        <v>18763</v>
      </c>
      <c r="S214" s="24" t="s">
        <v>18818</v>
      </c>
      <c r="T214" s="25" t="s">
        <v>19224</v>
      </c>
      <c r="U214" s="25" t="s">
        <v>18713</v>
      </c>
      <c r="V214" s="25" t="s">
        <v>18714</v>
      </c>
      <c r="W214" s="25" t="s">
        <v>18714</v>
      </c>
      <c r="X214" s="25" t="s">
        <v>18731</v>
      </c>
      <c r="Y214" s="24">
        <v>24</v>
      </c>
      <c r="Z214" s="25" t="s">
        <v>18723</v>
      </c>
    </row>
    <row r="215" spans="1:26" hidden="1" x14ac:dyDescent="0.2">
      <c r="A215" s="24" t="s">
        <v>19211</v>
      </c>
      <c r="B215" s="25" t="s">
        <v>19212</v>
      </c>
      <c r="C215" s="24" t="str">
        <f>"000"</f>
        <v>000</v>
      </c>
      <c r="D215" s="24" t="s">
        <v>19199</v>
      </c>
      <c r="E215" s="25" t="s">
        <v>19212</v>
      </c>
      <c r="F215" s="25" t="s">
        <v>19225</v>
      </c>
      <c r="G215" s="25" t="e">
        <f>VLOOKUP(F215,[1]CHILDCARE_FACILITIES!N:Q,4,0)</f>
        <v>#N/A</v>
      </c>
      <c r="H215" s="25" t="e">
        <f>VLOOKUP(G215,'[1]CACFP FRL'!D:G,4,0)</f>
        <v>#N/A</v>
      </c>
      <c r="I215" s="25" t="e">
        <f>VLOOKUP(G215,[1]CHILDCARE_FACILITIES!AK:AL,2,0)</f>
        <v>#N/A</v>
      </c>
      <c r="J215" s="25" t="e">
        <f>VLOOKUP(I215,'[1]Head Start QF 1-5 Stars'!O:Q,3,0)</f>
        <v>#N/A</v>
      </c>
      <c r="K215" s="24" t="s">
        <v>19211</v>
      </c>
      <c r="L215" s="25" t="s">
        <v>19226</v>
      </c>
      <c r="M215" s="25" t="s">
        <v>1637</v>
      </c>
      <c r="N215" s="25" t="s">
        <v>396</v>
      </c>
      <c r="O215" s="24" t="s">
        <v>207</v>
      </c>
      <c r="P215" s="25" t="str">
        <f>"85147"</f>
        <v>85147</v>
      </c>
      <c r="Q215" s="25" t="str">
        <f>""</f>
        <v/>
      </c>
      <c r="R215" s="25" t="s">
        <v>18763</v>
      </c>
      <c r="S215" s="24" t="s">
        <v>18818</v>
      </c>
      <c r="T215" s="25" t="s">
        <v>19227</v>
      </c>
      <c r="U215" s="25" t="s">
        <v>18713</v>
      </c>
      <c r="V215" s="25" t="s">
        <v>18731</v>
      </c>
      <c r="W215" s="25" t="s">
        <v>18731</v>
      </c>
      <c r="X215" s="25" t="s">
        <v>18731</v>
      </c>
      <c r="Y215" s="24">
        <v>57</v>
      </c>
      <c r="Z215" s="25" t="s">
        <v>18723</v>
      </c>
    </row>
    <row r="216" spans="1:26" hidden="1" x14ac:dyDescent="0.2">
      <c r="A216" s="24" t="s">
        <v>19211</v>
      </c>
      <c r="B216" s="25" t="s">
        <v>19212</v>
      </c>
      <c r="C216" s="24" t="str">
        <f>"200"</f>
        <v>200</v>
      </c>
      <c r="D216" s="24" t="s">
        <v>19216</v>
      </c>
      <c r="E216" s="25" t="s">
        <v>19217</v>
      </c>
      <c r="F216" s="25" t="s">
        <v>19225</v>
      </c>
      <c r="G216" s="25" t="e">
        <f>VLOOKUP(F216,[1]CHILDCARE_FACILITIES!N:Q,4,0)</f>
        <v>#N/A</v>
      </c>
      <c r="H216" s="25" t="e">
        <f>VLOOKUP(G216,'[1]CACFP FRL'!D:G,4,0)</f>
        <v>#N/A</v>
      </c>
      <c r="I216" s="25" t="e">
        <f>VLOOKUP(G216,[1]CHILDCARE_FACILITIES!AK:AL,2,0)</f>
        <v>#N/A</v>
      </c>
      <c r="J216" s="25" t="e">
        <f>VLOOKUP(I216,'[1]Head Start QF 1-5 Stars'!O:Q,3,0)</f>
        <v>#N/A</v>
      </c>
      <c r="K216" s="24" t="s">
        <v>19211</v>
      </c>
      <c r="L216" s="25" t="s">
        <v>19226</v>
      </c>
      <c r="M216" s="25" t="s">
        <v>1637</v>
      </c>
      <c r="N216" s="25" t="s">
        <v>396</v>
      </c>
      <c r="O216" s="24" t="s">
        <v>207</v>
      </c>
      <c r="P216" s="25" t="str">
        <f>"85147"</f>
        <v>85147</v>
      </c>
      <c r="Q216" s="25" t="str">
        <f>""</f>
        <v/>
      </c>
      <c r="R216" s="25" t="s">
        <v>18763</v>
      </c>
      <c r="S216" s="24" t="s">
        <v>18818</v>
      </c>
      <c r="T216" s="25" t="s">
        <v>19227</v>
      </c>
      <c r="U216" s="25" t="s">
        <v>18713</v>
      </c>
      <c r="V216" s="25" t="s">
        <v>18731</v>
      </c>
      <c r="W216" s="25" t="s">
        <v>18731</v>
      </c>
      <c r="X216" s="25" t="s">
        <v>18731</v>
      </c>
      <c r="Y216" s="24">
        <v>24</v>
      </c>
      <c r="Z216" s="25" t="s">
        <v>18723</v>
      </c>
    </row>
    <row r="217" spans="1:26" hidden="1" x14ac:dyDescent="0.2">
      <c r="A217" s="23" t="s">
        <v>18822</v>
      </c>
      <c r="B217" s="22" t="s">
        <v>18823</v>
      </c>
      <c r="C217" s="23" t="str">
        <f>"200"</f>
        <v>200</v>
      </c>
      <c r="D217" s="23" t="s">
        <v>18706</v>
      </c>
      <c r="E217" s="22" t="s">
        <v>18823</v>
      </c>
      <c r="F217" s="22" t="s">
        <v>18939</v>
      </c>
      <c r="G217" s="22" t="str">
        <f>VLOOKUP(F217,[1]CHILDCARE_FACILITIES!N:Q,4,0)</f>
        <v>CDC-0424</v>
      </c>
      <c r="H217" s="22">
        <f>VLOOKUP(G217,'[1]CACFP FRL'!D:G,4,0)</f>
        <v>7935</v>
      </c>
      <c r="I217" s="22" t="str">
        <f>VLOOKUP(G217,[1]CHILDCARE_FACILITIES!AK:AL,2,0)</f>
        <v>CDC0424</v>
      </c>
      <c r="J217" s="22" t="e">
        <f>VLOOKUP(I217,'[1]Head Start QF 1-5 Stars'!O:Q,3,0)</f>
        <v>#N/A</v>
      </c>
      <c r="K217" s="23" t="s">
        <v>18822</v>
      </c>
      <c r="L217" s="22" t="s">
        <v>18940</v>
      </c>
      <c r="M217" s="22" t="s">
        <v>1637</v>
      </c>
      <c r="N217" s="22" t="s">
        <v>1298</v>
      </c>
      <c r="O217" s="23" t="s">
        <v>207</v>
      </c>
      <c r="P217" s="22" t="str">
        <f>"85607"</f>
        <v>85607</v>
      </c>
      <c r="Q217" s="22" t="str">
        <f>"2828"</f>
        <v>2828</v>
      </c>
      <c r="R217" s="22" t="s">
        <v>18841</v>
      </c>
      <c r="S217" s="23" t="s">
        <v>18842</v>
      </c>
      <c r="T217" s="22" t="s">
        <v>18941</v>
      </c>
      <c r="U217" s="22" t="s">
        <v>18713</v>
      </c>
      <c r="V217" s="22" t="s">
        <v>18731</v>
      </c>
      <c r="W217" s="22" t="s">
        <v>18731</v>
      </c>
      <c r="X217" s="22" t="s">
        <v>18731</v>
      </c>
      <c r="Y217" s="23">
        <v>20</v>
      </c>
      <c r="Z217" s="22" t="s">
        <v>18723</v>
      </c>
    </row>
    <row r="218" spans="1:26" hidden="1" x14ac:dyDescent="0.2">
      <c r="A218" s="24" t="s">
        <v>19211</v>
      </c>
      <c r="B218" s="25" t="s">
        <v>19212</v>
      </c>
      <c r="C218" s="24" t="str">
        <f>"000"</f>
        <v>000</v>
      </c>
      <c r="D218" s="24" t="s">
        <v>19199</v>
      </c>
      <c r="E218" s="25" t="s">
        <v>19212</v>
      </c>
      <c r="F218" s="25" t="s">
        <v>19228</v>
      </c>
      <c r="G218" s="25" t="e">
        <f>VLOOKUP(F218,[1]CHILDCARE_FACILITIES!N:Q,4,0)</f>
        <v>#N/A</v>
      </c>
      <c r="H218" s="25" t="e">
        <f>VLOOKUP(G218,'[1]CACFP FRL'!D:G,4,0)</f>
        <v>#N/A</v>
      </c>
      <c r="I218" s="25" t="e">
        <f>VLOOKUP(G218,[1]CHILDCARE_FACILITIES!AK:AL,2,0)</f>
        <v>#N/A</v>
      </c>
      <c r="J218" s="25" t="e">
        <f>VLOOKUP(I218,'[1]Head Start QF 1-5 Stars'!O:Q,3,0)</f>
        <v>#N/A</v>
      </c>
      <c r="K218" s="24" t="s">
        <v>19211</v>
      </c>
      <c r="L218" s="25" t="s">
        <v>19229</v>
      </c>
      <c r="M218" s="25" t="s">
        <v>1637</v>
      </c>
      <c r="N218" s="25" t="s">
        <v>872</v>
      </c>
      <c r="O218" s="24" t="s">
        <v>207</v>
      </c>
      <c r="P218" s="25" t="str">
        <f>"85221"</f>
        <v>85221</v>
      </c>
      <c r="Q218" s="25" t="str">
        <f>""</f>
        <v/>
      </c>
      <c r="R218" s="25" t="s">
        <v>18763</v>
      </c>
      <c r="S218" s="24" t="s">
        <v>18818</v>
      </c>
      <c r="T218" s="25" t="s">
        <v>19230</v>
      </c>
      <c r="U218" s="25" t="s">
        <v>18713</v>
      </c>
      <c r="V218" s="25" t="s">
        <v>18731</v>
      </c>
      <c r="W218" s="25" t="s">
        <v>18731</v>
      </c>
      <c r="X218" s="25" t="s">
        <v>18731</v>
      </c>
      <c r="Y218" s="24">
        <v>37</v>
      </c>
      <c r="Z218" s="25" t="s">
        <v>18723</v>
      </c>
    </row>
    <row r="219" spans="1:26" hidden="1" x14ac:dyDescent="0.2">
      <c r="A219" s="23" t="s">
        <v>18796</v>
      </c>
      <c r="B219" s="22" t="s">
        <v>18705</v>
      </c>
      <c r="C219" s="23" t="str">
        <f>"200"</f>
        <v>200</v>
      </c>
      <c r="D219" s="23" t="s">
        <v>18706</v>
      </c>
      <c r="E219" s="22" t="s">
        <v>18797</v>
      </c>
      <c r="F219" s="22" t="s">
        <v>19231</v>
      </c>
      <c r="G219" s="22" t="str">
        <f>VLOOKUP(F219,[1]CHILDCARE_FACILITIES!N:Q,4,0)</f>
        <v>CDC-16402</v>
      </c>
      <c r="H219" s="22" t="e">
        <f>VLOOKUP(G219,'[1]CACFP FRL'!D:G,4,0)</f>
        <v>#N/A</v>
      </c>
      <c r="I219" s="22" t="str">
        <f>VLOOKUP(G219,[1]CHILDCARE_FACILITIES!AK:AL,2,0)</f>
        <v>CDC16402</v>
      </c>
      <c r="J219" s="22" t="e">
        <f>VLOOKUP(I219,'[1]Head Start QF 1-5 Stars'!O:Q,3,0)</f>
        <v>#N/A</v>
      </c>
      <c r="K219" s="23" t="s">
        <v>18796</v>
      </c>
      <c r="L219" s="22" t="s">
        <v>19232</v>
      </c>
      <c r="M219" s="22" t="s">
        <v>1637</v>
      </c>
      <c r="N219" s="22" t="s">
        <v>714</v>
      </c>
      <c r="O219" s="23" t="s">
        <v>207</v>
      </c>
      <c r="P219" s="22" t="str">
        <f>"85201"</f>
        <v>85201</v>
      </c>
      <c r="Q219" s="22" t="str">
        <f>"6806"</f>
        <v>6806</v>
      </c>
      <c r="R219" s="22" t="s">
        <v>18710</v>
      </c>
      <c r="S219" s="23" t="s">
        <v>18711</v>
      </c>
      <c r="T219" s="22" t="s">
        <v>19233</v>
      </c>
      <c r="U219" s="22" t="s">
        <v>18713</v>
      </c>
      <c r="V219" s="22" t="s">
        <v>18714</v>
      </c>
      <c r="W219" s="22" t="s">
        <v>18714</v>
      </c>
      <c r="X219" s="22" t="s">
        <v>18714</v>
      </c>
      <c r="Y219" s="23">
        <v>16</v>
      </c>
      <c r="Z219" s="22" t="s">
        <v>18723</v>
      </c>
    </row>
    <row r="220" spans="1:26" hidden="1" x14ac:dyDescent="0.2">
      <c r="A220" s="24" t="s">
        <v>19211</v>
      </c>
      <c r="B220" s="25" t="s">
        <v>19212</v>
      </c>
      <c r="C220" s="24" t="str">
        <f>"200"</f>
        <v>200</v>
      </c>
      <c r="D220" s="24" t="s">
        <v>19216</v>
      </c>
      <c r="E220" s="25" t="s">
        <v>19217</v>
      </c>
      <c r="F220" s="25" t="s">
        <v>19228</v>
      </c>
      <c r="G220" s="25" t="e">
        <f>VLOOKUP(F220,[1]CHILDCARE_FACILITIES!N:Q,4,0)</f>
        <v>#N/A</v>
      </c>
      <c r="H220" s="25" t="e">
        <f>VLOOKUP(G220,'[1]CACFP FRL'!D:G,4,0)</f>
        <v>#N/A</v>
      </c>
      <c r="I220" s="25" t="e">
        <f>VLOOKUP(G220,[1]CHILDCARE_FACILITIES!AK:AL,2,0)</f>
        <v>#N/A</v>
      </c>
      <c r="J220" s="25" t="e">
        <f>VLOOKUP(I220,'[1]Head Start QF 1-5 Stars'!O:Q,3,0)</f>
        <v>#N/A</v>
      </c>
      <c r="K220" s="24" t="s">
        <v>19211</v>
      </c>
      <c r="L220" s="25" t="s">
        <v>19229</v>
      </c>
      <c r="M220" s="25" t="s">
        <v>1637</v>
      </c>
      <c r="N220" s="25" t="s">
        <v>872</v>
      </c>
      <c r="O220" s="24" t="s">
        <v>207</v>
      </c>
      <c r="P220" s="25" t="str">
        <f>"85221"</f>
        <v>85221</v>
      </c>
      <c r="Q220" s="25" t="str">
        <f>""</f>
        <v/>
      </c>
      <c r="R220" s="25" t="s">
        <v>18763</v>
      </c>
      <c r="S220" s="24" t="s">
        <v>18818</v>
      </c>
      <c r="T220" s="25" t="s">
        <v>19230</v>
      </c>
      <c r="U220" s="25" t="s">
        <v>18713</v>
      </c>
      <c r="V220" s="25" t="s">
        <v>18731</v>
      </c>
      <c r="W220" s="25" t="s">
        <v>18731</v>
      </c>
      <c r="X220" s="25" t="s">
        <v>18731</v>
      </c>
      <c r="Y220" s="24">
        <v>16</v>
      </c>
      <c r="Z220" s="25" t="s">
        <v>18723</v>
      </c>
    </row>
    <row r="221" spans="1:26" hidden="1" x14ac:dyDescent="0.2">
      <c r="A221" s="23" t="s">
        <v>18822</v>
      </c>
      <c r="B221" s="22" t="s">
        <v>18823</v>
      </c>
      <c r="C221" s="23" t="str">
        <f>"200"</f>
        <v>200</v>
      </c>
      <c r="D221" s="23" t="s">
        <v>18706</v>
      </c>
      <c r="E221" s="22" t="s">
        <v>18823</v>
      </c>
      <c r="F221" s="22" t="s">
        <v>18944</v>
      </c>
      <c r="G221" s="22" t="str">
        <f>VLOOKUP(F221,[1]CHILDCARE_FACILITIES!N:Q,4,0)</f>
        <v>CDC-4757</v>
      </c>
      <c r="H221" s="22">
        <f>VLOOKUP(G221,'[1]CACFP FRL'!D:G,4,0)</f>
        <v>85921</v>
      </c>
      <c r="I221" s="22" t="str">
        <f>VLOOKUP(G221,[1]CHILDCARE_FACILITIES!AK:AL,2,0)</f>
        <v>CDC4757</v>
      </c>
      <c r="J221" s="22" t="e">
        <f>VLOOKUP(I221,'[1]Head Start QF 1-5 Stars'!O:Q,3,0)</f>
        <v>#N/A</v>
      </c>
      <c r="K221" s="23" t="s">
        <v>18822</v>
      </c>
      <c r="L221" s="22" t="s">
        <v>1289</v>
      </c>
      <c r="M221" s="22" t="s">
        <v>1637</v>
      </c>
      <c r="N221" s="22" t="s">
        <v>764</v>
      </c>
      <c r="O221" s="23" t="s">
        <v>207</v>
      </c>
      <c r="P221" s="22" t="str">
        <f>"85705"</f>
        <v>85705</v>
      </c>
      <c r="Q221" s="22" t="str">
        <f>"1048"</f>
        <v>1048</v>
      </c>
      <c r="R221" s="22" t="s">
        <v>996</v>
      </c>
      <c r="S221" s="23" t="s">
        <v>18842</v>
      </c>
      <c r="T221" s="22" t="s">
        <v>18945</v>
      </c>
      <c r="U221" s="22" t="s">
        <v>18713</v>
      </c>
      <c r="V221" s="22" t="s">
        <v>18731</v>
      </c>
      <c r="W221" s="22" t="s">
        <v>18731</v>
      </c>
      <c r="X221" s="22" t="s">
        <v>18731</v>
      </c>
      <c r="Y221" s="23">
        <v>10</v>
      </c>
      <c r="Z221" s="22" t="s">
        <v>18723</v>
      </c>
    </row>
    <row r="222" spans="1:26" hidden="1" x14ac:dyDescent="0.2">
      <c r="A222" s="24" t="s">
        <v>19234</v>
      </c>
      <c r="B222" s="25" t="s">
        <v>19235</v>
      </c>
      <c r="C222" s="24" t="str">
        <f>"000"</f>
        <v>000</v>
      </c>
      <c r="D222" s="24" t="s">
        <v>19199</v>
      </c>
      <c r="E222" s="25" t="s">
        <v>19236</v>
      </c>
      <c r="F222" s="25" t="s">
        <v>19236</v>
      </c>
      <c r="G222" s="25" t="e">
        <f>VLOOKUP(F222,[1]CHILDCARE_FACILITIES!N:Q,4,0)</f>
        <v>#N/A</v>
      </c>
      <c r="H222" s="25" t="e">
        <f>VLOOKUP(G222,'[1]CACFP FRL'!D:G,4,0)</f>
        <v>#N/A</v>
      </c>
      <c r="I222" s="25" t="e">
        <f>VLOOKUP(G222,[1]CHILDCARE_FACILITIES!AK:AL,2,0)</f>
        <v>#N/A</v>
      </c>
      <c r="J222" s="25">
        <f>'[1]Head Start QF 1-5 Stars'!Q101</f>
        <v>483</v>
      </c>
      <c r="K222" s="24" t="s">
        <v>19234</v>
      </c>
      <c r="L222" s="25" t="s">
        <v>19237</v>
      </c>
      <c r="M222" s="25" t="s">
        <v>19238</v>
      </c>
      <c r="N222" s="25" t="s">
        <v>19239</v>
      </c>
      <c r="O222" s="24" t="s">
        <v>207</v>
      </c>
      <c r="P222" s="25" t="str">
        <f>"86435"</f>
        <v>86435</v>
      </c>
      <c r="Q222" s="25" t="str">
        <f>"0130"</f>
        <v>0130</v>
      </c>
      <c r="R222" s="25" t="s">
        <v>19091</v>
      </c>
      <c r="S222" s="24" t="s">
        <v>18818</v>
      </c>
      <c r="T222" s="25" t="s">
        <v>19240</v>
      </c>
      <c r="U222" s="25" t="s">
        <v>19241</v>
      </c>
      <c r="V222" s="25" t="s">
        <v>18714</v>
      </c>
      <c r="W222" s="25" t="s">
        <v>18714</v>
      </c>
      <c r="X222" s="25" t="s">
        <v>18731</v>
      </c>
      <c r="Y222" s="24">
        <v>20</v>
      </c>
      <c r="Z222" s="25" t="s">
        <v>18723</v>
      </c>
    </row>
    <row r="223" spans="1:26" hidden="1" x14ac:dyDescent="0.2">
      <c r="A223" s="24" t="s">
        <v>19242</v>
      </c>
      <c r="B223" s="25" t="s">
        <v>19235</v>
      </c>
      <c r="C223" s="24" t="str">
        <f>"200"</f>
        <v>200</v>
      </c>
      <c r="D223" s="24" t="s">
        <v>19216</v>
      </c>
      <c r="E223" s="25" t="s">
        <v>19243</v>
      </c>
      <c r="F223" s="25" t="s">
        <v>19244</v>
      </c>
      <c r="G223" s="25" t="e">
        <f>VLOOKUP(F223,[1]CHILDCARE_FACILITIES!N:Q,4,0)</f>
        <v>#N/A</v>
      </c>
      <c r="H223" s="25" t="e">
        <f>VLOOKUP(G223,'[1]CACFP FRL'!D:G,4,0)</f>
        <v>#N/A</v>
      </c>
      <c r="I223" s="25" t="e">
        <f>VLOOKUP(G223,[1]CHILDCARE_FACILITIES!AK:AL,2,0)</f>
        <v>#N/A</v>
      </c>
      <c r="J223" s="25" t="e">
        <f>VLOOKUP(I223,'[1]Head Start QF 1-5 Stars'!O:Q,3,0)</f>
        <v>#N/A</v>
      </c>
      <c r="K223" s="24" t="s">
        <v>19242</v>
      </c>
      <c r="L223" s="25" t="s">
        <v>19245</v>
      </c>
      <c r="M223" s="25" t="s">
        <v>1637</v>
      </c>
      <c r="N223" s="25" t="s">
        <v>19239</v>
      </c>
      <c r="O223" s="24" t="s">
        <v>207</v>
      </c>
      <c r="P223" s="25" t="str">
        <f>"86435"</f>
        <v>86435</v>
      </c>
      <c r="Q223" s="25" t="str">
        <f>"5100"</f>
        <v>5100</v>
      </c>
      <c r="R223" s="25" t="s">
        <v>19091</v>
      </c>
      <c r="S223" s="24" t="s">
        <v>18818</v>
      </c>
      <c r="T223" s="25" t="s">
        <v>19240</v>
      </c>
      <c r="U223" s="25" t="s">
        <v>19241</v>
      </c>
      <c r="V223" s="25" t="s">
        <v>18714</v>
      </c>
      <c r="W223" s="25" t="s">
        <v>18714</v>
      </c>
      <c r="X223" s="25" t="s">
        <v>18731</v>
      </c>
      <c r="Y223" s="24">
        <v>2</v>
      </c>
      <c r="Z223" s="25" t="s">
        <v>18723</v>
      </c>
    </row>
    <row r="224" spans="1:26" hidden="1" x14ac:dyDescent="0.2">
      <c r="A224" s="24" t="s">
        <v>19246</v>
      </c>
      <c r="B224" s="25" t="s">
        <v>19247</v>
      </c>
      <c r="C224" s="24" t="str">
        <f>"000"</f>
        <v>000</v>
      </c>
      <c r="D224" s="24" t="s">
        <v>19199</v>
      </c>
      <c r="E224" s="25" t="s">
        <v>19248</v>
      </c>
      <c r="F224" s="25" t="s">
        <v>19249</v>
      </c>
      <c r="G224" s="25" t="e">
        <f>VLOOKUP(F224,[1]CHILDCARE_FACILITIES!N:Q,4,0)</f>
        <v>#N/A</v>
      </c>
      <c r="H224" s="25" t="e">
        <f>VLOOKUP(G224,'[1]CACFP FRL'!D:G,4,0)</f>
        <v>#N/A</v>
      </c>
      <c r="I224" s="25" t="e">
        <f>VLOOKUP(G224,[1]CHILDCARE_FACILITIES!AK:AL,2,0)</f>
        <v>#N/A</v>
      </c>
      <c r="J224" s="25" t="e">
        <f>VLOOKUP(I224,'[1]Head Start QF 1-5 Stars'!O:Q,3,0)</f>
        <v>#N/A</v>
      </c>
      <c r="K224" s="24" t="s">
        <v>19246</v>
      </c>
      <c r="L224" s="25" t="s">
        <v>19250</v>
      </c>
      <c r="M224" s="25" t="s">
        <v>19250</v>
      </c>
      <c r="N224" s="25" t="s">
        <v>19251</v>
      </c>
      <c r="O224" s="24" t="s">
        <v>207</v>
      </c>
      <c r="P224" s="25" t="str">
        <f>"86030"</f>
        <v>86030</v>
      </c>
      <c r="Q224" s="25" t="str">
        <f>""</f>
        <v/>
      </c>
      <c r="R224" s="25" t="s">
        <v>19156</v>
      </c>
      <c r="S224" s="24" t="s">
        <v>18818</v>
      </c>
      <c r="T224" s="25" t="s">
        <v>19252</v>
      </c>
      <c r="U224" s="25" t="s">
        <v>18713</v>
      </c>
      <c r="V224" s="25" t="s">
        <v>18731</v>
      </c>
      <c r="W224" s="25" t="s">
        <v>18714</v>
      </c>
      <c r="X224" s="25" t="s">
        <v>18714</v>
      </c>
      <c r="Y224" s="24">
        <v>20</v>
      </c>
      <c r="Z224" s="25" t="s">
        <v>18723</v>
      </c>
    </row>
    <row r="225" spans="1:26" hidden="1" x14ac:dyDescent="0.2">
      <c r="A225" s="24" t="s">
        <v>19246</v>
      </c>
      <c r="B225" s="25" t="s">
        <v>19247</v>
      </c>
      <c r="C225" s="24" t="str">
        <f>"000"</f>
        <v>000</v>
      </c>
      <c r="D225" s="24" t="s">
        <v>19199</v>
      </c>
      <c r="E225" s="25" t="s">
        <v>19248</v>
      </c>
      <c r="F225" s="25" t="s">
        <v>19253</v>
      </c>
      <c r="G225" s="25" t="e">
        <f>VLOOKUP(F225,[1]CHILDCARE_FACILITIES!N:Q,4,0)</f>
        <v>#N/A</v>
      </c>
      <c r="H225" s="25" t="e">
        <f>VLOOKUP(G225,'[1]CACFP FRL'!D:G,4,0)</f>
        <v>#N/A</v>
      </c>
      <c r="I225" s="25" t="e">
        <f>VLOOKUP(G225,[1]CHILDCARE_FACILITIES!AK:AL,2,0)</f>
        <v>#N/A</v>
      </c>
      <c r="J225" s="25" t="e">
        <f>VLOOKUP(I225,'[1]Head Start QF 1-5 Stars'!O:Q,3,0)</f>
        <v>#N/A</v>
      </c>
      <c r="K225" s="24" t="s">
        <v>19246</v>
      </c>
      <c r="L225" s="25" t="s">
        <v>19254</v>
      </c>
      <c r="M225" s="25" t="s">
        <v>19255</v>
      </c>
      <c r="N225" s="25" t="s">
        <v>19256</v>
      </c>
      <c r="O225" s="24" t="s">
        <v>207</v>
      </c>
      <c r="P225" s="25" t="str">
        <f>"86045"</f>
        <v>86045</v>
      </c>
      <c r="Q225" s="25" t="str">
        <f>""</f>
        <v/>
      </c>
      <c r="R225" s="25" t="s">
        <v>19091</v>
      </c>
      <c r="S225" s="24" t="s">
        <v>18818</v>
      </c>
      <c r="T225" s="25" t="s">
        <v>19257</v>
      </c>
      <c r="U225" s="25" t="s">
        <v>18713</v>
      </c>
      <c r="V225" s="25" t="s">
        <v>18714</v>
      </c>
      <c r="W225" s="25" t="s">
        <v>18714</v>
      </c>
      <c r="X225" s="25" t="s">
        <v>18714</v>
      </c>
      <c r="Y225" s="24">
        <v>80</v>
      </c>
      <c r="Z225" s="25" t="s">
        <v>18723</v>
      </c>
    </row>
    <row r="226" spans="1:26" hidden="1" x14ac:dyDescent="0.2">
      <c r="A226" s="23" t="s">
        <v>18716</v>
      </c>
      <c r="B226" s="22" t="s">
        <v>18717</v>
      </c>
      <c r="C226" s="23" t="str">
        <f>"200"</f>
        <v>200</v>
      </c>
      <c r="D226" s="23" t="s">
        <v>18706</v>
      </c>
      <c r="E226" s="22" t="s">
        <v>18717</v>
      </c>
      <c r="F226" s="22" t="s">
        <v>68</v>
      </c>
      <c r="G226" s="22" t="str">
        <f>VLOOKUP(F226,[1]CHILDCARE_FACILITIES!N:Q,4,0)</f>
        <v>CDC-12996</v>
      </c>
      <c r="H226" s="22" t="e">
        <f>VLOOKUP(G226,'[1]CACFP FRL'!D:G,4,0)</f>
        <v>#N/A</v>
      </c>
      <c r="I226" s="22" t="str">
        <f>VLOOKUP(G226,[1]CHILDCARE_FACILITIES!AK:AL,2,0)</f>
        <v>CDC12996</v>
      </c>
      <c r="J226" s="22" t="e">
        <f>VLOOKUP(I226,'[1]Head Start QF 1-5 Stars'!O:Q,3,0)</f>
        <v>#N/A</v>
      </c>
      <c r="K226" s="23" t="s">
        <v>18716</v>
      </c>
      <c r="L226" s="22" t="s">
        <v>18766</v>
      </c>
      <c r="M226" s="22" t="s">
        <v>1637</v>
      </c>
      <c r="N226" s="22" t="s">
        <v>541</v>
      </c>
      <c r="O226" s="23" t="s">
        <v>207</v>
      </c>
      <c r="P226" s="22" t="str">
        <f>"85323"</f>
        <v>85323</v>
      </c>
      <c r="Q226" s="22" t="str">
        <f>"1333"</f>
        <v>1333</v>
      </c>
      <c r="R226" s="22" t="s">
        <v>18710</v>
      </c>
      <c r="S226" s="23" t="s">
        <v>18721</v>
      </c>
      <c r="T226" s="22" t="s">
        <v>19258</v>
      </c>
      <c r="U226" s="22" t="s">
        <v>18713</v>
      </c>
      <c r="V226" s="22" t="s">
        <v>18714</v>
      </c>
      <c r="W226" s="22" t="s">
        <v>18714</v>
      </c>
      <c r="X226" s="22" t="s">
        <v>18714</v>
      </c>
      <c r="Y226" s="23">
        <v>8</v>
      </c>
      <c r="Z226" s="22" t="s">
        <v>18723</v>
      </c>
    </row>
    <row r="227" spans="1:26" hidden="1" x14ac:dyDescent="0.2">
      <c r="A227" s="24" t="s">
        <v>19246</v>
      </c>
      <c r="B227" s="25" t="s">
        <v>19247</v>
      </c>
      <c r="C227" s="24" t="str">
        <f>"000"</f>
        <v>000</v>
      </c>
      <c r="D227" s="24" t="s">
        <v>19199</v>
      </c>
      <c r="E227" s="25" t="s">
        <v>19248</v>
      </c>
      <c r="F227" s="25" t="s">
        <v>19259</v>
      </c>
      <c r="G227" s="25" t="e">
        <f>VLOOKUP(F227,[1]CHILDCARE_FACILITIES!N:Q,4,0)</f>
        <v>#N/A</v>
      </c>
      <c r="H227" s="25" t="e">
        <f>VLOOKUP(G227,'[1]CACFP FRL'!D:G,4,0)</f>
        <v>#N/A</v>
      </c>
      <c r="I227" s="25" t="e">
        <f>VLOOKUP(G227,[1]CHILDCARE_FACILITIES!AK:AL,2,0)</f>
        <v>#N/A</v>
      </c>
      <c r="J227" s="25" t="e">
        <f>VLOOKUP(I227,'[1]Head Start QF 1-5 Stars'!O:Q,3,0)</f>
        <v>#N/A</v>
      </c>
      <c r="K227" s="24" t="s">
        <v>19246</v>
      </c>
      <c r="L227" s="25" t="s">
        <v>19260</v>
      </c>
      <c r="M227" s="25" t="s">
        <v>19260</v>
      </c>
      <c r="N227" s="25" t="s">
        <v>19261</v>
      </c>
      <c r="O227" s="24" t="s">
        <v>207</v>
      </c>
      <c r="P227" s="25" t="str">
        <f>"86042"</f>
        <v>86042</v>
      </c>
      <c r="Q227" s="25" t="str">
        <f>""</f>
        <v/>
      </c>
      <c r="R227" s="25" t="s">
        <v>19156</v>
      </c>
      <c r="S227" s="24" t="s">
        <v>18818</v>
      </c>
      <c r="T227" s="25" t="s">
        <v>19257</v>
      </c>
      <c r="U227" s="25" t="s">
        <v>18713</v>
      </c>
      <c r="V227" s="25" t="s">
        <v>18731</v>
      </c>
      <c r="W227" s="25" t="s">
        <v>18714</v>
      </c>
      <c r="X227" s="25" t="s">
        <v>18714</v>
      </c>
      <c r="Y227" s="24">
        <v>55</v>
      </c>
      <c r="Z227" s="25" t="s">
        <v>18723</v>
      </c>
    </row>
    <row r="228" spans="1:26" hidden="1" x14ac:dyDescent="0.2">
      <c r="A228" s="23" t="s">
        <v>18822</v>
      </c>
      <c r="B228" s="22" t="s">
        <v>18823</v>
      </c>
      <c r="C228" s="23" t="str">
        <f>"200"</f>
        <v>200</v>
      </c>
      <c r="D228" s="23" t="s">
        <v>18706</v>
      </c>
      <c r="E228" s="22" t="s">
        <v>18823</v>
      </c>
      <c r="F228" s="22" t="s">
        <v>45</v>
      </c>
      <c r="G228" s="22" t="str">
        <f>VLOOKUP(F228,[1]CHILDCARE_FACILITIES!N:Q,4,0)</f>
        <v>CDC-4755</v>
      </c>
      <c r="H228" s="22">
        <f>VLOOKUP(G228,'[1]CACFP FRL'!D:G,4,0)</f>
        <v>7936</v>
      </c>
      <c r="I228" s="22" t="str">
        <f>VLOOKUP(G228,[1]CHILDCARE_FACILITIES!AK:AL,2,0)</f>
        <v>CDC4755</v>
      </c>
      <c r="J228" s="22" t="e">
        <f>VLOOKUP(I228,'[1]Head Start QF 1-5 Stars'!O:Q,3,0)</f>
        <v>#N/A</v>
      </c>
      <c r="K228" s="23" t="s">
        <v>18822</v>
      </c>
      <c r="L228" s="22" t="s">
        <v>1517</v>
      </c>
      <c r="M228" s="22" t="s">
        <v>1637</v>
      </c>
      <c r="N228" s="22" t="s">
        <v>764</v>
      </c>
      <c r="O228" s="23" t="s">
        <v>207</v>
      </c>
      <c r="P228" s="22" t="str">
        <f>"85706"</f>
        <v>85706</v>
      </c>
      <c r="Q228" s="22" t="str">
        <f>"3257"</f>
        <v>3257</v>
      </c>
      <c r="R228" s="22" t="s">
        <v>996</v>
      </c>
      <c r="S228" s="23" t="s">
        <v>18721</v>
      </c>
      <c r="T228" s="22" t="s">
        <v>18946</v>
      </c>
      <c r="U228" s="22" t="s">
        <v>18713</v>
      </c>
      <c r="V228" s="22" t="s">
        <v>18731</v>
      </c>
      <c r="W228" s="22" t="s">
        <v>18731</v>
      </c>
      <c r="X228" s="22" t="s">
        <v>18731</v>
      </c>
      <c r="Y228" s="23">
        <v>10</v>
      </c>
      <c r="Z228" s="22" t="s">
        <v>18723</v>
      </c>
    </row>
    <row r="229" spans="1:26" hidden="1" x14ac:dyDescent="0.2">
      <c r="A229" s="24" t="s">
        <v>19246</v>
      </c>
      <c r="B229" s="25" t="s">
        <v>19247</v>
      </c>
      <c r="C229" s="24" t="str">
        <f>"000"</f>
        <v>000</v>
      </c>
      <c r="D229" s="24" t="s">
        <v>19199</v>
      </c>
      <c r="E229" s="25" t="s">
        <v>19248</v>
      </c>
      <c r="F229" s="25" t="s">
        <v>19262</v>
      </c>
      <c r="G229" s="25" t="e">
        <f>VLOOKUP(F229,[1]CHILDCARE_FACILITIES!N:Q,4,0)</f>
        <v>#N/A</v>
      </c>
      <c r="H229" s="25" t="e">
        <f>VLOOKUP(G229,'[1]CACFP FRL'!D:G,4,0)</f>
        <v>#N/A</v>
      </c>
      <c r="I229" s="25" t="e">
        <f>VLOOKUP(G229,[1]CHILDCARE_FACILITIES!AK:AL,2,0)</f>
        <v>#N/A</v>
      </c>
      <c r="J229" s="25" t="e">
        <f>VLOOKUP(I229,'[1]Head Start QF 1-5 Stars'!O:Q,3,0)</f>
        <v>#N/A</v>
      </c>
      <c r="K229" s="24" t="s">
        <v>19246</v>
      </c>
      <c r="L229" s="25" t="s">
        <v>19263</v>
      </c>
      <c r="M229" s="25" t="s">
        <v>19263</v>
      </c>
      <c r="N229" s="25" t="s">
        <v>19264</v>
      </c>
      <c r="O229" s="24" t="s">
        <v>207</v>
      </c>
      <c r="P229" s="25" t="str">
        <f>"86039"</f>
        <v>86039</v>
      </c>
      <c r="Q229" s="25" t="str">
        <f>""</f>
        <v/>
      </c>
      <c r="R229" s="25" t="s">
        <v>19156</v>
      </c>
      <c r="S229" s="24" t="s">
        <v>18818</v>
      </c>
      <c r="T229" s="25" t="s">
        <v>19257</v>
      </c>
      <c r="U229" s="25" t="s">
        <v>18713</v>
      </c>
      <c r="V229" s="25" t="s">
        <v>18714</v>
      </c>
      <c r="W229" s="25" t="s">
        <v>18714</v>
      </c>
      <c r="X229" s="25" t="s">
        <v>18714</v>
      </c>
      <c r="Y229" s="24">
        <v>40</v>
      </c>
      <c r="Z229" s="25" t="s">
        <v>18723</v>
      </c>
    </row>
    <row r="230" spans="1:26" hidden="1" x14ac:dyDescent="0.2">
      <c r="A230" s="24" t="s">
        <v>19265</v>
      </c>
      <c r="B230" s="25" t="s">
        <v>19266</v>
      </c>
      <c r="C230" s="24" t="str">
        <f>"000"</f>
        <v>000</v>
      </c>
      <c r="D230" s="24" t="s">
        <v>19199</v>
      </c>
      <c r="E230" s="25" t="s">
        <v>19267</v>
      </c>
      <c r="F230" s="25" t="s">
        <v>19268</v>
      </c>
      <c r="G230" s="25" t="e">
        <f>VLOOKUP(F230,[1]CHILDCARE_FACILITIES!N:Q,4,0)</f>
        <v>#N/A</v>
      </c>
      <c r="H230" s="25" t="e">
        <f>VLOOKUP(G230,'[1]CACFP FRL'!D:G,4,0)</f>
        <v>#N/A</v>
      </c>
      <c r="I230" s="25" t="e">
        <f>VLOOKUP(G230,[1]CHILDCARE_FACILITIES!AK:AL,2,0)</f>
        <v>#N/A</v>
      </c>
      <c r="J230" s="25" t="e">
        <f>VLOOKUP(I230,'[1]Head Start QF 1-5 Stars'!O:Q,3,0)</f>
        <v>#N/A</v>
      </c>
      <c r="K230" s="24" t="s">
        <v>19265</v>
      </c>
      <c r="L230" s="25" t="s">
        <v>19269</v>
      </c>
      <c r="M230" s="25" t="s">
        <v>1637</v>
      </c>
      <c r="N230" s="25" t="s">
        <v>374</v>
      </c>
      <c r="O230" s="24" t="s">
        <v>207</v>
      </c>
      <c r="P230" s="25" t="str">
        <f>"86434"</f>
        <v>86434</v>
      </c>
      <c r="Q230" s="25" t="str">
        <f>""</f>
        <v/>
      </c>
      <c r="R230" s="25" t="s">
        <v>18890</v>
      </c>
      <c r="S230" s="24" t="s">
        <v>18818</v>
      </c>
      <c r="T230" s="25" t="s">
        <v>19270</v>
      </c>
      <c r="U230" s="25" t="s">
        <v>18964</v>
      </c>
      <c r="V230" s="25" t="s">
        <v>18714</v>
      </c>
      <c r="W230" s="25" t="s">
        <v>18714</v>
      </c>
      <c r="X230" s="25" t="s">
        <v>18714</v>
      </c>
      <c r="Y230" s="24">
        <v>57</v>
      </c>
      <c r="Z230" s="25" t="s">
        <v>18723</v>
      </c>
    </row>
    <row r="231" spans="1:26" hidden="1" x14ac:dyDescent="0.2">
      <c r="A231" s="23" t="s">
        <v>18796</v>
      </c>
      <c r="B231" s="22" t="s">
        <v>18705</v>
      </c>
      <c r="C231" s="23" t="str">
        <f>"000"</f>
        <v>000</v>
      </c>
      <c r="D231" s="23" t="s">
        <v>18718</v>
      </c>
      <c r="E231" s="22" t="s">
        <v>19271</v>
      </c>
      <c r="F231" s="22" t="s">
        <v>19272</v>
      </c>
      <c r="G231" s="22" t="str">
        <f>[1]CHILDCARE_FACILITIES!Q2</f>
        <v>CDC-17859</v>
      </c>
      <c r="H231" s="22">
        <f>VLOOKUP(G231,'[1]CACFP FRL'!D:G,4,0)</f>
        <v>790972</v>
      </c>
      <c r="I231" s="22" t="str">
        <f>VLOOKUP(G231,[1]CHILDCARE_FACILITIES!AK:AL,2,0)</f>
        <v>CDC17859</v>
      </c>
      <c r="J231" s="22" t="e">
        <f>VLOOKUP(I231,'[1]Head Start QF 1-5 Stars'!O:Q,3,0)</f>
        <v>#N/A</v>
      </c>
      <c r="K231" s="23" t="s">
        <v>18796</v>
      </c>
      <c r="L231" s="22" t="s">
        <v>18708</v>
      </c>
      <c r="M231" s="22" t="s">
        <v>18709</v>
      </c>
      <c r="N231" s="22" t="s">
        <v>714</v>
      </c>
      <c r="O231" s="23" t="s">
        <v>207</v>
      </c>
      <c r="P231" s="22" t="str">
        <f>"85202"</f>
        <v>85202</v>
      </c>
      <c r="Q231" s="22" t="str">
        <f>"3942"</f>
        <v>3942</v>
      </c>
      <c r="R231" s="22" t="s">
        <v>18710</v>
      </c>
      <c r="S231" s="23" t="s">
        <v>18711</v>
      </c>
      <c r="U231" s="22" t="s">
        <v>18713</v>
      </c>
      <c r="V231" s="22" t="s">
        <v>18714</v>
      </c>
      <c r="W231" s="22" t="s">
        <v>18714</v>
      </c>
      <c r="X231" s="22" t="s">
        <v>18714</v>
      </c>
      <c r="Y231" s="23">
        <v>36</v>
      </c>
      <c r="Z231" s="22" t="s">
        <v>18715</v>
      </c>
    </row>
    <row r="232" spans="1:26" hidden="1" x14ac:dyDescent="0.2">
      <c r="A232" s="23" t="s">
        <v>18796</v>
      </c>
      <c r="B232" s="22" t="s">
        <v>18705</v>
      </c>
      <c r="C232" s="23" t="str">
        <f>"000"</f>
        <v>000</v>
      </c>
      <c r="D232" s="23" t="s">
        <v>18718</v>
      </c>
      <c r="E232" s="22" t="s">
        <v>19271</v>
      </c>
      <c r="F232" s="22" t="s">
        <v>19273</v>
      </c>
      <c r="G232" s="22" t="str">
        <f>VLOOKUP(F232,[1]CHILDCARE_FACILITIES!N:Q,4,0)</f>
        <v>CDC-17983</v>
      </c>
      <c r="H232" s="22" t="e">
        <f>VLOOKUP(G232,'[1]CACFP FRL'!D:G,4,0)</f>
        <v>#N/A</v>
      </c>
      <c r="I232" s="22" t="str">
        <f>VLOOKUP(G232,[1]CHILDCARE_FACILITIES!AK:AL,2,0)</f>
        <v>CDC17983</v>
      </c>
      <c r="J232" s="22" t="e">
        <f>VLOOKUP(I232,'[1]Head Start QF 1-5 Stars'!O:Q,3,0)</f>
        <v>#N/A</v>
      </c>
      <c r="K232" s="23" t="s">
        <v>18796</v>
      </c>
      <c r="L232" s="22" t="s">
        <v>1374</v>
      </c>
      <c r="M232" s="22" t="s">
        <v>1637</v>
      </c>
      <c r="N232" s="22" t="s">
        <v>714</v>
      </c>
      <c r="O232" s="23" t="s">
        <v>207</v>
      </c>
      <c r="P232" s="22" t="str">
        <f>"85202"</f>
        <v>85202</v>
      </c>
      <c r="Q232" s="22" t="str">
        <f>"1908"</f>
        <v>1908</v>
      </c>
      <c r="R232" s="22" t="s">
        <v>18710</v>
      </c>
      <c r="S232" s="23" t="s">
        <v>18711</v>
      </c>
      <c r="U232" s="22" t="s">
        <v>18713</v>
      </c>
      <c r="V232" s="22" t="s">
        <v>18714</v>
      </c>
      <c r="W232" s="22" t="s">
        <v>18714</v>
      </c>
      <c r="X232" s="22" t="s">
        <v>18714</v>
      </c>
      <c r="Y232" s="23">
        <v>20</v>
      </c>
      <c r="Z232" s="22" t="s">
        <v>18723</v>
      </c>
    </row>
    <row r="233" spans="1:26" hidden="1" x14ac:dyDescent="0.2">
      <c r="A233" s="23" t="s">
        <v>19037</v>
      </c>
      <c r="B233" s="22" t="s">
        <v>18874</v>
      </c>
      <c r="C233" s="23" t="str">
        <f>"200"</f>
        <v>200</v>
      </c>
      <c r="D233" s="23" t="s">
        <v>18706</v>
      </c>
      <c r="E233" s="22" t="s">
        <v>18875</v>
      </c>
      <c r="F233" s="22" t="s">
        <v>19274</v>
      </c>
      <c r="G233" s="22" t="str">
        <f>VLOOKUP(F233,[1]CHILDCARE_FACILITIES!N:Q,4,0)</f>
        <v>CDC-3745</v>
      </c>
      <c r="H233" s="22" t="e">
        <f>VLOOKUP(G233,'[1]CACFP FRL'!D:G,4,0)</f>
        <v>#N/A</v>
      </c>
      <c r="I233" s="22" t="str">
        <f>VLOOKUP(G233,[1]CHILDCARE_FACILITIES!AK:AL,2,0)</f>
        <v>CDC3745</v>
      </c>
      <c r="J233" s="22">
        <f>VLOOKUP(I233,'[1]Head Start QF 1-5 Stars'!O:Q,3,0)</f>
        <v>1414</v>
      </c>
      <c r="K233" s="23" t="s">
        <v>19037</v>
      </c>
      <c r="L233" s="22" t="s">
        <v>667</v>
      </c>
      <c r="M233" s="22" t="s">
        <v>1637</v>
      </c>
      <c r="N233" s="22" t="s">
        <v>495</v>
      </c>
      <c r="O233" s="23" t="s">
        <v>207</v>
      </c>
      <c r="P233" s="22" t="str">
        <f>"85016"</f>
        <v>85016</v>
      </c>
      <c r="Q233" s="22" t="str">
        <f>"6507"</f>
        <v>6507</v>
      </c>
      <c r="R233" s="22" t="s">
        <v>18710</v>
      </c>
      <c r="S233" s="23" t="s">
        <v>18711</v>
      </c>
      <c r="T233" s="22" t="s">
        <v>19039</v>
      </c>
      <c r="U233" s="22" t="s">
        <v>18713</v>
      </c>
      <c r="V233" s="22" t="s">
        <v>18714</v>
      </c>
      <c r="W233" s="22" t="s">
        <v>18714</v>
      </c>
      <c r="X233" s="22" t="s">
        <v>18714</v>
      </c>
      <c r="Y233" s="23">
        <v>36</v>
      </c>
      <c r="Z233" s="22" t="s">
        <v>18723</v>
      </c>
    </row>
    <row r="234" spans="1:26" hidden="1" x14ac:dyDescent="0.2">
      <c r="A234" s="23" t="s">
        <v>18796</v>
      </c>
      <c r="B234" s="22" t="s">
        <v>18705</v>
      </c>
      <c r="C234" s="23" t="str">
        <f>"000"</f>
        <v>000</v>
      </c>
      <c r="D234" s="23" t="s">
        <v>18718</v>
      </c>
      <c r="E234" s="22" t="s">
        <v>19271</v>
      </c>
      <c r="F234" s="22" t="s">
        <v>19275</v>
      </c>
      <c r="G234" s="22" t="str">
        <f>VLOOKUP(F234,[1]CHILDCARE_FACILITIES!N:Q,4,0)</f>
        <v>CDC-1660</v>
      </c>
      <c r="H234" s="22" t="e">
        <f>VLOOKUP(G234,'[1]CACFP FRL'!D:G,4,0)</f>
        <v>#N/A</v>
      </c>
      <c r="I234" s="22" t="str">
        <f>VLOOKUP(G234,[1]CHILDCARE_FACILITIES!AK:AL,2,0)</f>
        <v>CDC1660</v>
      </c>
      <c r="J234" s="22" t="e">
        <f>VLOOKUP(I234,'[1]Head Start QF 1-5 Stars'!O:Q,3,0)</f>
        <v>#N/A</v>
      </c>
      <c r="K234" s="23" t="s">
        <v>18796</v>
      </c>
      <c r="L234" s="22" t="s">
        <v>19276</v>
      </c>
      <c r="M234" s="22" t="s">
        <v>1637</v>
      </c>
      <c r="N234" s="22" t="s">
        <v>704</v>
      </c>
      <c r="O234" s="23" t="s">
        <v>207</v>
      </c>
      <c r="P234" s="22" t="str">
        <f>"85283"</f>
        <v>85283</v>
      </c>
      <c r="Q234" s="22" t="str">
        <f>"2816"</f>
        <v>2816</v>
      </c>
      <c r="R234" s="22" t="s">
        <v>18710</v>
      </c>
      <c r="S234" s="23" t="s">
        <v>18711</v>
      </c>
      <c r="T234" s="22" t="s">
        <v>19277</v>
      </c>
      <c r="U234" s="22" t="s">
        <v>18713</v>
      </c>
      <c r="V234" s="22" t="s">
        <v>18714</v>
      </c>
      <c r="W234" s="22" t="s">
        <v>18714</v>
      </c>
      <c r="X234" s="22" t="s">
        <v>18714</v>
      </c>
      <c r="Y234" s="23">
        <v>20</v>
      </c>
      <c r="Z234" s="22" t="s">
        <v>18723</v>
      </c>
    </row>
    <row r="235" spans="1:26" hidden="1" x14ac:dyDescent="0.2">
      <c r="A235" s="23" t="s">
        <v>19037</v>
      </c>
      <c r="B235" s="22" t="s">
        <v>18874</v>
      </c>
      <c r="C235" s="23" t="str">
        <f>"200"</f>
        <v>200</v>
      </c>
      <c r="D235" s="23" t="s">
        <v>18706</v>
      </c>
      <c r="E235" s="22" t="s">
        <v>18875</v>
      </c>
      <c r="F235" s="22" t="s">
        <v>19278</v>
      </c>
      <c r="G235" s="22" t="str">
        <f>VLOOKUP(F235,[1]CHILDCARE_FACILITIES!N:Q,4,0)</f>
        <v>CDC-17483</v>
      </c>
      <c r="H235" s="22" t="e">
        <f>VLOOKUP(G235,'[1]CACFP FRL'!D:G,4,0)</f>
        <v>#N/A</v>
      </c>
      <c r="I235" s="22" t="str">
        <f>VLOOKUP(G235,[1]CHILDCARE_FACILITIES!AK:AL,2,0)</f>
        <v>CDC17483</v>
      </c>
      <c r="J235" s="22" t="e">
        <f>VLOOKUP(I235,'[1]Head Start QF 1-5 Stars'!O:Q,3,0)</f>
        <v>#N/A</v>
      </c>
      <c r="K235" s="23" t="s">
        <v>19037</v>
      </c>
      <c r="L235" s="22" t="s">
        <v>1346</v>
      </c>
      <c r="M235" s="22" t="s">
        <v>1637</v>
      </c>
      <c r="N235" s="22" t="s">
        <v>495</v>
      </c>
      <c r="O235" s="23" t="s">
        <v>207</v>
      </c>
      <c r="P235" s="22" t="str">
        <f>"85014"</f>
        <v>85014</v>
      </c>
      <c r="Q235" s="22" t="str">
        <f>"4925"</f>
        <v>4925</v>
      </c>
      <c r="R235" s="22" t="s">
        <v>18710</v>
      </c>
      <c r="S235" s="23" t="s">
        <v>18711</v>
      </c>
      <c r="T235" s="22" t="s">
        <v>19039</v>
      </c>
      <c r="U235" s="22" t="s">
        <v>18713</v>
      </c>
      <c r="V235" s="22" t="s">
        <v>18731</v>
      </c>
      <c r="W235" s="22" t="s">
        <v>18731</v>
      </c>
      <c r="X235" s="22" t="s">
        <v>18731</v>
      </c>
      <c r="Y235" s="23">
        <v>12</v>
      </c>
      <c r="Z235" s="22" t="s">
        <v>18723</v>
      </c>
    </row>
    <row r="236" spans="1:26" hidden="1" x14ac:dyDescent="0.2">
      <c r="A236" s="23" t="s">
        <v>18796</v>
      </c>
      <c r="B236" s="22" t="s">
        <v>18705</v>
      </c>
      <c r="C236" s="23" t="str">
        <f>"000"</f>
        <v>000</v>
      </c>
      <c r="D236" s="23" t="s">
        <v>18718</v>
      </c>
      <c r="E236" s="22" t="s">
        <v>19271</v>
      </c>
      <c r="F236" s="22" t="s">
        <v>18790</v>
      </c>
      <c r="G236" s="22" t="str">
        <f>VLOOKUP(F236,[1]CHILDCARE_FACILITIES!N:Q,4,0)</f>
        <v>CDC-16876</v>
      </c>
      <c r="H236" s="22" t="e">
        <f>VLOOKUP(G236,'[1]CACFP FRL'!D:G,4,0)</f>
        <v>#N/A</v>
      </c>
      <c r="I236" s="22" t="str">
        <f>VLOOKUP(G236,[1]CHILDCARE_FACILITIES!AK:AL,2,0)</f>
        <v>CDC16876</v>
      </c>
      <c r="J236" s="22">
        <f>VLOOKUP(I236,'[1]Head Start QF 1-5 Stars'!O:Q,3,0)</f>
        <v>632</v>
      </c>
      <c r="K236" s="23" t="s">
        <v>18796</v>
      </c>
      <c r="L236" s="22" t="s">
        <v>18791</v>
      </c>
      <c r="M236" s="22" t="s">
        <v>1637</v>
      </c>
      <c r="N236" s="22" t="s">
        <v>714</v>
      </c>
      <c r="O236" s="23" t="s">
        <v>207</v>
      </c>
      <c r="P236" s="22" t="str">
        <f>"85204"</f>
        <v>85204</v>
      </c>
      <c r="Q236" s="22" t="str">
        <f>"5842"</f>
        <v>5842</v>
      </c>
      <c r="R236" s="22" t="s">
        <v>18710</v>
      </c>
      <c r="S236" s="23" t="s">
        <v>18711</v>
      </c>
      <c r="T236" s="22" t="s">
        <v>18792</v>
      </c>
      <c r="U236" s="22" t="s">
        <v>18713</v>
      </c>
      <c r="V236" s="22" t="s">
        <v>18714</v>
      </c>
      <c r="W236" s="22" t="s">
        <v>18714</v>
      </c>
      <c r="X236" s="22" t="s">
        <v>18714</v>
      </c>
      <c r="Y236" s="23">
        <v>55</v>
      </c>
      <c r="Z236" s="22" t="s">
        <v>18715</v>
      </c>
    </row>
    <row r="237" spans="1:26" hidden="1" x14ac:dyDescent="0.2">
      <c r="A237" s="23" t="s">
        <v>18822</v>
      </c>
      <c r="B237" s="22" t="s">
        <v>18823</v>
      </c>
      <c r="C237" s="23" t="str">
        <f>"200"</f>
        <v>200</v>
      </c>
      <c r="D237" s="23" t="s">
        <v>18706</v>
      </c>
      <c r="E237" s="22" t="s">
        <v>18823</v>
      </c>
      <c r="F237" s="22" t="s">
        <v>18947</v>
      </c>
      <c r="G237" s="22" t="str">
        <f>VLOOKUP(F237,[1]CHILDCARE_FACILITIES!N:Q,4,0)</f>
        <v>CDC-3655</v>
      </c>
      <c r="H237" s="22">
        <f>VLOOKUP(G237,'[1]CACFP FRL'!D:G,4,0)</f>
        <v>7938</v>
      </c>
      <c r="I237" s="22" t="str">
        <f>VLOOKUP(G237,[1]CHILDCARE_FACILITIES!AK:AL,2,0)</f>
        <v>CDC3655</v>
      </c>
      <c r="J237" s="22" t="e">
        <f>VLOOKUP(I237,'[1]Head Start QF 1-5 Stars'!O:Q,3,0)</f>
        <v>#N/A</v>
      </c>
      <c r="K237" s="23" t="s">
        <v>18822</v>
      </c>
      <c r="L237" s="22" t="s">
        <v>1539</v>
      </c>
      <c r="M237" s="22" t="s">
        <v>18948</v>
      </c>
      <c r="N237" s="22" t="s">
        <v>764</v>
      </c>
      <c r="O237" s="23" t="s">
        <v>207</v>
      </c>
      <c r="P237" s="22" t="str">
        <f>"85706"</f>
        <v>85706</v>
      </c>
      <c r="Q237" s="22" t="str">
        <f>"1958"</f>
        <v>1958</v>
      </c>
      <c r="R237" s="22" t="s">
        <v>996</v>
      </c>
      <c r="S237" s="23" t="s">
        <v>18721</v>
      </c>
      <c r="T237" s="22" t="s">
        <v>18949</v>
      </c>
      <c r="U237" s="22" t="s">
        <v>18713</v>
      </c>
      <c r="V237" s="22" t="s">
        <v>18731</v>
      </c>
      <c r="W237" s="22" t="s">
        <v>18731</v>
      </c>
      <c r="X237" s="22" t="s">
        <v>18731</v>
      </c>
      <c r="Y237" s="23">
        <v>22</v>
      </c>
      <c r="Z237" s="22" t="s">
        <v>18723</v>
      </c>
    </row>
    <row r="238" spans="1:26" s="25" customFormat="1" hidden="1" x14ac:dyDescent="0.2">
      <c r="A238" s="24" t="s">
        <v>18796</v>
      </c>
      <c r="B238" s="25" t="s">
        <v>18705</v>
      </c>
      <c r="C238" s="24" t="str">
        <f t="shared" ref="C238:C247" si="10">"000"</f>
        <v>000</v>
      </c>
      <c r="D238" s="24" t="s">
        <v>18718</v>
      </c>
      <c r="E238" s="25" t="s">
        <v>19271</v>
      </c>
      <c r="F238" s="25" t="s">
        <v>18798</v>
      </c>
      <c r="G238" s="25" t="e">
        <f>VLOOKUP(F238,[1]CHILDCARE_FACILITIES!N:Q,4,0)</f>
        <v>#N/A</v>
      </c>
      <c r="H238" s="25" t="e">
        <f>VLOOKUP(G238,'[1]CACFP FRL'!D:G,4,0)</f>
        <v>#N/A</v>
      </c>
      <c r="I238" s="25" t="e">
        <f>VLOOKUP(G238,[1]CHILDCARE_FACILITIES!AK:AL,2,0)</f>
        <v>#N/A</v>
      </c>
      <c r="J238" s="25" t="e">
        <f>VLOOKUP(I238,'[1]Head Start QF 1-5 Stars'!O:Q,3,0)</f>
        <v>#N/A</v>
      </c>
      <c r="K238" s="24" t="s">
        <v>18796</v>
      </c>
      <c r="L238" s="25" t="s">
        <v>18799</v>
      </c>
      <c r="M238" s="25" t="s">
        <v>1637</v>
      </c>
      <c r="N238" s="25" t="s">
        <v>714</v>
      </c>
      <c r="O238" s="24" t="s">
        <v>207</v>
      </c>
      <c r="P238" s="25" t="str">
        <f>"85204"</f>
        <v>85204</v>
      </c>
      <c r="Q238" s="25" t="str">
        <f>"2502"</f>
        <v>2502</v>
      </c>
      <c r="R238" s="25" t="s">
        <v>18710</v>
      </c>
      <c r="S238" s="24" t="s">
        <v>18711</v>
      </c>
      <c r="T238" s="25" t="s">
        <v>18800</v>
      </c>
      <c r="U238" s="25" t="s">
        <v>18713</v>
      </c>
      <c r="V238" s="25" t="s">
        <v>18714</v>
      </c>
      <c r="W238" s="25" t="s">
        <v>18714</v>
      </c>
      <c r="X238" s="25" t="s">
        <v>18714</v>
      </c>
      <c r="Y238" s="24">
        <v>20</v>
      </c>
      <c r="Z238" s="25" t="s">
        <v>18723</v>
      </c>
    </row>
    <row r="239" spans="1:26" hidden="1" x14ac:dyDescent="0.2">
      <c r="A239" s="23" t="s">
        <v>18796</v>
      </c>
      <c r="B239" s="22" t="s">
        <v>18705</v>
      </c>
      <c r="C239" s="23" t="str">
        <f t="shared" si="10"/>
        <v>000</v>
      </c>
      <c r="D239" s="23" t="s">
        <v>18718</v>
      </c>
      <c r="E239" s="22" t="s">
        <v>19271</v>
      </c>
      <c r="F239" s="22" t="s">
        <v>18970</v>
      </c>
      <c r="G239" s="22" t="str">
        <f>VLOOKUP(F239,[1]CHILDCARE_FACILITIES!N:Q,4,0)</f>
        <v>CDC-17844</v>
      </c>
      <c r="H239" s="22" t="e">
        <f>VLOOKUP(G239,'[1]CACFP FRL'!D:G,4,0)</f>
        <v>#N/A</v>
      </c>
      <c r="I239" s="22" t="str">
        <f>VLOOKUP(G239,[1]CHILDCARE_FACILITIES!AK:AL,2,0)</f>
        <v>CDC17844</v>
      </c>
      <c r="J239" s="22">
        <f>VLOOKUP(I239,'[1]Head Start QF 1-5 Stars'!O:Q,3,0)</f>
        <v>3026</v>
      </c>
      <c r="K239" s="23" t="s">
        <v>18796</v>
      </c>
      <c r="L239" s="22" t="s">
        <v>18971</v>
      </c>
      <c r="M239" s="22" t="s">
        <v>1637</v>
      </c>
      <c r="N239" s="22" t="s">
        <v>714</v>
      </c>
      <c r="O239" s="23" t="s">
        <v>207</v>
      </c>
      <c r="P239" s="22" t="str">
        <f>"85201"</f>
        <v>85201</v>
      </c>
      <c r="Q239" s="22" t="str">
        <f>"4105"</f>
        <v>4105</v>
      </c>
      <c r="R239" s="22" t="s">
        <v>18710</v>
      </c>
      <c r="S239" s="23" t="s">
        <v>18711</v>
      </c>
      <c r="T239" s="22" t="s">
        <v>19279</v>
      </c>
      <c r="U239" s="22" t="s">
        <v>18713</v>
      </c>
      <c r="V239" s="22" t="s">
        <v>18714</v>
      </c>
      <c r="W239" s="22" t="s">
        <v>18714</v>
      </c>
      <c r="X239" s="22" t="s">
        <v>18714</v>
      </c>
      <c r="Y239" s="23">
        <v>37</v>
      </c>
      <c r="Z239" s="22" t="s">
        <v>18723</v>
      </c>
    </row>
    <row r="240" spans="1:26" s="25" customFormat="1" hidden="1" x14ac:dyDescent="0.2">
      <c r="A240" s="23" t="s">
        <v>18796</v>
      </c>
      <c r="B240" s="22" t="s">
        <v>18705</v>
      </c>
      <c r="C240" s="23" t="str">
        <f t="shared" si="10"/>
        <v>000</v>
      </c>
      <c r="D240" s="23" t="s">
        <v>18718</v>
      </c>
      <c r="E240" s="22" t="s">
        <v>19271</v>
      </c>
      <c r="F240" s="22" t="s">
        <v>19280</v>
      </c>
      <c r="G240" s="22" t="str">
        <f>VLOOKUP(F240,[1]CHILDCARE_FACILITIES!N:Q,4,0)</f>
        <v>CDC-16364</v>
      </c>
      <c r="H240" s="22" t="e">
        <f>VLOOKUP(G240,'[1]CACFP FRL'!D:G,4,0)</f>
        <v>#N/A</v>
      </c>
      <c r="I240" s="22" t="str">
        <f>VLOOKUP(G240,[1]CHILDCARE_FACILITIES!AK:AL,2,0)</f>
        <v>CDC16364</v>
      </c>
      <c r="J240" s="22" t="e">
        <f>VLOOKUP(I240,'[1]Head Start QF 1-5 Stars'!O:Q,3,0)</f>
        <v>#N/A</v>
      </c>
      <c r="K240" s="23" t="s">
        <v>18796</v>
      </c>
      <c r="L240" s="22" t="s">
        <v>19281</v>
      </c>
      <c r="M240" s="22" t="s">
        <v>19282</v>
      </c>
      <c r="N240" s="22" t="s">
        <v>714</v>
      </c>
      <c r="O240" s="23" t="s">
        <v>207</v>
      </c>
      <c r="P240" s="22" t="str">
        <f>"85203"</f>
        <v>85203</v>
      </c>
      <c r="Q240" s="22" t="str">
        <f>"7124"</f>
        <v>7124</v>
      </c>
      <c r="R240" s="22" t="s">
        <v>18710</v>
      </c>
      <c r="S240" s="23" t="s">
        <v>18711</v>
      </c>
      <c r="T240" s="22" t="s">
        <v>19283</v>
      </c>
      <c r="U240" s="22" t="s">
        <v>18713</v>
      </c>
      <c r="V240" s="22" t="s">
        <v>18714</v>
      </c>
      <c r="W240" s="22" t="s">
        <v>18714</v>
      </c>
      <c r="X240" s="22" t="s">
        <v>18714</v>
      </c>
      <c r="Y240" s="23">
        <v>20</v>
      </c>
      <c r="Z240" s="22" t="s">
        <v>18723</v>
      </c>
    </row>
    <row r="241" spans="1:26" s="25" customFormat="1" hidden="1" x14ac:dyDescent="0.2">
      <c r="A241" s="23" t="s">
        <v>18796</v>
      </c>
      <c r="B241" s="22" t="s">
        <v>18705</v>
      </c>
      <c r="C241" s="23" t="str">
        <f t="shared" si="10"/>
        <v>000</v>
      </c>
      <c r="D241" s="23" t="s">
        <v>18718</v>
      </c>
      <c r="E241" s="22" t="s">
        <v>19271</v>
      </c>
      <c r="F241" s="22" t="s">
        <v>19080</v>
      </c>
      <c r="G241" s="22" t="str">
        <f>VLOOKUP(F241,[1]CHILDCARE_FACILITIES!N:Q,4,0)</f>
        <v>CDC-7866</v>
      </c>
      <c r="H241" s="22" t="e">
        <f>VLOOKUP(G241,'[1]CACFP FRL'!D:G,4,0)</f>
        <v>#N/A</v>
      </c>
      <c r="I241" s="22" t="str">
        <f>VLOOKUP(G241,[1]CHILDCARE_FACILITIES!AK:AL,2,0)</f>
        <v>CDC7866</v>
      </c>
      <c r="J241" s="22" t="e">
        <f>VLOOKUP(I241,'[1]Head Start QF 1-5 Stars'!O:Q,3,0)</f>
        <v>#N/A</v>
      </c>
      <c r="K241" s="23" t="s">
        <v>18796</v>
      </c>
      <c r="L241" s="22" t="s">
        <v>19081</v>
      </c>
      <c r="M241" s="22" t="s">
        <v>1637</v>
      </c>
      <c r="N241" s="22" t="s">
        <v>714</v>
      </c>
      <c r="O241" s="23" t="s">
        <v>207</v>
      </c>
      <c r="P241" s="22" t="str">
        <f>"85201"</f>
        <v>85201</v>
      </c>
      <c r="Q241" s="22" t="str">
        <f>"6756"</f>
        <v>6756</v>
      </c>
      <c r="R241" s="22" t="s">
        <v>18710</v>
      </c>
      <c r="S241" s="23" t="s">
        <v>18711</v>
      </c>
      <c r="T241" s="22" t="s">
        <v>19284</v>
      </c>
      <c r="U241" s="22" t="s">
        <v>18713</v>
      </c>
      <c r="V241" s="22" t="s">
        <v>18714</v>
      </c>
      <c r="W241" s="22" t="s">
        <v>18714</v>
      </c>
      <c r="X241" s="22" t="s">
        <v>18714</v>
      </c>
      <c r="Y241" s="23">
        <v>20</v>
      </c>
      <c r="Z241" s="22" t="s">
        <v>18723</v>
      </c>
    </row>
    <row r="242" spans="1:26" s="25" customFormat="1" hidden="1" x14ac:dyDescent="0.2">
      <c r="A242" s="23" t="s">
        <v>18796</v>
      </c>
      <c r="B242" s="22" t="s">
        <v>18705</v>
      </c>
      <c r="C242" s="23" t="str">
        <f t="shared" si="10"/>
        <v>000</v>
      </c>
      <c r="D242" s="23" t="s">
        <v>18718</v>
      </c>
      <c r="E242" s="22" t="s">
        <v>19271</v>
      </c>
      <c r="F242" s="22" t="s">
        <v>19085</v>
      </c>
      <c r="G242" s="22" t="str">
        <f>VLOOKUP(F242,[1]CHILDCARE_FACILITIES!N:Q,4,0)</f>
        <v>CDC-17071</v>
      </c>
      <c r="H242" s="22" t="e">
        <f>VLOOKUP(G242,'[1]CACFP FRL'!D:G,4,0)</f>
        <v>#N/A</v>
      </c>
      <c r="I242" s="22" t="str">
        <f>VLOOKUP(G242,[1]CHILDCARE_FACILITIES!AK:AL,2,0)</f>
        <v>CDC17071</v>
      </c>
      <c r="J242" s="22" t="e">
        <f>VLOOKUP(I242,'[1]Head Start QF 1-5 Stars'!O:Q,3,0)</f>
        <v>#N/A</v>
      </c>
      <c r="K242" s="23" t="s">
        <v>18796</v>
      </c>
      <c r="L242" s="22" t="s">
        <v>19086</v>
      </c>
      <c r="M242" s="22" t="s">
        <v>19087</v>
      </c>
      <c r="N242" s="22" t="s">
        <v>714</v>
      </c>
      <c r="O242" s="23" t="s">
        <v>207</v>
      </c>
      <c r="P242" s="22" t="str">
        <f>"85201"</f>
        <v>85201</v>
      </c>
      <c r="Q242" s="22" t="str">
        <f>"6701"</f>
        <v>6701</v>
      </c>
      <c r="R242" s="22" t="s">
        <v>18710</v>
      </c>
      <c r="S242" s="23" t="s">
        <v>18711</v>
      </c>
      <c r="T242" s="22" t="s">
        <v>19088</v>
      </c>
      <c r="U242" s="22" t="s">
        <v>18713</v>
      </c>
      <c r="V242" s="22" t="s">
        <v>18714</v>
      </c>
      <c r="W242" s="22" t="s">
        <v>18714</v>
      </c>
      <c r="X242" s="22" t="s">
        <v>18714</v>
      </c>
      <c r="Y242" s="23">
        <v>20</v>
      </c>
      <c r="Z242" s="22" t="s">
        <v>18723</v>
      </c>
    </row>
    <row r="243" spans="1:26" hidden="1" x14ac:dyDescent="0.2">
      <c r="A243" s="23" t="s">
        <v>18796</v>
      </c>
      <c r="B243" s="22" t="s">
        <v>18705</v>
      </c>
      <c r="C243" s="23" t="str">
        <f t="shared" si="10"/>
        <v>000</v>
      </c>
      <c r="D243" s="23" t="s">
        <v>18718</v>
      </c>
      <c r="E243" s="22" t="s">
        <v>19271</v>
      </c>
      <c r="F243" s="22" t="s">
        <v>19285</v>
      </c>
      <c r="G243" s="22" t="str">
        <f>VLOOKUP(F243,[1]CHILDCARE_FACILITIES!N:Q,4,0)</f>
        <v>CDC-17066</v>
      </c>
      <c r="H243" s="22" t="e">
        <f>VLOOKUP(G243,'[1]CACFP FRL'!D:G,4,0)</f>
        <v>#N/A</v>
      </c>
      <c r="I243" s="22" t="str">
        <f>VLOOKUP(G243,[1]CHILDCARE_FACILITIES!AK:AL,2,0)</f>
        <v>CDC17066</v>
      </c>
      <c r="J243" s="22">
        <f>VLOOKUP(I243,'[1]Head Start QF 1-5 Stars'!O:Q,3,0)</f>
        <v>2993</v>
      </c>
      <c r="K243" s="23" t="s">
        <v>18796</v>
      </c>
      <c r="L243" s="22" t="s">
        <v>19286</v>
      </c>
      <c r="M243" s="22" t="s">
        <v>19287</v>
      </c>
      <c r="N243" s="22" t="s">
        <v>19138</v>
      </c>
      <c r="O243" s="23" t="s">
        <v>207</v>
      </c>
      <c r="P243" s="22" t="str">
        <f>"85283"</f>
        <v>85283</v>
      </c>
      <c r="Q243" s="22" t="str">
        <f>"1027"</f>
        <v>1027</v>
      </c>
      <c r="R243" s="22" t="s">
        <v>18710</v>
      </c>
      <c r="S243" s="23" t="s">
        <v>18737</v>
      </c>
      <c r="T243" s="22" t="s">
        <v>19288</v>
      </c>
      <c r="U243" s="22" t="s">
        <v>18713</v>
      </c>
      <c r="V243" s="22" t="s">
        <v>18714</v>
      </c>
      <c r="W243" s="22" t="s">
        <v>18714</v>
      </c>
      <c r="X243" s="22" t="s">
        <v>18714</v>
      </c>
      <c r="Y243" s="23">
        <v>20</v>
      </c>
      <c r="Z243" s="22" t="s">
        <v>18723</v>
      </c>
    </row>
    <row r="244" spans="1:26" hidden="1" x14ac:dyDescent="0.2">
      <c r="A244" s="23" t="s">
        <v>18796</v>
      </c>
      <c r="B244" s="22" t="s">
        <v>18705</v>
      </c>
      <c r="C244" s="23" t="str">
        <f t="shared" si="10"/>
        <v>000</v>
      </c>
      <c r="D244" s="23" t="s">
        <v>18718</v>
      </c>
      <c r="E244" s="22" t="s">
        <v>19271</v>
      </c>
      <c r="F244" s="22" t="s">
        <v>19289</v>
      </c>
      <c r="G244" s="22" t="str">
        <f>VLOOKUP(F244,[1]CHILDCARE_FACILITIES!N:Q,4,0)</f>
        <v>CDC-16690</v>
      </c>
      <c r="H244" s="22" t="e">
        <f>VLOOKUP(G244,'[1]CACFP FRL'!D:G,4,0)</f>
        <v>#N/A</v>
      </c>
      <c r="I244" s="22" t="str">
        <f>VLOOKUP(G244,[1]CHILDCARE_FACILITIES!AK:AL,2,0)</f>
        <v>CDC16690</v>
      </c>
      <c r="J244" s="22" t="e">
        <f>VLOOKUP(I244,'[1]Head Start QF 1-5 Stars'!O:Q,3,0)</f>
        <v>#N/A</v>
      </c>
      <c r="K244" s="23" t="s">
        <v>18796</v>
      </c>
      <c r="L244" s="22" t="s">
        <v>19290</v>
      </c>
      <c r="M244" s="22" t="s">
        <v>1637</v>
      </c>
      <c r="N244" s="22" t="s">
        <v>724</v>
      </c>
      <c r="O244" s="23" t="s">
        <v>207</v>
      </c>
      <c r="P244" s="22" t="str">
        <f>"85225"</f>
        <v>85225</v>
      </c>
      <c r="Q244" s="22" t="str">
        <f>"4735"</f>
        <v>4735</v>
      </c>
      <c r="R244" s="22" t="s">
        <v>18710</v>
      </c>
      <c r="S244" s="23" t="s">
        <v>18711</v>
      </c>
      <c r="T244" s="22" t="s">
        <v>19291</v>
      </c>
      <c r="U244" s="22" t="s">
        <v>18713</v>
      </c>
      <c r="V244" s="22" t="s">
        <v>18714</v>
      </c>
      <c r="W244" s="22" t="s">
        <v>18714</v>
      </c>
      <c r="X244" s="22" t="s">
        <v>18714</v>
      </c>
      <c r="Y244" s="23">
        <v>20</v>
      </c>
      <c r="Z244" s="22" t="s">
        <v>18723</v>
      </c>
    </row>
    <row r="245" spans="1:26" hidden="1" x14ac:dyDescent="0.2">
      <c r="A245" s="23" t="s">
        <v>18796</v>
      </c>
      <c r="B245" s="22" t="s">
        <v>18705</v>
      </c>
      <c r="C245" s="23" t="str">
        <f t="shared" si="10"/>
        <v>000</v>
      </c>
      <c r="D245" s="23" t="s">
        <v>18718</v>
      </c>
      <c r="E245" s="22" t="s">
        <v>19271</v>
      </c>
      <c r="F245" s="22" t="s">
        <v>19126</v>
      </c>
      <c r="G245" s="22" t="str">
        <f>VLOOKUP(F245,[1]CHILDCARE_FACILITIES!N:Q,4,0)</f>
        <v>CDC-10936</v>
      </c>
      <c r="H245" s="22" t="e">
        <f>VLOOKUP(G245,'[1]CACFP FRL'!D:G,4,0)</f>
        <v>#N/A</v>
      </c>
      <c r="I245" s="22" t="str">
        <f>VLOOKUP(G245,[1]CHILDCARE_FACILITIES!AK:AL,2,0)</f>
        <v>CDC10936</v>
      </c>
      <c r="J245" s="22" t="e">
        <f>VLOOKUP(I245,'[1]Head Start QF 1-5 Stars'!O:Q,3,0)</f>
        <v>#N/A</v>
      </c>
      <c r="K245" s="23" t="s">
        <v>18796</v>
      </c>
      <c r="L245" s="22" t="s">
        <v>19127</v>
      </c>
      <c r="M245" s="22" t="s">
        <v>1637</v>
      </c>
      <c r="N245" s="22" t="s">
        <v>1593</v>
      </c>
      <c r="O245" s="23" t="s">
        <v>207</v>
      </c>
      <c r="P245" s="22" t="str">
        <f>"85233"</f>
        <v>85233</v>
      </c>
      <c r="Q245" s="22" t="str">
        <f>"5410"</f>
        <v>5410</v>
      </c>
      <c r="R245" s="22" t="s">
        <v>18710</v>
      </c>
      <c r="S245" s="23" t="s">
        <v>18832</v>
      </c>
      <c r="T245" s="22" t="s">
        <v>19128</v>
      </c>
      <c r="U245" s="22" t="s">
        <v>18713</v>
      </c>
      <c r="V245" s="22" t="s">
        <v>18714</v>
      </c>
      <c r="W245" s="22" t="s">
        <v>18714</v>
      </c>
      <c r="X245" s="22" t="s">
        <v>18714</v>
      </c>
      <c r="Y245" s="23">
        <v>20</v>
      </c>
      <c r="Z245" s="22" t="s">
        <v>18723</v>
      </c>
    </row>
    <row r="246" spans="1:26" hidden="1" x14ac:dyDescent="0.2">
      <c r="A246" s="23" t="s">
        <v>18796</v>
      </c>
      <c r="B246" s="22" t="s">
        <v>18705</v>
      </c>
      <c r="C246" s="23" t="str">
        <f t="shared" si="10"/>
        <v>000</v>
      </c>
      <c r="D246" s="23" t="s">
        <v>18718</v>
      </c>
      <c r="E246" s="22" t="s">
        <v>19271</v>
      </c>
      <c r="F246" s="22" t="s">
        <v>19136</v>
      </c>
      <c r="G246" s="22" t="str">
        <f>VLOOKUP(F246,[1]CHILDCARE_FACILITIES!N:Q,4,0)</f>
        <v>CDC-10137</v>
      </c>
      <c r="H246" s="22" t="e">
        <f>VLOOKUP(G246,'[1]CACFP FRL'!D:G,4,0)</f>
        <v>#N/A</v>
      </c>
      <c r="I246" s="22" t="str">
        <f>VLOOKUP(G246,[1]CHILDCARE_FACILITIES!AK:AL,2,0)</f>
        <v>CDC10137</v>
      </c>
      <c r="J246" s="22">
        <f>VLOOKUP(I246,'[1]Head Start QF 1-5 Stars'!O:Q,3,0)</f>
        <v>2991</v>
      </c>
      <c r="K246" s="23" t="s">
        <v>18796</v>
      </c>
      <c r="L246" s="22" t="s">
        <v>19137</v>
      </c>
      <c r="M246" s="22" t="s">
        <v>1637</v>
      </c>
      <c r="N246" s="22" t="s">
        <v>19138</v>
      </c>
      <c r="O246" s="23" t="s">
        <v>207</v>
      </c>
      <c r="P246" s="22" t="str">
        <f>"85283"</f>
        <v>85283</v>
      </c>
      <c r="Q246" s="22" t="str">
        <f>"2529"</f>
        <v>2529</v>
      </c>
      <c r="R246" s="22" t="s">
        <v>18710</v>
      </c>
      <c r="S246" s="23" t="s">
        <v>18737</v>
      </c>
      <c r="T246" s="22" t="s">
        <v>19292</v>
      </c>
      <c r="U246" s="22" t="s">
        <v>18713</v>
      </c>
      <c r="V246" s="22" t="s">
        <v>18714</v>
      </c>
      <c r="W246" s="22" t="s">
        <v>18714</v>
      </c>
      <c r="X246" s="22" t="s">
        <v>18714</v>
      </c>
      <c r="Y246" s="23">
        <v>20</v>
      </c>
      <c r="Z246" s="22" t="s">
        <v>18723</v>
      </c>
    </row>
    <row r="247" spans="1:26" hidden="1" x14ac:dyDescent="0.2">
      <c r="A247" s="23" t="s">
        <v>18796</v>
      </c>
      <c r="B247" s="22" t="s">
        <v>18705</v>
      </c>
      <c r="C247" s="23" t="str">
        <f t="shared" si="10"/>
        <v>000</v>
      </c>
      <c r="D247" s="23" t="s">
        <v>18718</v>
      </c>
      <c r="E247" s="22" t="s">
        <v>19271</v>
      </c>
      <c r="F247" s="22" t="s">
        <v>19293</v>
      </c>
      <c r="G247" s="22" t="str">
        <f>VLOOKUP(F247,[1]CHILDCARE_FACILITIES!N:Q,4,0)</f>
        <v>CDC-3295</v>
      </c>
      <c r="H247" s="22" t="e">
        <f>VLOOKUP(G247,'[1]CACFP FRL'!D:G,4,0)</f>
        <v>#N/A</v>
      </c>
      <c r="I247" s="22" t="str">
        <f>VLOOKUP(G247,[1]CHILDCARE_FACILITIES!AK:AL,2,0)</f>
        <v>CDC3295</v>
      </c>
      <c r="J247" s="22" t="e">
        <f>VLOOKUP(I247,'[1]Head Start QF 1-5 Stars'!O:Q,3,0)</f>
        <v>#N/A</v>
      </c>
      <c r="K247" s="23" t="s">
        <v>18796</v>
      </c>
      <c r="L247" s="22" t="s">
        <v>19294</v>
      </c>
      <c r="M247" s="22" t="s">
        <v>19295</v>
      </c>
      <c r="N247" s="22" t="s">
        <v>724</v>
      </c>
      <c r="O247" s="23" t="s">
        <v>207</v>
      </c>
      <c r="P247" s="22" t="str">
        <f>"85225"</f>
        <v>85225</v>
      </c>
      <c r="Q247" s="22" t="str">
        <f>"5659"</f>
        <v>5659</v>
      </c>
      <c r="R247" s="22" t="s">
        <v>18710</v>
      </c>
      <c r="S247" s="23" t="s">
        <v>18711</v>
      </c>
      <c r="T247" s="22" t="s">
        <v>19296</v>
      </c>
      <c r="U247" s="22" t="s">
        <v>18713</v>
      </c>
      <c r="V247" s="22" t="s">
        <v>18714</v>
      </c>
      <c r="W247" s="22" t="s">
        <v>18714</v>
      </c>
      <c r="X247" s="22" t="s">
        <v>18714</v>
      </c>
      <c r="Y247" s="23">
        <v>20</v>
      </c>
      <c r="Z247" s="22" t="s">
        <v>18723</v>
      </c>
    </row>
    <row r="248" spans="1:26" hidden="1" x14ac:dyDescent="0.2">
      <c r="A248" s="23" t="s">
        <v>19037</v>
      </c>
      <c r="B248" s="22" t="s">
        <v>18874</v>
      </c>
      <c r="C248" s="23" t="str">
        <f>"200"</f>
        <v>200</v>
      </c>
      <c r="D248" s="23" t="s">
        <v>18706</v>
      </c>
      <c r="E248" s="22" t="s">
        <v>18875</v>
      </c>
      <c r="F248" s="22" t="s">
        <v>19297</v>
      </c>
      <c r="G248" s="22" t="str">
        <f>VLOOKUP(F248,[1]CHILDCARE_FACILITIES!N:Q,4,0)</f>
        <v>CDC-11649</v>
      </c>
      <c r="H248" s="22" t="e">
        <f>VLOOKUP(G248,'[1]CACFP FRL'!D:G,4,0)</f>
        <v>#N/A</v>
      </c>
      <c r="I248" s="22" t="str">
        <f>VLOOKUP(G248,[1]CHILDCARE_FACILITIES!AK:AL,2,0)</f>
        <v>CDC11649</v>
      </c>
      <c r="J248" s="22">
        <f>VLOOKUP(I248,'[1]Head Start QF 1-5 Stars'!O:Q,3,0)</f>
        <v>1406</v>
      </c>
      <c r="K248" s="23" t="s">
        <v>19037</v>
      </c>
      <c r="L248" s="22" t="s">
        <v>19298</v>
      </c>
      <c r="M248" s="22" t="s">
        <v>1637</v>
      </c>
      <c r="N248" s="22" t="s">
        <v>495</v>
      </c>
      <c r="O248" s="23" t="s">
        <v>207</v>
      </c>
      <c r="P248" s="22" t="str">
        <f>"85014"</f>
        <v>85014</v>
      </c>
      <c r="Q248" s="22" t="str">
        <f>"4225"</f>
        <v>4225</v>
      </c>
      <c r="R248" s="22" t="s">
        <v>18710</v>
      </c>
      <c r="S248" s="23" t="s">
        <v>18711</v>
      </c>
      <c r="T248" s="22" t="s">
        <v>19039</v>
      </c>
      <c r="U248" s="22" t="s">
        <v>18713</v>
      </c>
      <c r="V248" s="22" t="s">
        <v>18731</v>
      </c>
      <c r="W248" s="22" t="s">
        <v>18731</v>
      </c>
      <c r="X248" s="22" t="s">
        <v>18731</v>
      </c>
      <c r="Y248" s="23">
        <v>24</v>
      </c>
      <c r="Z248" s="22" t="s">
        <v>18723</v>
      </c>
    </row>
    <row r="249" spans="1:26" hidden="1" x14ac:dyDescent="0.2">
      <c r="A249" s="23" t="s">
        <v>18759</v>
      </c>
      <c r="B249" s="22" t="s">
        <v>18760</v>
      </c>
      <c r="C249" s="23" t="str">
        <f>"200"</f>
        <v>200</v>
      </c>
      <c r="D249" s="23" t="s">
        <v>18706</v>
      </c>
      <c r="E249" s="22" t="s">
        <v>18761</v>
      </c>
      <c r="F249" s="22" t="s">
        <v>19299</v>
      </c>
      <c r="G249" s="22" t="e">
        <f>VLOOKUP(F249,[1]CHILDCARE_FACILITIES!N:Q,4,0)</f>
        <v>#N/A</v>
      </c>
      <c r="H249" s="22" t="e">
        <f>VLOOKUP(G249,'[1]CACFP FRL'!D:G,4,0)</f>
        <v>#N/A</v>
      </c>
      <c r="I249" s="22" t="e">
        <f>VLOOKUP(G249,[1]CHILDCARE_FACILITIES!AK:AL,2,0)</f>
        <v>#N/A</v>
      </c>
      <c r="J249" s="22" t="e">
        <f>VLOOKUP(I249,'[1]Head Start QF 1-5 Stars'!O:Q,3,0)</f>
        <v>#N/A</v>
      </c>
      <c r="K249" s="23" t="s">
        <v>18759</v>
      </c>
      <c r="L249" s="22" t="s">
        <v>19300</v>
      </c>
      <c r="M249" s="22" t="s">
        <v>1637</v>
      </c>
      <c r="N249" s="22" t="s">
        <v>19301</v>
      </c>
      <c r="O249" s="23" t="s">
        <v>207</v>
      </c>
      <c r="P249" s="22" t="str">
        <f>"85618"</f>
        <v>85618</v>
      </c>
      <c r="Q249" s="22" t="str">
        <f>"0227"</f>
        <v>0227</v>
      </c>
      <c r="R249" s="22" t="s">
        <v>18763</v>
      </c>
      <c r="S249" s="23" t="s">
        <v>18818</v>
      </c>
      <c r="T249" s="22" t="s">
        <v>19302</v>
      </c>
      <c r="U249" s="22" t="s">
        <v>18713</v>
      </c>
      <c r="V249" s="22" t="s">
        <v>18714</v>
      </c>
      <c r="W249" s="22" t="s">
        <v>18714</v>
      </c>
      <c r="X249" s="22" t="s">
        <v>18714</v>
      </c>
      <c r="Y249" s="23">
        <v>30</v>
      </c>
      <c r="Z249" s="22" t="s">
        <v>18723</v>
      </c>
    </row>
    <row r="250" spans="1:26" s="25" customFormat="1" hidden="1" x14ac:dyDescent="0.2">
      <c r="A250" s="23" t="s">
        <v>18796</v>
      </c>
      <c r="B250" s="22" t="s">
        <v>18705</v>
      </c>
      <c r="C250" s="23" t="str">
        <f>"000"</f>
        <v>000</v>
      </c>
      <c r="D250" s="23" t="s">
        <v>18718</v>
      </c>
      <c r="E250" s="22" t="s">
        <v>19271</v>
      </c>
      <c r="F250" s="22" t="s">
        <v>19303</v>
      </c>
      <c r="G250" s="22" t="str">
        <f>VLOOKUP(F250,[1]CHILDCARE_FACILITIES!N:Q,4,0)</f>
        <v>CDC-11765</v>
      </c>
      <c r="H250" s="22" t="e">
        <f>VLOOKUP(G250,'[1]CACFP FRL'!D:G,4,0)</f>
        <v>#N/A</v>
      </c>
      <c r="I250" s="22" t="str">
        <f>VLOOKUP(G250,[1]CHILDCARE_FACILITIES!AK:AL,2,0)</f>
        <v>CDC11765</v>
      </c>
      <c r="J250" s="22">
        <f>VLOOKUP(I250,'[1]Head Start QF 1-5 Stars'!O:Q,3,0)</f>
        <v>2783</v>
      </c>
      <c r="K250" s="23" t="s">
        <v>18796</v>
      </c>
      <c r="L250" s="22" t="s">
        <v>19304</v>
      </c>
      <c r="M250" s="22" t="s">
        <v>1637</v>
      </c>
      <c r="N250" s="22" t="s">
        <v>714</v>
      </c>
      <c r="O250" s="23" t="s">
        <v>207</v>
      </c>
      <c r="P250" s="22" t="str">
        <f>"85203"</f>
        <v>85203</v>
      </c>
      <c r="Q250" s="22" t="str">
        <f>"6533"</f>
        <v>6533</v>
      </c>
      <c r="R250" s="22" t="s">
        <v>18710</v>
      </c>
      <c r="S250" s="23" t="s">
        <v>18832</v>
      </c>
      <c r="T250" s="22" t="s">
        <v>19305</v>
      </c>
      <c r="U250" s="22" t="s">
        <v>18713</v>
      </c>
      <c r="V250" s="22" t="s">
        <v>18714</v>
      </c>
      <c r="W250" s="22" t="s">
        <v>18714</v>
      </c>
      <c r="X250" s="22" t="s">
        <v>18714</v>
      </c>
      <c r="Y250" s="23">
        <v>20</v>
      </c>
      <c r="Z250" s="22" t="s">
        <v>18723</v>
      </c>
    </row>
    <row r="251" spans="1:26" hidden="1" x14ac:dyDescent="0.2">
      <c r="A251" s="23" t="s">
        <v>18796</v>
      </c>
      <c r="B251" s="22" t="s">
        <v>18705</v>
      </c>
      <c r="C251" s="23" t="str">
        <f>"000"</f>
        <v>000</v>
      </c>
      <c r="D251" s="23" t="s">
        <v>18718</v>
      </c>
      <c r="E251" s="22" t="s">
        <v>19271</v>
      </c>
      <c r="F251" s="22" t="s">
        <v>19231</v>
      </c>
      <c r="G251" s="22" t="str">
        <f>VLOOKUP(F251,[1]CHILDCARE_FACILITIES!N:Q,4,0)</f>
        <v>CDC-16402</v>
      </c>
      <c r="H251" s="22" t="e">
        <f>VLOOKUP(G251,'[1]CACFP FRL'!D:G,4,0)</f>
        <v>#N/A</v>
      </c>
      <c r="I251" s="22" t="str">
        <f>VLOOKUP(G251,[1]CHILDCARE_FACILITIES!AK:AL,2,0)</f>
        <v>CDC16402</v>
      </c>
      <c r="J251" s="22" t="e">
        <f>VLOOKUP(I251,'[1]Head Start QF 1-5 Stars'!O:Q,3,0)</f>
        <v>#N/A</v>
      </c>
      <c r="K251" s="23" t="s">
        <v>18796</v>
      </c>
      <c r="L251" s="22" t="s">
        <v>19232</v>
      </c>
      <c r="M251" s="22" t="s">
        <v>1637</v>
      </c>
      <c r="N251" s="22" t="s">
        <v>714</v>
      </c>
      <c r="O251" s="23" t="s">
        <v>207</v>
      </c>
      <c r="P251" s="22" t="str">
        <f>"85201"</f>
        <v>85201</v>
      </c>
      <c r="Q251" s="22" t="str">
        <f>"6806"</f>
        <v>6806</v>
      </c>
      <c r="R251" s="22" t="s">
        <v>18710</v>
      </c>
      <c r="S251" s="23" t="s">
        <v>18711</v>
      </c>
      <c r="T251" s="22" t="s">
        <v>19306</v>
      </c>
      <c r="U251" s="22" t="s">
        <v>18713</v>
      </c>
      <c r="V251" s="22" t="s">
        <v>18714</v>
      </c>
      <c r="W251" s="22" t="s">
        <v>18714</v>
      </c>
      <c r="X251" s="22" t="s">
        <v>18714</v>
      </c>
      <c r="Y251" s="23">
        <v>17</v>
      </c>
      <c r="Z251" s="22" t="s">
        <v>18723</v>
      </c>
    </row>
    <row r="252" spans="1:26" hidden="1" x14ac:dyDescent="0.2">
      <c r="A252" s="23" t="s">
        <v>18796</v>
      </c>
      <c r="B252" s="22" t="s">
        <v>18705</v>
      </c>
      <c r="C252" s="23" t="str">
        <f>"000"</f>
        <v>000</v>
      </c>
      <c r="D252" s="23" t="s">
        <v>18718</v>
      </c>
      <c r="E252" s="22" t="s">
        <v>19271</v>
      </c>
      <c r="F252" s="22" t="s">
        <v>19307</v>
      </c>
      <c r="G252" s="22" t="str">
        <f>VLOOKUP(F252,[1]CHILDCARE_FACILITIES!N:Q,4,0)</f>
        <v>CDC-4720</v>
      </c>
      <c r="H252" s="22" t="e">
        <f>VLOOKUP(G252,'[1]CACFP FRL'!D:G,4,0)</f>
        <v>#N/A</v>
      </c>
      <c r="I252" s="22" t="str">
        <f>VLOOKUP(G252,[1]CHILDCARE_FACILITIES!AK:AL,2,0)</f>
        <v>CDC4720</v>
      </c>
      <c r="J252" s="22" t="e">
        <f>VLOOKUP(I252,'[1]Head Start QF 1-5 Stars'!O:Q,3,0)</f>
        <v>#N/A</v>
      </c>
      <c r="K252" s="23" t="s">
        <v>18796</v>
      </c>
      <c r="L252" s="22" t="s">
        <v>19308</v>
      </c>
      <c r="M252" s="22" t="s">
        <v>19309</v>
      </c>
      <c r="N252" s="22" t="s">
        <v>714</v>
      </c>
      <c r="O252" s="23" t="s">
        <v>207</v>
      </c>
      <c r="P252" s="22" t="str">
        <f>"85210"</f>
        <v>85210</v>
      </c>
      <c r="Q252" s="22" t="str">
        <f>"3736"</f>
        <v>3736</v>
      </c>
      <c r="R252" s="22" t="s">
        <v>18710</v>
      </c>
      <c r="S252" s="23" t="s">
        <v>18711</v>
      </c>
      <c r="T252" s="22" t="s">
        <v>19310</v>
      </c>
      <c r="U252" s="22" t="s">
        <v>18713</v>
      </c>
      <c r="V252" s="22" t="s">
        <v>18714</v>
      </c>
      <c r="W252" s="22" t="s">
        <v>18714</v>
      </c>
      <c r="X252" s="22" t="s">
        <v>18714</v>
      </c>
      <c r="Y252" s="23">
        <v>20</v>
      </c>
      <c r="Z252" s="22" t="s">
        <v>18723</v>
      </c>
    </row>
    <row r="253" spans="1:26" hidden="1" x14ac:dyDescent="0.2">
      <c r="A253" s="23" t="s">
        <v>18796</v>
      </c>
      <c r="B253" s="22" t="s">
        <v>18705</v>
      </c>
      <c r="C253" s="23" t="str">
        <f>"000"</f>
        <v>000</v>
      </c>
      <c r="D253" s="23" t="s">
        <v>18718</v>
      </c>
      <c r="E253" s="22" t="s">
        <v>19271</v>
      </c>
      <c r="F253" s="22" t="s">
        <v>19311</v>
      </c>
      <c r="G253" s="22" t="str">
        <f>VLOOKUP(F253,[1]CHILDCARE_FACILITIES!N:Q,4,0)</f>
        <v>CDC-4791</v>
      </c>
      <c r="H253" s="22" t="e">
        <f>VLOOKUP(G253,'[1]CACFP FRL'!D:G,4,0)</f>
        <v>#N/A</v>
      </c>
      <c r="I253" s="22" t="str">
        <f>VLOOKUP(G253,[1]CHILDCARE_FACILITIES!AK:AL,2,0)</f>
        <v>CDC4791</v>
      </c>
      <c r="J253" s="22">
        <f>VLOOKUP(I253,'[1]Head Start QF 1-5 Stars'!O:Q,3,0)</f>
        <v>2784</v>
      </c>
      <c r="K253" s="23" t="s">
        <v>18796</v>
      </c>
      <c r="L253" s="22" t="s">
        <v>19312</v>
      </c>
      <c r="M253" s="22" t="s">
        <v>19313</v>
      </c>
      <c r="N253" s="22" t="s">
        <v>714</v>
      </c>
      <c r="O253" s="23" t="s">
        <v>207</v>
      </c>
      <c r="P253" s="22" t="str">
        <f>"85204"</f>
        <v>85204</v>
      </c>
      <c r="Q253" s="22" t="str">
        <f>"4337"</f>
        <v>4337</v>
      </c>
      <c r="R253" s="22" t="s">
        <v>18710</v>
      </c>
      <c r="S253" s="23" t="s">
        <v>18832</v>
      </c>
      <c r="T253" s="22" t="s">
        <v>19314</v>
      </c>
      <c r="U253" s="22" t="s">
        <v>18713</v>
      </c>
      <c r="V253" s="22" t="s">
        <v>18714</v>
      </c>
      <c r="W253" s="22" t="s">
        <v>18714</v>
      </c>
      <c r="X253" s="22" t="s">
        <v>18714</v>
      </c>
      <c r="Y253" s="23">
        <v>40</v>
      </c>
      <c r="Z253" s="22" t="s">
        <v>18723</v>
      </c>
    </row>
    <row r="254" spans="1:26" hidden="1" x14ac:dyDescent="0.2">
      <c r="A254" s="23" t="s">
        <v>18759</v>
      </c>
      <c r="B254" s="22" t="s">
        <v>18760</v>
      </c>
      <c r="C254" s="23" t="str">
        <f>"200"</f>
        <v>200</v>
      </c>
      <c r="D254" s="23" t="s">
        <v>18706</v>
      </c>
      <c r="E254" s="22" t="s">
        <v>18761</v>
      </c>
      <c r="F254" s="22" t="s">
        <v>19315</v>
      </c>
      <c r="G254" s="22" t="e">
        <f>VLOOKUP(F254,[1]CHILDCARE_FACILITIES!N:Q,4,0)</f>
        <v>#N/A</v>
      </c>
      <c r="H254" s="22" t="e">
        <f>VLOOKUP(G254,'[1]CACFP FRL'!D:G,4,0)</f>
        <v>#N/A</v>
      </c>
      <c r="I254" s="22" t="e">
        <f>VLOOKUP(G254,[1]CHILDCARE_FACILITIES!AK:AL,2,0)</f>
        <v>#N/A</v>
      </c>
      <c r="J254" s="22" t="e">
        <f>VLOOKUP(I254,'[1]Head Start QF 1-5 Stars'!O:Q,3,0)</f>
        <v>#N/A</v>
      </c>
      <c r="K254" s="23" t="s">
        <v>18759</v>
      </c>
      <c r="L254" s="22" t="s">
        <v>19316</v>
      </c>
      <c r="M254" s="22" t="s">
        <v>1637</v>
      </c>
      <c r="N254" s="22" t="s">
        <v>1273</v>
      </c>
      <c r="O254" s="23" t="s">
        <v>207</v>
      </c>
      <c r="P254" s="22" t="str">
        <f>"85139"</f>
        <v>85139</v>
      </c>
      <c r="Q254" s="22" t="str">
        <f>""</f>
        <v/>
      </c>
      <c r="R254" s="22" t="s">
        <v>18763</v>
      </c>
      <c r="S254" s="23" t="s">
        <v>18818</v>
      </c>
      <c r="T254" s="22" t="s">
        <v>19317</v>
      </c>
      <c r="U254" s="22" t="s">
        <v>18713</v>
      </c>
      <c r="V254" s="22" t="s">
        <v>18731</v>
      </c>
      <c r="W254" s="22" t="s">
        <v>18731</v>
      </c>
      <c r="X254" s="22" t="s">
        <v>18731</v>
      </c>
      <c r="Y254" s="23">
        <v>20</v>
      </c>
      <c r="Z254" s="22" t="s">
        <v>18723</v>
      </c>
    </row>
    <row r="255" spans="1:26" hidden="1" x14ac:dyDescent="0.2">
      <c r="A255" s="23" t="s">
        <v>18796</v>
      </c>
      <c r="B255" s="22" t="s">
        <v>18705</v>
      </c>
      <c r="C255" s="23" t="str">
        <f>"000"</f>
        <v>000</v>
      </c>
      <c r="D255" s="23" t="s">
        <v>18718</v>
      </c>
      <c r="E255" s="22" t="s">
        <v>19271</v>
      </c>
      <c r="F255" s="22" t="s">
        <v>19318</v>
      </c>
      <c r="G255" s="22" t="str">
        <f>VLOOKUP(F255,[1]CHILDCARE_FACILITIES!N:Q,4,0)</f>
        <v>CDC-4721</v>
      </c>
      <c r="H255" s="22" t="e">
        <f>VLOOKUP(G255,'[1]CACFP FRL'!D:G,4,0)</f>
        <v>#N/A</v>
      </c>
      <c r="I255" s="22" t="str">
        <f>VLOOKUP(G255,[1]CHILDCARE_FACILITIES!AK:AL,2,0)</f>
        <v>CDC4721</v>
      </c>
      <c r="J255" s="22">
        <f>VLOOKUP(I255,'[1]Head Start QF 1-5 Stars'!O:Q,3,0)</f>
        <v>2785</v>
      </c>
      <c r="K255" s="23" t="s">
        <v>18796</v>
      </c>
      <c r="L255" s="22" t="s">
        <v>745</v>
      </c>
      <c r="M255" s="22" t="s">
        <v>19319</v>
      </c>
      <c r="N255" s="22" t="s">
        <v>714</v>
      </c>
      <c r="O255" s="23" t="s">
        <v>207</v>
      </c>
      <c r="P255" s="22" t="str">
        <f>"85204"</f>
        <v>85204</v>
      </c>
      <c r="Q255" s="22" t="str">
        <f>"2409"</f>
        <v>2409</v>
      </c>
      <c r="R255" s="22" t="s">
        <v>18710</v>
      </c>
      <c r="S255" s="23" t="s">
        <v>18832</v>
      </c>
      <c r="T255" s="22" t="s">
        <v>19320</v>
      </c>
      <c r="U255" s="22" t="s">
        <v>18713</v>
      </c>
      <c r="V255" s="22" t="s">
        <v>18714</v>
      </c>
      <c r="W255" s="22" t="s">
        <v>18714</v>
      </c>
      <c r="X255" s="22" t="s">
        <v>18714</v>
      </c>
      <c r="Y255" s="23">
        <v>20</v>
      </c>
      <c r="Z255" s="22" t="s">
        <v>18723</v>
      </c>
    </row>
    <row r="256" spans="1:26" hidden="1" x14ac:dyDescent="0.2">
      <c r="A256" s="23" t="s">
        <v>18796</v>
      </c>
      <c r="B256" s="22" t="s">
        <v>18705</v>
      </c>
      <c r="C256" s="23" t="str">
        <f>"000"</f>
        <v>000</v>
      </c>
      <c r="D256" s="23" t="s">
        <v>18718</v>
      </c>
      <c r="E256" s="22" t="s">
        <v>19271</v>
      </c>
      <c r="F256" s="22" t="s">
        <v>19321</v>
      </c>
      <c r="G256" s="22" t="str">
        <f>VLOOKUP(F256,[1]CHILDCARE_FACILITIES!N:Q,4,0)</f>
        <v>CDC-17463</v>
      </c>
      <c r="H256" s="22" t="e">
        <f>VLOOKUP(G256,'[1]CACFP FRL'!D:G,4,0)</f>
        <v>#N/A</v>
      </c>
      <c r="I256" s="22" t="str">
        <f>VLOOKUP(G256,[1]CHILDCARE_FACILITIES!AK:AL,2,0)</f>
        <v>CDC17463</v>
      </c>
      <c r="J256" s="22" t="e">
        <f>VLOOKUP(I256,'[1]Head Start QF 1-5 Stars'!O:Q,3,0)</f>
        <v>#N/A</v>
      </c>
      <c r="K256" s="23" t="s">
        <v>18796</v>
      </c>
      <c r="L256" s="22" t="s">
        <v>736</v>
      </c>
      <c r="M256" s="22" t="s">
        <v>19322</v>
      </c>
      <c r="N256" s="22" t="s">
        <v>714</v>
      </c>
      <c r="O256" s="23" t="s">
        <v>207</v>
      </c>
      <c r="P256" s="22" t="str">
        <f>"85204"</f>
        <v>85204</v>
      </c>
      <c r="Q256" s="22" t="str">
        <f>"2107"</f>
        <v>2107</v>
      </c>
      <c r="R256" s="22" t="s">
        <v>18710</v>
      </c>
      <c r="S256" s="23" t="s">
        <v>18711</v>
      </c>
      <c r="T256" s="22" t="s">
        <v>19323</v>
      </c>
      <c r="U256" s="22" t="s">
        <v>18713</v>
      </c>
      <c r="V256" s="22" t="s">
        <v>18714</v>
      </c>
      <c r="W256" s="22" t="s">
        <v>18714</v>
      </c>
      <c r="X256" s="22" t="s">
        <v>18714</v>
      </c>
      <c r="Y256" s="23">
        <v>34</v>
      </c>
      <c r="Z256" s="22" t="s">
        <v>18723</v>
      </c>
    </row>
    <row r="257" spans="1:26" s="25" customFormat="1" hidden="1" x14ac:dyDescent="0.2">
      <c r="A257" s="23" t="s">
        <v>18796</v>
      </c>
      <c r="B257" s="22" t="s">
        <v>18705</v>
      </c>
      <c r="C257" s="23" t="str">
        <f>"000"</f>
        <v>000</v>
      </c>
      <c r="D257" s="23" t="s">
        <v>18718</v>
      </c>
      <c r="E257" s="22" t="s">
        <v>19271</v>
      </c>
      <c r="F257" s="22" t="s">
        <v>19324</v>
      </c>
      <c r="G257" s="22" t="str">
        <f>VLOOKUP(F257,[1]CHILDCARE_FACILITIES!N:Q,4,0)</f>
        <v>CDC-12803</v>
      </c>
      <c r="H257" s="22" t="e">
        <f>VLOOKUP(G257,'[1]CACFP FRL'!D:G,4,0)</f>
        <v>#N/A</v>
      </c>
      <c r="I257" s="22" t="str">
        <f>VLOOKUP(G257,[1]CHILDCARE_FACILITIES!AK:AL,2,0)</f>
        <v>CDC12803</v>
      </c>
      <c r="J257" s="22" t="e">
        <f>VLOOKUP(I257,'[1]Head Start QF 1-5 Stars'!O:Q,3,0)</f>
        <v>#N/A</v>
      </c>
      <c r="K257" s="23" t="s">
        <v>18796</v>
      </c>
      <c r="L257" s="22" t="s">
        <v>19325</v>
      </c>
      <c r="M257" s="22" t="s">
        <v>1637</v>
      </c>
      <c r="N257" s="22" t="s">
        <v>704</v>
      </c>
      <c r="O257" s="23" t="s">
        <v>207</v>
      </c>
      <c r="P257" s="22" t="str">
        <f>"85281"</f>
        <v>85281</v>
      </c>
      <c r="Q257" s="22" t="str">
        <f>"1601"</f>
        <v>1601</v>
      </c>
      <c r="R257" s="22" t="s">
        <v>18710</v>
      </c>
      <c r="S257" s="23" t="s">
        <v>18711</v>
      </c>
      <c r="T257" s="22" t="s">
        <v>19326</v>
      </c>
      <c r="U257" s="22" t="s">
        <v>18713</v>
      </c>
      <c r="V257" s="22" t="s">
        <v>18714</v>
      </c>
      <c r="W257" s="22" t="s">
        <v>18714</v>
      </c>
      <c r="X257" s="22" t="s">
        <v>18714</v>
      </c>
      <c r="Y257" s="23">
        <v>20</v>
      </c>
      <c r="Z257" s="22" t="s">
        <v>18723</v>
      </c>
    </row>
    <row r="258" spans="1:26" hidden="1" x14ac:dyDescent="0.2">
      <c r="A258" s="23" t="s">
        <v>18796</v>
      </c>
      <c r="B258" s="22" t="s">
        <v>18705</v>
      </c>
      <c r="C258" s="23" t="str">
        <f>"000"</f>
        <v>000</v>
      </c>
      <c r="D258" s="23" t="s">
        <v>18718</v>
      </c>
      <c r="E258" s="22" t="s">
        <v>19271</v>
      </c>
      <c r="F258" s="22" t="s">
        <v>19327</v>
      </c>
      <c r="G258" s="22" t="str">
        <f>VLOOKUP(F258,[1]CHILDCARE_FACILITIES!N:Q,4,0)</f>
        <v>CDC-5314</v>
      </c>
      <c r="H258" s="22" t="e">
        <f>VLOOKUP(G258,'[1]CACFP FRL'!D:G,4,0)</f>
        <v>#N/A</v>
      </c>
      <c r="I258" s="22" t="str">
        <f>VLOOKUP(G258,[1]CHILDCARE_FACILITIES!AK:AL,2,0)</f>
        <v>CDC5314</v>
      </c>
      <c r="J258" s="22">
        <f>VLOOKUP(I258,'[1]Head Start QF 1-5 Stars'!O:Q,3,0)</f>
        <v>2992</v>
      </c>
      <c r="K258" s="23" t="s">
        <v>18796</v>
      </c>
      <c r="L258" s="22" t="s">
        <v>707</v>
      </c>
      <c r="M258" s="22" t="s">
        <v>1637</v>
      </c>
      <c r="N258" s="22" t="s">
        <v>708</v>
      </c>
      <c r="O258" s="23" t="s">
        <v>207</v>
      </c>
      <c r="P258" s="22" t="str">
        <f>"85251"</f>
        <v>85251</v>
      </c>
      <c r="Q258" s="22" t="str">
        <f>"6026"</f>
        <v>6026</v>
      </c>
      <c r="R258" s="22" t="s">
        <v>18710</v>
      </c>
      <c r="S258" s="23" t="s">
        <v>19033</v>
      </c>
      <c r="T258" s="22" t="s">
        <v>19328</v>
      </c>
      <c r="U258" s="22" t="s">
        <v>18713</v>
      </c>
      <c r="V258" s="22" t="s">
        <v>18714</v>
      </c>
      <c r="W258" s="22" t="s">
        <v>18714</v>
      </c>
      <c r="X258" s="22" t="s">
        <v>18714</v>
      </c>
      <c r="Y258" s="23">
        <v>20</v>
      </c>
      <c r="Z258" s="22" t="s">
        <v>18723</v>
      </c>
    </row>
    <row r="259" spans="1:26" hidden="1" x14ac:dyDescent="0.2">
      <c r="A259" s="23" t="s">
        <v>18704</v>
      </c>
      <c r="B259" s="22" t="s">
        <v>18705</v>
      </c>
      <c r="C259" s="23" t="str">
        <f>"200"</f>
        <v>200</v>
      </c>
      <c r="D259" s="23" t="s">
        <v>18706</v>
      </c>
      <c r="E259" s="22" t="s">
        <v>18705</v>
      </c>
      <c r="F259" s="22" t="s">
        <v>19329</v>
      </c>
      <c r="G259" s="22" t="str">
        <f>VLOOKUP(F259,[1]CHILDCARE_FACILITIES!N:Q,4,0)</f>
        <v>CDC-17298</v>
      </c>
      <c r="H259" s="22" t="e">
        <f>VLOOKUP(G259,'[1]CACFP FRL'!D:G,4,0)</f>
        <v>#N/A</v>
      </c>
      <c r="I259" s="22" t="str">
        <f>VLOOKUP(G259,[1]CHILDCARE_FACILITIES!AK:AL,2,0)</f>
        <v>CDC17298</v>
      </c>
      <c r="J259" s="22" t="e">
        <f>VLOOKUP(I259,'[1]Head Start QF 1-5 Stars'!O:Q,3,0)</f>
        <v>#N/A</v>
      </c>
      <c r="K259" s="23" t="s">
        <v>18704</v>
      </c>
      <c r="L259" s="22" t="s">
        <v>19330</v>
      </c>
      <c r="M259" s="22" t="s">
        <v>19331</v>
      </c>
      <c r="N259" s="22" t="s">
        <v>704</v>
      </c>
      <c r="O259" s="23" t="s">
        <v>207</v>
      </c>
      <c r="P259" s="22" t="str">
        <f>"85282"</f>
        <v>85282</v>
      </c>
      <c r="Q259" s="22" t="str">
        <f>"4240"</f>
        <v>4240</v>
      </c>
      <c r="R259" s="22" t="s">
        <v>18710</v>
      </c>
      <c r="S259" s="23" t="s">
        <v>18711</v>
      </c>
      <c r="T259" s="22" t="s">
        <v>19332</v>
      </c>
      <c r="U259" s="22" t="s">
        <v>18713</v>
      </c>
      <c r="V259" s="22" t="s">
        <v>18714</v>
      </c>
      <c r="W259" s="22" t="s">
        <v>18714</v>
      </c>
      <c r="X259" s="22" t="s">
        <v>18714</v>
      </c>
      <c r="Y259" s="23">
        <v>16</v>
      </c>
      <c r="Z259" s="22" t="s">
        <v>18715</v>
      </c>
    </row>
    <row r="260" spans="1:26" hidden="1" x14ac:dyDescent="0.2">
      <c r="A260" s="23" t="s">
        <v>18759</v>
      </c>
      <c r="B260" s="22" t="s">
        <v>18760</v>
      </c>
      <c r="C260" s="23" t="str">
        <f>"200"</f>
        <v>200</v>
      </c>
      <c r="D260" s="23" t="s">
        <v>18706</v>
      </c>
      <c r="E260" s="22" t="s">
        <v>18761</v>
      </c>
      <c r="F260" s="22" t="s">
        <v>19333</v>
      </c>
      <c r="G260" s="22" t="e">
        <f>VLOOKUP(F260,[1]CHILDCARE_FACILITIES!N:Q,4,0)</f>
        <v>#N/A</v>
      </c>
      <c r="H260" s="22" t="e">
        <f>VLOOKUP(G260,'[1]CACFP FRL'!D:G,4,0)</f>
        <v>#N/A</v>
      </c>
      <c r="I260" s="22" t="e">
        <f>VLOOKUP(G260,[1]CHILDCARE_FACILITIES!AK:AL,2,0)</f>
        <v>#N/A</v>
      </c>
      <c r="J260" s="22" t="e">
        <f>VLOOKUP(I260,'[1]Head Start QF 1-5 Stars'!O:Q,3,0)</f>
        <v>#N/A</v>
      </c>
      <c r="K260" s="23" t="s">
        <v>18759</v>
      </c>
      <c r="L260" s="22" t="s">
        <v>19334</v>
      </c>
      <c r="M260" s="22" t="s">
        <v>1637</v>
      </c>
      <c r="N260" s="22" t="s">
        <v>1024</v>
      </c>
      <c r="O260" s="23" t="s">
        <v>207</v>
      </c>
      <c r="P260" s="22" t="str">
        <f>"85539"</f>
        <v>85539</v>
      </c>
      <c r="Q260" s="22" t="str">
        <f>"1510"</f>
        <v>1510</v>
      </c>
      <c r="R260" s="22" t="s">
        <v>19335</v>
      </c>
      <c r="S260" s="23" t="s">
        <v>18818</v>
      </c>
      <c r="T260" s="22" t="s">
        <v>19336</v>
      </c>
      <c r="U260" s="22" t="s">
        <v>18713</v>
      </c>
      <c r="V260" s="22" t="s">
        <v>18731</v>
      </c>
      <c r="W260" s="22" t="s">
        <v>18731</v>
      </c>
      <c r="X260" s="22" t="s">
        <v>18731</v>
      </c>
      <c r="Y260" s="23">
        <v>18</v>
      </c>
      <c r="Z260" s="22" t="s">
        <v>18723</v>
      </c>
    </row>
    <row r="261" spans="1:26" hidden="1" x14ac:dyDescent="0.2">
      <c r="A261" s="23" t="s">
        <v>18796</v>
      </c>
      <c r="B261" s="22" t="s">
        <v>18705</v>
      </c>
      <c r="C261" s="23" t="str">
        <f>"000"</f>
        <v>000</v>
      </c>
      <c r="D261" s="23" t="s">
        <v>18718</v>
      </c>
      <c r="E261" s="22" t="s">
        <v>19271</v>
      </c>
      <c r="F261" s="22" t="s">
        <v>19337</v>
      </c>
      <c r="G261" s="22" t="str">
        <f>VLOOKUP(F261,[1]CHILDCARE_FACILITIES!N:Q,4,0)</f>
        <v>CDC-4904</v>
      </c>
      <c r="H261" s="22" t="e">
        <f>VLOOKUP(G261,'[1]CACFP FRL'!D:G,4,0)</f>
        <v>#N/A</v>
      </c>
      <c r="I261" s="22" t="str">
        <f>VLOOKUP(G261,[1]CHILDCARE_FACILITIES!AK:AL,2,0)</f>
        <v>CDC4904</v>
      </c>
      <c r="J261" s="22" t="e">
        <f>VLOOKUP(I261,'[1]Head Start QF 1-5 Stars'!O:Q,3,0)</f>
        <v>#N/A</v>
      </c>
      <c r="K261" s="23" t="s">
        <v>18796</v>
      </c>
      <c r="L261" s="22" t="s">
        <v>19338</v>
      </c>
      <c r="M261" s="22" t="s">
        <v>1637</v>
      </c>
      <c r="N261" s="22" t="s">
        <v>724</v>
      </c>
      <c r="O261" s="23" t="s">
        <v>207</v>
      </c>
      <c r="P261" s="22" t="str">
        <f>"85225"</f>
        <v>85225</v>
      </c>
      <c r="Q261" s="22" t="str">
        <f>"6291"</f>
        <v>6291</v>
      </c>
      <c r="R261" s="22" t="s">
        <v>18710</v>
      </c>
      <c r="S261" s="23" t="s">
        <v>18711</v>
      </c>
      <c r="T261" s="22" t="s">
        <v>19339</v>
      </c>
      <c r="U261" s="22" t="s">
        <v>18713</v>
      </c>
      <c r="V261" s="22" t="s">
        <v>18714</v>
      </c>
      <c r="W261" s="22" t="s">
        <v>18714</v>
      </c>
      <c r="X261" s="22" t="s">
        <v>18714</v>
      </c>
      <c r="Y261" s="23">
        <v>20</v>
      </c>
      <c r="Z261" s="22" t="s">
        <v>18723</v>
      </c>
    </row>
    <row r="262" spans="1:26" hidden="1" x14ac:dyDescent="0.2">
      <c r="A262" s="23" t="s">
        <v>18796</v>
      </c>
      <c r="B262" s="22" t="s">
        <v>18705</v>
      </c>
      <c r="C262" s="23" t="str">
        <f>"000"</f>
        <v>000</v>
      </c>
      <c r="D262" s="23" t="s">
        <v>18718</v>
      </c>
      <c r="E262" s="22" t="s">
        <v>19271</v>
      </c>
      <c r="F262" s="22" t="s">
        <v>19340</v>
      </c>
      <c r="G262" s="22" t="str">
        <f>VLOOKUP(F262,[1]CHILDCARE_FACILITIES!N:Q,4,0)</f>
        <v>CDC-18702</v>
      </c>
      <c r="H262" s="22" t="e">
        <f>VLOOKUP(G262,'[1]CACFP FRL'!D:G,4,0)</f>
        <v>#N/A</v>
      </c>
      <c r="I262" s="22" t="str">
        <f>VLOOKUP(G262,[1]CHILDCARE_FACILITIES!AK:AL,2,0)</f>
        <v>CDC18702</v>
      </c>
      <c r="J262" s="22" t="e">
        <f>VLOOKUP(I262,'[1]Head Start QF 1-5 Stars'!O:Q,3,0)</f>
        <v>#N/A</v>
      </c>
      <c r="K262" s="23" t="s">
        <v>18796</v>
      </c>
      <c r="L262" s="22" t="s">
        <v>19341</v>
      </c>
      <c r="M262" s="22" t="s">
        <v>1637</v>
      </c>
      <c r="N262" s="22" t="s">
        <v>714</v>
      </c>
      <c r="O262" s="23" t="s">
        <v>207</v>
      </c>
      <c r="P262" s="22" t="str">
        <f>"85207"</f>
        <v>85207</v>
      </c>
      <c r="Q262" s="22" t="str">
        <f>"3801"</f>
        <v>3801</v>
      </c>
      <c r="R262" s="22" t="s">
        <v>18710</v>
      </c>
      <c r="S262" s="23" t="s">
        <v>18832</v>
      </c>
      <c r="T262" s="22" t="s">
        <v>19342</v>
      </c>
      <c r="U262" s="22" t="s">
        <v>18713</v>
      </c>
      <c r="V262" s="22" t="s">
        <v>18714</v>
      </c>
      <c r="W262" s="22" t="s">
        <v>18714</v>
      </c>
      <c r="X262" s="22" t="s">
        <v>18714</v>
      </c>
      <c r="Y262" s="23">
        <v>20</v>
      </c>
      <c r="Z262" s="22" t="s">
        <v>18723</v>
      </c>
    </row>
    <row r="263" spans="1:26" hidden="1" x14ac:dyDescent="0.2">
      <c r="A263" s="24" t="s">
        <v>18796</v>
      </c>
      <c r="B263" s="25" t="s">
        <v>18705</v>
      </c>
      <c r="C263" s="24" t="str">
        <f>"000"</f>
        <v>000</v>
      </c>
      <c r="D263" s="24" t="s">
        <v>18718</v>
      </c>
      <c r="E263" s="25" t="s">
        <v>19271</v>
      </c>
      <c r="F263" s="25" t="s">
        <v>19343</v>
      </c>
      <c r="G263" s="25" t="e">
        <f>VLOOKUP(F263,[1]CHILDCARE_FACILITIES!N:Q,4,0)</f>
        <v>#N/A</v>
      </c>
      <c r="H263" s="25" t="e">
        <f>VLOOKUP(G263,'[1]CACFP FRL'!D:G,4,0)</f>
        <v>#N/A</v>
      </c>
      <c r="I263" s="25" t="e">
        <f>VLOOKUP(G263,[1]CHILDCARE_FACILITIES!AK:AL,2,0)</f>
        <v>#N/A</v>
      </c>
      <c r="J263" s="25" t="e">
        <f>VLOOKUP(I263,'[1]Head Start QF 1-5 Stars'!O:Q,3,0)</f>
        <v>#N/A</v>
      </c>
      <c r="K263" s="24" t="s">
        <v>18796</v>
      </c>
      <c r="L263" s="25" t="s">
        <v>19344</v>
      </c>
      <c r="M263" s="25" t="s">
        <v>1637</v>
      </c>
      <c r="N263" s="25" t="s">
        <v>724</v>
      </c>
      <c r="O263" s="24" t="s">
        <v>207</v>
      </c>
      <c r="P263" s="25" t="str">
        <f>"85225"</f>
        <v>85225</v>
      </c>
      <c r="Q263" s="25" t="str">
        <f>"4439"</f>
        <v>4439</v>
      </c>
      <c r="R263" s="25" t="s">
        <v>18710</v>
      </c>
      <c r="S263" s="24" t="s">
        <v>18711</v>
      </c>
      <c r="T263" s="25" t="s">
        <v>19345</v>
      </c>
      <c r="U263" s="25" t="s">
        <v>18713</v>
      </c>
      <c r="V263" s="25" t="s">
        <v>18714</v>
      </c>
      <c r="W263" s="25" t="s">
        <v>18714</v>
      </c>
      <c r="X263" s="25" t="s">
        <v>18714</v>
      </c>
      <c r="Y263" s="24">
        <v>20</v>
      </c>
      <c r="Z263" s="25" t="s">
        <v>18723</v>
      </c>
    </row>
    <row r="264" spans="1:26" hidden="1" x14ac:dyDescent="0.2">
      <c r="A264" s="23" t="s">
        <v>18822</v>
      </c>
      <c r="B264" s="22" t="s">
        <v>18823</v>
      </c>
      <c r="C264" s="23" t="str">
        <f>"200"</f>
        <v>200</v>
      </c>
      <c r="D264" s="23" t="s">
        <v>18706</v>
      </c>
      <c r="E264" s="22" t="s">
        <v>18823</v>
      </c>
      <c r="F264" s="22" t="s">
        <v>18953</v>
      </c>
      <c r="G264" s="22" t="str">
        <f>VLOOKUP(F264,[1]CHILDCARE_FACILITIES!N:Q,4,0)</f>
        <v>CDC-3639</v>
      </c>
      <c r="H264" s="22">
        <f>VLOOKUP(G264,'[1]CACFP FRL'!D:G,4,0)</f>
        <v>9845</v>
      </c>
      <c r="I264" s="22" t="str">
        <f>VLOOKUP(G264,[1]CHILDCARE_FACILITIES!AK:AL,2,0)</f>
        <v>CDC3639</v>
      </c>
      <c r="J264" s="22" t="e">
        <f>VLOOKUP(I264,'[1]Head Start QF 1-5 Stars'!O:Q,3,0)</f>
        <v>#N/A</v>
      </c>
      <c r="K264" s="23" t="s">
        <v>18822</v>
      </c>
      <c r="L264" s="22" t="s">
        <v>18954</v>
      </c>
      <c r="M264" s="22" t="s">
        <v>1637</v>
      </c>
      <c r="N264" s="22" t="s">
        <v>764</v>
      </c>
      <c r="O264" s="23" t="s">
        <v>207</v>
      </c>
      <c r="P264" s="22" t="str">
        <f>"85706"</f>
        <v>85706</v>
      </c>
      <c r="Q264" s="22" t="str">
        <f>"5211"</f>
        <v>5211</v>
      </c>
      <c r="R264" s="22" t="s">
        <v>996</v>
      </c>
      <c r="S264" s="23" t="s">
        <v>18721</v>
      </c>
      <c r="T264" s="22" t="s">
        <v>18955</v>
      </c>
      <c r="U264" s="22" t="s">
        <v>18713</v>
      </c>
      <c r="V264" s="22" t="s">
        <v>18731</v>
      </c>
      <c r="W264" s="22" t="s">
        <v>18731</v>
      </c>
      <c r="X264" s="22" t="s">
        <v>18731</v>
      </c>
      <c r="Y264" s="23">
        <v>20</v>
      </c>
      <c r="Z264" s="22" t="s">
        <v>18723</v>
      </c>
    </row>
    <row r="265" spans="1:26" hidden="1" x14ac:dyDescent="0.2">
      <c r="A265" s="23" t="s">
        <v>18796</v>
      </c>
      <c r="B265" s="22" t="s">
        <v>18705</v>
      </c>
      <c r="C265" s="23" t="str">
        <f>"000"</f>
        <v>000</v>
      </c>
      <c r="D265" s="23" t="s">
        <v>18718</v>
      </c>
      <c r="E265" s="22" t="s">
        <v>19271</v>
      </c>
      <c r="F265" s="22" t="s">
        <v>19346</v>
      </c>
      <c r="G265" s="22" t="str">
        <f>VLOOKUP(F265,[1]CHILDCARE_FACILITIES!N:Q,4,0)</f>
        <v>CDC-1637</v>
      </c>
      <c r="H265" s="22" t="e">
        <f>VLOOKUP(G265,'[1]CACFP FRL'!D:G,4,0)</f>
        <v>#N/A</v>
      </c>
      <c r="I265" s="22" t="str">
        <f>VLOOKUP(G265,[1]CHILDCARE_FACILITIES!AK:AL,2,0)</f>
        <v>CDC1637</v>
      </c>
      <c r="J265" s="22" t="e">
        <f>VLOOKUP(I265,'[1]Head Start QF 1-5 Stars'!O:Q,3,0)</f>
        <v>#N/A</v>
      </c>
      <c r="K265" s="23" t="s">
        <v>18796</v>
      </c>
      <c r="L265" s="22" t="s">
        <v>19347</v>
      </c>
      <c r="M265" s="22" t="s">
        <v>19348</v>
      </c>
      <c r="N265" s="22" t="s">
        <v>714</v>
      </c>
      <c r="O265" s="23" t="s">
        <v>207</v>
      </c>
      <c r="P265" s="22" t="str">
        <f>"85208"</f>
        <v>85208</v>
      </c>
      <c r="Q265" s="22" t="str">
        <f>"2480"</f>
        <v>2480</v>
      </c>
      <c r="R265" s="22" t="s">
        <v>18710</v>
      </c>
      <c r="S265" s="23" t="s">
        <v>18832</v>
      </c>
      <c r="T265" s="22" t="s">
        <v>19349</v>
      </c>
      <c r="U265" s="22" t="s">
        <v>18713</v>
      </c>
      <c r="V265" s="22" t="s">
        <v>18714</v>
      </c>
      <c r="W265" s="22" t="s">
        <v>18714</v>
      </c>
      <c r="X265" s="22" t="s">
        <v>18714</v>
      </c>
      <c r="Y265" s="23">
        <v>34</v>
      </c>
      <c r="Z265" s="22" t="s">
        <v>18723</v>
      </c>
    </row>
    <row r="266" spans="1:26" s="25" customFormat="1" hidden="1" x14ac:dyDescent="0.2">
      <c r="A266" s="23" t="s">
        <v>18796</v>
      </c>
      <c r="B266" s="22" t="s">
        <v>18705</v>
      </c>
      <c r="C266" s="23" t="str">
        <f>"000"</f>
        <v>000</v>
      </c>
      <c r="D266" s="23" t="s">
        <v>18718</v>
      </c>
      <c r="E266" s="22" t="s">
        <v>19271</v>
      </c>
      <c r="F266" s="22" t="s">
        <v>19350</v>
      </c>
      <c r="G266" s="22" t="str">
        <f>VLOOKUP(F266,[1]CHILDCARE_FACILITIES!N:Q,4,0)</f>
        <v>CDC-4719</v>
      </c>
      <c r="H266" s="22" t="e">
        <f>VLOOKUP(G266,'[1]CACFP FRL'!D:G,4,0)</f>
        <v>#N/A</v>
      </c>
      <c r="I266" s="22" t="str">
        <f>VLOOKUP(G266,[1]CHILDCARE_FACILITIES!AK:AL,2,0)</f>
        <v>CDC4719</v>
      </c>
      <c r="J266" s="22">
        <f>VLOOKUP(I266,'[1]Head Start QF 1-5 Stars'!O:Q,3,0)</f>
        <v>2998</v>
      </c>
      <c r="K266" s="23" t="s">
        <v>18796</v>
      </c>
      <c r="L266" s="22" t="s">
        <v>19351</v>
      </c>
      <c r="M266" s="22" t="s">
        <v>19352</v>
      </c>
      <c r="N266" s="22" t="s">
        <v>714</v>
      </c>
      <c r="O266" s="23" t="s">
        <v>207</v>
      </c>
      <c r="P266" s="22" t="str">
        <f>"85207"</f>
        <v>85207</v>
      </c>
      <c r="Q266" s="22" t="str">
        <f>"6228"</f>
        <v>6228</v>
      </c>
      <c r="R266" s="22" t="s">
        <v>18710</v>
      </c>
      <c r="S266" s="23" t="s">
        <v>18832</v>
      </c>
      <c r="T266" s="22" t="s">
        <v>19353</v>
      </c>
      <c r="U266" s="22" t="s">
        <v>18713</v>
      </c>
      <c r="V266" s="22" t="s">
        <v>18714</v>
      </c>
      <c r="W266" s="22" t="s">
        <v>18714</v>
      </c>
      <c r="X266" s="22" t="s">
        <v>18714</v>
      </c>
      <c r="Y266" s="23">
        <v>20</v>
      </c>
      <c r="Z266" s="22" t="s">
        <v>18723</v>
      </c>
    </row>
    <row r="267" spans="1:26" hidden="1" x14ac:dyDescent="0.2">
      <c r="A267" s="23" t="s">
        <v>18796</v>
      </c>
      <c r="B267" s="22" t="s">
        <v>18705</v>
      </c>
      <c r="C267" s="23" t="str">
        <f>"000"</f>
        <v>000</v>
      </c>
      <c r="D267" s="23" t="s">
        <v>18718</v>
      </c>
      <c r="E267" s="22" t="s">
        <v>19271</v>
      </c>
      <c r="F267" s="22" t="s">
        <v>19354</v>
      </c>
      <c r="G267" s="22" t="s">
        <v>19355</v>
      </c>
      <c r="H267" s="22">
        <f>VLOOKUP(G267,'[1]CACFP FRL'!D:G,4,0)</f>
        <v>89880</v>
      </c>
      <c r="I267" s="22" t="str">
        <f>VLOOKUP(G267,[1]CHILDCARE_FACILITIES!AK:AL,2,0)</f>
        <v>CDC13863</v>
      </c>
      <c r="J267" s="22" t="e">
        <f>VLOOKUP(I267,'[1]Head Start QF 1-5 Stars'!O:Q,3,0)</f>
        <v>#N/A</v>
      </c>
      <c r="K267" s="23" t="s">
        <v>18796</v>
      </c>
      <c r="L267" s="22" t="s">
        <v>19356</v>
      </c>
      <c r="M267" s="22" t="s">
        <v>1637</v>
      </c>
      <c r="N267" s="22" t="s">
        <v>1593</v>
      </c>
      <c r="O267" s="23" t="s">
        <v>207</v>
      </c>
      <c r="P267" s="22" t="str">
        <f>"85234"</f>
        <v>85234</v>
      </c>
      <c r="Q267" s="22" t="str">
        <f>"3265"</f>
        <v>3265</v>
      </c>
      <c r="R267" s="22" t="s">
        <v>18710</v>
      </c>
      <c r="S267" s="23" t="s">
        <v>18832</v>
      </c>
      <c r="U267" s="22" t="s">
        <v>18713</v>
      </c>
      <c r="V267" s="22" t="s">
        <v>18714</v>
      </c>
      <c r="W267" s="22" t="s">
        <v>18714</v>
      </c>
      <c r="X267" s="22" t="s">
        <v>18714</v>
      </c>
      <c r="Y267" s="23">
        <v>20</v>
      </c>
      <c r="Z267" s="22" t="s">
        <v>18715</v>
      </c>
    </row>
    <row r="268" spans="1:26" hidden="1" x14ac:dyDescent="0.2">
      <c r="A268" s="23" t="s">
        <v>18796</v>
      </c>
      <c r="B268" s="22" t="s">
        <v>18705</v>
      </c>
      <c r="C268" s="23" t="str">
        <f>"000"</f>
        <v>000</v>
      </c>
      <c r="D268" s="23" t="s">
        <v>18718</v>
      </c>
      <c r="E268" s="22" t="s">
        <v>19271</v>
      </c>
      <c r="F268" s="22" t="s">
        <v>19357</v>
      </c>
      <c r="G268" s="22" t="s">
        <v>19358</v>
      </c>
      <c r="H268" s="22" t="e">
        <f>VLOOKUP(G268,'[1]CACFP FRL'!D:G,4,0)</f>
        <v>#N/A</v>
      </c>
      <c r="I268" s="22" t="str">
        <f>VLOOKUP(G268,[1]CHILDCARE_FACILITIES!AK:AL,2,0)</f>
        <v>CDC13851</v>
      </c>
      <c r="J268" s="22" t="e">
        <f>VLOOKUP(I268,'[1]Head Start QF 1-5 Stars'!O:Q,3,0)</f>
        <v>#N/A</v>
      </c>
      <c r="K268" s="23" t="s">
        <v>18796</v>
      </c>
      <c r="L268" s="22" t="s">
        <v>19359</v>
      </c>
      <c r="M268" s="22" t="s">
        <v>1637</v>
      </c>
      <c r="N268" s="22" t="s">
        <v>724</v>
      </c>
      <c r="O268" s="23" t="s">
        <v>207</v>
      </c>
      <c r="P268" s="22" t="str">
        <f>"85226"</f>
        <v>85226</v>
      </c>
      <c r="Q268" s="22" t="str">
        <f>"2241"</f>
        <v>2241</v>
      </c>
      <c r="R268" s="22" t="s">
        <v>18710</v>
      </c>
      <c r="S268" s="23" t="s">
        <v>18711</v>
      </c>
      <c r="U268" s="22" t="s">
        <v>18713</v>
      </c>
      <c r="V268" s="22" t="s">
        <v>18714</v>
      </c>
      <c r="W268" s="22" t="s">
        <v>18714</v>
      </c>
      <c r="X268" s="22" t="s">
        <v>18714</v>
      </c>
      <c r="Y268" s="23">
        <v>20</v>
      </c>
      <c r="Z268" s="22" t="s">
        <v>18715</v>
      </c>
    </row>
    <row r="269" spans="1:26" hidden="1" x14ac:dyDescent="0.2">
      <c r="A269" s="23" t="s">
        <v>18796</v>
      </c>
      <c r="B269" s="22" t="s">
        <v>18705</v>
      </c>
      <c r="C269" s="23" t="str">
        <f>"000"</f>
        <v>000</v>
      </c>
      <c r="D269" s="23" t="s">
        <v>18718</v>
      </c>
      <c r="E269" s="22" t="s">
        <v>19271</v>
      </c>
      <c r="F269" s="22" t="s">
        <v>19360</v>
      </c>
      <c r="G269" s="22" t="str">
        <f>VLOOKUP(F269,[1]CHILDCARE_FACILITIES!N:Q,4,0)</f>
        <v>CDC-18742</v>
      </c>
      <c r="H269" s="22" t="e">
        <f>VLOOKUP(G269,'[1]CACFP FRL'!D:G,4,0)</f>
        <v>#N/A</v>
      </c>
      <c r="I269" s="22" t="str">
        <f>VLOOKUP(G269,[1]CHILDCARE_FACILITIES!AK:AL,2,0)</f>
        <v>CDC18742</v>
      </c>
      <c r="J269" s="22" t="e">
        <f>VLOOKUP(I269,'[1]Head Start QF 1-5 Stars'!O:Q,3,0)</f>
        <v>#N/A</v>
      </c>
      <c r="K269" s="23" t="s">
        <v>18796</v>
      </c>
      <c r="L269" s="22" t="s">
        <v>19361</v>
      </c>
      <c r="M269" s="22" t="s">
        <v>1637</v>
      </c>
      <c r="N269" s="22" t="s">
        <v>704</v>
      </c>
      <c r="O269" s="23" t="s">
        <v>207</v>
      </c>
      <c r="P269" s="22" t="str">
        <f>"85281"</f>
        <v>85281</v>
      </c>
      <c r="Q269" s="22" t="str">
        <f>"7355"</f>
        <v>7355</v>
      </c>
      <c r="R269" s="22" t="s">
        <v>18710</v>
      </c>
      <c r="S269" s="23" t="s">
        <v>18711</v>
      </c>
      <c r="T269" s="22" t="s">
        <v>19362</v>
      </c>
      <c r="U269" s="22" t="s">
        <v>18713</v>
      </c>
      <c r="V269" s="22" t="s">
        <v>18714</v>
      </c>
      <c r="W269" s="22" t="s">
        <v>18714</v>
      </c>
      <c r="X269" s="22" t="s">
        <v>18714</v>
      </c>
      <c r="Y269" s="23">
        <v>20</v>
      </c>
      <c r="Z269" s="22" t="s">
        <v>18723</v>
      </c>
    </row>
    <row r="270" spans="1:26" hidden="1" x14ac:dyDescent="0.2">
      <c r="A270" s="23" t="s">
        <v>18873</v>
      </c>
      <c r="B270" s="22" t="s">
        <v>18874</v>
      </c>
      <c r="C270" s="23" t="str">
        <f>"200"</f>
        <v>200</v>
      </c>
      <c r="D270" s="23" t="s">
        <v>18706</v>
      </c>
      <c r="E270" s="22" t="s">
        <v>18875</v>
      </c>
      <c r="F270" s="22" t="s">
        <v>19363</v>
      </c>
      <c r="G270" s="22" t="str">
        <f>VLOOKUP(F270,[1]CHILDCARE_FACILITIES!N:Q,4,0)</f>
        <v>CDC-8964</v>
      </c>
      <c r="H270" s="22">
        <f>VLOOKUP(G270,'[1]CACFP FRL'!D:G,4,0)</f>
        <v>80690</v>
      </c>
      <c r="I270" s="22" t="str">
        <f>VLOOKUP(G270,[1]CHILDCARE_FACILITIES!AK:AL,2,0)</f>
        <v>CDC8964</v>
      </c>
      <c r="J270" s="22">
        <f>VLOOKUP(I270,'[1]Head Start QF 1-5 Stars'!O:Q,3,0)</f>
        <v>1413</v>
      </c>
      <c r="K270" s="23" t="s">
        <v>18873</v>
      </c>
      <c r="L270" s="22" t="s">
        <v>19364</v>
      </c>
      <c r="M270" s="22" t="s">
        <v>1637</v>
      </c>
      <c r="N270" s="22" t="s">
        <v>495</v>
      </c>
      <c r="O270" s="23" t="s">
        <v>207</v>
      </c>
      <c r="P270" s="22" t="str">
        <f>"85014"</f>
        <v>85014</v>
      </c>
      <c r="Q270" s="22" t="str">
        <f>"4322"</f>
        <v>4322</v>
      </c>
      <c r="R270" s="22" t="s">
        <v>18710</v>
      </c>
      <c r="S270" s="23" t="s">
        <v>18711</v>
      </c>
      <c r="T270" s="22" t="s">
        <v>19039</v>
      </c>
      <c r="U270" s="22" t="s">
        <v>18713</v>
      </c>
      <c r="V270" s="22" t="s">
        <v>18731</v>
      </c>
      <c r="W270" s="22" t="s">
        <v>18731</v>
      </c>
      <c r="X270" s="22" t="s">
        <v>18731</v>
      </c>
      <c r="Y270" s="23">
        <v>16</v>
      </c>
      <c r="Z270" s="22" t="s">
        <v>18715</v>
      </c>
    </row>
    <row r="271" spans="1:26" hidden="1" x14ac:dyDescent="0.2">
      <c r="A271" s="23" t="s">
        <v>18796</v>
      </c>
      <c r="B271" s="22" t="s">
        <v>18705</v>
      </c>
      <c r="C271" s="23" t="str">
        <f>"000"</f>
        <v>000</v>
      </c>
      <c r="D271" s="23" t="s">
        <v>18718</v>
      </c>
      <c r="E271" s="22" t="s">
        <v>19271</v>
      </c>
      <c r="F271" s="22" t="s">
        <v>19365</v>
      </c>
      <c r="G271" s="22" t="str">
        <f>VLOOKUP(F271,[1]CHILDCARE_FACILITIES!N:Q,4,0)</f>
        <v>CDC-15929</v>
      </c>
      <c r="H271" s="22" t="e">
        <f>VLOOKUP(G271,'[1]CACFP FRL'!D:G,4,0)</f>
        <v>#N/A</v>
      </c>
      <c r="I271" s="22" t="str">
        <f>VLOOKUP(G271,[1]CHILDCARE_FACILITIES!AK:AL,2,0)</f>
        <v>CDC15929</v>
      </c>
      <c r="J271" s="22" t="e">
        <f>VLOOKUP(I271,'[1]Head Start QF 1-5 Stars'!O:Q,3,0)</f>
        <v>#N/A</v>
      </c>
      <c r="K271" s="23" t="s">
        <v>18796</v>
      </c>
      <c r="L271" s="22" t="s">
        <v>713</v>
      </c>
      <c r="M271" s="22" t="s">
        <v>1637</v>
      </c>
      <c r="N271" s="22" t="s">
        <v>714</v>
      </c>
      <c r="O271" s="23" t="s">
        <v>207</v>
      </c>
      <c r="P271" s="22" t="str">
        <f>"85201"</f>
        <v>85201</v>
      </c>
      <c r="Q271" s="22" t="str">
        <f>"6150"</f>
        <v>6150</v>
      </c>
      <c r="R271" s="22" t="s">
        <v>18710</v>
      </c>
      <c r="S271" s="23" t="s">
        <v>18711</v>
      </c>
      <c r="T271" s="22" t="s">
        <v>19366</v>
      </c>
      <c r="U271" s="22" t="s">
        <v>18713</v>
      </c>
      <c r="V271" s="22" t="s">
        <v>18714</v>
      </c>
      <c r="W271" s="22" t="s">
        <v>18714</v>
      </c>
      <c r="X271" s="22" t="s">
        <v>18714</v>
      </c>
      <c r="Y271" s="23">
        <v>40</v>
      </c>
      <c r="Z271" s="22" t="s">
        <v>18723</v>
      </c>
    </row>
    <row r="272" spans="1:26" hidden="1" x14ac:dyDescent="0.2">
      <c r="A272" s="23" t="s">
        <v>18796</v>
      </c>
      <c r="B272" s="22" t="s">
        <v>18705</v>
      </c>
      <c r="C272" s="23" t="str">
        <f>"000"</f>
        <v>000</v>
      </c>
      <c r="D272" s="23" t="s">
        <v>18718</v>
      </c>
      <c r="E272" s="22" t="s">
        <v>19271</v>
      </c>
      <c r="F272" s="22" t="s">
        <v>19367</v>
      </c>
      <c r="G272" s="22" t="str">
        <f>VLOOKUP(F272,[1]CHILDCARE_FACILITIES!N:Q,4,0)</f>
        <v>CDC-9571</v>
      </c>
      <c r="H272" s="22" t="e">
        <f>VLOOKUP(G272,'[1]CACFP FRL'!D:G,4,0)</f>
        <v>#N/A</v>
      </c>
      <c r="I272" s="22" t="str">
        <f>VLOOKUP(G272,[1]CHILDCARE_FACILITIES!AK:AL,2,0)</f>
        <v>CDC9571</v>
      </c>
      <c r="J272" s="22" t="e">
        <f>VLOOKUP(I272,'[1]Head Start QF 1-5 Stars'!O:Q,3,0)</f>
        <v>#N/A</v>
      </c>
      <c r="K272" s="23" t="s">
        <v>18796</v>
      </c>
      <c r="L272" s="22" t="s">
        <v>19368</v>
      </c>
      <c r="M272" s="22" t="s">
        <v>1637</v>
      </c>
      <c r="N272" s="22" t="s">
        <v>704</v>
      </c>
      <c r="O272" s="23" t="s">
        <v>207</v>
      </c>
      <c r="P272" s="22" t="str">
        <f>"85281"</f>
        <v>85281</v>
      </c>
      <c r="Q272" s="22" t="str">
        <f>"3503"</f>
        <v>3503</v>
      </c>
      <c r="R272" s="22" t="s">
        <v>18710</v>
      </c>
      <c r="S272" s="23" t="s">
        <v>18711</v>
      </c>
      <c r="T272" s="22" t="s">
        <v>19369</v>
      </c>
      <c r="U272" s="22" t="s">
        <v>18713</v>
      </c>
      <c r="V272" s="22" t="s">
        <v>18714</v>
      </c>
      <c r="W272" s="22" t="s">
        <v>18714</v>
      </c>
      <c r="X272" s="22" t="s">
        <v>18714</v>
      </c>
      <c r="Y272" s="23">
        <v>20</v>
      </c>
      <c r="Z272" s="22" t="s">
        <v>18723</v>
      </c>
    </row>
    <row r="273" spans="1:26" hidden="1" x14ac:dyDescent="0.2">
      <c r="A273" s="23" t="s">
        <v>18822</v>
      </c>
      <c r="B273" s="22" t="s">
        <v>18823</v>
      </c>
      <c r="C273" s="23" t="str">
        <f>"200"</f>
        <v>200</v>
      </c>
      <c r="D273" s="23" t="s">
        <v>18706</v>
      </c>
      <c r="E273" s="22" t="s">
        <v>18823</v>
      </c>
      <c r="F273" s="22" t="s">
        <v>18956</v>
      </c>
      <c r="G273" s="22" t="str">
        <f>VLOOKUP(F273,[1]CHILDCARE_FACILITIES!N:Q,4,0)</f>
        <v>CDC-5902</v>
      </c>
      <c r="H273" s="22">
        <f>VLOOKUP(G273,'[1]CACFP FRL'!D:G,4,0)</f>
        <v>9840</v>
      </c>
      <c r="I273" s="22" t="str">
        <f>VLOOKUP(G273,[1]CHILDCARE_FACILITIES!AK:AL,2,0)</f>
        <v>CDC5902</v>
      </c>
      <c r="J273" s="22" t="e">
        <f>VLOOKUP(I273,'[1]Head Start QF 1-5 Stars'!O:Q,3,0)</f>
        <v>#N/A</v>
      </c>
      <c r="K273" s="23" t="s">
        <v>18822</v>
      </c>
      <c r="L273" s="22" t="s">
        <v>18957</v>
      </c>
      <c r="M273" s="22" t="s">
        <v>1637</v>
      </c>
      <c r="N273" s="22" t="s">
        <v>764</v>
      </c>
      <c r="O273" s="23" t="s">
        <v>207</v>
      </c>
      <c r="P273" s="22" t="str">
        <f>"85713"</f>
        <v>85713</v>
      </c>
      <c r="Q273" s="22" t="str">
        <f>"1844"</f>
        <v>1844</v>
      </c>
      <c r="R273" s="22" t="s">
        <v>996</v>
      </c>
      <c r="S273" s="23" t="s">
        <v>18721</v>
      </c>
      <c r="T273" s="22" t="s">
        <v>18958</v>
      </c>
      <c r="U273" s="22" t="s">
        <v>18713</v>
      </c>
      <c r="V273" s="22" t="s">
        <v>18731</v>
      </c>
      <c r="W273" s="22" t="s">
        <v>18731</v>
      </c>
      <c r="X273" s="22" t="s">
        <v>18731</v>
      </c>
      <c r="Y273" s="23">
        <v>20</v>
      </c>
      <c r="Z273" s="22" t="s">
        <v>18723</v>
      </c>
    </row>
    <row r="274" spans="1:26" hidden="1" x14ac:dyDescent="0.2">
      <c r="A274" s="23" t="s">
        <v>18796</v>
      </c>
      <c r="B274" s="22" t="s">
        <v>18705</v>
      </c>
      <c r="C274" s="23" t="str">
        <f>"000"</f>
        <v>000</v>
      </c>
      <c r="D274" s="23" t="s">
        <v>18718</v>
      </c>
      <c r="E274" s="22" t="s">
        <v>19271</v>
      </c>
      <c r="F274" s="22" t="s">
        <v>19370</v>
      </c>
      <c r="G274" s="22" t="str">
        <f>VLOOKUP(F274,[1]CHILDCARE_FACILITIES!N:Q,4,0)</f>
        <v>CDC-16362</v>
      </c>
      <c r="H274" s="22" t="e">
        <f>VLOOKUP(G274,'[1]CACFP FRL'!D:G,4,0)</f>
        <v>#N/A</v>
      </c>
      <c r="I274" s="22" t="str">
        <f>VLOOKUP(G274,[1]CHILDCARE_FACILITIES!AK:AL,2,0)</f>
        <v>CDC16362</v>
      </c>
      <c r="J274" s="22" t="e">
        <f>VLOOKUP(I274,'[1]Head Start QF 1-5 Stars'!O:Q,3,0)</f>
        <v>#N/A</v>
      </c>
      <c r="K274" s="23" t="s">
        <v>18796</v>
      </c>
      <c r="L274" s="22" t="s">
        <v>19371</v>
      </c>
      <c r="M274" s="22" t="s">
        <v>1637</v>
      </c>
      <c r="N274" s="22" t="s">
        <v>714</v>
      </c>
      <c r="O274" s="23" t="s">
        <v>207</v>
      </c>
      <c r="P274" s="22" t="str">
        <f>"85201"</f>
        <v>85201</v>
      </c>
      <c r="Q274" s="22" t="str">
        <f>"1706"</f>
        <v>1706</v>
      </c>
      <c r="R274" s="22" t="s">
        <v>18710</v>
      </c>
      <c r="S274" s="23" t="s">
        <v>18711</v>
      </c>
      <c r="T274" s="22" t="s">
        <v>19372</v>
      </c>
      <c r="U274" s="22" t="s">
        <v>18713</v>
      </c>
      <c r="V274" s="22" t="s">
        <v>18714</v>
      </c>
      <c r="W274" s="22" t="s">
        <v>18714</v>
      </c>
      <c r="X274" s="22" t="s">
        <v>18714</v>
      </c>
      <c r="Y274" s="23">
        <v>34</v>
      </c>
      <c r="Z274" s="22" t="s">
        <v>18723</v>
      </c>
    </row>
    <row r="275" spans="1:26" x14ac:dyDescent="0.2">
      <c r="A275" s="23" t="s">
        <v>18959</v>
      </c>
      <c r="B275" s="22" t="s">
        <v>18960</v>
      </c>
      <c r="C275" s="23" t="str">
        <f>"200"</f>
        <v>200</v>
      </c>
      <c r="D275" s="23" t="s">
        <v>18706</v>
      </c>
      <c r="E275" s="22" t="s">
        <v>18960</v>
      </c>
      <c r="F275" s="22" t="s">
        <v>1038</v>
      </c>
      <c r="G275" s="22" t="str">
        <f>VLOOKUP(F275,[1]CHILDCARE_FACILITIES!N:Q,4,0)</f>
        <v>CDC-15354</v>
      </c>
      <c r="H275" s="22" t="e">
        <f>VLOOKUP(G275,'[1]CACFP FRL'!D:G,4,0)</f>
        <v>#N/A</v>
      </c>
      <c r="I275" s="22" t="str">
        <f>VLOOKUP(G275,[1]CHILDCARE_FACILITIES!AK:AL,2,0)</f>
        <v>CDC15354</v>
      </c>
      <c r="J275" s="22" t="e">
        <f>VLOOKUP(I275,'[1]Head Start QF 1-5 Stars'!O:Q,3,0)</f>
        <v>#N/A</v>
      </c>
      <c r="K275" s="23" t="s">
        <v>18959</v>
      </c>
      <c r="L275" s="22" t="s">
        <v>19373</v>
      </c>
      <c r="M275" s="22" t="s">
        <v>1637</v>
      </c>
      <c r="N275" s="22" t="s">
        <v>495</v>
      </c>
      <c r="O275" s="23" t="s">
        <v>207</v>
      </c>
      <c r="P275" s="22" t="str">
        <f>"85009"</f>
        <v>85009</v>
      </c>
      <c r="Q275" s="22" t="str">
        <f>"5637"</f>
        <v>5637</v>
      </c>
      <c r="R275" s="22" t="s">
        <v>18710</v>
      </c>
      <c r="S275" s="23" t="s">
        <v>18737</v>
      </c>
      <c r="T275" s="22" t="s">
        <v>19374</v>
      </c>
      <c r="U275" s="22" t="s">
        <v>18713</v>
      </c>
      <c r="V275" s="22" t="s">
        <v>18714</v>
      </c>
      <c r="W275" s="22" t="s">
        <v>18714</v>
      </c>
      <c r="X275" s="22" t="s">
        <v>18714</v>
      </c>
      <c r="Y275" s="23">
        <v>26</v>
      </c>
      <c r="Z275" s="22" t="s">
        <v>18723</v>
      </c>
    </row>
    <row r="276" spans="1:26" hidden="1" x14ac:dyDescent="0.2">
      <c r="A276" s="23" t="s">
        <v>18724</v>
      </c>
      <c r="B276" s="22" t="s">
        <v>18705</v>
      </c>
      <c r="C276" s="23" t="str">
        <f>"200"</f>
        <v>200</v>
      </c>
      <c r="D276" s="23" t="s">
        <v>18706</v>
      </c>
      <c r="E276" s="22" t="s">
        <v>18705</v>
      </c>
      <c r="F276" s="22" t="s">
        <v>19375</v>
      </c>
      <c r="G276" s="22" t="str">
        <f>VLOOKUP(F276,[1]CHILDCARE_FACILITIES!N:Q,4,0)</f>
        <v>CDC-16021</v>
      </c>
      <c r="H276" s="22" t="e">
        <f>VLOOKUP(G276,'[1]CACFP FRL'!D:G,4,0)</f>
        <v>#N/A</v>
      </c>
      <c r="I276" s="22" t="str">
        <f>VLOOKUP(G276,[1]CHILDCARE_FACILITIES!AK:AL,2,0)</f>
        <v>CDC16021</v>
      </c>
      <c r="J276" s="22" t="e">
        <f>VLOOKUP(I276,'[1]Head Start QF 1-5 Stars'!O:Q,3,0)</f>
        <v>#N/A</v>
      </c>
      <c r="K276" s="23" t="s">
        <v>18724</v>
      </c>
      <c r="L276" s="22" t="s">
        <v>1513</v>
      </c>
      <c r="M276" s="22" t="s">
        <v>1637</v>
      </c>
      <c r="N276" s="22" t="s">
        <v>1514</v>
      </c>
      <c r="O276" s="23" t="s">
        <v>207</v>
      </c>
      <c r="P276" s="22" t="str">
        <f>"85361"</f>
        <v>85361</v>
      </c>
      <c r="Q276" s="22" t="str">
        <f>"8412"</f>
        <v>8412</v>
      </c>
      <c r="R276" s="22" t="s">
        <v>18710</v>
      </c>
      <c r="S276" s="23" t="s">
        <v>18764</v>
      </c>
      <c r="T276" s="22" t="s">
        <v>19376</v>
      </c>
      <c r="U276" s="22" t="s">
        <v>18713</v>
      </c>
      <c r="V276" s="22" t="s">
        <v>18714</v>
      </c>
      <c r="W276" s="22" t="s">
        <v>18714</v>
      </c>
      <c r="X276" s="22" t="s">
        <v>18714</v>
      </c>
      <c r="Y276" s="23">
        <v>8</v>
      </c>
      <c r="Z276" s="22" t="s">
        <v>18715</v>
      </c>
    </row>
    <row r="277" spans="1:26" hidden="1" x14ac:dyDescent="0.2">
      <c r="A277" s="23" t="s">
        <v>18912</v>
      </c>
      <c r="B277" s="22" t="s">
        <v>18913</v>
      </c>
      <c r="C277" s="23" t="str">
        <f>"000"</f>
        <v>000</v>
      </c>
      <c r="D277" s="23" t="s">
        <v>18718</v>
      </c>
      <c r="E277" s="22" t="s">
        <v>18913</v>
      </c>
      <c r="F277" s="22" t="s">
        <v>19377</v>
      </c>
      <c r="G277" s="22" t="str">
        <f>VLOOKUP(F277,[1]CHILDCARE_FACILITIES!N:Q,4,0)</f>
        <v>CDC-12163</v>
      </c>
      <c r="H277" s="22" t="e">
        <f>VLOOKUP(G277,'[1]CACFP FRL'!D:G,4,0)</f>
        <v>#N/A</v>
      </c>
      <c r="I277" s="22" t="str">
        <f>VLOOKUP(G277,[1]CHILDCARE_FACILITIES!AK:AL,2,0)</f>
        <v>CDC12163</v>
      </c>
      <c r="J277" s="22" t="e">
        <f>VLOOKUP(I277,'[1]Head Start QF 1-5 Stars'!O:Q,3,0)</f>
        <v>#N/A</v>
      </c>
      <c r="K277" s="23" t="s">
        <v>18912</v>
      </c>
      <c r="L277" s="22" t="s">
        <v>19378</v>
      </c>
      <c r="M277" s="22" t="s">
        <v>1637</v>
      </c>
      <c r="N277" s="22" t="s">
        <v>19379</v>
      </c>
      <c r="O277" s="23" t="s">
        <v>207</v>
      </c>
      <c r="P277" s="22" t="str">
        <f>"86320"</f>
        <v>86320</v>
      </c>
      <c r="Q277" s="22" t="str">
        <f>""</f>
        <v/>
      </c>
      <c r="R277" s="22" t="s">
        <v>18915</v>
      </c>
      <c r="S277" s="23" t="s">
        <v>18764</v>
      </c>
      <c r="T277" s="22" t="s">
        <v>19380</v>
      </c>
      <c r="U277" s="22" t="s">
        <v>18713</v>
      </c>
      <c r="V277" s="22" t="s">
        <v>18731</v>
      </c>
      <c r="W277" s="22" t="s">
        <v>18731</v>
      </c>
      <c r="X277" s="22" t="s">
        <v>18731</v>
      </c>
      <c r="Y277" s="23">
        <v>18</v>
      </c>
      <c r="Z277" s="22" t="s">
        <v>18723</v>
      </c>
    </row>
    <row r="278" spans="1:26" s="25" customFormat="1" hidden="1" x14ac:dyDescent="0.2">
      <c r="A278" s="23" t="s">
        <v>18912</v>
      </c>
      <c r="B278" s="22" t="s">
        <v>18913</v>
      </c>
      <c r="C278" s="23" t="str">
        <f>"000"</f>
        <v>000</v>
      </c>
      <c r="D278" s="23" t="s">
        <v>18718</v>
      </c>
      <c r="E278" s="22" t="s">
        <v>18913</v>
      </c>
      <c r="F278" s="22" t="s">
        <v>19381</v>
      </c>
      <c r="G278" s="22" t="str">
        <f>VLOOKUP(F278,[1]CHILDCARE_FACILITIES!N:Q,4,0)</f>
        <v>CDC-17587</v>
      </c>
      <c r="H278" s="22" t="e">
        <f>VLOOKUP(G278,'[1]CACFP FRL'!D:G,4,0)</f>
        <v>#N/A</v>
      </c>
      <c r="I278" s="22" t="str">
        <f>VLOOKUP(G278,[1]CHILDCARE_FACILITIES!AK:AL,2,0)</f>
        <v>CDC17587</v>
      </c>
      <c r="J278" s="22" t="e">
        <f>VLOOKUP(I278,'[1]Head Start QF 1-5 Stars'!O:Q,3,0)</f>
        <v>#N/A</v>
      </c>
      <c r="K278" s="23" t="s">
        <v>18912</v>
      </c>
      <c r="L278" s="22" t="s">
        <v>19382</v>
      </c>
      <c r="M278" s="22" t="s">
        <v>1637</v>
      </c>
      <c r="N278" s="22" t="s">
        <v>19383</v>
      </c>
      <c r="O278" s="23" t="s">
        <v>207</v>
      </c>
      <c r="P278" s="22" t="str">
        <f>"86335"</f>
        <v>86335</v>
      </c>
      <c r="Q278" s="22" t="str">
        <f>"6241"</f>
        <v>6241</v>
      </c>
      <c r="R278" s="22" t="s">
        <v>18915</v>
      </c>
      <c r="S278" s="23" t="s">
        <v>18818</v>
      </c>
      <c r="T278" s="22" t="s">
        <v>19384</v>
      </c>
      <c r="U278" s="22" t="s">
        <v>18713</v>
      </c>
      <c r="V278" s="22" t="s">
        <v>18714</v>
      </c>
      <c r="W278" s="22" t="s">
        <v>18714</v>
      </c>
      <c r="X278" s="22" t="s">
        <v>18714</v>
      </c>
      <c r="Y278" s="23">
        <v>18</v>
      </c>
      <c r="Z278" s="22" t="s">
        <v>18723</v>
      </c>
    </row>
    <row r="279" spans="1:26" s="25" customFormat="1" hidden="1" x14ac:dyDescent="0.2">
      <c r="A279" s="23" t="s">
        <v>18912</v>
      </c>
      <c r="B279" s="22" t="s">
        <v>18913</v>
      </c>
      <c r="C279" s="23" t="str">
        <f>"000"</f>
        <v>000</v>
      </c>
      <c r="D279" s="23" t="s">
        <v>18718</v>
      </c>
      <c r="E279" s="22" t="s">
        <v>18913</v>
      </c>
      <c r="F279" s="22" t="s">
        <v>19385</v>
      </c>
      <c r="G279" s="22" t="str">
        <f>VLOOKUP(F279,[1]CHILDCARE_FACILITIES!N:Q,4,0)</f>
        <v>CDC-18766</v>
      </c>
      <c r="H279" s="22" t="e">
        <f>VLOOKUP(G279,'[1]CACFP FRL'!D:G,4,0)</f>
        <v>#N/A</v>
      </c>
      <c r="I279" s="22" t="str">
        <f>VLOOKUP(G279,[1]CHILDCARE_FACILITIES!AK:AL,2,0)</f>
        <v>CDC18766</v>
      </c>
      <c r="J279" s="22" t="e">
        <f>VLOOKUP(I279,'[1]Head Start QF 1-5 Stars'!O:Q,3,0)</f>
        <v>#N/A</v>
      </c>
      <c r="K279" s="23" t="s">
        <v>18912</v>
      </c>
      <c r="L279" s="22" t="s">
        <v>19386</v>
      </c>
      <c r="M279" s="22" t="s">
        <v>1637</v>
      </c>
      <c r="N279" s="22" t="s">
        <v>19387</v>
      </c>
      <c r="O279" s="23" t="s">
        <v>207</v>
      </c>
      <c r="P279" s="22" t="str">
        <f>"85929"</f>
        <v>85929</v>
      </c>
      <c r="Q279" s="22" t="str">
        <f>"6532"</f>
        <v>6532</v>
      </c>
      <c r="R279" s="22" t="s">
        <v>19156</v>
      </c>
      <c r="S279" s="23" t="s">
        <v>18818</v>
      </c>
      <c r="T279" s="22" t="s">
        <v>19388</v>
      </c>
      <c r="U279" s="22" t="s">
        <v>18713</v>
      </c>
      <c r="V279" s="22" t="s">
        <v>18714</v>
      </c>
      <c r="W279" s="22" t="s">
        <v>18714</v>
      </c>
      <c r="X279" s="22" t="s">
        <v>18714</v>
      </c>
      <c r="Y279" s="23">
        <v>34</v>
      </c>
      <c r="Z279" s="22" t="s">
        <v>18723</v>
      </c>
    </row>
    <row r="280" spans="1:26" hidden="1" x14ac:dyDescent="0.2">
      <c r="A280" s="23" t="s">
        <v>18873</v>
      </c>
      <c r="B280" s="22" t="s">
        <v>18874</v>
      </c>
      <c r="C280" s="23" t="str">
        <f>"200"</f>
        <v>200</v>
      </c>
      <c r="D280" s="23" t="s">
        <v>18706</v>
      </c>
      <c r="E280" s="22" t="s">
        <v>18875</v>
      </c>
      <c r="F280" s="22" t="s">
        <v>19389</v>
      </c>
      <c r="G280" s="22" t="str">
        <f>VLOOKUP(F280,[1]CHILDCARE_FACILITIES!N:Q,4,0)</f>
        <v>CDC-16068</v>
      </c>
      <c r="H280" s="22">
        <f>VLOOKUP(G280,'[1]CACFP FRL'!D:G,4,0)</f>
        <v>191371</v>
      </c>
      <c r="I280" s="22" t="str">
        <f>VLOOKUP(G280,[1]CHILDCARE_FACILITIES!AK:AL,2,0)</f>
        <v>CDC16068</v>
      </c>
      <c r="J280" s="22">
        <f>VLOOKUP(I280,'[1]Head Start QF 1-5 Stars'!O:Q,3,0)</f>
        <v>1867</v>
      </c>
      <c r="K280" s="23" t="s">
        <v>18873</v>
      </c>
      <c r="L280" s="22" t="s">
        <v>19390</v>
      </c>
      <c r="M280" s="22" t="s">
        <v>1637</v>
      </c>
      <c r="N280" s="22" t="s">
        <v>495</v>
      </c>
      <c r="O280" s="23" t="s">
        <v>207</v>
      </c>
      <c r="P280" s="22" t="str">
        <f>"85018"</f>
        <v>85018</v>
      </c>
      <c r="Q280" s="22" t="str">
        <f>"5115"</f>
        <v>5115</v>
      </c>
      <c r="R280" s="22" t="s">
        <v>18710</v>
      </c>
      <c r="S280" s="23" t="s">
        <v>18711</v>
      </c>
      <c r="T280" s="22" t="s">
        <v>19391</v>
      </c>
      <c r="U280" s="22" t="s">
        <v>18713</v>
      </c>
      <c r="V280" s="22" t="s">
        <v>18714</v>
      </c>
      <c r="W280" s="22" t="s">
        <v>18714</v>
      </c>
      <c r="X280" s="22" t="s">
        <v>18714</v>
      </c>
      <c r="Y280" s="23">
        <v>22</v>
      </c>
      <c r="Z280" s="22" t="s">
        <v>18715</v>
      </c>
    </row>
    <row r="281" spans="1:26" s="25" customFormat="1" hidden="1" x14ac:dyDescent="0.2">
      <c r="A281" s="24" t="s">
        <v>18873</v>
      </c>
      <c r="B281" s="25" t="s">
        <v>18874</v>
      </c>
      <c r="C281" s="24" t="str">
        <f>"200"</f>
        <v>200</v>
      </c>
      <c r="D281" s="24" t="s">
        <v>18706</v>
      </c>
      <c r="E281" s="25" t="s">
        <v>18875</v>
      </c>
      <c r="F281" s="25" t="s">
        <v>19392</v>
      </c>
      <c r="G281" s="25" t="e">
        <f>VLOOKUP(F281,[1]CHILDCARE_FACILITIES!N:Q,4,0)</f>
        <v>#N/A</v>
      </c>
      <c r="H281" s="25" t="e">
        <f>VLOOKUP(G281,'[1]CACFP FRL'!D:G,4,0)</f>
        <v>#N/A</v>
      </c>
      <c r="I281" s="25" t="e">
        <f>VLOOKUP(G281,[1]CHILDCARE_FACILITIES!AK:AL,2,0)</f>
        <v>#N/A</v>
      </c>
      <c r="J281" s="25" t="e">
        <f>VLOOKUP(I281,'[1]Head Start QF 1-5 Stars'!O:Q,3,0)</f>
        <v>#N/A</v>
      </c>
      <c r="K281" s="24" t="s">
        <v>18873</v>
      </c>
      <c r="L281" s="25" t="s">
        <v>19393</v>
      </c>
      <c r="M281" s="25" t="s">
        <v>1637</v>
      </c>
      <c r="N281" s="25" t="s">
        <v>495</v>
      </c>
      <c r="O281" s="24" t="s">
        <v>207</v>
      </c>
      <c r="P281" s="25" t="str">
        <f>"85015"</f>
        <v>85015</v>
      </c>
      <c r="Q281" s="25" t="str">
        <f>"3923"</f>
        <v>3923</v>
      </c>
      <c r="R281" s="25" t="s">
        <v>18710</v>
      </c>
      <c r="S281" s="24" t="s">
        <v>18737</v>
      </c>
      <c r="T281" s="25" t="s">
        <v>19391</v>
      </c>
      <c r="U281" s="25" t="s">
        <v>18713</v>
      </c>
      <c r="V281" s="25" t="s">
        <v>18714</v>
      </c>
      <c r="W281" s="25" t="s">
        <v>18714</v>
      </c>
      <c r="X281" s="25" t="s">
        <v>18714</v>
      </c>
      <c r="Y281" s="24">
        <v>14</v>
      </c>
      <c r="Z281" s="25" t="s">
        <v>18715</v>
      </c>
    </row>
    <row r="282" spans="1:26" hidden="1" x14ac:dyDescent="0.2">
      <c r="A282" s="23" t="s">
        <v>18912</v>
      </c>
      <c r="B282" s="22" t="s">
        <v>18913</v>
      </c>
      <c r="C282" s="23" t="str">
        <f>"000"</f>
        <v>000</v>
      </c>
      <c r="D282" s="23" t="s">
        <v>18718</v>
      </c>
      <c r="E282" s="22" t="s">
        <v>18913</v>
      </c>
      <c r="F282" s="22" t="s">
        <v>1077</v>
      </c>
      <c r="G282" s="22" t="str">
        <f>VLOOKUP(F282,[1]CHILDCARE_FACILITIES!N:Q,4,0)</f>
        <v>CDC-3696</v>
      </c>
      <c r="H282" s="22" t="e">
        <f>VLOOKUP(G282,'[1]CACFP FRL'!D:G,4,0)</f>
        <v>#N/A</v>
      </c>
      <c r="I282" s="22" t="str">
        <f>VLOOKUP(G282,[1]CHILDCARE_FACILITIES!AK:AL,2,0)</f>
        <v>CDC3696</v>
      </c>
      <c r="J282" s="22" t="e">
        <f>VLOOKUP(I282,'[1]Head Start QF 1-5 Stars'!O:Q,3,0)</f>
        <v>#N/A</v>
      </c>
      <c r="K282" s="23" t="s">
        <v>18912</v>
      </c>
      <c r="L282" s="22" t="s">
        <v>18914</v>
      </c>
      <c r="M282" s="22" t="s">
        <v>1637</v>
      </c>
      <c r="N282" s="22" t="s">
        <v>391</v>
      </c>
      <c r="O282" s="23" t="s">
        <v>207</v>
      </c>
      <c r="P282" s="22" t="str">
        <f>"86322"</f>
        <v>86322</v>
      </c>
      <c r="Q282" s="22" t="str">
        <f>""</f>
        <v/>
      </c>
      <c r="R282" s="22" t="s">
        <v>18915</v>
      </c>
      <c r="S282" s="23" t="s">
        <v>18818</v>
      </c>
      <c r="T282" s="22" t="s">
        <v>18916</v>
      </c>
      <c r="U282" s="22" t="s">
        <v>18713</v>
      </c>
      <c r="V282" s="22" t="s">
        <v>18731</v>
      </c>
      <c r="W282" s="22" t="s">
        <v>18731</v>
      </c>
      <c r="X282" s="22" t="s">
        <v>18731</v>
      </c>
      <c r="Y282" s="23">
        <v>50</v>
      </c>
      <c r="Z282" s="22" t="s">
        <v>18723</v>
      </c>
    </row>
    <row r="283" spans="1:26" hidden="1" x14ac:dyDescent="0.2">
      <c r="A283" s="23" t="s">
        <v>18822</v>
      </c>
      <c r="B283" s="22" t="s">
        <v>18823</v>
      </c>
      <c r="C283" s="23" t="str">
        <f>"200"</f>
        <v>200</v>
      </c>
      <c r="D283" s="23" t="s">
        <v>18706</v>
      </c>
      <c r="E283" s="22" t="s">
        <v>18823</v>
      </c>
      <c r="F283" s="22" t="s">
        <v>18965</v>
      </c>
      <c r="G283" s="22" t="str">
        <f>VLOOKUP(F283,[1]CHILDCARE_FACILITIES!N:Q,4,0)</f>
        <v>CDC-0598</v>
      </c>
      <c r="H283" s="22">
        <f>VLOOKUP(G283,'[1]CACFP FRL'!D:G,4,0)</f>
        <v>9824</v>
      </c>
      <c r="I283" s="22" t="str">
        <f>VLOOKUP(G283,[1]CHILDCARE_FACILITIES!AK:AL,2,0)</f>
        <v>CDC0598</v>
      </c>
      <c r="J283" s="22" t="e">
        <f>VLOOKUP(I283,'[1]Head Start QF 1-5 Stars'!O:Q,3,0)</f>
        <v>#N/A</v>
      </c>
      <c r="K283" s="23" t="s">
        <v>18822</v>
      </c>
      <c r="L283" s="22" t="s">
        <v>18966</v>
      </c>
      <c r="M283" s="22" t="s">
        <v>18967</v>
      </c>
      <c r="N283" s="22" t="s">
        <v>413</v>
      </c>
      <c r="O283" s="23" t="s">
        <v>207</v>
      </c>
      <c r="P283" s="22" t="str">
        <f>"85621"</f>
        <v>85621</v>
      </c>
      <c r="Q283" s="22" t="str">
        <f>"2344"</f>
        <v>2344</v>
      </c>
      <c r="R283" s="22" t="s">
        <v>18901</v>
      </c>
      <c r="S283" s="23" t="s">
        <v>18721</v>
      </c>
      <c r="T283" s="22" t="s">
        <v>18968</v>
      </c>
      <c r="U283" s="22" t="s">
        <v>18713</v>
      </c>
      <c r="V283" s="22" t="s">
        <v>18731</v>
      </c>
      <c r="W283" s="22" t="s">
        <v>18731</v>
      </c>
      <c r="X283" s="22" t="s">
        <v>18714</v>
      </c>
      <c r="Y283" s="23">
        <v>20</v>
      </c>
      <c r="Z283" s="22" t="s">
        <v>18723</v>
      </c>
    </row>
    <row r="284" spans="1:26" s="25" customFormat="1" hidden="1" x14ac:dyDescent="0.2">
      <c r="A284" s="23" t="s">
        <v>18912</v>
      </c>
      <c r="B284" s="22" t="s">
        <v>18913</v>
      </c>
      <c r="C284" s="23" t="str">
        <f>"000"</f>
        <v>000</v>
      </c>
      <c r="D284" s="23" t="s">
        <v>18718</v>
      </c>
      <c r="E284" s="22" t="s">
        <v>18913</v>
      </c>
      <c r="F284" s="22" t="s">
        <v>18981</v>
      </c>
      <c r="G284" s="22" t="str">
        <f>VLOOKUP(F284,[1]CHILDCARE_FACILITIES!N:Q,4,0)</f>
        <v>CDC-15094</v>
      </c>
      <c r="H284" s="22" t="e">
        <f>VLOOKUP(G284,'[1]CACFP FRL'!D:G,4,0)</f>
        <v>#N/A</v>
      </c>
      <c r="I284" s="22" t="str">
        <f>VLOOKUP(G284,[1]CHILDCARE_FACILITIES!AK:AL,2,0)</f>
        <v>CDC15094</v>
      </c>
      <c r="J284" s="22">
        <f>VLOOKUP(I284,'[1]Head Start QF 1-5 Stars'!O:Q,3,0)</f>
        <v>3109</v>
      </c>
      <c r="K284" s="23" t="s">
        <v>18912</v>
      </c>
      <c r="L284" s="22" t="s">
        <v>18982</v>
      </c>
      <c r="M284" s="22" t="s">
        <v>1637</v>
      </c>
      <c r="N284" s="22" t="s">
        <v>18983</v>
      </c>
      <c r="O284" s="23" t="s">
        <v>207</v>
      </c>
      <c r="P284" s="22" t="str">
        <f>"86323"</f>
        <v>86323</v>
      </c>
      <c r="Q284" s="22" t="str">
        <f>"7600"</f>
        <v>7600</v>
      </c>
      <c r="R284" s="22" t="s">
        <v>18915</v>
      </c>
      <c r="S284" s="23" t="s">
        <v>18764</v>
      </c>
      <c r="T284" s="22" t="s">
        <v>18984</v>
      </c>
      <c r="U284" s="22" t="s">
        <v>18713</v>
      </c>
      <c r="V284" s="22" t="s">
        <v>18731</v>
      </c>
      <c r="W284" s="22" t="s">
        <v>18731</v>
      </c>
      <c r="X284" s="22" t="s">
        <v>18731</v>
      </c>
      <c r="Y284" s="23">
        <v>34</v>
      </c>
      <c r="Z284" s="22" t="s">
        <v>18723</v>
      </c>
    </row>
    <row r="285" spans="1:26" hidden="1" x14ac:dyDescent="0.2">
      <c r="A285" s="23" t="s">
        <v>18912</v>
      </c>
      <c r="B285" s="22" t="s">
        <v>18913</v>
      </c>
      <c r="C285" s="23" t="str">
        <f>"000"</f>
        <v>000</v>
      </c>
      <c r="D285" s="23" t="s">
        <v>18718</v>
      </c>
      <c r="E285" s="22" t="s">
        <v>18913</v>
      </c>
      <c r="F285" s="22" t="s">
        <v>19394</v>
      </c>
      <c r="G285" s="22" t="str">
        <f>VLOOKUP(F285,[1]CHILDCARE_FACILITIES!N:Q,4,0)</f>
        <v>CDC-5388</v>
      </c>
      <c r="H285" s="22" t="e">
        <f>VLOOKUP(G285,'[1]CACFP FRL'!D:G,4,0)</f>
        <v>#N/A</v>
      </c>
      <c r="I285" s="22" t="str">
        <f>VLOOKUP(G285,[1]CHILDCARE_FACILITIES!AK:AL,2,0)</f>
        <v>CDC5388</v>
      </c>
      <c r="J285" s="22" t="e">
        <f>VLOOKUP(I285,'[1]Head Start QF 1-5 Stars'!O:Q,3,0)</f>
        <v>#N/A</v>
      </c>
      <c r="K285" s="23" t="s">
        <v>18912</v>
      </c>
      <c r="L285" s="22" t="s">
        <v>19395</v>
      </c>
      <c r="M285" s="22" t="s">
        <v>1637</v>
      </c>
      <c r="N285" s="22" t="s">
        <v>1380</v>
      </c>
      <c r="O285" s="23" t="s">
        <v>207</v>
      </c>
      <c r="P285" s="22" t="str">
        <f>"86001"</f>
        <v>86001</v>
      </c>
      <c r="Q285" s="22" t="str">
        <f>"1596"</f>
        <v>1596</v>
      </c>
      <c r="R285" s="22" t="s">
        <v>19091</v>
      </c>
      <c r="S285" s="23" t="s">
        <v>18818</v>
      </c>
      <c r="T285" s="22" t="s">
        <v>19396</v>
      </c>
      <c r="U285" s="22" t="s">
        <v>18713</v>
      </c>
      <c r="V285" s="22" t="s">
        <v>18731</v>
      </c>
      <c r="W285" s="22" t="s">
        <v>18731</v>
      </c>
      <c r="X285" s="22" t="s">
        <v>18731</v>
      </c>
      <c r="Y285" s="23">
        <v>32</v>
      </c>
      <c r="Z285" s="22" t="s">
        <v>18723</v>
      </c>
    </row>
    <row r="286" spans="1:26" hidden="1" x14ac:dyDescent="0.2">
      <c r="A286" s="23" t="s">
        <v>18796</v>
      </c>
      <c r="B286" s="22" t="s">
        <v>18705</v>
      </c>
      <c r="C286" s="23" t="str">
        <f>"200"</f>
        <v>200</v>
      </c>
      <c r="D286" s="23" t="s">
        <v>18706</v>
      </c>
      <c r="E286" s="22" t="s">
        <v>18797</v>
      </c>
      <c r="F286" s="22" t="s">
        <v>19324</v>
      </c>
      <c r="G286" s="22" t="str">
        <f>VLOOKUP(F286,[1]CHILDCARE_FACILITIES!N:Q,4,0)</f>
        <v>CDC-12803</v>
      </c>
      <c r="H286" s="22" t="e">
        <f>VLOOKUP(G286,'[1]CACFP FRL'!D:G,4,0)</f>
        <v>#N/A</v>
      </c>
      <c r="I286" s="22" t="str">
        <f>VLOOKUP(G286,[1]CHILDCARE_FACILITIES!AK:AL,2,0)</f>
        <v>CDC12803</v>
      </c>
      <c r="J286" s="22" t="e">
        <f>VLOOKUP(I286,'[1]Head Start QF 1-5 Stars'!O:Q,3,0)</f>
        <v>#N/A</v>
      </c>
      <c r="K286" s="23" t="s">
        <v>18796</v>
      </c>
      <c r="L286" s="22" t="s">
        <v>19325</v>
      </c>
      <c r="M286" s="22" t="s">
        <v>1637</v>
      </c>
      <c r="N286" s="22" t="s">
        <v>704</v>
      </c>
      <c r="O286" s="23" t="s">
        <v>207</v>
      </c>
      <c r="P286" s="22" t="str">
        <f>"85281"</f>
        <v>85281</v>
      </c>
      <c r="Q286" s="22" t="str">
        <f>"1601"</f>
        <v>1601</v>
      </c>
      <c r="R286" s="22" t="s">
        <v>18710</v>
      </c>
      <c r="S286" s="23" t="s">
        <v>18711</v>
      </c>
      <c r="T286" s="22" t="s">
        <v>19326</v>
      </c>
      <c r="U286" s="22" t="s">
        <v>18713</v>
      </c>
      <c r="V286" s="22" t="s">
        <v>18714</v>
      </c>
      <c r="W286" s="22" t="s">
        <v>18714</v>
      </c>
      <c r="X286" s="22" t="s">
        <v>18714</v>
      </c>
      <c r="Y286" s="23">
        <v>19</v>
      </c>
      <c r="Z286" s="22" t="s">
        <v>18723</v>
      </c>
    </row>
    <row r="287" spans="1:26" hidden="1" x14ac:dyDescent="0.2">
      <c r="A287" s="24" t="s">
        <v>18912</v>
      </c>
      <c r="B287" s="25" t="s">
        <v>18913</v>
      </c>
      <c r="C287" s="24" t="str">
        <f>"000"</f>
        <v>000</v>
      </c>
      <c r="D287" s="24" t="s">
        <v>18718</v>
      </c>
      <c r="E287" s="25" t="s">
        <v>18913</v>
      </c>
      <c r="F287" s="25" t="s">
        <v>19397</v>
      </c>
      <c r="G287" s="25" t="e">
        <f>VLOOKUP(F287,[1]CHILDCARE_FACILITIES!N:Q,4,0)</f>
        <v>#N/A</v>
      </c>
      <c r="H287" s="25" t="e">
        <f>VLOOKUP(G287,'[1]CACFP FRL'!D:G,4,0)</f>
        <v>#N/A</v>
      </c>
      <c r="I287" s="25" t="e">
        <f>VLOOKUP(G287,[1]CHILDCARE_FACILITIES!AK:AL,2,0)</f>
        <v>#N/A</v>
      </c>
      <c r="J287" s="25" t="e">
        <f>VLOOKUP(I287,'[1]Head Start QF 1-5 Stars'!O:Q,3,0)</f>
        <v>#N/A</v>
      </c>
      <c r="K287" s="24" t="s">
        <v>18912</v>
      </c>
      <c r="L287" s="25" t="s">
        <v>19398</v>
      </c>
      <c r="M287" s="25" t="s">
        <v>1637</v>
      </c>
      <c r="N287" s="25" t="s">
        <v>19399</v>
      </c>
      <c r="O287" s="24" t="s">
        <v>207</v>
      </c>
      <c r="P287" s="25" t="str">
        <f>"86047"</f>
        <v>86047</v>
      </c>
      <c r="Q287" s="25" t="str">
        <f>"3822"</f>
        <v>3822</v>
      </c>
      <c r="R287" s="25" t="s">
        <v>19156</v>
      </c>
      <c r="S287" s="24" t="s">
        <v>18818</v>
      </c>
      <c r="T287" s="25"/>
      <c r="U287" s="25" t="s">
        <v>18713</v>
      </c>
      <c r="V287" s="25" t="s">
        <v>18714</v>
      </c>
      <c r="W287" s="25" t="s">
        <v>18714</v>
      </c>
      <c r="X287" s="25" t="s">
        <v>18714</v>
      </c>
      <c r="Y287" s="24">
        <v>30</v>
      </c>
      <c r="Z287" s="25" t="s">
        <v>18723</v>
      </c>
    </row>
    <row r="288" spans="1:26" hidden="1" x14ac:dyDescent="0.2">
      <c r="A288" s="23" t="s">
        <v>18822</v>
      </c>
      <c r="B288" s="22" t="s">
        <v>18823</v>
      </c>
      <c r="C288" s="23" t="str">
        <f>"200"</f>
        <v>200</v>
      </c>
      <c r="D288" s="23" t="s">
        <v>18706</v>
      </c>
      <c r="E288" s="22" t="s">
        <v>18823</v>
      </c>
      <c r="F288" s="22" t="s">
        <v>18975</v>
      </c>
      <c r="G288" s="22" t="str">
        <f>VLOOKUP(F288,[1]CHILDCARE_FACILITIES!N:Q,4,0)</f>
        <v>CDC-1080</v>
      </c>
      <c r="H288" s="22">
        <f>VLOOKUP(G288,'[1]CACFP FRL'!D:G,4,0)</f>
        <v>9825</v>
      </c>
      <c r="I288" s="22" t="str">
        <f>VLOOKUP(G288,[1]CHILDCARE_FACILITIES!AK:AL,2,0)</f>
        <v>CDC1080</v>
      </c>
      <c r="J288" s="22" t="e">
        <f>VLOOKUP(I288,'[1]Head Start QF 1-5 Stars'!O:Q,3,0)</f>
        <v>#N/A</v>
      </c>
      <c r="K288" s="23" t="s">
        <v>18822</v>
      </c>
      <c r="L288" s="22" t="s">
        <v>18976</v>
      </c>
      <c r="M288" s="22" t="s">
        <v>1637</v>
      </c>
      <c r="N288" s="22" t="s">
        <v>764</v>
      </c>
      <c r="O288" s="23" t="s">
        <v>207</v>
      </c>
      <c r="P288" s="22" t="str">
        <f>"85705"</f>
        <v>85705</v>
      </c>
      <c r="Q288" s="22" t="str">
        <f>"5607"</f>
        <v>5607</v>
      </c>
      <c r="R288" s="22" t="s">
        <v>996</v>
      </c>
      <c r="S288" s="23" t="s">
        <v>18721</v>
      </c>
      <c r="T288" s="22" t="s">
        <v>18977</v>
      </c>
      <c r="U288" s="22" t="s">
        <v>18713</v>
      </c>
      <c r="V288" s="22" t="s">
        <v>18731</v>
      </c>
      <c r="W288" s="22" t="s">
        <v>18731</v>
      </c>
      <c r="X288" s="22" t="s">
        <v>18714</v>
      </c>
      <c r="Y288" s="23">
        <v>10</v>
      </c>
      <c r="Z288" s="22" t="s">
        <v>18723</v>
      </c>
    </row>
    <row r="289" spans="1:26" hidden="1" x14ac:dyDescent="0.2">
      <c r="A289" s="23" t="s">
        <v>18912</v>
      </c>
      <c r="B289" s="22" t="s">
        <v>18913</v>
      </c>
      <c r="C289" s="23" t="str">
        <f>"200"</f>
        <v>200</v>
      </c>
      <c r="D289" s="23" t="s">
        <v>18706</v>
      </c>
      <c r="E289" s="22" t="s">
        <v>18913</v>
      </c>
      <c r="F289" s="22" t="s">
        <v>19400</v>
      </c>
      <c r="G289" s="22" t="str">
        <f>VLOOKUP(F289,[1]CHILDCARE_FACILITIES!N:Q,4,0)</f>
        <v>CDC-17977</v>
      </c>
      <c r="H289" s="22" t="e">
        <f>VLOOKUP(G289,'[1]CACFP FRL'!D:G,4,0)</f>
        <v>#N/A</v>
      </c>
      <c r="I289" s="22" t="str">
        <f>VLOOKUP(G289,[1]CHILDCARE_FACILITIES!AK:AL,2,0)</f>
        <v>CDC17977</v>
      </c>
      <c r="J289" s="22" t="e">
        <f>VLOOKUP(I289,'[1]Head Start QF 1-5 Stars'!O:Q,3,0)</f>
        <v>#N/A</v>
      </c>
      <c r="K289" s="23" t="s">
        <v>18912</v>
      </c>
      <c r="L289" s="22" t="s">
        <v>19401</v>
      </c>
      <c r="M289" s="22" t="s">
        <v>1637</v>
      </c>
      <c r="N289" s="22" t="s">
        <v>549</v>
      </c>
      <c r="O289" s="23" t="s">
        <v>207</v>
      </c>
      <c r="P289" s="22" t="str">
        <f>"86314"</f>
        <v>86314</v>
      </c>
      <c r="Q289" s="22" t="str">
        <f>"6233"</f>
        <v>6233</v>
      </c>
      <c r="R289" s="22" t="s">
        <v>18915</v>
      </c>
      <c r="S289" s="23" t="s">
        <v>18764</v>
      </c>
      <c r="T289" s="22" t="s">
        <v>19402</v>
      </c>
      <c r="U289" s="22" t="s">
        <v>18713</v>
      </c>
      <c r="V289" s="22" t="s">
        <v>18731</v>
      </c>
      <c r="W289" s="22" t="s">
        <v>18731</v>
      </c>
      <c r="X289" s="22" t="s">
        <v>18731</v>
      </c>
      <c r="Y289" s="23">
        <v>28</v>
      </c>
      <c r="Z289" s="22" t="s">
        <v>18723</v>
      </c>
    </row>
    <row r="290" spans="1:26" hidden="1" x14ac:dyDescent="0.2">
      <c r="A290" s="23" t="s">
        <v>18912</v>
      </c>
      <c r="B290" s="22" t="s">
        <v>18913</v>
      </c>
      <c r="C290" s="23" t="str">
        <f>"000"</f>
        <v>000</v>
      </c>
      <c r="D290" s="23" t="s">
        <v>18718</v>
      </c>
      <c r="E290" s="22" t="s">
        <v>18913</v>
      </c>
      <c r="F290" s="22" t="s">
        <v>19403</v>
      </c>
      <c r="G290" s="22" t="str">
        <f>VLOOKUP(F290,[1]CHILDCARE_FACILITIES!N:Q,4,0)</f>
        <v>CDC-4460</v>
      </c>
      <c r="H290" s="22" t="e">
        <f>VLOOKUP(G290,'[1]CACFP FRL'!D:G,4,0)</f>
        <v>#N/A</v>
      </c>
      <c r="I290" s="22" t="str">
        <f>VLOOKUP(G290,[1]CHILDCARE_FACILITIES!AK:AL,2,0)</f>
        <v>CDC4460</v>
      </c>
      <c r="J290" s="22">
        <f>VLOOKUP(I290,'[1]Head Start QF 1-5 Stars'!O:Q,3,0)</f>
        <v>3108</v>
      </c>
      <c r="K290" s="23" t="s">
        <v>18912</v>
      </c>
      <c r="L290" s="22" t="s">
        <v>19404</v>
      </c>
      <c r="M290" s="22" t="s">
        <v>1637</v>
      </c>
      <c r="N290" s="22" t="s">
        <v>19405</v>
      </c>
      <c r="O290" s="23" t="s">
        <v>207</v>
      </c>
      <c r="P290" s="22" t="str">
        <f>"86326"</f>
        <v>86326</v>
      </c>
      <c r="Q290" s="22" t="str">
        <f>"3667"</f>
        <v>3667</v>
      </c>
      <c r="R290" s="22" t="s">
        <v>18915</v>
      </c>
      <c r="S290" s="23" t="s">
        <v>18764</v>
      </c>
      <c r="T290" s="22" t="s">
        <v>19406</v>
      </c>
      <c r="U290" s="22" t="s">
        <v>18713</v>
      </c>
      <c r="V290" s="22" t="s">
        <v>18731</v>
      </c>
      <c r="W290" s="22" t="s">
        <v>18714</v>
      </c>
      <c r="X290" s="22" t="s">
        <v>18714</v>
      </c>
      <c r="Y290" s="23">
        <v>54</v>
      </c>
      <c r="Z290" s="22" t="s">
        <v>18723</v>
      </c>
    </row>
    <row r="291" spans="1:26" hidden="1" x14ac:dyDescent="0.2">
      <c r="A291" s="23" t="s">
        <v>18912</v>
      </c>
      <c r="B291" s="22" t="s">
        <v>18913</v>
      </c>
      <c r="C291" s="23" t="str">
        <f>"000"</f>
        <v>000</v>
      </c>
      <c r="D291" s="23" t="s">
        <v>18718</v>
      </c>
      <c r="E291" s="22" t="s">
        <v>18913</v>
      </c>
      <c r="F291" s="22" t="s">
        <v>19407</v>
      </c>
      <c r="G291" s="22" t="str">
        <f>VLOOKUP(F291,[1]CHILDCARE_FACILITIES!N:Q,4,0)</f>
        <v>CDC-18723</v>
      </c>
      <c r="H291" s="22" t="e">
        <f>VLOOKUP(G291,'[1]CACFP FRL'!D:G,4,0)</f>
        <v>#N/A</v>
      </c>
      <c r="I291" s="22" t="str">
        <f>VLOOKUP(G291,[1]CHILDCARE_FACILITIES!AK:AL,2,0)</f>
        <v>CDC18723</v>
      </c>
      <c r="J291" s="22" t="e">
        <f>VLOOKUP(I291,'[1]Head Start QF 1-5 Stars'!O:Q,3,0)</f>
        <v>#N/A</v>
      </c>
      <c r="K291" s="23" t="s">
        <v>18912</v>
      </c>
      <c r="L291" s="22" t="s">
        <v>19408</v>
      </c>
      <c r="M291" s="22" t="s">
        <v>1637</v>
      </c>
      <c r="N291" s="22" t="s">
        <v>1380</v>
      </c>
      <c r="O291" s="23" t="s">
        <v>207</v>
      </c>
      <c r="P291" s="22" t="str">
        <f>"86004"</f>
        <v>86004</v>
      </c>
      <c r="Q291" s="22" t="str">
        <f>"3207"</f>
        <v>3207</v>
      </c>
      <c r="R291" s="22" t="s">
        <v>19091</v>
      </c>
      <c r="S291" s="23" t="s">
        <v>18818</v>
      </c>
      <c r="T291" s="22" t="s">
        <v>19409</v>
      </c>
      <c r="U291" s="22" t="s">
        <v>18713</v>
      </c>
      <c r="V291" s="22" t="s">
        <v>18714</v>
      </c>
      <c r="W291" s="22" t="s">
        <v>18714</v>
      </c>
      <c r="X291" s="22" t="s">
        <v>18714</v>
      </c>
      <c r="Y291" s="23">
        <v>18</v>
      </c>
      <c r="Z291" s="22" t="s">
        <v>18723</v>
      </c>
    </row>
    <row r="292" spans="1:26" hidden="1" x14ac:dyDescent="0.2">
      <c r="A292" s="23" t="s">
        <v>18912</v>
      </c>
      <c r="B292" s="22" t="s">
        <v>18913</v>
      </c>
      <c r="C292" s="23" t="str">
        <f>"000"</f>
        <v>000</v>
      </c>
      <c r="D292" s="23" t="s">
        <v>18718</v>
      </c>
      <c r="E292" s="22" t="s">
        <v>18913</v>
      </c>
      <c r="F292" s="22" t="s">
        <v>19153</v>
      </c>
      <c r="G292" s="22" t="str">
        <f>VLOOKUP(F292,[1]CHILDCARE_FACILITIES!N:Q,4,0)</f>
        <v>CDC-1360</v>
      </c>
      <c r="H292" s="22" t="e">
        <f>VLOOKUP(G292,'[1]CACFP FRL'!D:G,4,0)</f>
        <v>#N/A</v>
      </c>
      <c r="I292" s="22" t="str">
        <f>VLOOKUP(G292,[1]CHILDCARE_FACILITIES!AK:AL,2,0)</f>
        <v>CDC1360</v>
      </c>
      <c r="J292" s="22" t="e">
        <f>VLOOKUP(I292,'[1]Head Start QF 1-5 Stars'!O:Q,3,0)</f>
        <v>#N/A</v>
      </c>
      <c r="K292" s="23" t="s">
        <v>18912</v>
      </c>
      <c r="L292" s="22" t="s">
        <v>19154</v>
      </c>
      <c r="M292" s="22" t="s">
        <v>1637</v>
      </c>
      <c r="N292" s="22" t="s">
        <v>19155</v>
      </c>
      <c r="O292" s="23" t="s">
        <v>207</v>
      </c>
      <c r="P292" s="22" t="str">
        <f>"86025"</f>
        <v>86025</v>
      </c>
      <c r="Q292" s="22" t="str">
        <f>"2823"</f>
        <v>2823</v>
      </c>
      <c r="R292" s="22" t="s">
        <v>19156</v>
      </c>
      <c r="S292" s="23" t="s">
        <v>18818</v>
      </c>
      <c r="T292" s="22" t="s">
        <v>19157</v>
      </c>
      <c r="U292" s="22" t="s">
        <v>18713</v>
      </c>
      <c r="V292" s="22" t="s">
        <v>18714</v>
      </c>
      <c r="W292" s="22" t="s">
        <v>18714</v>
      </c>
      <c r="X292" s="22" t="s">
        <v>18714</v>
      </c>
      <c r="Y292" s="23">
        <v>36</v>
      </c>
      <c r="Z292" s="22" t="s">
        <v>18723</v>
      </c>
    </row>
    <row r="293" spans="1:26" hidden="1" x14ac:dyDescent="0.2">
      <c r="A293" s="23" t="s">
        <v>18912</v>
      </c>
      <c r="B293" s="22" t="s">
        <v>18913</v>
      </c>
      <c r="C293" s="23" t="str">
        <f>"000"</f>
        <v>000</v>
      </c>
      <c r="D293" s="23" t="s">
        <v>18718</v>
      </c>
      <c r="E293" s="22" t="s">
        <v>18913</v>
      </c>
      <c r="F293" s="22" t="s">
        <v>19410</v>
      </c>
      <c r="G293" s="22" t="str">
        <f>VLOOKUP(F293,[1]CHILDCARE_FACILITIES!N:Q,4,0)</f>
        <v>CDC-17843</v>
      </c>
      <c r="H293" s="22" t="e">
        <f>VLOOKUP(G293,'[1]CACFP FRL'!D:G,4,0)</f>
        <v>#N/A</v>
      </c>
      <c r="I293" s="22" t="str">
        <f>VLOOKUP(G293,[1]CHILDCARE_FACILITIES!AK:AL,2,0)</f>
        <v>CDC17843</v>
      </c>
      <c r="J293" s="22" t="e">
        <f>VLOOKUP(I293,'[1]Head Start QF 1-5 Stars'!O:Q,3,0)</f>
        <v>#N/A</v>
      </c>
      <c r="K293" s="23" t="s">
        <v>18912</v>
      </c>
      <c r="L293" s="22" t="s">
        <v>19411</v>
      </c>
      <c r="M293" s="22" t="s">
        <v>1637</v>
      </c>
      <c r="N293" s="22" t="s">
        <v>549</v>
      </c>
      <c r="O293" s="23" t="s">
        <v>207</v>
      </c>
      <c r="P293" s="22" t="str">
        <f>"86314"</f>
        <v>86314</v>
      </c>
      <c r="Q293" s="22" t="str">
        <f>"9146"</f>
        <v>9146</v>
      </c>
      <c r="R293" s="22" t="s">
        <v>18915</v>
      </c>
      <c r="S293" s="23" t="s">
        <v>18764</v>
      </c>
      <c r="T293" s="22" t="s">
        <v>19412</v>
      </c>
      <c r="U293" s="22" t="s">
        <v>18713</v>
      </c>
      <c r="V293" s="22" t="s">
        <v>18714</v>
      </c>
      <c r="W293" s="22" t="s">
        <v>18714</v>
      </c>
      <c r="X293" s="22" t="s">
        <v>18714</v>
      </c>
      <c r="Y293" s="23">
        <v>36</v>
      </c>
      <c r="Z293" s="22" t="s">
        <v>18723</v>
      </c>
    </row>
    <row r="294" spans="1:26" x14ac:dyDescent="0.2">
      <c r="A294" s="23" t="s">
        <v>18903</v>
      </c>
      <c r="B294" s="22" t="s">
        <v>18742</v>
      </c>
      <c r="C294" s="23" t="str">
        <f>"200"</f>
        <v>200</v>
      </c>
      <c r="D294" s="23" t="s">
        <v>18706</v>
      </c>
      <c r="E294" s="22" t="s">
        <v>18742</v>
      </c>
      <c r="F294" s="22" t="s">
        <v>1204</v>
      </c>
      <c r="G294" s="22" t="str">
        <f>VLOOKUP(F294,[1]CHILDCARE_FACILITIES!N:Q,4,0)</f>
        <v>CDC-7009</v>
      </c>
      <c r="H294" s="22">
        <f>VLOOKUP(G294,'[1]CACFP FRL'!D:G,4,0)</f>
        <v>80542</v>
      </c>
      <c r="I294" s="22" t="str">
        <f>VLOOKUP(G294,[1]CHILDCARE_FACILITIES!AK:AL,2,0)</f>
        <v>CDC7009</v>
      </c>
      <c r="J294" s="22">
        <f>VLOOKUP(I294,'[1]Head Start QF 1-5 Stars'!O:Q,3,0)</f>
        <v>66</v>
      </c>
      <c r="K294" s="23" t="s">
        <v>18903</v>
      </c>
      <c r="L294" s="22" t="s">
        <v>19413</v>
      </c>
      <c r="M294" s="22" t="s">
        <v>1637</v>
      </c>
      <c r="N294" s="22" t="s">
        <v>495</v>
      </c>
      <c r="O294" s="23" t="s">
        <v>207</v>
      </c>
      <c r="P294" s="22" t="str">
        <f>"85009"</f>
        <v>85009</v>
      </c>
      <c r="Q294" s="22" t="str">
        <f>"1242"</f>
        <v>1242</v>
      </c>
      <c r="R294" s="22" t="s">
        <v>18710</v>
      </c>
      <c r="S294" s="23" t="s">
        <v>18737</v>
      </c>
      <c r="T294" s="22" t="s">
        <v>18865</v>
      </c>
      <c r="U294" s="22" t="s">
        <v>18713</v>
      </c>
      <c r="V294" s="22" t="s">
        <v>18714</v>
      </c>
      <c r="W294" s="22" t="s">
        <v>18714</v>
      </c>
      <c r="X294" s="22" t="s">
        <v>18714</v>
      </c>
      <c r="Y294" s="23">
        <v>44</v>
      </c>
      <c r="Z294" s="22" t="s">
        <v>18715</v>
      </c>
    </row>
    <row r="295" spans="1:26" hidden="1" x14ac:dyDescent="0.2">
      <c r="A295" s="23" t="s">
        <v>18912</v>
      </c>
      <c r="B295" s="22" t="s">
        <v>18913</v>
      </c>
      <c r="C295" s="23" t="str">
        <f>"000"</f>
        <v>000</v>
      </c>
      <c r="D295" s="23" t="s">
        <v>18718</v>
      </c>
      <c r="E295" s="22" t="s">
        <v>18913</v>
      </c>
      <c r="F295" s="22" t="s">
        <v>19414</v>
      </c>
      <c r="G295" s="22" t="str">
        <f>VLOOKUP(F295,[1]CHILDCARE_FACILITIES!N:Q,4,0)</f>
        <v>CDC-18746</v>
      </c>
      <c r="H295" s="22" t="e">
        <f>VLOOKUP(G295,'[1]CACFP FRL'!D:G,4,0)</f>
        <v>#N/A</v>
      </c>
      <c r="I295" s="22" t="str">
        <f>VLOOKUP(G295,[1]CHILDCARE_FACILITIES!AK:AL,2,0)</f>
        <v>CDC18746</v>
      </c>
      <c r="J295" s="22" t="e">
        <f>VLOOKUP(I295,'[1]Head Start QF 1-5 Stars'!O:Q,3,0)</f>
        <v>#N/A</v>
      </c>
      <c r="K295" s="23" t="s">
        <v>18912</v>
      </c>
      <c r="L295" s="22" t="s">
        <v>19415</v>
      </c>
      <c r="M295" s="22" t="s">
        <v>1637</v>
      </c>
      <c r="N295" s="22" t="s">
        <v>549</v>
      </c>
      <c r="O295" s="23" t="s">
        <v>207</v>
      </c>
      <c r="P295" s="22" t="str">
        <f>"86314"</f>
        <v>86314</v>
      </c>
      <c r="Q295" s="22" t="str">
        <f>"2287"</f>
        <v>2287</v>
      </c>
      <c r="R295" s="22" t="s">
        <v>18915</v>
      </c>
      <c r="S295" s="23" t="s">
        <v>18764</v>
      </c>
      <c r="T295" s="22" t="s">
        <v>19416</v>
      </c>
      <c r="U295" s="22" t="s">
        <v>18713</v>
      </c>
      <c r="V295" s="22" t="s">
        <v>18714</v>
      </c>
      <c r="W295" s="22" t="s">
        <v>18714</v>
      </c>
      <c r="X295" s="22" t="s">
        <v>18714</v>
      </c>
      <c r="Y295" s="23">
        <v>18</v>
      </c>
      <c r="Z295" s="22" t="s">
        <v>18723</v>
      </c>
    </row>
    <row r="296" spans="1:26" hidden="1" x14ac:dyDescent="0.2">
      <c r="A296" s="23" t="s">
        <v>18912</v>
      </c>
      <c r="B296" s="22" t="s">
        <v>18913</v>
      </c>
      <c r="C296" s="23" t="str">
        <f>"000"</f>
        <v>000</v>
      </c>
      <c r="D296" s="23" t="s">
        <v>18718</v>
      </c>
      <c r="E296" s="22" t="s">
        <v>18913</v>
      </c>
      <c r="F296" s="22" t="s">
        <v>1198</v>
      </c>
      <c r="G296" s="22" t="str">
        <f>VLOOKUP(F296,[1]CHILDCARE_FACILITIES!N:Q,4,0)</f>
        <v>CDC-5222</v>
      </c>
      <c r="H296" s="22" t="e">
        <f>VLOOKUP(G296,'[1]CACFP FRL'!D:G,4,0)</f>
        <v>#N/A</v>
      </c>
      <c r="I296" s="22" t="str">
        <f>VLOOKUP(G296,[1]CHILDCARE_FACILITIES!AK:AL,2,0)</f>
        <v>CDC5222</v>
      </c>
      <c r="J296" s="22">
        <f>VLOOKUP(I296,'[1]Head Start QF 1-5 Stars'!O:Q,3,0)</f>
        <v>2578</v>
      </c>
      <c r="K296" s="23" t="s">
        <v>18912</v>
      </c>
      <c r="L296" s="22" t="s">
        <v>19417</v>
      </c>
      <c r="M296" s="22" t="s">
        <v>1637</v>
      </c>
      <c r="N296" s="22" t="s">
        <v>19418</v>
      </c>
      <c r="O296" s="23" t="s">
        <v>207</v>
      </c>
      <c r="P296" s="22" t="str">
        <f>"86040"</f>
        <v>86040</v>
      </c>
      <c r="Q296" s="22" t="str">
        <f>""</f>
        <v/>
      </c>
      <c r="R296" s="22" t="s">
        <v>19091</v>
      </c>
      <c r="S296" s="23" t="s">
        <v>18818</v>
      </c>
      <c r="T296" s="22" t="s">
        <v>19419</v>
      </c>
      <c r="U296" s="22" t="s">
        <v>18713</v>
      </c>
      <c r="V296" s="22" t="s">
        <v>18731</v>
      </c>
      <c r="W296" s="22" t="s">
        <v>18731</v>
      </c>
      <c r="X296" s="22" t="s">
        <v>18731</v>
      </c>
      <c r="Y296" s="23">
        <v>34</v>
      </c>
      <c r="Z296" s="22" t="s">
        <v>18723</v>
      </c>
    </row>
    <row r="297" spans="1:26" hidden="1" x14ac:dyDescent="0.2">
      <c r="A297" s="23" t="s">
        <v>18912</v>
      </c>
      <c r="B297" s="22" t="s">
        <v>18913</v>
      </c>
      <c r="C297" s="23" t="str">
        <f>"000"</f>
        <v>000</v>
      </c>
      <c r="D297" s="23" t="s">
        <v>18718</v>
      </c>
      <c r="E297" s="22" t="s">
        <v>18913</v>
      </c>
      <c r="F297" s="22" t="s">
        <v>19420</v>
      </c>
      <c r="G297" s="22" t="str">
        <f>VLOOKUP(F297,[1]CHILDCARE_FACILITIES!N:Q,4,0)</f>
        <v>CDC-0986</v>
      </c>
      <c r="H297" s="22" t="e">
        <f>VLOOKUP(G297,'[1]CACFP FRL'!D:G,4,0)</f>
        <v>#N/A</v>
      </c>
      <c r="I297" s="22" t="str">
        <f>VLOOKUP(G297,[1]CHILDCARE_FACILITIES!AK:AL,2,0)</f>
        <v>CDC0986</v>
      </c>
      <c r="J297" s="22" t="e">
        <f>VLOOKUP(I297,'[1]Head Start QF 1-5 Stars'!O:Q,3,0)</f>
        <v>#N/A</v>
      </c>
      <c r="K297" s="23" t="s">
        <v>18912</v>
      </c>
      <c r="L297" s="22" t="s">
        <v>19421</v>
      </c>
      <c r="M297" s="22" t="s">
        <v>1637</v>
      </c>
      <c r="N297" s="22" t="s">
        <v>1380</v>
      </c>
      <c r="O297" s="23" t="s">
        <v>207</v>
      </c>
      <c r="P297" s="22" t="str">
        <f>"86004"</f>
        <v>86004</v>
      </c>
      <c r="Q297" s="22" t="str">
        <f>"3652"</f>
        <v>3652</v>
      </c>
      <c r="R297" s="22" t="s">
        <v>19091</v>
      </c>
      <c r="S297" s="23" t="s">
        <v>18818</v>
      </c>
      <c r="T297" s="22" t="s">
        <v>19422</v>
      </c>
      <c r="U297" s="22" t="s">
        <v>18713</v>
      </c>
      <c r="V297" s="22" t="s">
        <v>18731</v>
      </c>
      <c r="W297" s="22" t="s">
        <v>18731</v>
      </c>
      <c r="X297" s="22" t="s">
        <v>18731</v>
      </c>
      <c r="Y297" s="23">
        <v>34</v>
      </c>
      <c r="Z297" s="22" t="s">
        <v>18723</v>
      </c>
    </row>
    <row r="298" spans="1:26" hidden="1" x14ac:dyDescent="0.2">
      <c r="A298" s="23" t="s">
        <v>18796</v>
      </c>
      <c r="B298" s="22" t="s">
        <v>18705</v>
      </c>
      <c r="C298" s="23" t="str">
        <f>"200"</f>
        <v>200</v>
      </c>
      <c r="D298" s="23" t="s">
        <v>18706</v>
      </c>
      <c r="E298" s="22" t="s">
        <v>18797</v>
      </c>
      <c r="F298" s="22" t="s">
        <v>19327</v>
      </c>
      <c r="G298" s="22" t="str">
        <f>VLOOKUP(F298,[1]CHILDCARE_FACILITIES!N:Q,4,0)</f>
        <v>CDC-5314</v>
      </c>
      <c r="H298" s="22" t="e">
        <f>VLOOKUP(G298,'[1]CACFP FRL'!D:G,4,0)</f>
        <v>#N/A</v>
      </c>
      <c r="I298" s="22" t="str">
        <f>VLOOKUP(G298,[1]CHILDCARE_FACILITIES!AK:AL,2,0)</f>
        <v>CDC5314</v>
      </c>
      <c r="J298" s="22">
        <f>VLOOKUP(I298,'[1]Head Start QF 1-5 Stars'!O:Q,3,0)</f>
        <v>2992</v>
      </c>
      <c r="K298" s="23" t="s">
        <v>18796</v>
      </c>
      <c r="L298" s="22" t="s">
        <v>707</v>
      </c>
      <c r="M298" s="22" t="s">
        <v>1637</v>
      </c>
      <c r="N298" s="22" t="s">
        <v>708</v>
      </c>
      <c r="O298" s="23" t="s">
        <v>207</v>
      </c>
      <c r="P298" s="22" t="str">
        <f>"85251"</f>
        <v>85251</v>
      </c>
      <c r="Q298" s="22" t="str">
        <f>"6026"</f>
        <v>6026</v>
      </c>
      <c r="R298" s="22" t="s">
        <v>18710</v>
      </c>
      <c r="S298" s="23" t="s">
        <v>19033</v>
      </c>
      <c r="T298" s="22" t="s">
        <v>19328</v>
      </c>
      <c r="U298" s="22" t="s">
        <v>18713</v>
      </c>
      <c r="V298" s="22" t="s">
        <v>18714</v>
      </c>
      <c r="W298" s="22" t="s">
        <v>18714</v>
      </c>
      <c r="X298" s="22" t="s">
        <v>18714</v>
      </c>
      <c r="Y298" s="23">
        <v>19</v>
      </c>
      <c r="Z298" s="22" t="s">
        <v>18723</v>
      </c>
    </row>
    <row r="299" spans="1:26" hidden="1" x14ac:dyDescent="0.2">
      <c r="A299" s="23" t="s">
        <v>18912</v>
      </c>
      <c r="B299" s="22" t="s">
        <v>18913</v>
      </c>
      <c r="C299" s="23" t="str">
        <f>"000"</f>
        <v>000</v>
      </c>
      <c r="D299" s="23" t="s">
        <v>18718</v>
      </c>
      <c r="E299" s="22" t="s">
        <v>18913</v>
      </c>
      <c r="F299" s="22" t="s">
        <v>19423</v>
      </c>
      <c r="G299" s="22" t="str">
        <f>VLOOKUP(F299,[1]CHILDCARE_FACILITIES!N:Q,4,0)</f>
        <v>CDC-7013</v>
      </c>
      <c r="H299" s="22" t="e">
        <f>VLOOKUP(G299,'[1]CACFP FRL'!D:G,4,0)</f>
        <v>#N/A</v>
      </c>
      <c r="I299" s="22" t="str">
        <f>VLOOKUP(G299,[1]CHILDCARE_FACILITIES!AK:AL,2,0)</f>
        <v>CDC7013</v>
      </c>
      <c r="J299" s="22" t="e">
        <f>VLOOKUP(I299,'[1]Head Start QF 1-5 Stars'!O:Q,3,0)</f>
        <v>#N/A</v>
      </c>
      <c r="K299" s="23" t="s">
        <v>18912</v>
      </c>
      <c r="L299" s="22" t="s">
        <v>19424</v>
      </c>
      <c r="M299" s="22" t="s">
        <v>19425</v>
      </c>
      <c r="N299" s="22" t="s">
        <v>549</v>
      </c>
      <c r="O299" s="23" t="s">
        <v>207</v>
      </c>
      <c r="P299" s="22" t="str">
        <f>"86314"</f>
        <v>86314</v>
      </c>
      <c r="Q299" s="22" t="str">
        <f>"2252"</f>
        <v>2252</v>
      </c>
      <c r="R299" s="22" t="s">
        <v>18915</v>
      </c>
      <c r="S299" s="23" t="s">
        <v>18764</v>
      </c>
      <c r="T299" s="22" t="s">
        <v>19426</v>
      </c>
      <c r="U299" s="22" t="s">
        <v>18713</v>
      </c>
      <c r="V299" s="22" t="s">
        <v>18731</v>
      </c>
      <c r="W299" s="22" t="s">
        <v>18731</v>
      </c>
      <c r="X299" s="22" t="s">
        <v>18731</v>
      </c>
      <c r="Y299" s="23">
        <v>30</v>
      </c>
      <c r="Z299" s="22" t="s">
        <v>18723</v>
      </c>
    </row>
    <row r="300" spans="1:26" s="25" customFormat="1" hidden="1" x14ac:dyDescent="0.2">
      <c r="A300" s="23" t="s">
        <v>18912</v>
      </c>
      <c r="B300" s="22" t="s">
        <v>18913</v>
      </c>
      <c r="C300" s="23" t="str">
        <f>"000"</f>
        <v>000</v>
      </c>
      <c r="D300" s="23" t="s">
        <v>18718</v>
      </c>
      <c r="E300" s="22" t="s">
        <v>18913</v>
      </c>
      <c r="F300" s="22" t="s">
        <v>19427</v>
      </c>
      <c r="G300" s="22" t="str">
        <f>VLOOKUP(F300,[1]CHILDCARE_FACILITIES!N:Q,4,0)</f>
        <v>CDC-6419</v>
      </c>
      <c r="H300" s="22" t="e">
        <f>VLOOKUP(G300,'[1]CACFP FRL'!D:G,4,0)</f>
        <v>#N/A</v>
      </c>
      <c r="I300" s="22" t="str">
        <f>VLOOKUP(G300,[1]CHILDCARE_FACILITIES!AK:AL,2,0)</f>
        <v>CDC6419</v>
      </c>
      <c r="J300" s="22" t="e">
        <f>VLOOKUP(I300,'[1]Head Start QF 1-5 Stars'!O:Q,3,0)</f>
        <v>#N/A</v>
      </c>
      <c r="K300" s="23" t="s">
        <v>18912</v>
      </c>
      <c r="L300" s="22" t="s">
        <v>19428</v>
      </c>
      <c r="M300" s="22" t="s">
        <v>1637</v>
      </c>
      <c r="N300" s="22" t="s">
        <v>1380</v>
      </c>
      <c r="O300" s="23" t="s">
        <v>207</v>
      </c>
      <c r="P300" s="22" t="str">
        <f>"86004"</f>
        <v>86004</v>
      </c>
      <c r="Q300" s="22" t="str">
        <f>"1710"</f>
        <v>1710</v>
      </c>
      <c r="R300" s="22" t="s">
        <v>19091</v>
      </c>
      <c r="S300" s="23" t="s">
        <v>18818</v>
      </c>
      <c r="T300" s="22" t="s">
        <v>19429</v>
      </c>
      <c r="U300" s="22" t="s">
        <v>18713</v>
      </c>
      <c r="V300" s="22" t="s">
        <v>18714</v>
      </c>
      <c r="W300" s="22" t="s">
        <v>18714</v>
      </c>
      <c r="X300" s="22" t="s">
        <v>18714</v>
      </c>
      <c r="Y300" s="23">
        <v>17</v>
      </c>
      <c r="Z300" s="22" t="s">
        <v>18723</v>
      </c>
    </row>
    <row r="301" spans="1:26" hidden="1" x14ac:dyDescent="0.2">
      <c r="A301" s="23" t="s">
        <v>18912</v>
      </c>
      <c r="B301" s="22" t="s">
        <v>18913</v>
      </c>
      <c r="C301" s="23" t="str">
        <f>"000"</f>
        <v>000</v>
      </c>
      <c r="D301" s="23" t="s">
        <v>18718</v>
      </c>
      <c r="E301" s="22" t="s">
        <v>18913</v>
      </c>
      <c r="F301" s="22" t="s">
        <v>19430</v>
      </c>
      <c r="G301" s="22" t="str">
        <f>VLOOKUP(F301,[1]CHILDCARE_FACILITIES!N:Q,4,0)</f>
        <v>CDC-18031</v>
      </c>
      <c r="H301" s="22" t="e">
        <f>VLOOKUP(G301,'[1]CACFP FRL'!D:G,4,0)</f>
        <v>#N/A</v>
      </c>
      <c r="I301" s="22" t="str">
        <f>VLOOKUP(G301,[1]CHILDCARE_FACILITIES!AK:AL,2,0)</f>
        <v>CDC18031</v>
      </c>
      <c r="J301" s="22" t="e">
        <f>VLOOKUP(I301,'[1]Head Start QF 1-5 Stars'!O:Q,3,0)</f>
        <v>#N/A</v>
      </c>
      <c r="K301" s="23" t="s">
        <v>18912</v>
      </c>
      <c r="L301" s="22" t="s">
        <v>19431</v>
      </c>
      <c r="M301" s="22" t="s">
        <v>1637</v>
      </c>
      <c r="N301" s="22" t="s">
        <v>19432</v>
      </c>
      <c r="O301" s="23" t="s">
        <v>207</v>
      </c>
      <c r="P301" s="22" t="str">
        <f>"85938"</f>
        <v>85938</v>
      </c>
      <c r="Q301" s="22" t="str">
        <f>"5361"</f>
        <v>5361</v>
      </c>
      <c r="R301" s="22" t="s">
        <v>19433</v>
      </c>
      <c r="S301" s="23" t="s">
        <v>18818</v>
      </c>
      <c r="T301" s="22" t="s">
        <v>19434</v>
      </c>
      <c r="U301" s="22" t="s">
        <v>18713</v>
      </c>
      <c r="V301" s="22" t="s">
        <v>18714</v>
      </c>
      <c r="W301" s="22" t="s">
        <v>18714</v>
      </c>
      <c r="X301" s="22" t="s">
        <v>18714</v>
      </c>
      <c r="Y301" s="23">
        <v>48</v>
      </c>
      <c r="Z301" s="22" t="s">
        <v>18723</v>
      </c>
    </row>
    <row r="302" spans="1:26" hidden="1" x14ac:dyDescent="0.2">
      <c r="A302" s="23" t="s">
        <v>18912</v>
      </c>
      <c r="B302" s="22" t="s">
        <v>18913</v>
      </c>
      <c r="C302" s="23" t="str">
        <f>"000"</f>
        <v>000</v>
      </c>
      <c r="D302" s="23" t="s">
        <v>18718</v>
      </c>
      <c r="E302" s="22" t="s">
        <v>18913</v>
      </c>
      <c r="F302" s="22" t="s">
        <v>19435</v>
      </c>
      <c r="G302" s="22" t="str">
        <f>VLOOKUP(F302,[1]CHILDCARE_FACILITIES!N:Q,4,0)</f>
        <v>CDC-17805</v>
      </c>
      <c r="H302" s="22" t="e">
        <f>VLOOKUP(G302,'[1]CACFP FRL'!D:G,4,0)</f>
        <v>#N/A</v>
      </c>
      <c r="I302" s="22" t="str">
        <f>VLOOKUP(G302,[1]CHILDCARE_FACILITIES!AK:AL,2,0)</f>
        <v>CDC17805</v>
      </c>
      <c r="J302" s="22" t="e">
        <f>VLOOKUP(I302,'[1]Head Start QF 1-5 Stars'!O:Q,3,0)</f>
        <v>#N/A</v>
      </c>
      <c r="K302" s="23" t="s">
        <v>18912</v>
      </c>
      <c r="L302" s="22" t="s">
        <v>19436</v>
      </c>
      <c r="M302" s="22" t="s">
        <v>1637</v>
      </c>
      <c r="N302" s="22" t="s">
        <v>19437</v>
      </c>
      <c r="O302" s="23" t="s">
        <v>207</v>
      </c>
      <c r="P302" s="22" t="str">
        <f>"85901"</f>
        <v>85901</v>
      </c>
      <c r="Q302" s="22" t="str">
        <f>""</f>
        <v/>
      </c>
      <c r="R302" s="22" t="s">
        <v>19156</v>
      </c>
      <c r="S302" s="23" t="s">
        <v>18818</v>
      </c>
      <c r="T302" s="22" t="s">
        <v>19438</v>
      </c>
      <c r="U302" s="22" t="s">
        <v>18713</v>
      </c>
      <c r="V302" s="22" t="s">
        <v>18714</v>
      </c>
      <c r="W302" s="22" t="s">
        <v>18714</v>
      </c>
      <c r="X302" s="22" t="s">
        <v>18714</v>
      </c>
      <c r="Y302" s="23">
        <v>34</v>
      </c>
      <c r="Z302" s="22" t="s">
        <v>18723</v>
      </c>
    </row>
    <row r="303" spans="1:26" hidden="1" x14ac:dyDescent="0.2">
      <c r="A303" s="23" t="s">
        <v>18912</v>
      </c>
      <c r="B303" s="22" t="s">
        <v>18913</v>
      </c>
      <c r="C303" s="23" t="str">
        <f>"000"</f>
        <v>000</v>
      </c>
      <c r="D303" s="23" t="s">
        <v>18718</v>
      </c>
      <c r="E303" s="22" t="s">
        <v>18913</v>
      </c>
      <c r="F303" s="22" t="s">
        <v>19439</v>
      </c>
      <c r="G303" s="22" t="str">
        <f>VLOOKUP(F303,[1]CHILDCARE_FACILITIES!N:Q,4,0)</f>
        <v>CDC-0886</v>
      </c>
      <c r="H303" s="22" t="e">
        <f>VLOOKUP(G303,'[1]CACFP FRL'!D:G,4,0)</f>
        <v>#N/A</v>
      </c>
      <c r="I303" s="22" t="str">
        <f>VLOOKUP(G303,[1]CHILDCARE_FACILITIES!AK:AL,2,0)</f>
        <v>CDC0886</v>
      </c>
      <c r="J303" s="22" t="e">
        <f>VLOOKUP(I303,'[1]Head Start QF 1-5 Stars'!O:Q,3,0)</f>
        <v>#N/A</v>
      </c>
      <c r="K303" s="23" t="s">
        <v>18912</v>
      </c>
      <c r="L303" s="22" t="s">
        <v>19440</v>
      </c>
      <c r="M303" s="22" t="s">
        <v>1637</v>
      </c>
      <c r="N303" s="22" t="s">
        <v>1380</v>
      </c>
      <c r="O303" s="23" t="s">
        <v>207</v>
      </c>
      <c r="P303" s="22" t="str">
        <f>"86004"</f>
        <v>86004</v>
      </c>
      <c r="Q303" s="22" t="str">
        <f>"4052"</f>
        <v>4052</v>
      </c>
      <c r="R303" s="22" t="s">
        <v>19091</v>
      </c>
      <c r="S303" s="23" t="s">
        <v>18818</v>
      </c>
      <c r="T303" s="22" t="s">
        <v>19441</v>
      </c>
      <c r="U303" s="22" t="s">
        <v>18713</v>
      </c>
      <c r="V303" s="22" t="s">
        <v>18714</v>
      </c>
      <c r="W303" s="22" t="s">
        <v>18714</v>
      </c>
      <c r="X303" s="22" t="s">
        <v>18714</v>
      </c>
      <c r="Y303" s="23">
        <v>34</v>
      </c>
      <c r="Z303" s="22" t="s">
        <v>18723</v>
      </c>
    </row>
    <row r="304" spans="1:26" hidden="1" x14ac:dyDescent="0.2">
      <c r="A304" s="23" t="s">
        <v>19037</v>
      </c>
      <c r="B304" s="22" t="s">
        <v>18874</v>
      </c>
      <c r="C304" s="23" t="str">
        <f>"200"</f>
        <v>200</v>
      </c>
      <c r="D304" s="23" t="s">
        <v>18706</v>
      </c>
      <c r="E304" s="22" t="s">
        <v>18875</v>
      </c>
      <c r="F304" s="22" t="s">
        <v>19442</v>
      </c>
      <c r="G304" s="22" t="str">
        <f>VLOOKUP(F304,[1]CHILDCARE_FACILITIES!N:Q,4,0)</f>
        <v>CDC-10965</v>
      </c>
      <c r="H304" s="22">
        <f>VLOOKUP(G304,'[1]CACFP FRL'!D:G,4,0)</f>
        <v>84663</v>
      </c>
      <c r="I304" s="22" t="str">
        <f>VLOOKUP(G304,[1]CHILDCARE_FACILITIES!AK:AL,2,0)</f>
        <v>CDC10965</v>
      </c>
      <c r="J304" s="22">
        <f>VLOOKUP(I304,'[1]Head Start QF 1-5 Stars'!O:Q,3,0)</f>
        <v>1135</v>
      </c>
      <c r="K304" s="23" t="s">
        <v>19037</v>
      </c>
      <c r="L304" s="22" t="s">
        <v>1433</v>
      </c>
      <c r="M304" s="22" t="s">
        <v>1637</v>
      </c>
      <c r="N304" s="22" t="s">
        <v>495</v>
      </c>
      <c r="O304" s="23" t="s">
        <v>207</v>
      </c>
      <c r="P304" s="22" t="str">
        <f>"85032"</f>
        <v>85032</v>
      </c>
      <c r="Q304" s="22" t="str">
        <f>"3704"</f>
        <v>3704</v>
      </c>
      <c r="R304" s="22" t="s">
        <v>18710</v>
      </c>
      <c r="S304" s="23" t="s">
        <v>19033</v>
      </c>
      <c r="T304" s="22" t="s">
        <v>19443</v>
      </c>
      <c r="U304" s="22" t="s">
        <v>18713</v>
      </c>
      <c r="V304" s="22" t="s">
        <v>18714</v>
      </c>
      <c r="W304" s="22" t="s">
        <v>18714</v>
      </c>
      <c r="X304" s="22" t="s">
        <v>18714</v>
      </c>
      <c r="Y304" s="23">
        <v>16</v>
      </c>
      <c r="Z304" s="22" t="s">
        <v>18723</v>
      </c>
    </row>
    <row r="305" spans="1:26" hidden="1" x14ac:dyDescent="0.2">
      <c r="A305" s="23" t="s">
        <v>18912</v>
      </c>
      <c r="B305" s="22" t="s">
        <v>18913</v>
      </c>
      <c r="C305" s="23" t="str">
        <f>"000"</f>
        <v>000</v>
      </c>
      <c r="D305" s="23" t="s">
        <v>18718</v>
      </c>
      <c r="E305" s="22" t="s">
        <v>18913</v>
      </c>
      <c r="F305" s="22" t="s">
        <v>19444</v>
      </c>
      <c r="G305" s="22" t="str">
        <f>VLOOKUP(F305,[1]CHILDCARE_FACILITIES!N:Q,4,0)</f>
        <v>CDC-1629</v>
      </c>
      <c r="H305" s="22" t="e">
        <f>VLOOKUP(G305,'[1]CACFP FRL'!D:G,4,0)</f>
        <v>#N/A</v>
      </c>
      <c r="I305" s="22" t="str">
        <f>VLOOKUP(G305,[1]CHILDCARE_FACILITIES!AK:AL,2,0)</f>
        <v>CDC1629</v>
      </c>
      <c r="J305" s="22" t="e">
        <f>VLOOKUP(I305,'[1]Head Start QF 1-5 Stars'!O:Q,3,0)</f>
        <v>#N/A</v>
      </c>
      <c r="K305" s="23" t="s">
        <v>18912</v>
      </c>
      <c r="L305" s="22" t="s">
        <v>19445</v>
      </c>
      <c r="M305" s="22" t="s">
        <v>1637</v>
      </c>
      <c r="N305" s="22" t="s">
        <v>1473</v>
      </c>
      <c r="O305" s="23" t="s">
        <v>207</v>
      </c>
      <c r="P305" s="22" t="str">
        <f>"85937"</f>
        <v>85937</v>
      </c>
      <c r="Q305" s="22" t="str">
        <f>""</f>
        <v/>
      </c>
      <c r="R305" s="22" t="s">
        <v>19156</v>
      </c>
      <c r="S305" s="23" t="s">
        <v>18818</v>
      </c>
      <c r="T305" s="22" t="s">
        <v>19446</v>
      </c>
      <c r="U305" s="22" t="s">
        <v>18713</v>
      </c>
      <c r="V305" s="22" t="s">
        <v>18731</v>
      </c>
      <c r="W305" s="22" t="s">
        <v>18731</v>
      </c>
      <c r="X305" s="22" t="s">
        <v>18731</v>
      </c>
      <c r="Y305" s="23">
        <v>17</v>
      </c>
      <c r="Z305" s="22" t="s">
        <v>18723</v>
      </c>
    </row>
    <row r="306" spans="1:26" hidden="1" x14ac:dyDescent="0.2">
      <c r="A306" s="23" t="s">
        <v>19037</v>
      </c>
      <c r="B306" s="22" t="s">
        <v>18874</v>
      </c>
      <c r="C306" s="23" t="str">
        <f>"200"</f>
        <v>200</v>
      </c>
      <c r="D306" s="23" t="s">
        <v>18706</v>
      </c>
      <c r="E306" s="22" t="s">
        <v>18875</v>
      </c>
      <c r="F306" s="22" t="s">
        <v>19447</v>
      </c>
      <c r="G306" s="22" t="str">
        <f>VLOOKUP(F306,[1]CHILDCARE_FACILITIES!N:Q,4,0)</f>
        <v>CDC-4064</v>
      </c>
      <c r="H306" s="22" t="e">
        <f>VLOOKUP(G306,'[1]CACFP FRL'!D:G,4,0)</f>
        <v>#N/A</v>
      </c>
      <c r="I306" s="22" t="str">
        <f>VLOOKUP(G306,[1]CHILDCARE_FACILITIES!AK:AL,2,0)</f>
        <v>CDC4064</v>
      </c>
      <c r="J306" s="22">
        <f>VLOOKUP(I306,'[1]Head Start QF 1-5 Stars'!O:Q,3,0)</f>
        <v>1407</v>
      </c>
      <c r="K306" s="23" t="s">
        <v>19037</v>
      </c>
      <c r="L306" s="22" t="s">
        <v>684</v>
      </c>
      <c r="M306" s="22" t="s">
        <v>1637</v>
      </c>
      <c r="N306" s="22" t="s">
        <v>495</v>
      </c>
      <c r="O306" s="23" t="s">
        <v>207</v>
      </c>
      <c r="P306" s="22" t="str">
        <f>"85008"</f>
        <v>85008</v>
      </c>
      <c r="Q306" s="22" t="str">
        <f>"3026"</f>
        <v>3026</v>
      </c>
      <c r="R306" s="22" t="s">
        <v>18710</v>
      </c>
      <c r="S306" s="23" t="s">
        <v>18737</v>
      </c>
      <c r="T306" s="22" t="s">
        <v>19039</v>
      </c>
      <c r="U306" s="22" t="s">
        <v>18713</v>
      </c>
      <c r="V306" s="22" t="s">
        <v>18714</v>
      </c>
      <c r="W306" s="22" t="s">
        <v>18714</v>
      </c>
      <c r="X306" s="22" t="s">
        <v>18714</v>
      </c>
      <c r="Y306" s="23">
        <v>42</v>
      </c>
      <c r="Z306" s="22" t="s">
        <v>18723</v>
      </c>
    </row>
    <row r="307" spans="1:26" s="25" customFormat="1" hidden="1" x14ac:dyDescent="0.2">
      <c r="A307" s="23" t="s">
        <v>18912</v>
      </c>
      <c r="B307" s="22" t="s">
        <v>18913</v>
      </c>
      <c r="C307" s="23" t="str">
        <f>"000"</f>
        <v>000</v>
      </c>
      <c r="D307" s="23" t="s">
        <v>18718</v>
      </c>
      <c r="E307" s="22" t="s">
        <v>18913</v>
      </c>
      <c r="F307" s="22" t="s">
        <v>19448</v>
      </c>
      <c r="G307" s="22" t="str">
        <f>VLOOKUP(F307,[1]CHILDCARE_FACILITIES!N:Q,4,0)</f>
        <v>CDC-14567</v>
      </c>
      <c r="H307" s="22" t="e">
        <f>VLOOKUP(G307,'[1]CACFP FRL'!D:G,4,0)</f>
        <v>#N/A</v>
      </c>
      <c r="I307" s="22" t="str">
        <f>VLOOKUP(G307,[1]CHILDCARE_FACILITIES!AK:AL,2,0)</f>
        <v>CDC14567</v>
      </c>
      <c r="J307" s="22" t="e">
        <f>VLOOKUP(I307,'[1]Head Start QF 1-5 Stars'!O:Q,3,0)</f>
        <v>#N/A</v>
      </c>
      <c r="K307" s="23" t="s">
        <v>18912</v>
      </c>
      <c r="L307" s="22" t="s">
        <v>19449</v>
      </c>
      <c r="M307" s="22" t="s">
        <v>1637</v>
      </c>
      <c r="N307" s="22" t="s">
        <v>19450</v>
      </c>
      <c r="O307" s="23" t="s">
        <v>207</v>
      </c>
      <c r="P307" s="22" t="str">
        <f>"85936"</f>
        <v>85936</v>
      </c>
      <c r="Q307" s="22" t="str">
        <f>""</f>
        <v/>
      </c>
      <c r="R307" s="22" t="s">
        <v>19433</v>
      </c>
      <c r="S307" s="23" t="s">
        <v>18818</v>
      </c>
      <c r="T307" s="22" t="s">
        <v>19451</v>
      </c>
      <c r="U307" s="22" t="s">
        <v>18713</v>
      </c>
      <c r="V307" s="22" t="s">
        <v>18714</v>
      </c>
      <c r="W307" s="22" t="s">
        <v>18714</v>
      </c>
      <c r="X307" s="22" t="s">
        <v>18714</v>
      </c>
      <c r="Y307" s="23">
        <v>17</v>
      </c>
      <c r="Z307" s="22" t="s">
        <v>18723</v>
      </c>
    </row>
    <row r="308" spans="1:26" hidden="1" x14ac:dyDescent="0.2">
      <c r="A308" s="23" t="s">
        <v>18912</v>
      </c>
      <c r="B308" s="22" t="s">
        <v>18913</v>
      </c>
      <c r="C308" s="23" t="str">
        <f>"000"</f>
        <v>000</v>
      </c>
      <c r="D308" s="23" t="s">
        <v>18718</v>
      </c>
      <c r="E308" s="22" t="s">
        <v>18913</v>
      </c>
      <c r="F308" s="22" t="s">
        <v>72</v>
      </c>
      <c r="G308" s="22" t="str">
        <f>VLOOKUP(F308,[1]CHILDCARE_FACILITIES!N:Q,4,0)</f>
        <v>CDC-0125</v>
      </c>
      <c r="H308" s="22" t="e">
        <f>VLOOKUP(G308,'[1]CACFP FRL'!D:G,4,0)</f>
        <v>#N/A</v>
      </c>
      <c r="I308" s="22" t="str">
        <f>VLOOKUP(G308,[1]CHILDCARE_FACILITIES!AK:AL,2,0)</f>
        <v>CDC0125</v>
      </c>
      <c r="J308" s="22" t="e">
        <f>VLOOKUP(I308,'[1]Head Start QF 1-5 Stars'!O:Q,3,0)</f>
        <v>#N/A</v>
      </c>
      <c r="K308" s="23" t="s">
        <v>18912</v>
      </c>
      <c r="L308" s="22" t="s">
        <v>19452</v>
      </c>
      <c r="M308" s="22" t="s">
        <v>1637</v>
      </c>
      <c r="N308" s="22" t="s">
        <v>19399</v>
      </c>
      <c r="O308" s="23" t="s">
        <v>207</v>
      </c>
      <c r="P308" s="22" t="str">
        <f>"86047"</f>
        <v>86047</v>
      </c>
      <c r="Q308" s="22" t="str">
        <f>""</f>
        <v/>
      </c>
      <c r="R308" s="22" t="s">
        <v>19156</v>
      </c>
      <c r="S308" s="23" t="s">
        <v>18818</v>
      </c>
      <c r="T308" s="22" t="s">
        <v>19453</v>
      </c>
      <c r="U308" s="22" t="s">
        <v>18713</v>
      </c>
      <c r="V308" s="22" t="s">
        <v>18714</v>
      </c>
      <c r="W308" s="22" t="s">
        <v>18714</v>
      </c>
      <c r="X308" s="22" t="s">
        <v>18714</v>
      </c>
      <c r="Y308" s="23">
        <v>34</v>
      </c>
      <c r="Z308" s="22" t="s">
        <v>18723</v>
      </c>
    </row>
    <row r="309" spans="1:26" hidden="1" x14ac:dyDescent="0.2">
      <c r="A309" s="23" t="s">
        <v>18885</v>
      </c>
      <c r="B309" s="22" t="s">
        <v>18886</v>
      </c>
      <c r="C309" s="23" t="str">
        <f>"200"</f>
        <v>200</v>
      </c>
      <c r="D309" s="23" t="s">
        <v>18706</v>
      </c>
      <c r="E309" s="22" t="s">
        <v>18886</v>
      </c>
      <c r="F309" s="22" t="s">
        <v>19454</v>
      </c>
      <c r="G309" s="22" t="str">
        <f>VLOOKUP(F309,[1]CHILDCARE_FACILITIES!N:Q,4,0)</f>
        <v>CDC-17734</v>
      </c>
      <c r="H309" s="22">
        <f>VLOOKUP(G309,'[1]CACFP FRL'!D:G,4,0)</f>
        <v>647485</v>
      </c>
      <c r="I309" s="22" t="str">
        <f>VLOOKUP(G309,[1]CHILDCARE_FACILITIES!AK:AL,2,0)</f>
        <v>CDC17734</v>
      </c>
      <c r="J309" s="22" t="e">
        <f>VLOOKUP(I309,'[1]Head Start QF 1-5 Stars'!O:Q,3,0)</f>
        <v>#N/A</v>
      </c>
      <c r="K309" s="23" t="s">
        <v>18885</v>
      </c>
      <c r="L309" s="22" t="s">
        <v>515</v>
      </c>
      <c r="M309" s="22" t="s">
        <v>1637</v>
      </c>
      <c r="N309" s="22" t="s">
        <v>496</v>
      </c>
      <c r="O309" s="23" t="s">
        <v>207</v>
      </c>
      <c r="P309" s="22" t="str">
        <f>"85364"</f>
        <v>85364</v>
      </c>
      <c r="Q309" s="22" t="str">
        <f>"2727"</f>
        <v>2727</v>
      </c>
      <c r="R309" s="22" t="s">
        <v>18809</v>
      </c>
      <c r="S309" s="23" t="s">
        <v>18721</v>
      </c>
      <c r="T309" s="22" t="s">
        <v>19455</v>
      </c>
      <c r="U309" s="22" t="s">
        <v>18713</v>
      </c>
      <c r="V309" s="22" t="s">
        <v>18714</v>
      </c>
      <c r="W309" s="22" t="s">
        <v>18714</v>
      </c>
      <c r="X309" s="22" t="s">
        <v>18714</v>
      </c>
      <c r="Y309" s="23">
        <v>8</v>
      </c>
      <c r="Z309" s="22" t="s">
        <v>18723</v>
      </c>
    </row>
    <row r="310" spans="1:26" hidden="1" x14ac:dyDescent="0.2">
      <c r="A310" s="24" t="s">
        <v>19456</v>
      </c>
      <c r="B310" s="25" t="s">
        <v>19457</v>
      </c>
      <c r="C310" s="24" t="str">
        <f>"000"</f>
        <v>000</v>
      </c>
      <c r="D310" s="24" t="s">
        <v>19199</v>
      </c>
      <c r="E310" s="25" t="s">
        <v>19458</v>
      </c>
      <c r="F310" s="25" t="s">
        <v>19459</v>
      </c>
      <c r="G310" s="25" t="e">
        <f>VLOOKUP(F310,[1]CHILDCARE_FACILITIES!N:Q,4,0)</f>
        <v>#N/A</v>
      </c>
      <c r="H310" s="25" t="e">
        <f>VLOOKUP(G310,'[1]CACFP FRL'!D:G,4,0)</f>
        <v>#N/A</v>
      </c>
      <c r="I310" s="25" t="e">
        <f>VLOOKUP(G310,[1]CHILDCARE_FACILITIES!AK:AL,2,0)</f>
        <v>#N/A</v>
      </c>
      <c r="J310" s="25" t="e">
        <f>VLOOKUP(I310,'[1]Head Start QF 1-5 Stars'!O:Q,3,0)</f>
        <v>#N/A</v>
      </c>
      <c r="K310" s="24" t="s">
        <v>19456</v>
      </c>
      <c r="L310" s="25" t="s">
        <v>19460</v>
      </c>
      <c r="M310" s="25" t="s">
        <v>1637</v>
      </c>
      <c r="N310" s="25" t="s">
        <v>764</v>
      </c>
      <c r="O310" s="24" t="s">
        <v>207</v>
      </c>
      <c r="P310" s="25" t="str">
        <f>"85757"</f>
        <v>85757</v>
      </c>
      <c r="Q310" s="25" t="str">
        <f>"9016"</f>
        <v>9016</v>
      </c>
      <c r="R310" s="25" t="s">
        <v>996</v>
      </c>
      <c r="S310" s="24" t="s">
        <v>18721</v>
      </c>
      <c r="T310" s="25" t="s">
        <v>19461</v>
      </c>
      <c r="U310" s="25" t="s">
        <v>18713</v>
      </c>
      <c r="V310" s="25" t="s">
        <v>18714</v>
      </c>
      <c r="W310" s="25" t="s">
        <v>18714</v>
      </c>
      <c r="X310" s="25" t="s">
        <v>18731</v>
      </c>
      <c r="Y310" s="24">
        <v>141</v>
      </c>
      <c r="Z310" s="25" t="s">
        <v>18723</v>
      </c>
    </row>
    <row r="311" spans="1:26" hidden="1" x14ac:dyDescent="0.2">
      <c r="A311" s="23" t="s">
        <v>18759</v>
      </c>
      <c r="B311" s="22" t="s">
        <v>18760</v>
      </c>
      <c r="C311" s="23" t="str">
        <f>"000"</f>
        <v>000</v>
      </c>
      <c r="D311" s="23" t="s">
        <v>18718</v>
      </c>
      <c r="E311" s="22" t="s">
        <v>18761</v>
      </c>
      <c r="F311" s="22" t="s">
        <v>1166</v>
      </c>
      <c r="G311" s="22" t="str">
        <f>VLOOKUP(F311,[1]CHILDCARE_FACILITIES!N:Q,4,0)</f>
        <v>CDC-4974</v>
      </c>
      <c r="H311" s="22">
        <f>VLOOKUP(G311,'[1]CACFP FRL'!D:G,4,0)</f>
        <v>8067</v>
      </c>
      <c r="I311" s="22" t="str">
        <f>VLOOKUP(G311,[1]CHILDCARE_FACILITIES!AK:AL,2,0)</f>
        <v>CDC4974</v>
      </c>
      <c r="J311" s="22" t="e">
        <f>VLOOKUP(I311,'[1]Head Start QF 1-5 Stars'!O:Q,3,0)</f>
        <v>#N/A</v>
      </c>
      <c r="K311" s="23" t="s">
        <v>18759</v>
      </c>
      <c r="L311" s="22" t="s">
        <v>18762</v>
      </c>
      <c r="M311" s="22" t="s">
        <v>1637</v>
      </c>
      <c r="N311" s="22" t="s">
        <v>1598</v>
      </c>
      <c r="O311" s="23" t="s">
        <v>207</v>
      </c>
      <c r="P311" s="22" t="str">
        <f>"85120"</f>
        <v>85120</v>
      </c>
      <c r="Q311" s="22" t="str">
        <f>"4110"</f>
        <v>4110</v>
      </c>
      <c r="R311" s="22" t="s">
        <v>18763</v>
      </c>
      <c r="S311" s="23" t="s">
        <v>18764</v>
      </c>
      <c r="T311" s="22" t="s">
        <v>19462</v>
      </c>
      <c r="U311" s="22" t="s">
        <v>18713</v>
      </c>
      <c r="V311" s="22" t="s">
        <v>18731</v>
      </c>
      <c r="W311" s="22" t="s">
        <v>18731</v>
      </c>
      <c r="X311" s="22" t="s">
        <v>18731</v>
      </c>
      <c r="Y311" s="23">
        <v>72</v>
      </c>
      <c r="Z311" s="22" t="s">
        <v>18723</v>
      </c>
    </row>
    <row r="312" spans="1:26" hidden="1" x14ac:dyDescent="0.2">
      <c r="A312" s="23" t="s">
        <v>18716</v>
      </c>
      <c r="B312" s="22" t="s">
        <v>18717</v>
      </c>
      <c r="C312" s="23" t="str">
        <f>"200"</f>
        <v>200</v>
      </c>
      <c r="D312" s="23" t="s">
        <v>18706</v>
      </c>
      <c r="E312" s="22" t="s">
        <v>18717</v>
      </c>
      <c r="F312" s="22" t="s">
        <v>18785</v>
      </c>
      <c r="G312" s="22" t="str">
        <f>VLOOKUP(F312,[1]CHILDCARE_FACILITIES!N:Q,4,0)</f>
        <v>CDC-3158</v>
      </c>
      <c r="H312" s="22" t="e">
        <f>VLOOKUP(G312,'[1]CACFP FRL'!D:G,4,0)</f>
        <v>#N/A</v>
      </c>
      <c r="I312" s="22" t="str">
        <f>VLOOKUP(G312,[1]CHILDCARE_FACILITIES!AK:AL,2,0)</f>
        <v>CDC3158</v>
      </c>
      <c r="J312" s="22" t="e">
        <f>VLOOKUP(I312,'[1]Head Start QF 1-5 Stars'!O:Q,3,0)</f>
        <v>#N/A</v>
      </c>
      <c r="K312" s="23" t="s">
        <v>18716</v>
      </c>
      <c r="L312" s="22" t="s">
        <v>18786</v>
      </c>
      <c r="M312" s="22" t="s">
        <v>1637</v>
      </c>
      <c r="N312" s="22" t="s">
        <v>932</v>
      </c>
      <c r="O312" s="23" t="s">
        <v>207</v>
      </c>
      <c r="P312" s="22" t="str">
        <f>"85345"</f>
        <v>85345</v>
      </c>
      <c r="Q312" s="22" t="str">
        <f>"5718"</f>
        <v>5718</v>
      </c>
      <c r="R312" s="22" t="s">
        <v>18710</v>
      </c>
      <c r="S312" s="23" t="s">
        <v>18751</v>
      </c>
      <c r="T312" s="22" t="s">
        <v>19463</v>
      </c>
      <c r="U312" s="22" t="s">
        <v>18713</v>
      </c>
      <c r="V312" s="22" t="s">
        <v>18731</v>
      </c>
      <c r="W312" s="22" t="s">
        <v>18731</v>
      </c>
      <c r="X312" s="22" t="s">
        <v>18731</v>
      </c>
      <c r="Y312" s="23">
        <v>18</v>
      </c>
      <c r="Z312" s="22" t="s">
        <v>18723</v>
      </c>
    </row>
    <row r="313" spans="1:26" hidden="1" x14ac:dyDescent="0.2">
      <c r="A313" s="23" t="s">
        <v>18759</v>
      </c>
      <c r="B313" s="22" t="s">
        <v>18760</v>
      </c>
      <c r="C313" s="23" t="str">
        <f>"000"</f>
        <v>000</v>
      </c>
      <c r="D313" s="23" t="s">
        <v>18718</v>
      </c>
      <c r="E313" s="22" t="s">
        <v>18761</v>
      </c>
      <c r="F313" s="22" t="s">
        <v>13</v>
      </c>
      <c r="G313" s="22" t="str">
        <f>VLOOKUP(F313,[1]CHILDCARE_FACILITIES!N:Q,4,0)</f>
        <v>CDC-8014</v>
      </c>
      <c r="H313" s="22">
        <f>VLOOKUP(G313,'[1]CACFP FRL'!D:G,4,0)</f>
        <v>10086</v>
      </c>
      <c r="I313" s="22" t="str">
        <f>VLOOKUP(G313,[1]CHILDCARE_FACILITIES!AK:AL,2,0)</f>
        <v>CDC8014</v>
      </c>
      <c r="J313" s="22" t="e">
        <f>VLOOKUP(I313,'[1]Head Start QF 1-5 Stars'!O:Q,3,0)</f>
        <v>#N/A</v>
      </c>
      <c r="K313" s="23" t="s">
        <v>18759</v>
      </c>
      <c r="L313" s="22" t="s">
        <v>18942</v>
      </c>
      <c r="M313" s="22" t="s">
        <v>1637</v>
      </c>
      <c r="N313" s="22" t="s">
        <v>1391</v>
      </c>
      <c r="O313" s="23" t="s">
        <v>207</v>
      </c>
      <c r="P313" s="22" t="str">
        <f>"85122"</f>
        <v>85122</v>
      </c>
      <c r="Q313" s="22" t="str">
        <f>"2315"</f>
        <v>2315</v>
      </c>
      <c r="R313" s="22" t="s">
        <v>18763</v>
      </c>
      <c r="S313" s="23" t="s">
        <v>18818</v>
      </c>
      <c r="T313" s="22" t="s">
        <v>18943</v>
      </c>
      <c r="U313" s="22" t="s">
        <v>18713</v>
      </c>
      <c r="V313" s="22" t="s">
        <v>18731</v>
      </c>
      <c r="W313" s="22" t="s">
        <v>18731</v>
      </c>
      <c r="X313" s="22" t="s">
        <v>18731</v>
      </c>
      <c r="Y313" s="23">
        <v>155</v>
      </c>
      <c r="Z313" s="22" t="s">
        <v>18723</v>
      </c>
    </row>
    <row r="314" spans="1:26" s="25" customFormat="1" hidden="1" x14ac:dyDescent="0.2">
      <c r="A314" s="23" t="s">
        <v>18759</v>
      </c>
      <c r="B314" s="22" t="s">
        <v>18760</v>
      </c>
      <c r="C314" s="23" t="str">
        <f>"000"</f>
        <v>000</v>
      </c>
      <c r="D314" s="23" t="s">
        <v>18718</v>
      </c>
      <c r="E314" s="22" t="s">
        <v>18761</v>
      </c>
      <c r="F314" s="22" t="s">
        <v>6</v>
      </c>
      <c r="G314" s="22" t="str">
        <f>VLOOKUP(F314,[1]CHILDCARE_FACILITIES!N:Q,4,0)</f>
        <v>CDC-6788</v>
      </c>
      <c r="H314" s="22">
        <f>VLOOKUP(G314,'[1]CACFP FRL'!D:G,4,0)</f>
        <v>8070</v>
      </c>
      <c r="I314" s="22" t="str">
        <f>VLOOKUP(G314,[1]CHILDCARE_FACILITIES!AK:AL,2,0)</f>
        <v>CDC6788</v>
      </c>
      <c r="J314" s="22" t="e">
        <f>VLOOKUP(I314,'[1]Head Start QF 1-5 Stars'!O:Q,3,0)</f>
        <v>#N/A</v>
      </c>
      <c r="K314" s="23" t="s">
        <v>18759</v>
      </c>
      <c r="L314" s="22" t="s">
        <v>19011</v>
      </c>
      <c r="M314" s="22" t="s">
        <v>1637</v>
      </c>
      <c r="N314" s="22" t="s">
        <v>751</v>
      </c>
      <c r="O314" s="23" t="s">
        <v>207</v>
      </c>
      <c r="P314" s="22" t="str">
        <f>"85128"</f>
        <v>85128</v>
      </c>
      <c r="Q314" s="22" t="str">
        <f>"4303"</f>
        <v>4303</v>
      </c>
      <c r="R314" s="22" t="s">
        <v>18763</v>
      </c>
      <c r="S314" s="23" t="s">
        <v>18818</v>
      </c>
      <c r="T314" s="22" t="s">
        <v>19012</v>
      </c>
      <c r="U314" s="22" t="s">
        <v>18713</v>
      </c>
      <c r="V314" s="22" t="s">
        <v>18731</v>
      </c>
      <c r="W314" s="22" t="s">
        <v>18731</v>
      </c>
      <c r="X314" s="22" t="s">
        <v>18731</v>
      </c>
      <c r="Y314" s="23">
        <v>102</v>
      </c>
      <c r="Z314" s="22" t="s">
        <v>18723</v>
      </c>
    </row>
    <row r="315" spans="1:26" hidden="1" x14ac:dyDescent="0.2">
      <c r="A315" s="23" t="s">
        <v>18759</v>
      </c>
      <c r="B315" s="22" t="s">
        <v>18760</v>
      </c>
      <c r="C315" s="23" t="str">
        <f>"000"</f>
        <v>000</v>
      </c>
      <c r="D315" s="23" t="s">
        <v>18718</v>
      </c>
      <c r="E315" s="22" t="s">
        <v>18761</v>
      </c>
      <c r="F315" s="22" t="s">
        <v>51</v>
      </c>
      <c r="G315" s="22" t="str">
        <f>VLOOKUP(F315,[1]CHILDCARE_FACILITIES!N:Q,4,0)</f>
        <v>CDC-18477</v>
      </c>
      <c r="H315" s="22">
        <f>VLOOKUP(G315,'[1]CACFP FRL'!D:G,4,0)</f>
        <v>8072</v>
      </c>
      <c r="I315" s="22" t="str">
        <f>VLOOKUP(G315,[1]CHILDCARE_FACILITIES!AK:AL,2,0)</f>
        <v>CDC18477</v>
      </c>
      <c r="J315" s="22" t="e">
        <f>VLOOKUP(I315,'[1]Head Start QF 1-5 Stars'!O:Q,3,0)</f>
        <v>#N/A</v>
      </c>
      <c r="K315" s="23" t="s">
        <v>18759</v>
      </c>
      <c r="L315" s="22" t="s">
        <v>19066</v>
      </c>
      <c r="M315" s="22" t="s">
        <v>1637</v>
      </c>
      <c r="N315" s="22" t="s">
        <v>760</v>
      </c>
      <c r="O315" s="23" t="s">
        <v>207</v>
      </c>
      <c r="P315" s="22" t="str">
        <f>"85131"</f>
        <v>85131</v>
      </c>
      <c r="Q315" s="22" t="str">
        <f>"2503"</f>
        <v>2503</v>
      </c>
      <c r="R315" s="22" t="s">
        <v>18763</v>
      </c>
      <c r="S315" s="23" t="s">
        <v>18818</v>
      </c>
      <c r="T315" s="22" t="s">
        <v>19067</v>
      </c>
      <c r="U315" s="22" t="s">
        <v>18713</v>
      </c>
      <c r="V315" s="22" t="s">
        <v>18731</v>
      </c>
      <c r="W315" s="22" t="s">
        <v>18731</v>
      </c>
      <c r="X315" s="22" t="s">
        <v>18731</v>
      </c>
      <c r="Y315" s="23">
        <v>85</v>
      </c>
      <c r="Z315" s="22" t="s">
        <v>18723</v>
      </c>
    </row>
    <row r="316" spans="1:26" hidden="1" x14ac:dyDescent="0.2">
      <c r="A316" s="23" t="s">
        <v>18873</v>
      </c>
      <c r="B316" s="22" t="s">
        <v>18874</v>
      </c>
      <c r="C316" s="23" t="str">
        <f>"200"</f>
        <v>200</v>
      </c>
      <c r="D316" s="23" t="s">
        <v>18706</v>
      </c>
      <c r="E316" s="22" t="s">
        <v>18875</v>
      </c>
      <c r="F316" s="22" t="s">
        <v>19464</v>
      </c>
      <c r="G316" s="22" t="str">
        <f>VLOOKUP(F316,[1]CHILDCARE_FACILITIES!N:Q,4,0)</f>
        <v>CDC-8046</v>
      </c>
      <c r="H316" s="22">
        <f>VLOOKUP(G316,'[1]CACFP FRL'!D:G,4,0)</f>
        <v>78728</v>
      </c>
      <c r="I316" s="22" t="str">
        <f>VLOOKUP(G316,[1]CHILDCARE_FACILITIES!AK:AL,2,0)</f>
        <v>CDC8046</v>
      </c>
      <c r="J316" s="22">
        <f>VLOOKUP(I316,'[1]Head Start QF 1-5 Stars'!O:Q,3,0)</f>
        <v>2298</v>
      </c>
      <c r="K316" s="23" t="s">
        <v>18873</v>
      </c>
      <c r="L316" s="22" t="s">
        <v>19465</v>
      </c>
      <c r="M316" s="22" t="s">
        <v>1637</v>
      </c>
      <c r="N316" s="22" t="s">
        <v>495</v>
      </c>
      <c r="O316" s="23" t="s">
        <v>207</v>
      </c>
      <c r="P316" s="22" t="str">
        <f>"85013"</f>
        <v>85013</v>
      </c>
      <c r="Q316" s="22" t="str">
        <f>"4009"</f>
        <v>4009</v>
      </c>
      <c r="R316" s="22" t="s">
        <v>18710</v>
      </c>
      <c r="S316" s="23" t="s">
        <v>18737</v>
      </c>
      <c r="T316" s="22" t="s">
        <v>19039</v>
      </c>
      <c r="U316" s="22" t="s">
        <v>18713</v>
      </c>
      <c r="V316" s="22" t="s">
        <v>18714</v>
      </c>
      <c r="W316" s="22" t="s">
        <v>18714</v>
      </c>
      <c r="X316" s="22" t="s">
        <v>18714</v>
      </c>
      <c r="Y316" s="23">
        <v>8</v>
      </c>
      <c r="Z316" s="22" t="s">
        <v>18715</v>
      </c>
    </row>
    <row r="317" spans="1:26" hidden="1" x14ac:dyDescent="0.2">
      <c r="A317" s="23" t="s">
        <v>18759</v>
      </c>
      <c r="B317" s="22" t="s">
        <v>18760</v>
      </c>
      <c r="C317" s="23" t="str">
        <f>"000"</f>
        <v>000</v>
      </c>
      <c r="D317" s="23" t="s">
        <v>18718</v>
      </c>
      <c r="E317" s="22" t="s">
        <v>18761</v>
      </c>
      <c r="F317" s="22" t="s">
        <v>19094</v>
      </c>
      <c r="G317" s="22" t="str">
        <f>VLOOKUP(F317,[1]CHILDCARE_FACILITIES!N:Q,4,0)</f>
        <v>CDC-10719</v>
      </c>
      <c r="H317" s="22">
        <f>VLOOKUP(G317,'[1]CACFP FRL'!D:G,4,0)</f>
        <v>10098</v>
      </c>
      <c r="I317" s="22" t="str">
        <f>VLOOKUP(G317,[1]CHILDCARE_FACILITIES!AK:AL,2,0)</f>
        <v>CDC10719</v>
      </c>
      <c r="J317" s="22" t="e">
        <f>VLOOKUP(I317,'[1]Head Start QF 1-5 Stars'!O:Q,3,0)</f>
        <v>#N/A</v>
      </c>
      <c r="K317" s="23" t="s">
        <v>18759</v>
      </c>
      <c r="L317" s="22" t="s">
        <v>19095</v>
      </c>
      <c r="M317" s="22" t="s">
        <v>1637</v>
      </c>
      <c r="N317" s="22" t="s">
        <v>19096</v>
      </c>
      <c r="O317" s="23" t="s">
        <v>207</v>
      </c>
      <c r="P317" s="22" t="str">
        <f>"85132"</f>
        <v>85132</v>
      </c>
      <c r="Q317" s="22" t="str">
        <f>"8137"</f>
        <v>8137</v>
      </c>
      <c r="R317" s="22" t="s">
        <v>18763</v>
      </c>
      <c r="S317" s="23" t="s">
        <v>18764</v>
      </c>
      <c r="T317" s="22" t="s">
        <v>19097</v>
      </c>
      <c r="U317" s="22" t="s">
        <v>18713</v>
      </c>
      <c r="V317" s="22" t="s">
        <v>18731</v>
      </c>
      <c r="W317" s="22" t="s">
        <v>18731</v>
      </c>
      <c r="X317" s="22" t="s">
        <v>18731</v>
      </c>
      <c r="Y317" s="23">
        <v>34</v>
      </c>
      <c r="Z317" s="22" t="s">
        <v>18723</v>
      </c>
    </row>
    <row r="318" spans="1:26" hidden="1" x14ac:dyDescent="0.2">
      <c r="A318" s="23" t="s">
        <v>18912</v>
      </c>
      <c r="B318" s="22" t="s">
        <v>18913</v>
      </c>
      <c r="C318" s="23" t="str">
        <f>"200"</f>
        <v>200</v>
      </c>
      <c r="D318" s="23" t="s">
        <v>18706</v>
      </c>
      <c r="E318" s="22" t="s">
        <v>18913</v>
      </c>
      <c r="F318" s="22" t="s">
        <v>19466</v>
      </c>
      <c r="G318" s="22" t="str">
        <f>VLOOKUP(F318,[1]CHILDCARE_FACILITIES!N:Q,4,0)</f>
        <v>CDC-4859</v>
      </c>
      <c r="H318" s="22" t="e">
        <f>VLOOKUP(G318,'[1]CACFP FRL'!D:G,4,0)</f>
        <v>#N/A</v>
      </c>
      <c r="I318" s="22" t="str">
        <f>VLOOKUP(G318,[1]CHILDCARE_FACILITIES!AK:AL,2,0)</f>
        <v>CDC4859</v>
      </c>
      <c r="J318" s="22" t="e">
        <f>VLOOKUP(I318,'[1]Head Start QF 1-5 Stars'!O:Q,3,0)</f>
        <v>#N/A</v>
      </c>
      <c r="K318" s="23" t="s">
        <v>18912</v>
      </c>
      <c r="L318" s="22" t="s">
        <v>19467</v>
      </c>
      <c r="M318" s="22" t="s">
        <v>1637</v>
      </c>
      <c r="N318" s="22" t="s">
        <v>19468</v>
      </c>
      <c r="O318" s="23" t="s">
        <v>207</v>
      </c>
      <c r="P318" s="22" t="str">
        <f>"85935"</f>
        <v>85935</v>
      </c>
      <c r="Q318" s="22" t="str">
        <f>""</f>
        <v/>
      </c>
      <c r="R318" s="22" t="s">
        <v>19156</v>
      </c>
      <c r="S318" s="23" t="s">
        <v>18818</v>
      </c>
      <c r="T318" s="22" t="s">
        <v>19469</v>
      </c>
      <c r="U318" s="22" t="s">
        <v>18713</v>
      </c>
      <c r="V318" s="22" t="s">
        <v>18731</v>
      </c>
      <c r="W318" s="22" t="s">
        <v>18731</v>
      </c>
      <c r="X318" s="22" t="s">
        <v>18731</v>
      </c>
      <c r="Y318" s="23">
        <v>17</v>
      </c>
      <c r="Z318" s="22" t="s">
        <v>18723</v>
      </c>
    </row>
    <row r="319" spans="1:26" s="25" customFormat="1" hidden="1" x14ac:dyDescent="0.2">
      <c r="A319" s="23" t="s">
        <v>18759</v>
      </c>
      <c r="B319" s="22" t="s">
        <v>18760</v>
      </c>
      <c r="C319" s="23" t="str">
        <f>"000"</f>
        <v>000</v>
      </c>
      <c r="D319" s="23" t="s">
        <v>18718</v>
      </c>
      <c r="E319" s="22" t="s">
        <v>18761</v>
      </c>
      <c r="F319" s="22" t="s">
        <v>19315</v>
      </c>
      <c r="G319" s="22" t="e">
        <f>VLOOKUP(F319,[1]CHILDCARE_FACILITIES!N:Q,4,0)</f>
        <v>#N/A</v>
      </c>
      <c r="H319" s="22" t="e">
        <f>VLOOKUP(G319,'[1]CACFP FRL'!D:G,4,0)</f>
        <v>#N/A</v>
      </c>
      <c r="I319" s="22" t="e">
        <f>VLOOKUP(G319,[1]CHILDCARE_FACILITIES!AK:AL,2,0)</f>
        <v>#N/A</v>
      </c>
      <c r="J319" s="22" t="e">
        <f>VLOOKUP(I319,'[1]Head Start QF 1-5 Stars'!O:Q,3,0)</f>
        <v>#N/A</v>
      </c>
      <c r="K319" s="23" t="s">
        <v>18759</v>
      </c>
      <c r="L319" s="22" t="s">
        <v>19316</v>
      </c>
      <c r="M319" s="22" t="s">
        <v>1637</v>
      </c>
      <c r="N319" s="22" t="s">
        <v>1273</v>
      </c>
      <c r="O319" s="23" t="s">
        <v>207</v>
      </c>
      <c r="P319" s="22" t="str">
        <f>"85139"</f>
        <v>85139</v>
      </c>
      <c r="Q319" s="22" t="str">
        <f>""</f>
        <v/>
      </c>
      <c r="R319" s="22" t="s">
        <v>18763</v>
      </c>
      <c r="S319" s="23" t="s">
        <v>18818</v>
      </c>
      <c r="T319" s="22" t="s">
        <v>19317</v>
      </c>
      <c r="U319" s="22" t="s">
        <v>18713</v>
      </c>
      <c r="V319" s="22" t="s">
        <v>18731</v>
      </c>
      <c r="W319" s="22" t="s">
        <v>18731</v>
      </c>
      <c r="X319" s="22" t="s">
        <v>18731</v>
      </c>
      <c r="Y319" s="23">
        <v>36</v>
      </c>
      <c r="Z319" s="22" t="s">
        <v>18723</v>
      </c>
    </row>
    <row r="320" spans="1:26" s="25" customFormat="1" hidden="1" x14ac:dyDescent="0.2">
      <c r="A320" s="23" t="s">
        <v>18759</v>
      </c>
      <c r="B320" s="22" t="s">
        <v>18760</v>
      </c>
      <c r="C320" s="23" t="str">
        <f>"000"</f>
        <v>000</v>
      </c>
      <c r="D320" s="23" t="s">
        <v>18718</v>
      </c>
      <c r="E320" s="22" t="s">
        <v>18761</v>
      </c>
      <c r="F320" s="22" t="s">
        <v>19333</v>
      </c>
      <c r="G320" s="22" t="e">
        <f>VLOOKUP(F320,[1]CHILDCARE_FACILITIES!N:Q,4,0)</f>
        <v>#N/A</v>
      </c>
      <c r="H320" s="22" t="e">
        <f>VLOOKUP(G320,'[1]CACFP FRL'!D:G,4,0)</f>
        <v>#N/A</v>
      </c>
      <c r="I320" s="22" t="e">
        <f>VLOOKUP(G320,[1]CHILDCARE_FACILITIES!AK:AL,2,0)</f>
        <v>#N/A</v>
      </c>
      <c r="J320" s="22" t="e">
        <f>VLOOKUP(I320,'[1]Head Start QF 1-5 Stars'!O:Q,3,0)</f>
        <v>#N/A</v>
      </c>
      <c r="K320" s="23" t="s">
        <v>18759</v>
      </c>
      <c r="L320" s="22" t="s">
        <v>19334</v>
      </c>
      <c r="M320" s="22" t="s">
        <v>1637</v>
      </c>
      <c r="N320" s="22" t="s">
        <v>1024</v>
      </c>
      <c r="O320" s="23" t="s">
        <v>207</v>
      </c>
      <c r="P320" s="22" t="str">
        <f>"85539"</f>
        <v>85539</v>
      </c>
      <c r="Q320" s="22" t="str">
        <f>"1510"</f>
        <v>1510</v>
      </c>
      <c r="R320" s="22" t="s">
        <v>19335</v>
      </c>
      <c r="S320" s="23" t="s">
        <v>18818</v>
      </c>
      <c r="T320" s="22" t="s">
        <v>19336</v>
      </c>
      <c r="U320" s="22" t="s">
        <v>18713</v>
      </c>
      <c r="V320" s="22" t="s">
        <v>18731</v>
      </c>
      <c r="W320" s="22" t="s">
        <v>18731</v>
      </c>
      <c r="X320" s="22" t="s">
        <v>18731</v>
      </c>
      <c r="Y320" s="23">
        <v>34</v>
      </c>
      <c r="Z320" s="22" t="s">
        <v>18723</v>
      </c>
    </row>
    <row r="321" spans="1:26" s="25" customFormat="1" hidden="1" x14ac:dyDescent="0.2">
      <c r="A321" s="23" t="s">
        <v>18759</v>
      </c>
      <c r="B321" s="22" t="s">
        <v>18760</v>
      </c>
      <c r="C321" s="23" t="str">
        <f>"000"</f>
        <v>000</v>
      </c>
      <c r="D321" s="23" t="s">
        <v>18718</v>
      </c>
      <c r="E321" s="22" t="s">
        <v>18761</v>
      </c>
      <c r="F321" s="22" t="s">
        <v>19470</v>
      </c>
      <c r="G321" s="22" t="e">
        <f>VLOOKUP(F321,[1]CHILDCARE_FACILITIES!N:Q,4,0)</f>
        <v>#N/A</v>
      </c>
      <c r="H321" s="22" t="e">
        <f>VLOOKUP(G321,'[1]CACFP FRL'!D:G,4,0)</f>
        <v>#N/A</v>
      </c>
      <c r="I321" s="22" t="e">
        <f>VLOOKUP(G321,[1]CHILDCARE_FACILITIES!AK:AL,2,0)</f>
        <v>#N/A</v>
      </c>
      <c r="J321" s="22" t="e">
        <f>VLOOKUP(I321,'[1]Head Start QF 1-5 Stars'!O:Q,3,0)</f>
        <v>#N/A</v>
      </c>
      <c r="K321" s="23" t="s">
        <v>18759</v>
      </c>
      <c r="L321" s="22" t="s">
        <v>19471</v>
      </c>
      <c r="M321" s="22" t="s">
        <v>19472</v>
      </c>
      <c r="N321" s="22" t="s">
        <v>1308</v>
      </c>
      <c r="O321" s="23" t="s">
        <v>207</v>
      </c>
      <c r="P321" s="22" t="str">
        <f>"85140"</f>
        <v>85140</v>
      </c>
      <c r="Q321" s="22" t="str">
        <f>"9164"</f>
        <v>9164</v>
      </c>
      <c r="R321" s="22" t="s">
        <v>18763</v>
      </c>
      <c r="S321" s="23" t="s">
        <v>18764</v>
      </c>
      <c r="T321" s="22" t="s">
        <v>19473</v>
      </c>
      <c r="U321" s="22" t="s">
        <v>18713</v>
      </c>
      <c r="V321" s="22" t="s">
        <v>18714</v>
      </c>
      <c r="W321" s="22" t="s">
        <v>18714</v>
      </c>
      <c r="X321" s="22" t="s">
        <v>18714</v>
      </c>
      <c r="Y321" s="23">
        <v>36</v>
      </c>
      <c r="Z321" s="22" t="s">
        <v>18723</v>
      </c>
    </row>
    <row r="322" spans="1:26" hidden="1" x14ac:dyDescent="0.2">
      <c r="A322" s="23" t="s">
        <v>18912</v>
      </c>
      <c r="B322" s="22" t="s">
        <v>18913</v>
      </c>
      <c r="C322" s="23" t="str">
        <f>"200"</f>
        <v>200</v>
      </c>
      <c r="D322" s="23" t="s">
        <v>18706</v>
      </c>
      <c r="E322" s="22" t="s">
        <v>18913</v>
      </c>
      <c r="F322" s="22" t="s">
        <v>19420</v>
      </c>
      <c r="G322" s="22" t="str">
        <f>VLOOKUP(F322,[1]CHILDCARE_FACILITIES!N:Q,4,0)</f>
        <v>CDC-0986</v>
      </c>
      <c r="H322" s="22" t="e">
        <f>VLOOKUP(G322,'[1]CACFP FRL'!D:G,4,0)</f>
        <v>#N/A</v>
      </c>
      <c r="I322" s="22" t="str">
        <f>VLOOKUP(G322,[1]CHILDCARE_FACILITIES!AK:AL,2,0)</f>
        <v>CDC0986</v>
      </c>
      <c r="J322" s="22" t="e">
        <f>VLOOKUP(I322,'[1]Head Start QF 1-5 Stars'!O:Q,3,0)</f>
        <v>#N/A</v>
      </c>
      <c r="K322" s="23" t="s">
        <v>18912</v>
      </c>
      <c r="L322" s="22" t="s">
        <v>19421</v>
      </c>
      <c r="M322" s="22" t="s">
        <v>1637</v>
      </c>
      <c r="N322" s="22" t="s">
        <v>1380</v>
      </c>
      <c r="O322" s="23" t="s">
        <v>207</v>
      </c>
      <c r="P322" s="22" t="str">
        <f>"86004"</f>
        <v>86004</v>
      </c>
      <c r="Q322" s="22" t="str">
        <f>"3652"</f>
        <v>3652</v>
      </c>
      <c r="R322" s="22" t="s">
        <v>19091</v>
      </c>
      <c r="S322" s="23" t="s">
        <v>18818</v>
      </c>
      <c r="T322" s="22" t="s">
        <v>19422</v>
      </c>
      <c r="U322" s="22" t="s">
        <v>18713</v>
      </c>
      <c r="V322" s="22" t="s">
        <v>18731</v>
      </c>
      <c r="W322" s="22" t="s">
        <v>18731</v>
      </c>
      <c r="X322" s="22" t="s">
        <v>18731</v>
      </c>
      <c r="Y322" s="23">
        <v>17</v>
      </c>
      <c r="Z322" s="22" t="s">
        <v>18723</v>
      </c>
    </row>
    <row r="323" spans="1:26" hidden="1" x14ac:dyDescent="0.2">
      <c r="A323" s="23" t="s">
        <v>18759</v>
      </c>
      <c r="B323" s="22" t="s">
        <v>18760</v>
      </c>
      <c r="C323" s="23" t="str">
        <f>"000"</f>
        <v>000</v>
      </c>
      <c r="D323" s="23" t="s">
        <v>18718</v>
      </c>
      <c r="E323" s="22" t="s">
        <v>18761</v>
      </c>
      <c r="F323" s="22" t="s">
        <v>19474</v>
      </c>
      <c r="G323" s="22" t="e">
        <f>VLOOKUP(F323,[1]CHILDCARE_FACILITIES!N:Q,4,0)</f>
        <v>#N/A</v>
      </c>
      <c r="H323" s="22" t="e">
        <f>VLOOKUP(G323,'[1]CACFP FRL'!D:G,4,0)</f>
        <v>#N/A</v>
      </c>
      <c r="I323" s="22" t="e">
        <f>VLOOKUP(G323,[1]CHILDCARE_FACILITIES!AK:AL,2,0)</f>
        <v>#N/A</v>
      </c>
      <c r="J323" s="22" t="e">
        <f>VLOOKUP(I323,'[1]Head Start QF 1-5 Stars'!O:Q,3,0)</f>
        <v>#N/A</v>
      </c>
      <c r="K323" s="23" t="s">
        <v>18759</v>
      </c>
      <c r="L323" s="22" t="s">
        <v>698</v>
      </c>
      <c r="M323" s="22" t="s">
        <v>1637</v>
      </c>
      <c r="N323" s="22" t="s">
        <v>699</v>
      </c>
      <c r="O323" s="23" t="s">
        <v>207</v>
      </c>
      <c r="P323" s="22" t="str">
        <f>"85172"</f>
        <v>85172</v>
      </c>
      <c r="Q323" s="22" t="str">
        <f>"9687"</f>
        <v>9687</v>
      </c>
      <c r="R323" s="22" t="s">
        <v>18763</v>
      </c>
      <c r="S323" s="23" t="s">
        <v>18818</v>
      </c>
      <c r="T323" s="22" t="s">
        <v>19475</v>
      </c>
      <c r="U323" s="22" t="s">
        <v>18713</v>
      </c>
      <c r="V323" s="22" t="s">
        <v>18731</v>
      </c>
      <c r="W323" s="22" t="s">
        <v>18731</v>
      </c>
      <c r="X323" s="22" t="s">
        <v>18731</v>
      </c>
      <c r="Y323" s="23">
        <v>18</v>
      </c>
      <c r="Z323" s="22" t="s">
        <v>18723</v>
      </c>
    </row>
    <row r="324" spans="1:26" s="25" customFormat="1" hidden="1" x14ac:dyDescent="0.2">
      <c r="A324" s="24" t="s">
        <v>18912</v>
      </c>
      <c r="B324" s="25" t="s">
        <v>18913</v>
      </c>
      <c r="C324" s="24" t="str">
        <f>"200"</f>
        <v>200</v>
      </c>
      <c r="D324" s="24" t="s">
        <v>18706</v>
      </c>
      <c r="E324" s="25" t="s">
        <v>18913</v>
      </c>
      <c r="F324" s="25" t="s">
        <v>19476</v>
      </c>
      <c r="G324" s="25" t="e">
        <f>VLOOKUP(F324,[1]CHILDCARE_FACILITIES!N:Q,4,0)</f>
        <v>#N/A</v>
      </c>
      <c r="H324" s="25" t="e">
        <f>VLOOKUP(G324,'[1]CACFP FRL'!D:G,4,0)</f>
        <v>#N/A</v>
      </c>
      <c r="I324" s="25" t="e">
        <f>VLOOKUP(G324,[1]CHILDCARE_FACILITIES!AK:AL,2,0)</f>
        <v>#N/A</v>
      </c>
      <c r="J324" s="25" t="e">
        <f>VLOOKUP(I324,'[1]Head Start QF 1-5 Stars'!O:Q,3,0)</f>
        <v>#N/A</v>
      </c>
      <c r="K324" s="24" t="s">
        <v>18912</v>
      </c>
      <c r="L324" s="25" t="s">
        <v>19477</v>
      </c>
      <c r="M324" s="25" t="s">
        <v>1637</v>
      </c>
      <c r="N324" s="25" t="s">
        <v>19476</v>
      </c>
      <c r="O324" s="24" t="s">
        <v>207</v>
      </c>
      <c r="P324" s="25" t="str">
        <f>"86305"</f>
        <v>86305</v>
      </c>
      <c r="Q324" s="25" t="str">
        <f>"2300"</f>
        <v>2300</v>
      </c>
      <c r="R324" s="25" t="s">
        <v>18915</v>
      </c>
      <c r="S324" s="24" t="s">
        <v>18764</v>
      </c>
      <c r="U324" s="25" t="s">
        <v>18713</v>
      </c>
      <c r="V324" s="25" t="s">
        <v>18731</v>
      </c>
      <c r="W324" s="25" t="s">
        <v>18714</v>
      </c>
      <c r="X324" s="25" t="s">
        <v>18714</v>
      </c>
      <c r="Y324" s="24">
        <v>11</v>
      </c>
      <c r="Z324" s="25" t="s">
        <v>18723</v>
      </c>
    </row>
    <row r="325" spans="1:26" hidden="1" x14ac:dyDescent="0.2">
      <c r="A325" s="23" t="s">
        <v>18759</v>
      </c>
      <c r="B325" s="22" t="s">
        <v>18760</v>
      </c>
      <c r="C325" s="23" t="str">
        <f>"000"</f>
        <v>000</v>
      </c>
      <c r="D325" s="23" t="s">
        <v>18718</v>
      </c>
      <c r="E325" s="22" t="s">
        <v>18761</v>
      </c>
      <c r="F325" s="22" t="s">
        <v>19478</v>
      </c>
      <c r="G325" s="22" t="str">
        <f>VLOOKUP(F325,[1]CHILDCARE_FACILITIES!N:Q,4,0)</f>
        <v>CDC-8676</v>
      </c>
      <c r="H325" s="22">
        <f>VLOOKUP(G325,'[1]CACFP FRL'!D:G,4,0)</f>
        <v>8078</v>
      </c>
      <c r="I325" s="22" t="str">
        <f>VLOOKUP(G325,[1]CHILDCARE_FACILITIES!AK:AL,2,0)</f>
        <v>CDC8676</v>
      </c>
      <c r="J325" s="22" t="e">
        <f>VLOOKUP(I325,'[1]Head Start QF 1-5 Stars'!O:Q,3,0)</f>
        <v>#N/A</v>
      </c>
      <c r="K325" s="23" t="s">
        <v>18759</v>
      </c>
      <c r="L325" s="22" t="s">
        <v>19479</v>
      </c>
      <c r="M325" s="22" t="s">
        <v>1637</v>
      </c>
      <c r="N325" s="22" t="s">
        <v>19480</v>
      </c>
      <c r="O325" s="23" t="s">
        <v>207</v>
      </c>
      <c r="P325" s="22" t="str">
        <f>"85173"</f>
        <v>85173</v>
      </c>
      <c r="Q325" s="22" t="str">
        <f>"2515"</f>
        <v>2515</v>
      </c>
      <c r="R325" s="22" t="s">
        <v>18763</v>
      </c>
      <c r="S325" s="23" t="s">
        <v>18818</v>
      </c>
      <c r="T325" s="22" t="s">
        <v>19481</v>
      </c>
      <c r="U325" s="22" t="s">
        <v>18713</v>
      </c>
      <c r="V325" s="22" t="s">
        <v>18731</v>
      </c>
      <c r="W325" s="22" t="s">
        <v>18731</v>
      </c>
      <c r="X325" s="22" t="s">
        <v>18731</v>
      </c>
      <c r="Y325" s="23">
        <v>9</v>
      </c>
      <c r="Z325" s="22" t="s">
        <v>18723</v>
      </c>
    </row>
    <row r="326" spans="1:26" hidden="1" x14ac:dyDescent="0.2">
      <c r="A326" s="23" t="s">
        <v>18912</v>
      </c>
      <c r="B326" s="22" t="s">
        <v>18913</v>
      </c>
      <c r="C326" s="23" t="str">
        <f>"200"</f>
        <v>200</v>
      </c>
      <c r="D326" s="23" t="s">
        <v>18706</v>
      </c>
      <c r="E326" s="22" t="s">
        <v>18913</v>
      </c>
      <c r="F326" s="22" t="s">
        <v>19482</v>
      </c>
      <c r="G326" s="22" t="str">
        <f>VLOOKUP(F326,[1]CHILDCARE_FACILITIES!N:Q,4,0)</f>
        <v>CDC-15419</v>
      </c>
      <c r="H326" s="22" t="e">
        <f>VLOOKUP(G326,'[1]CACFP FRL'!D:G,4,0)</f>
        <v>#N/A</v>
      </c>
      <c r="I326" s="22" t="str">
        <f>VLOOKUP(G326,[1]CHILDCARE_FACILITIES!AK:AL,2,0)</f>
        <v>CDC15419</v>
      </c>
      <c r="J326" s="22" t="e">
        <f>VLOOKUP(I326,'[1]Head Start QF 1-5 Stars'!O:Q,3,0)</f>
        <v>#N/A</v>
      </c>
      <c r="K326" s="23" t="s">
        <v>18912</v>
      </c>
      <c r="L326" s="22" t="s">
        <v>19483</v>
      </c>
      <c r="M326" s="22" t="s">
        <v>1637</v>
      </c>
      <c r="N326" s="22" t="s">
        <v>549</v>
      </c>
      <c r="O326" s="23" t="s">
        <v>207</v>
      </c>
      <c r="P326" s="22" t="str">
        <f>"86314"</f>
        <v>86314</v>
      </c>
      <c r="Q326" s="22" t="str">
        <f>"8687"</f>
        <v>8687</v>
      </c>
      <c r="R326" s="22" t="s">
        <v>18915</v>
      </c>
      <c r="S326" s="23" t="s">
        <v>18764</v>
      </c>
      <c r="T326" s="22" t="s">
        <v>19484</v>
      </c>
      <c r="U326" s="22" t="s">
        <v>18964</v>
      </c>
      <c r="V326" s="22" t="s">
        <v>18731</v>
      </c>
      <c r="W326" s="22" t="s">
        <v>18714</v>
      </c>
      <c r="X326" s="22" t="s">
        <v>18714</v>
      </c>
      <c r="Y326" s="23">
        <v>28</v>
      </c>
      <c r="Z326" s="22" t="s">
        <v>18723</v>
      </c>
    </row>
    <row r="327" spans="1:26" hidden="1" x14ac:dyDescent="0.2">
      <c r="A327" s="23" t="s">
        <v>18759</v>
      </c>
      <c r="B327" s="22" t="s">
        <v>18760</v>
      </c>
      <c r="C327" s="23" t="str">
        <f>"000"</f>
        <v>000</v>
      </c>
      <c r="D327" s="23" t="s">
        <v>18718</v>
      </c>
      <c r="E327" s="22" t="s">
        <v>18761</v>
      </c>
      <c r="F327" s="22" t="s">
        <v>19485</v>
      </c>
      <c r="G327" s="22" t="str">
        <f>VLOOKUP(F327,[1]CHILDCARE_FACILITIES!N:Q,4,0)</f>
        <v>CDC-4976</v>
      </c>
      <c r="H327" s="22">
        <f>VLOOKUP(G327,'[1]CACFP FRL'!D:G,4,0)</f>
        <v>8079</v>
      </c>
      <c r="I327" s="22" t="str">
        <f>VLOOKUP(G327,[1]CHILDCARE_FACILITIES!AK:AL,2,0)</f>
        <v>CDC4976</v>
      </c>
      <c r="J327" s="22" t="e">
        <f>VLOOKUP(I327,'[1]Head Start QF 1-5 Stars'!O:Q,3,0)</f>
        <v>#N/A</v>
      </c>
      <c r="K327" s="23" t="s">
        <v>18759</v>
      </c>
      <c r="L327" s="22" t="s">
        <v>19486</v>
      </c>
      <c r="M327" s="22" t="s">
        <v>1637</v>
      </c>
      <c r="N327" s="22" t="s">
        <v>760</v>
      </c>
      <c r="O327" s="23" t="s">
        <v>207</v>
      </c>
      <c r="P327" s="22" t="str">
        <f>"85131"</f>
        <v>85131</v>
      </c>
      <c r="Q327" s="22" t="str">
        <f>""</f>
        <v/>
      </c>
      <c r="R327" s="22" t="s">
        <v>18763</v>
      </c>
      <c r="S327" s="23" t="s">
        <v>18818</v>
      </c>
      <c r="T327" s="22" t="s">
        <v>19487</v>
      </c>
      <c r="U327" s="22" t="s">
        <v>18713</v>
      </c>
      <c r="V327" s="22" t="s">
        <v>18731</v>
      </c>
      <c r="W327" s="22" t="s">
        <v>18731</v>
      </c>
      <c r="X327" s="22" t="s">
        <v>18731</v>
      </c>
      <c r="Y327" s="23">
        <v>18</v>
      </c>
      <c r="Z327" s="22" t="s">
        <v>18723</v>
      </c>
    </row>
    <row r="328" spans="1:26" hidden="1" x14ac:dyDescent="0.2">
      <c r="A328" s="23" t="s">
        <v>18822</v>
      </c>
      <c r="B328" s="22" t="s">
        <v>18823</v>
      </c>
      <c r="C328" s="23" t="str">
        <f>"200"</f>
        <v>200</v>
      </c>
      <c r="D328" s="23" t="s">
        <v>18706</v>
      </c>
      <c r="E328" s="22" t="s">
        <v>18823</v>
      </c>
      <c r="F328" s="22" t="s">
        <v>18985</v>
      </c>
      <c r="G328" s="22" t="str">
        <f>VLOOKUP(F328,[1]CHILDCARE_FACILITIES!N:Q,4,0)</f>
        <v>CDC-7462</v>
      </c>
      <c r="H328" s="22">
        <f>VLOOKUP(G328,'[1]CACFP FRL'!D:G,4,0)</f>
        <v>10371</v>
      </c>
      <c r="I328" s="22" t="str">
        <f>VLOOKUP(G328,[1]CHILDCARE_FACILITIES!AK:AL,2,0)</f>
        <v>CDC7462</v>
      </c>
      <c r="J328" s="22" t="e">
        <f>VLOOKUP(I328,'[1]Head Start QF 1-5 Stars'!O:Q,3,0)</f>
        <v>#N/A</v>
      </c>
      <c r="K328" s="23" t="s">
        <v>18822</v>
      </c>
      <c r="L328" s="22" t="s">
        <v>18986</v>
      </c>
      <c r="M328" s="22" t="s">
        <v>1637</v>
      </c>
      <c r="N328" s="22" t="s">
        <v>764</v>
      </c>
      <c r="O328" s="23" t="s">
        <v>207</v>
      </c>
      <c r="P328" s="22" t="str">
        <f>"85705"</f>
        <v>85705</v>
      </c>
      <c r="Q328" s="22" t="str">
        <f>"3310"</f>
        <v>3310</v>
      </c>
      <c r="R328" s="22" t="s">
        <v>996</v>
      </c>
      <c r="S328" s="23" t="s">
        <v>18842</v>
      </c>
      <c r="T328" s="22" t="s">
        <v>18987</v>
      </c>
      <c r="U328" s="22" t="s">
        <v>18713</v>
      </c>
      <c r="V328" s="22" t="s">
        <v>18731</v>
      </c>
      <c r="W328" s="22" t="s">
        <v>18731</v>
      </c>
      <c r="X328" s="22" t="s">
        <v>18731</v>
      </c>
      <c r="Y328" s="23">
        <v>10</v>
      </c>
      <c r="Z328" s="22" t="s">
        <v>18723</v>
      </c>
    </row>
    <row r="329" spans="1:26" hidden="1" x14ac:dyDescent="0.2">
      <c r="A329" s="24" t="s">
        <v>19488</v>
      </c>
      <c r="B329" s="25" t="s">
        <v>19489</v>
      </c>
      <c r="C329" s="24" t="str">
        <f>"000"</f>
        <v>000</v>
      </c>
      <c r="D329" s="24" t="s">
        <v>19199</v>
      </c>
      <c r="E329" s="25" t="s">
        <v>19490</v>
      </c>
      <c r="F329" s="25" t="s">
        <v>19491</v>
      </c>
      <c r="G329" s="25" t="e">
        <f>VLOOKUP(F329,[1]CHILDCARE_FACILITIES!N:Q,4,0)</f>
        <v>#N/A</v>
      </c>
      <c r="H329" s="25" t="e">
        <f>VLOOKUP(G329,'[1]CACFP FRL'!D:G,4,0)</f>
        <v>#N/A</v>
      </c>
      <c r="I329" s="25" t="e">
        <f>VLOOKUP(G329,[1]CHILDCARE_FACILITIES!AK:AL,2,0)</f>
        <v>#N/A</v>
      </c>
      <c r="J329" s="25" t="e">
        <f>VLOOKUP(I329,'[1]Head Start QF 1-5 Stars'!O:Q,3,0)</f>
        <v>#N/A</v>
      </c>
      <c r="K329" s="24" t="s">
        <v>19488</v>
      </c>
      <c r="L329" s="25" t="s">
        <v>19492</v>
      </c>
      <c r="M329" s="25" t="s">
        <v>1637</v>
      </c>
      <c r="N329" s="25" t="s">
        <v>708</v>
      </c>
      <c r="O329" s="24" t="s">
        <v>207</v>
      </c>
      <c r="P329" s="25" t="str">
        <f>"85256"</f>
        <v>85256</v>
      </c>
      <c r="Q329" s="25" t="str">
        <f>""</f>
        <v/>
      </c>
      <c r="R329" s="25" t="s">
        <v>18710</v>
      </c>
      <c r="S329" s="24" t="s">
        <v>19033</v>
      </c>
      <c r="T329" s="25" t="s">
        <v>19493</v>
      </c>
      <c r="U329" s="25" t="s">
        <v>18713</v>
      </c>
      <c r="V329" s="25" t="s">
        <v>18714</v>
      </c>
      <c r="W329" s="25" t="s">
        <v>18714</v>
      </c>
      <c r="X329" s="25" t="s">
        <v>18731</v>
      </c>
      <c r="Y329" s="24">
        <v>150</v>
      </c>
      <c r="Z329" s="25" t="s">
        <v>18723</v>
      </c>
    </row>
    <row r="330" spans="1:26" hidden="1" x14ac:dyDescent="0.2">
      <c r="A330" s="24" t="s">
        <v>19488</v>
      </c>
      <c r="B330" s="25" t="s">
        <v>19489</v>
      </c>
      <c r="C330" s="24" t="str">
        <f t="shared" ref="C330:C336" si="11">"200"</f>
        <v>200</v>
      </c>
      <c r="D330" s="24" t="s">
        <v>19216</v>
      </c>
      <c r="E330" s="25" t="s">
        <v>19490</v>
      </c>
      <c r="F330" s="25" t="s">
        <v>19491</v>
      </c>
      <c r="G330" s="25" t="e">
        <f>VLOOKUP(F330,[1]CHILDCARE_FACILITIES!N:Q,4,0)</f>
        <v>#N/A</v>
      </c>
      <c r="H330" s="25" t="e">
        <f>VLOOKUP(G330,'[1]CACFP FRL'!D:G,4,0)</f>
        <v>#N/A</v>
      </c>
      <c r="I330" s="25" t="e">
        <f>VLOOKUP(G330,[1]CHILDCARE_FACILITIES!AK:AL,2,0)</f>
        <v>#N/A</v>
      </c>
      <c r="J330" s="25" t="e">
        <f>VLOOKUP(I330,'[1]Head Start QF 1-5 Stars'!O:Q,3,0)</f>
        <v>#N/A</v>
      </c>
      <c r="K330" s="24" t="s">
        <v>19488</v>
      </c>
      <c r="L330" s="25" t="s">
        <v>19492</v>
      </c>
      <c r="M330" s="25" t="s">
        <v>1637</v>
      </c>
      <c r="N330" s="25" t="s">
        <v>708</v>
      </c>
      <c r="O330" s="24" t="s">
        <v>207</v>
      </c>
      <c r="P330" s="25" t="str">
        <f>"85256"</f>
        <v>85256</v>
      </c>
      <c r="Q330" s="25" t="str">
        <f>""</f>
        <v/>
      </c>
      <c r="R330" s="25" t="s">
        <v>18710</v>
      </c>
      <c r="S330" s="24" t="s">
        <v>19033</v>
      </c>
      <c r="T330" s="25" t="s">
        <v>19493</v>
      </c>
      <c r="U330" s="25" t="s">
        <v>18713</v>
      </c>
      <c r="V330" s="25" t="s">
        <v>18714</v>
      </c>
      <c r="W330" s="25" t="s">
        <v>18714</v>
      </c>
      <c r="X330" s="25" t="s">
        <v>18731</v>
      </c>
      <c r="Y330" s="24">
        <v>116</v>
      </c>
      <c r="Z330" s="25" t="s">
        <v>18723</v>
      </c>
    </row>
    <row r="331" spans="1:26" hidden="1" x14ac:dyDescent="0.2">
      <c r="A331" s="24" t="s">
        <v>19494</v>
      </c>
      <c r="B331" s="25" t="s">
        <v>19495</v>
      </c>
      <c r="C331" s="24" t="str">
        <f t="shared" si="11"/>
        <v>200</v>
      </c>
      <c r="D331" s="24" t="s">
        <v>19216</v>
      </c>
      <c r="E331" s="25" t="s">
        <v>19495</v>
      </c>
      <c r="F331" s="25" t="s">
        <v>19496</v>
      </c>
      <c r="G331" s="25" t="e">
        <f>VLOOKUP(F331,[1]CHILDCARE_FACILITIES!N:Q,4,0)</f>
        <v>#N/A</v>
      </c>
      <c r="H331" s="25" t="e">
        <f>VLOOKUP(G331,'[1]CACFP FRL'!D:G,4,0)</f>
        <v>#N/A</v>
      </c>
      <c r="I331" s="25" t="e">
        <f>VLOOKUP(G331,[1]CHILDCARE_FACILITIES!AK:AL,2,0)</f>
        <v>#N/A</v>
      </c>
      <c r="J331" s="25" t="e">
        <f>VLOOKUP(I331,'[1]Head Start QF 1-5 Stars'!O:Q,3,0)</f>
        <v>#N/A</v>
      </c>
      <c r="K331" s="24" t="s">
        <v>19494</v>
      </c>
      <c r="L331" s="25" t="s">
        <v>19497</v>
      </c>
      <c r="M331" s="25" t="s">
        <v>1637</v>
      </c>
      <c r="N331" s="25" t="s">
        <v>862</v>
      </c>
      <c r="O331" s="24" t="s">
        <v>207</v>
      </c>
      <c r="P331" s="25" t="str">
        <f>"85530"</f>
        <v>85530</v>
      </c>
      <c r="Q331" s="25" t="str">
        <f>"9900"</f>
        <v>9900</v>
      </c>
      <c r="R331" s="25" t="s">
        <v>18836</v>
      </c>
      <c r="S331" s="24" t="s">
        <v>18818</v>
      </c>
      <c r="T331" s="25" t="s">
        <v>19498</v>
      </c>
      <c r="U331" s="25" t="s">
        <v>19241</v>
      </c>
      <c r="V331" s="25" t="s">
        <v>18714</v>
      </c>
      <c r="W331" s="25" t="s">
        <v>18714</v>
      </c>
      <c r="X331" s="25" t="s">
        <v>18714</v>
      </c>
      <c r="Y331" s="24">
        <v>18</v>
      </c>
      <c r="Z331" s="25" t="s">
        <v>18723</v>
      </c>
    </row>
    <row r="332" spans="1:26" x14ac:dyDescent="0.2">
      <c r="A332" s="23" t="s">
        <v>18959</v>
      </c>
      <c r="B332" s="22" t="s">
        <v>18960</v>
      </c>
      <c r="C332" s="23" t="str">
        <f t="shared" si="11"/>
        <v>200</v>
      </c>
      <c r="D332" s="23" t="s">
        <v>18706</v>
      </c>
      <c r="E332" s="22" t="s">
        <v>18960</v>
      </c>
      <c r="F332" s="22" t="s">
        <v>18828</v>
      </c>
      <c r="G332" s="22" t="str">
        <f>VLOOKUP(F332,[1]CHILDCARE_FACILITIES!N:Q,4,0)</f>
        <v>CDC-6740</v>
      </c>
      <c r="H332" s="22" t="e">
        <f>VLOOKUP(G332,'[1]CACFP FRL'!D:G,4,0)</f>
        <v>#N/A</v>
      </c>
      <c r="I332" s="22" t="str">
        <f>VLOOKUP(G332,[1]CHILDCARE_FACILITIES!AK:AL,2,0)</f>
        <v>CDC6740</v>
      </c>
      <c r="J332" s="22" t="e">
        <f>VLOOKUP(I332,'[1]Head Start QF 1-5 Stars'!O:Q,3,0)</f>
        <v>#N/A</v>
      </c>
      <c r="K332" s="23" t="s">
        <v>18959</v>
      </c>
      <c r="L332" s="22" t="s">
        <v>18829</v>
      </c>
      <c r="M332" s="22" t="s">
        <v>1637</v>
      </c>
      <c r="N332" s="22" t="s">
        <v>18831</v>
      </c>
      <c r="O332" s="23" t="s">
        <v>207</v>
      </c>
      <c r="P332" s="22" t="str">
        <f>"85142"</f>
        <v>85142</v>
      </c>
      <c r="Q332" s="22" t="str">
        <f>"9888"</f>
        <v>9888</v>
      </c>
      <c r="R332" s="22" t="s">
        <v>18710</v>
      </c>
      <c r="S332" s="23" t="s">
        <v>18832</v>
      </c>
      <c r="T332" s="22" t="s">
        <v>18833</v>
      </c>
      <c r="U332" s="22" t="s">
        <v>18713</v>
      </c>
      <c r="V332" s="22" t="s">
        <v>18714</v>
      </c>
      <c r="W332" s="22" t="s">
        <v>18714</v>
      </c>
      <c r="X332" s="22" t="s">
        <v>18714</v>
      </c>
      <c r="Y332" s="23">
        <v>18</v>
      </c>
      <c r="Z332" s="22" t="s">
        <v>18723</v>
      </c>
    </row>
    <row r="333" spans="1:26" hidden="1" x14ac:dyDescent="0.2">
      <c r="A333" s="24" t="s">
        <v>19494</v>
      </c>
      <c r="B333" s="25" t="s">
        <v>19495</v>
      </c>
      <c r="C333" s="24" t="str">
        <f t="shared" si="11"/>
        <v>200</v>
      </c>
      <c r="D333" s="24" t="s">
        <v>19216</v>
      </c>
      <c r="E333" s="25" t="s">
        <v>19495</v>
      </c>
      <c r="F333" s="25" t="s">
        <v>19499</v>
      </c>
      <c r="G333" s="25" t="e">
        <f>VLOOKUP(F333,[1]CHILDCARE_FACILITIES!N:Q,4,0)</f>
        <v>#N/A</v>
      </c>
      <c r="H333" s="25" t="e">
        <f>VLOOKUP(G333,'[1]CACFP FRL'!D:G,4,0)</f>
        <v>#N/A</v>
      </c>
      <c r="I333" s="25" t="e">
        <f>VLOOKUP(G333,[1]CHILDCARE_FACILITIES!AK:AL,2,0)</f>
        <v>#N/A</v>
      </c>
      <c r="J333" s="25" t="e">
        <f>VLOOKUP(I333,'[1]Head Start QF 1-5 Stars'!O:Q,3,0)</f>
        <v>#N/A</v>
      </c>
      <c r="K333" s="24" t="s">
        <v>19494</v>
      </c>
      <c r="L333" s="25" t="s">
        <v>19500</v>
      </c>
      <c r="M333" s="25" t="s">
        <v>1637</v>
      </c>
      <c r="N333" s="25" t="s">
        <v>417</v>
      </c>
      <c r="O333" s="24" t="s">
        <v>207</v>
      </c>
      <c r="P333" s="25" t="str">
        <f>"85550"</f>
        <v>85550</v>
      </c>
      <c r="Q333" s="25" t="str">
        <f>""</f>
        <v/>
      </c>
      <c r="R333" s="25" t="s">
        <v>19335</v>
      </c>
      <c r="S333" s="24" t="s">
        <v>18818</v>
      </c>
      <c r="T333" s="25" t="s">
        <v>19501</v>
      </c>
      <c r="U333" s="25" t="s">
        <v>19241</v>
      </c>
      <c r="V333" s="25" t="s">
        <v>18714</v>
      </c>
      <c r="W333" s="25" t="s">
        <v>18714</v>
      </c>
      <c r="X333" s="25" t="s">
        <v>18714</v>
      </c>
      <c r="Y333" s="24">
        <v>9</v>
      </c>
      <c r="Z333" s="25" t="s">
        <v>18723</v>
      </c>
    </row>
    <row r="334" spans="1:26" x14ac:dyDescent="0.2">
      <c r="A334" s="23" t="s">
        <v>19121</v>
      </c>
      <c r="B334" s="22" t="s">
        <v>18960</v>
      </c>
      <c r="C334" s="23" t="str">
        <f t="shared" si="11"/>
        <v>200</v>
      </c>
      <c r="D334" s="23" t="s">
        <v>19122</v>
      </c>
      <c r="E334" s="22" t="s">
        <v>19123</v>
      </c>
      <c r="F334" s="22" t="s">
        <v>19502</v>
      </c>
      <c r="G334" s="22" t="str">
        <f>VLOOKUP(F334,[1]CHILDCARE_FACILITIES!N:Q,4,0)</f>
        <v>CDC-15351</v>
      </c>
      <c r="H334" s="22" t="e">
        <f>VLOOKUP(G334,'[1]CACFP FRL'!D:G,4,0)</f>
        <v>#N/A</v>
      </c>
      <c r="I334" s="22" t="str">
        <f>VLOOKUP(G334,[1]CHILDCARE_FACILITIES!AK:AL,2,0)</f>
        <v>CDC15351</v>
      </c>
      <c r="J334" s="22" t="e">
        <f>VLOOKUP(I334,'[1]Head Start QF 1-5 Stars'!O:Q,3,0)</f>
        <v>#N/A</v>
      </c>
      <c r="K334" s="23" t="s">
        <v>19121</v>
      </c>
      <c r="L334" s="22" t="s">
        <v>18812</v>
      </c>
      <c r="M334" s="22" t="s">
        <v>1637</v>
      </c>
      <c r="N334" s="22" t="s">
        <v>496</v>
      </c>
      <c r="O334" s="23" t="s">
        <v>207</v>
      </c>
      <c r="P334" s="22" t="str">
        <f>"85364"</f>
        <v>85364</v>
      </c>
      <c r="Q334" s="22" t="str">
        <f>"3237"</f>
        <v>3237</v>
      </c>
      <c r="R334" s="22" t="s">
        <v>18809</v>
      </c>
      <c r="S334" s="23" t="s">
        <v>18721</v>
      </c>
      <c r="T334" s="22" t="s">
        <v>18813</v>
      </c>
      <c r="U334" s="22" t="s">
        <v>18713</v>
      </c>
      <c r="V334" s="22" t="s">
        <v>18714</v>
      </c>
      <c r="W334" s="22" t="s">
        <v>18714</v>
      </c>
      <c r="X334" s="22" t="s">
        <v>18714</v>
      </c>
      <c r="Y334" s="23">
        <v>16</v>
      </c>
      <c r="Z334" s="22" t="s">
        <v>18723</v>
      </c>
    </row>
    <row r="335" spans="1:26" hidden="1" x14ac:dyDescent="0.2">
      <c r="A335" s="24" t="s">
        <v>19494</v>
      </c>
      <c r="B335" s="25" t="s">
        <v>19495</v>
      </c>
      <c r="C335" s="24" t="str">
        <f t="shared" si="11"/>
        <v>200</v>
      </c>
      <c r="D335" s="24" t="s">
        <v>19216</v>
      </c>
      <c r="E335" s="25" t="s">
        <v>19495</v>
      </c>
      <c r="F335" s="25" t="s">
        <v>19503</v>
      </c>
      <c r="G335" s="25" t="e">
        <f>VLOOKUP(F335,[1]CHILDCARE_FACILITIES!N:Q,4,0)</f>
        <v>#N/A</v>
      </c>
      <c r="H335" s="25" t="e">
        <f>VLOOKUP(G335,'[1]CACFP FRL'!D:G,4,0)</f>
        <v>#N/A</v>
      </c>
      <c r="I335" s="25" t="e">
        <f>VLOOKUP(G335,[1]CHILDCARE_FACILITIES!AK:AL,2,0)</f>
        <v>#N/A</v>
      </c>
      <c r="J335" s="25" t="e">
        <f>VLOOKUP(I335,'[1]Head Start QF 1-5 Stars'!O:Q,3,0)</f>
        <v>#N/A</v>
      </c>
      <c r="K335" s="24" t="s">
        <v>19494</v>
      </c>
      <c r="L335" s="25" t="s">
        <v>19504</v>
      </c>
      <c r="M335" s="25" t="s">
        <v>1637</v>
      </c>
      <c r="N335" s="25" t="s">
        <v>417</v>
      </c>
      <c r="O335" s="24" t="s">
        <v>207</v>
      </c>
      <c r="P335" s="25" t="str">
        <f>"85550"</f>
        <v>85550</v>
      </c>
      <c r="Q335" s="25" t="str">
        <f>""</f>
        <v/>
      </c>
      <c r="R335" s="25" t="s">
        <v>19335</v>
      </c>
      <c r="S335" s="24" t="s">
        <v>18818</v>
      </c>
      <c r="T335" s="25" t="s">
        <v>19505</v>
      </c>
      <c r="U335" s="25" t="s">
        <v>19241</v>
      </c>
      <c r="V335" s="25" t="s">
        <v>18714</v>
      </c>
      <c r="W335" s="25" t="s">
        <v>18714</v>
      </c>
      <c r="X335" s="25" t="s">
        <v>18714</v>
      </c>
      <c r="Y335" s="24">
        <v>18</v>
      </c>
      <c r="Z335" s="25" t="s">
        <v>18723</v>
      </c>
    </row>
    <row r="336" spans="1:26" hidden="1" x14ac:dyDescent="0.2">
      <c r="A336" s="23" t="s">
        <v>18885</v>
      </c>
      <c r="B336" s="22" t="s">
        <v>18886</v>
      </c>
      <c r="C336" s="23" t="str">
        <f t="shared" si="11"/>
        <v>200</v>
      </c>
      <c r="D336" s="23" t="s">
        <v>18706</v>
      </c>
      <c r="E336" s="22" t="s">
        <v>18886</v>
      </c>
      <c r="F336" s="22" t="s">
        <v>19506</v>
      </c>
      <c r="G336" s="22" t="str">
        <f>VLOOKUP(F336,[1]CHILDCARE_FACILITIES!N:Q,4,0)</f>
        <v>CDC-3736</v>
      </c>
      <c r="H336" s="22">
        <f>VLOOKUP(G336,'[1]CACFP FRL'!D:G,4,0)</f>
        <v>10195</v>
      </c>
      <c r="I336" s="22" t="str">
        <f>VLOOKUP(G336,[1]CHILDCARE_FACILITIES!AK:AL,2,0)</f>
        <v>CDC3736</v>
      </c>
      <c r="J336" s="22" t="e">
        <f>VLOOKUP(I336,'[1]Head Start QF 1-5 Stars'!O:Q,3,0)</f>
        <v>#N/A</v>
      </c>
      <c r="K336" s="23" t="s">
        <v>18885</v>
      </c>
      <c r="L336" s="22" t="s">
        <v>18812</v>
      </c>
      <c r="M336" s="22" t="s">
        <v>1637</v>
      </c>
      <c r="N336" s="22" t="s">
        <v>496</v>
      </c>
      <c r="O336" s="23" t="s">
        <v>207</v>
      </c>
      <c r="P336" s="22" t="str">
        <f>"85364"</f>
        <v>85364</v>
      </c>
      <c r="Q336" s="22" t="str">
        <f>"3237"</f>
        <v>3237</v>
      </c>
      <c r="R336" s="22" t="s">
        <v>18809</v>
      </c>
      <c r="S336" s="23" t="s">
        <v>18721</v>
      </c>
      <c r="T336" s="22" t="s">
        <v>19507</v>
      </c>
      <c r="U336" s="22" t="s">
        <v>18713</v>
      </c>
      <c r="V336" s="22" t="s">
        <v>18714</v>
      </c>
      <c r="W336" s="22" t="s">
        <v>18714</v>
      </c>
      <c r="X336" s="22" t="s">
        <v>18714</v>
      </c>
      <c r="Y336" s="23">
        <v>16</v>
      </c>
      <c r="Z336" s="22" t="s">
        <v>18723</v>
      </c>
    </row>
    <row r="337" spans="1:26" s="25" customFormat="1" hidden="1" x14ac:dyDescent="0.2">
      <c r="A337" s="24" t="s">
        <v>19508</v>
      </c>
      <c r="B337" s="25" t="s">
        <v>19495</v>
      </c>
      <c r="C337" s="24" t="str">
        <f>"000"</f>
        <v>000</v>
      </c>
      <c r="D337" s="24" t="s">
        <v>19199</v>
      </c>
      <c r="E337" s="25" t="s">
        <v>19509</v>
      </c>
      <c r="F337" s="25" t="s">
        <v>19510</v>
      </c>
      <c r="G337" s="25" t="e">
        <f>VLOOKUP(F337,[1]CHILDCARE_FACILITIES!N:Q,4,0)</f>
        <v>#N/A</v>
      </c>
      <c r="H337" s="25" t="e">
        <f>VLOOKUP(G337,'[1]CACFP FRL'!D:G,4,0)</f>
        <v>#N/A</v>
      </c>
      <c r="I337" s="25" t="e">
        <f>VLOOKUP(G337,[1]CHILDCARE_FACILITIES!AK:AL,2,0)</f>
        <v>#N/A</v>
      </c>
      <c r="J337" s="25">
        <f>'[1]Head Start QF 1-5 Stars'!Q84</f>
        <v>1382</v>
      </c>
      <c r="K337" s="24" t="s">
        <v>19508</v>
      </c>
      <c r="L337" s="25" t="s">
        <v>19511</v>
      </c>
      <c r="M337" s="25" t="s">
        <v>1637</v>
      </c>
      <c r="N337" s="25" t="s">
        <v>862</v>
      </c>
      <c r="O337" s="24" t="s">
        <v>207</v>
      </c>
      <c r="P337" s="25" t="str">
        <f>"85530"</f>
        <v>85530</v>
      </c>
      <c r="Q337" s="25" t="str">
        <f>""</f>
        <v/>
      </c>
      <c r="R337" s="25" t="s">
        <v>18836</v>
      </c>
      <c r="S337" s="24" t="s">
        <v>18818</v>
      </c>
      <c r="T337" s="25" t="s">
        <v>19512</v>
      </c>
      <c r="U337" s="25" t="s">
        <v>19241</v>
      </c>
      <c r="V337" s="25" t="s">
        <v>18714</v>
      </c>
      <c r="W337" s="25" t="s">
        <v>18714</v>
      </c>
      <c r="X337" s="25" t="s">
        <v>18731</v>
      </c>
      <c r="Y337" s="24">
        <v>72</v>
      </c>
      <c r="Z337" s="25" t="s">
        <v>18715</v>
      </c>
    </row>
    <row r="338" spans="1:26" hidden="1" x14ac:dyDescent="0.2">
      <c r="A338" s="24" t="s">
        <v>19508</v>
      </c>
      <c r="B338" s="25" t="s">
        <v>19495</v>
      </c>
      <c r="C338" s="24" t="str">
        <f>"000"</f>
        <v>000</v>
      </c>
      <c r="D338" s="24" t="s">
        <v>19199</v>
      </c>
      <c r="E338" s="25" t="s">
        <v>19509</v>
      </c>
      <c r="F338" s="25" t="s">
        <v>19513</v>
      </c>
      <c r="G338" s="25" t="e">
        <f>VLOOKUP(F338,[1]CHILDCARE_FACILITIES!N:Q,4,0)</f>
        <v>#N/A</v>
      </c>
      <c r="H338" s="25" t="e">
        <f>VLOOKUP(G338,'[1]CACFP FRL'!D:G,4,0)</f>
        <v>#N/A</v>
      </c>
      <c r="I338" s="25" t="e">
        <f>VLOOKUP(G338,[1]CHILDCARE_FACILITIES!AK:AL,2,0)</f>
        <v>#N/A</v>
      </c>
      <c r="J338" s="25">
        <f>'[1]Head Start QF 1-5 Stars'!Q99</f>
        <v>1158</v>
      </c>
      <c r="K338" s="24" t="s">
        <v>19508</v>
      </c>
      <c r="L338" s="25" t="s">
        <v>19514</v>
      </c>
      <c r="M338" s="25" t="s">
        <v>1637</v>
      </c>
      <c r="N338" s="25" t="s">
        <v>417</v>
      </c>
      <c r="O338" s="24" t="s">
        <v>207</v>
      </c>
      <c r="P338" s="25" t="str">
        <f>"85550"</f>
        <v>85550</v>
      </c>
      <c r="Q338" s="25" t="str">
        <f>""</f>
        <v/>
      </c>
      <c r="R338" s="25" t="s">
        <v>19335</v>
      </c>
      <c r="S338" s="24" t="s">
        <v>18818</v>
      </c>
      <c r="T338" s="25" t="s">
        <v>19515</v>
      </c>
      <c r="U338" s="25" t="s">
        <v>19241</v>
      </c>
      <c r="V338" s="25" t="s">
        <v>18714</v>
      </c>
      <c r="W338" s="25" t="s">
        <v>18714</v>
      </c>
      <c r="X338" s="25" t="s">
        <v>18714</v>
      </c>
      <c r="Y338" s="24">
        <v>40</v>
      </c>
      <c r="Z338" s="25" t="s">
        <v>18723</v>
      </c>
    </row>
    <row r="339" spans="1:26" s="25" customFormat="1" hidden="1" x14ac:dyDescent="0.2">
      <c r="A339" s="24" t="s">
        <v>19508</v>
      </c>
      <c r="B339" s="25" t="s">
        <v>19495</v>
      </c>
      <c r="C339" s="24" t="str">
        <f>"000"</f>
        <v>000</v>
      </c>
      <c r="D339" s="24" t="s">
        <v>19199</v>
      </c>
      <c r="E339" s="25" t="s">
        <v>19509</v>
      </c>
      <c r="F339" s="25" t="s">
        <v>19516</v>
      </c>
      <c r="G339" s="25" t="e">
        <f>VLOOKUP(F339,[1]CHILDCARE_FACILITIES!N:Q,4,0)</f>
        <v>#N/A</v>
      </c>
      <c r="H339" s="25" t="e">
        <f>VLOOKUP(G339,'[1]CACFP FRL'!D:G,4,0)</f>
        <v>#N/A</v>
      </c>
      <c r="I339" s="25" t="e">
        <f>VLOOKUP(G339,[1]CHILDCARE_FACILITIES!AK:AL,2,0)</f>
        <v>#N/A</v>
      </c>
      <c r="J339" s="25" t="e">
        <f>VLOOKUP(I339,'[1]Head Start QF 1-5 Stars'!O:Q,3,0)</f>
        <v>#N/A</v>
      </c>
      <c r="K339" s="24" t="s">
        <v>19508</v>
      </c>
      <c r="L339" s="25" t="s">
        <v>19517</v>
      </c>
      <c r="M339" s="25" t="s">
        <v>1637</v>
      </c>
      <c r="N339" s="25" t="s">
        <v>19518</v>
      </c>
      <c r="O339" s="24" t="s">
        <v>207</v>
      </c>
      <c r="P339" s="25" t="str">
        <f>"85542"</f>
        <v>85542</v>
      </c>
      <c r="Q339" s="25" t="str">
        <f>""</f>
        <v/>
      </c>
      <c r="R339" s="25" t="s">
        <v>18836</v>
      </c>
      <c r="S339" s="24" t="s">
        <v>18818</v>
      </c>
      <c r="T339" s="25" t="s">
        <v>19519</v>
      </c>
      <c r="U339" s="25" t="s">
        <v>19241</v>
      </c>
      <c r="V339" s="25" t="s">
        <v>18714</v>
      </c>
      <c r="W339" s="25" t="s">
        <v>18714</v>
      </c>
      <c r="X339" s="25" t="s">
        <v>18714</v>
      </c>
      <c r="Y339" s="24">
        <v>80</v>
      </c>
      <c r="Z339" s="25" t="s">
        <v>18723</v>
      </c>
    </row>
    <row r="340" spans="1:26" hidden="1" x14ac:dyDescent="0.2">
      <c r="A340" s="24" t="s">
        <v>19508</v>
      </c>
      <c r="B340" s="25" t="s">
        <v>19495</v>
      </c>
      <c r="C340" s="24" t="str">
        <f>"000"</f>
        <v>000</v>
      </c>
      <c r="D340" s="24" t="s">
        <v>19199</v>
      </c>
      <c r="E340" s="25" t="s">
        <v>19509</v>
      </c>
      <c r="F340" s="25" t="s">
        <v>19520</v>
      </c>
      <c r="G340" s="25" t="e">
        <f>VLOOKUP(F340,[1]CHILDCARE_FACILITIES!N:Q,4,0)</f>
        <v>#N/A</v>
      </c>
      <c r="H340" s="25" t="e">
        <f>VLOOKUP(G340,'[1]CACFP FRL'!D:G,4,0)</f>
        <v>#N/A</v>
      </c>
      <c r="I340" s="25" t="e">
        <f>VLOOKUP(G340,[1]CHILDCARE_FACILITIES!AK:AL,2,0)</f>
        <v>#N/A</v>
      </c>
      <c r="J340" s="25">
        <f>'[1]Head Start QF 1-5 Stars'!Q126</f>
        <v>1383</v>
      </c>
      <c r="K340" s="24" t="s">
        <v>19508</v>
      </c>
      <c r="L340" s="25" t="s">
        <v>19521</v>
      </c>
      <c r="M340" s="25" t="s">
        <v>1637</v>
      </c>
      <c r="N340" s="25" t="s">
        <v>417</v>
      </c>
      <c r="O340" s="24" t="s">
        <v>207</v>
      </c>
      <c r="P340" s="25" t="str">
        <f>"85550"</f>
        <v>85550</v>
      </c>
      <c r="Q340" s="25" t="str">
        <f>""</f>
        <v/>
      </c>
      <c r="R340" s="25" t="s">
        <v>19335</v>
      </c>
      <c r="S340" s="24" t="s">
        <v>18818</v>
      </c>
      <c r="T340" s="25" t="s">
        <v>19522</v>
      </c>
      <c r="U340" s="25" t="s">
        <v>19241</v>
      </c>
      <c r="V340" s="25" t="s">
        <v>18714</v>
      </c>
      <c r="W340" s="25" t="s">
        <v>18714</v>
      </c>
      <c r="X340" s="25" t="s">
        <v>18714</v>
      </c>
      <c r="Y340" s="24">
        <v>40</v>
      </c>
      <c r="Z340" s="25" t="s">
        <v>18723</v>
      </c>
    </row>
    <row r="341" spans="1:26" hidden="1" x14ac:dyDescent="0.2">
      <c r="A341" s="23" t="s">
        <v>19037</v>
      </c>
      <c r="B341" s="22" t="s">
        <v>18874</v>
      </c>
      <c r="C341" s="23" t="str">
        <f>"000"</f>
        <v>000</v>
      </c>
      <c r="D341" s="23" t="s">
        <v>18718</v>
      </c>
      <c r="E341" s="22" t="s">
        <v>18875</v>
      </c>
      <c r="F341" s="22" t="s">
        <v>19523</v>
      </c>
      <c r="G341" s="22" t="str">
        <f>VLOOKUP(F341,[1]CHILDCARE_FACILITIES!N:Q,4,0)</f>
        <v>CDC-7167</v>
      </c>
      <c r="H341" s="22" t="e">
        <f>VLOOKUP(G341,'[1]CACFP FRL'!D:G,4,0)</f>
        <v>#N/A</v>
      </c>
      <c r="I341" s="22" t="str">
        <f>VLOOKUP(G341,[1]CHILDCARE_FACILITIES!AK:AL,2,0)</f>
        <v>CDC7167</v>
      </c>
      <c r="J341" s="22">
        <f>VLOOKUP(I341,'[1]Head Start QF 1-5 Stars'!O:Q,3,0)</f>
        <v>1254</v>
      </c>
      <c r="K341" s="23" t="s">
        <v>19037</v>
      </c>
      <c r="L341" s="22" t="s">
        <v>692</v>
      </c>
      <c r="M341" s="22" t="s">
        <v>1637</v>
      </c>
      <c r="N341" s="22" t="s">
        <v>495</v>
      </c>
      <c r="O341" s="23" t="s">
        <v>207</v>
      </c>
      <c r="P341" s="22" t="str">
        <f>"85008"</f>
        <v>85008</v>
      </c>
      <c r="Q341" s="22" t="str">
        <f>"5405"</f>
        <v>5405</v>
      </c>
      <c r="R341" s="22" t="s">
        <v>18710</v>
      </c>
      <c r="S341" s="23" t="s">
        <v>18737</v>
      </c>
      <c r="T341" s="22" t="s">
        <v>19039</v>
      </c>
      <c r="U341" s="22" t="s">
        <v>18713</v>
      </c>
      <c r="V341" s="22" t="s">
        <v>18731</v>
      </c>
      <c r="W341" s="22" t="s">
        <v>18731</v>
      </c>
      <c r="X341" s="22" t="s">
        <v>18731</v>
      </c>
      <c r="Y341" s="23">
        <v>68</v>
      </c>
      <c r="Z341" s="22" t="s">
        <v>18723</v>
      </c>
    </row>
    <row r="342" spans="1:26" x14ac:dyDescent="0.2">
      <c r="A342" s="23" t="s">
        <v>18741</v>
      </c>
      <c r="B342" s="22" t="s">
        <v>18742</v>
      </c>
      <c r="C342" s="23" t="str">
        <f>"200"</f>
        <v>200</v>
      </c>
      <c r="D342" s="23" t="s">
        <v>18706</v>
      </c>
      <c r="E342" s="22" t="s">
        <v>18743</v>
      </c>
      <c r="F342" s="22" t="s">
        <v>19524</v>
      </c>
      <c r="G342" s="22" t="str">
        <f>VLOOKUP(F342,[1]CHILDCARE_FACILITIES!N:Q,4,0)</f>
        <v>CDC-17697</v>
      </c>
      <c r="H342" s="22" t="e">
        <f>VLOOKUP(G342,'[1]CACFP FRL'!D:G,4,0)</f>
        <v>#N/A</v>
      </c>
      <c r="I342" s="22" t="str">
        <f>VLOOKUP(G342,[1]CHILDCARE_FACILITIES!AK:AL,2,0)</f>
        <v>CDC17697</v>
      </c>
      <c r="J342" s="22" t="e">
        <f>VLOOKUP(I342,'[1]Head Start QF 1-5 Stars'!O:Q,3,0)</f>
        <v>#N/A</v>
      </c>
      <c r="K342" s="23" t="s">
        <v>18741</v>
      </c>
      <c r="L342" s="22" t="s">
        <v>19525</v>
      </c>
      <c r="M342" s="22" t="s">
        <v>19526</v>
      </c>
      <c r="N342" s="22" t="s">
        <v>495</v>
      </c>
      <c r="O342" s="23" t="s">
        <v>207</v>
      </c>
      <c r="P342" s="22" t="str">
        <f>"85043"</f>
        <v>85043</v>
      </c>
      <c r="Q342" s="22" t="str">
        <f>"8003"</f>
        <v>8003</v>
      </c>
      <c r="R342" s="22" t="s">
        <v>18710</v>
      </c>
      <c r="S342" s="23" t="s">
        <v>18737</v>
      </c>
      <c r="T342" s="22" t="s">
        <v>18865</v>
      </c>
      <c r="U342" s="22" t="s">
        <v>18713</v>
      </c>
      <c r="V342" s="22" t="s">
        <v>18714</v>
      </c>
      <c r="W342" s="22" t="s">
        <v>18714</v>
      </c>
      <c r="X342" s="22" t="s">
        <v>18714</v>
      </c>
      <c r="Y342" s="23">
        <v>10</v>
      </c>
      <c r="Z342" s="22" t="s">
        <v>18723</v>
      </c>
    </row>
    <row r="343" spans="1:26" hidden="1" x14ac:dyDescent="0.2">
      <c r="A343" s="23" t="s">
        <v>18822</v>
      </c>
      <c r="B343" s="22" t="s">
        <v>18823</v>
      </c>
      <c r="C343" s="23" t="str">
        <f>"200"</f>
        <v>200</v>
      </c>
      <c r="D343" s="23" t="s">
        <v>18706</v>
      </c>
      <c r="E343" s="22" t="s">
        <v>18823</v>
      </c>
      <c r="F343" s="22" t="s">
        <v>18993</v>
      </c>
      <c r="G343" s="22" t="str">
        <f>VLOOKUP(F343,[1]CHILDCARE_FACILITIES!N:Q,4,0)</f>
        <v>CDC-12138</v>
      </c>
      <c r="H343" s="22">
        <f>VLOOKUP(G343,'[1]CACFP FRL'!D:G,4,0)</f>
        <v>87917</v>
      </c>
      <c r="I343" s="22" t="str">
        <f>VLOOKUP(G343,[1]CHILDCARE_FACILITIES!AK:AL,2,0)</f>
        <v>CDC12138</v>
      </c>
      <c r="J343" s="22" t="e">
        <f>VLOOKUP(I343,'[1]Head Start QF 1-5 Stars'!O:Q,3,0)</f>
        <v>#N/A</v>
      </c>
      <c r="K343" s="23" t="s">
        <v>18822</v>
      </c>
      <c r="L343" s="22" t="s">
        <v>18994</v>
      </c>
      <c r="M343" s="22" t="s">
        <v>1637</v>
      </c>
      <c r="N343" s="22" t="s">
        <v>764</v>
      </c>
      <c r="O343" s="23" t="s">
        <v>207</v>
      </c>
      <c r="P343" s="22" t="str">
        <f>"85711"</f>
        <v>85711</v>
      </c>
      <c r="Q343" s="22" t="str">
        <f>"6221"</f>
        <v>6221</v>
      </c>
      <c r="R343" s="22" t="s">
        <v>996</v>
      </c>
      <c r="S343" s="23" t="s">
        <v>18842</v>
      </c>
      <c r="T343" s="22" t="s">
        <v>18995</v>
      </c>
      <c r="U343" s="22" t="s">
        <v>18713</v>
      </c>
      <c r="V343" s="22" t="s">
        <v>18731</v>
      </c>
      <c r="W343" s="22" t="s">
        <v>18731</v>
      </c>
      <c r="X343" s="22" t="s">
        <v>18731</v>
      </c>
      <c r="Y343" s="23">
        <v>10</v>
      </c>
      <c r="Z343" s="22" t="s">
        <v>18723</v>
      </c>
    </row>
    <row r="344" spans="1:26" hidden="1" x14ac:dyDescent="0.2">
      <c r="A344" s="23" t="s">
        <v>19037</v>
      </c>
      <c r="B344" s="22" t="s">
        <v>18874</v>
      </c>
      <c r="C344" s="23" t="str">
        <f>"000"</f>
        <v>000</v>
      </c>
      <c r="D344" s="23" t="s">
        <v>18718</v>
      </c>
      <c r="E344" s="22" t="s">
        <v>18875</v>
      </c>
      <c r="F344" s="22" t="s">
        <v>18876</v>
      </c>
      <c r="G344" s="22" t="str">
        <f>VLOOKUP(F344,[1]CHILDCARE_FACILITIES!N:Q,4,0)</f>
        <v>CDC-18558</v>
      </c>
      <c r="H344" s="22">
        <f>VLOOKUP(G344,'[1]CACFP FRL'!D:G,4,0)</f>
        <v>86878</v>
      </c>
      <c r="I344" s="22" t="str">
        <f>VLOOKUP(G344,[1]CHILDCARE_FACILITIES!AK:AL,2,0)</f>
        <v>CDC18558</v>
      </c>
      <c r="J344" s="22" t="e">
        <f>VLOOKUP(I344,'[1]Head Start QF 1-5 Stars'!O:Q,3,0)</f>
        <v>#N/A</v>
      </c>
      <c r="K344" s="23" t="s">
        <v>19037</v>
      </c>
      <c r="L344" s="22" t="s">
        <v>694</v>
      </c>
      <c r="M344" s="22" t="s">
        <v>1637</v>
      </c>
      <c r="N344" s="22" t="s">
        <v>495</v>
      </c>
      <c r="O344" s="23" t="s">
        <v>207</v>
      </c>
      <c r="P344" s="22" t="str">
        <f>"85008"</f>
        <v>85008</v>
      </c>
      <c r="Q344" s="22" t="str">
        <f>"5803"</f>
        <v>5803</v>
      </c>
      <c r="R344" s="22" t="s">
        <v>18710</v>
      </c>
      <c r="S344" s="23" t="s">
        <v>18737</v>
      </c>
      <c r="T344" s="22" t="s">
        <v>19039</v>
      </c>
      <c r="U344" s="22" t="s">
        <v>18713</v>
      </c>
      <c r="V344" s="22" t="s">
        <v>18731</v>
      </c>
      <c r="W344" s="22" t="s">
        <v>18731</v>
      </c>
      <c r="X344" s="22" t="s">
        <v>18731</v>
      </c>
      <c r="Y344" s="23">
        <v>17</v>
      </c>
      <c r="Z344" s="22" t="s">
        <v>18723</v>
      </c>
    </row>
    <row r="345" spans="1:26" s="25" customFormat="1" hidden="1" x14ac:dyDescent="0.2">
      <c r="A345" s="23" t="s">
        <v>19037</v>
      </c>
      <c r="B345" s="22" t="s">
        <v>18874</v>
      </c>
      <c r="C345" s="23" t="str">
        <f>"000"</f>
        <v>000</v>
      </c>
      <c r="D345" s="23" t="s">
        <v>18718</v>
      </c>
      <c r="E345" s="22" t="s">
        <v>18875</v>
      </c>
      <c r="F345" s="22" t="s">
        <v>19527</v>
      </c>
      <c r="G345" s="22" t="str">
        <f>VLOOKUP(F345,[1]CHILDCARE_FACILITIES!N:Q,4,0)</f>
        <v>CDC-7346</v>
      </c>
      <c r="H345" s="22">
        <f>VLOOKUP(G345,'[1]CACFP FRL'!D:G,4,0)</f>
        <v>10355</v>
      </c>
      <c r="I345" s="22" t="str">
        <f>VLOOKUP(G345,[1]CHILDCARE_FACILITIES!AK:AL,2,0)</f>
        <v>CDC7346</v>
      </c>
      <c r="J345" s="22">
        <f>VLOOKUP(I345,'[1]Head Start QF 1-5 Stars'!O:Q,3,0)</f>
        <v>1133</v>
      </c>
      <c r="K345" s="23" t="s">
        <v>19037</v>
      </c>
      <c r="L345" s="22" t="s">
        <v>19528</v>
      </c>
      <c r="M345" s="22" t="s">
        <v>1637</v>
      </c>
      <c r="N345" s="22" t="s">
        <v>495</v>
      </c>
      <c r="O345" s="23" t="s">
        <v>207</v>
      </c>
      <c r="P345" s="22" t="str">
        <f>"85032"</f>
        <v>85032</v>
      </c>
      <c r="Q345" s="22" t="str">
        <f>"1817"</f>
        <v>1817</v>
      </c>
      <c r="R345" s="22" t="s">
        <v>18710</v>
      </c>
      <c r="S345" s="23" t="s">
        <v>19033</v>
      </c>
      <c r="T345" s="22" t="s">
        <v>19039</v>
      </c>
      <c r="U345" s="22" t="s">
        <v>18713</v>
      </c>
      <c r="V345" s="22" t="s">
        <v>18714</v>
      </c>
      <c r="W345" s="22" t="s">
        <v>18714</v>
      </c>
      <c r="X345" s="22" t="s">
        <v>18714</v>
      </c>
      <c r="Y345" s="23">
        <v>17</v>
      </c>
      <c r="Z345" s="22" t="s">
        <v>18723</v>
      </c>
    </row>
    <row r="346" spans="1:26" s="25" customFormat="1" hidden="1" x14ac:dyDescent="0.2">
      <c r="A346" s="23" t="s">
        <v>19037</v>
      </c>
      <c r="B346" s="22" t="s">
        <v>18874</v>
      </c>
      <c r="C346" s="23" t="str">
        <f>"000"</f>
        <v>000</v>
      </c>
      <c r="D346" s="23" t="s">
        <v>18718</v>
      </c>
      <c r="E346" s="22" t="s">
        <v>18875</v>
      </c>
      <c r="F346" s="22" t="s">
        <v>19529</v>
      </c>
      <c r="G346" s="22" t="str">
        <f>VLOOKUP(F346,[1]CHILDCARE_FACILITIES!N:Q,4,0)</f>
        <v>CDC-4709</v>
      </c>
      <c r="H346" s="22">
        <f>VLOOKUP(G346,'[1]CACFP FRL'!D:G,4,0)</f>
        <v>8882</v>
      </c>
      <c r="I346" s="22" t="str">
        <f>VLOOKUP(G346,[1]CHILDCARE_FACILITIES!AK:AL,2,0)</f>
        <v>CDC4709</v>
      </c>
      <c r="J346" s="22" t="e">
        <f>VLOOKUP(I346,'[1]Head Start QF 1-5 Stars'!O:Q,3,0)</f>
        <v>#N/A</v>
      </c>
      <c r="K346" s="23" t="s">
        <v>19037</v>
      </c>
      <c r="L346" s="22" t="s">
        <v>19530</v>
      </c>
      <c r="M346" s="22" t="s">
        <v>1637</v>
      </c>
      <c r="N346" s="22" t="s">
        <v>495</v>
      </c>
      <c r="O346" s="23" t="s">
        <v>207</v>
      </c>
      <c r="P346" s="22" t="str">
        <f>"85008"</f>
        <v>85008</v>
      </c>
      <c r="Q346" s="22" t="str">
        <f>"3617"</f>
        <v>3617</v>
      </c>
      <c r="R346" s="22" t="s">
        <v>18710</v>
      </c>
      <c r="S346" s="23" t="s">
        <v>18737</v>
      </c>
      <c r="T346" s="22" t="s">
        <v>19039</v>
      </c>
      <c r="U346" s="22" t="s">
        <v>18713</v>
      </c>
      <c r="V346" s="22" t="s">
        <v>18731</v>
      </c>
      <c r="W346" s="22" t="s">
        <v>18731</v>
      </c>
      <c r="X346" s="22" t="s">
        <v>18731</v>
      </c>
      <c r="Y346" s="23">
        <v>34</v>
      </c>
      <c r="Z346" s="22" t="s">
        <v>18723</v>
      </c>
    </row>
    <row r="347" spans="1:26" hidden="1" x14ac:dyDescent="0.2">
      <c r="A347" s="23" t="s">
        <v>18912</v>
      </c>
      <c r="B347" s="22" t="s">
        <v>18913</v>
      </c>
      <c r="C347" s="23" t="str">
        <f>"200"</f>
        <v>200</v>
      </c>
      <c r="D347" s="23" t="s">
        <v>18706</v>
      </c>
      <c r="E347" s="22" t="s">
        <v>18913</v>
      </c>
      <c r="F347" s="22" t="s">
        <v>19430</v>
      </c>
      <c r="G347" s="22" t="str">
        <f>VLOOKUP(F347,[1]CHILDCARE_FACILITIES!N:Q,4,0)</f>
        <v>CDC-18031</v>
      </c>
      <c r="H347" s="22" t="e">
        <f>VLOOKUP(G347,'[1]CACFP FRL'!D:G,4,0)</f>
        <v>#N/A</v>
      </c>
      <c r="I347" s="22" t="str">
        <f>VLOOKUP(G347,[1]CHILDCARE_FACILITIES!AK:AL,2,0)</f>
        <v>CDC18031</v>
      </c>
      <c r="J347" s="22" t="e">
        <f>VLOOKUP(I347,'[1]Head Start QF 1-5 Stars'!O:Q,3,0)</f>
        <v>#N/A</v>
      </c>
      <c r="K347" s="23" t="s">
        <v>18912</v>
      </c>
      <c r="L347" s="22" t="s">
        <v>19431</v>
      </c>
      <c r="M347" s="22" t="s">
        <v>1637</v>
      </c>
      <c r="N347" s="22" t="s">
        <v>19432</v>
      </c>
      <c r="O347" s="23" t="s">
        <v>207</v>
      </c>
      <c r="P347" s="22" t="str">
        <f>"85938"</f>
        <v>85938</v>
      </c>
      <c r="Q347" s="22" t="str">
        <f>"5361"</f>
        <v>5361</v>
      </c>
      <c r="R347" s="22" t="s">
        <v>19433</v>
      </c>
      <c r="S347" s="23" t="s">
        <v>18818</v>
      </c>
      <c r="T347" s="22" t="s">
        <v>19434</v>
      </c>
      <c r="U347" s="22" t="s">
        <v>18713</v>
      </c>
      <c r="V347" s="22" t="s">
        <v>18714</v>
      </c>
      <c r="W347" s="22" t="s">
        <v>18714</v>
      </c>
      <c r="X347" s="22" t="s">
        <v>18714</v>
      </c>
      <c r="Y347" s="23">
        <v>11</v>
      </c>
      <c r="Z347" s="22" t="s">
        <v>18723</v>
      </c>
    </row>
    <row r="348" spans="1:26" hidden="1" x14ac:dyDescent="0.2">
      <c r="A348" s="23" t="s">
        <v>19037</v>
      </c>
      <c r="B348" s="22" t="s">
        <v>18874</v>
      </c>
      <c r="C348" s="23" t="str">
        <f t="shared" ref="C348:C356" si="12">"000"</f>
        <v>000</v>
      </c>
      <c r="D348" s="23" t="s">
        <v>18718</v>
      </c>
      <c r="E348" s="22" t="s">
        <v>18875</v>
      </c>
      <c r="F348" s="22" t="s">
        <v>19038</v>
      </c>
      <c r="G348" s="22" t="str">
        <f>VLOOKUP(F348,[1]CHILDCARE_FACILITIES!N:Q,4,0)</f>
        <v>CDC-9608</v>
      </c>
      <c r="H348" s="22" t="e">
        <f>VLOOKUP(G348,'[1]CACFP FRL'!D:G,4,0)</f>
        <v>#N/A</v>
      </c>
      <c r="I348" s="22" t="str">
        <f>VLOOKUP(G348,[1]CHILDCARE_FACILITIES!AK:AL,2,0)</f>
        <v>CDC9608</v>
      </c>
      <c r="J348" s="22">
        <f>VLOOKUP(I348,'[1]Head Start QF 1-5 Stars'!O:Q,3,0)</f>
        <v>1255</v>
      </c>
      <c r="K348" s="23" t="s">
        <v>19037</v>
      </c>
      <c r="L348" s="22" t="s">
        <v>690</v>
      </c>
      <c r="M348" s="22" t="s">
        <v>1637</v>
      </c>
      <c r="N348" s="22" t="s">
        <v>495</v>
      </c>
      <c r="O348" s="23" t="s">
        <v>207</v>
      </c>
      <c r="P348" s="22" t="str">
        <f>"85008"</f>
        <v>85008</v>
      </c>
      <c r="Q348" s="22" t="str">
        <f>"6320"</f>
        <v>6320</v>
      </c>
      <c r="R348" s="22" t="s">
        <v>18710</v>
      </c>
      <c r="S348" s="23" t="s">
        <v>18737</v>
      </c>
      <c r="T348" s="22" t="s">
        <v>19039</v>
      </c>
      <c r="U348" s="22" t="s">
        <v>18713</v>
      </c>
      <c r="V348" s="22" t="s">
        <v>18731</v>
      </c>
      <c r="W348" s="22" t="s">
        <v>18731</v>
      </c>
      <c r="X348" s="22" t="s">
        <v>18731</v>
      </c>
      <c r="Y348" s="23">
        <v>17</v>
      </c>
      <c r="Z348" s="22" t="s">
        <v>18723</v>
      </c>
    </row>
    <row r="349" spans="1:26" s="25" customFormat="1" hidden="1" x14ac:dyDescent="0.2">
      <c r="A349" s="23" t="s">
        <v>19037</v>
      </c>
      <c r="B349" s="22" t="s">
        <v>18874</v>
      </c>
      <c r="C349" s="23" t="str">
        <f t="shared" si="12"/>
        <v>000</v>
      </c>
      <c r="D349" s="23" t="s">
        <v>18718</v>
      </c>
      <c r="E349" s="22" t="s">
        <v>18875</v>
      </c>
      <c r="F349" s="22" t="s">
        <v>19055</v>
      </c>
      <c r="G349" s="22" t="str">
        <f>VLOOKUP(F349,[1]CHILDCARE_FACILITIES!N:Q,4,0)</f>
        <v>CDC-4663</v>
      </c>
      <c r="H349" s="22" t="e">
        <f>VLOOKUP(G349,'[1]CACFP FRL'!D:G,4,0)</f>
        <v>#N/A</v>
      </c>
      <c r="I349" s="22" t="str">
        <f>VLOOKUP(G349,[1]CHILDCARE_FACILITIES!AK:AL,2,0)</f>
        <v>CDC4663</v>
      </c>
      <c r="J349" s="22">
        <f>VLOOKUP(I349,'[1]Head Start QF 1-5 Stars'!O:Q,3,0)</f>
        <v>1132</v>
      </c>
      <c r="K349" s="23" t="s">
        <v>19037</v>
      </c>
      <c r="L349" s="22" t="s">
        <v>19056</v>
      </c>
      <c r="M349" s="22" t="s">
        <v>1637</v>
      </c>
      <c r="N349" s="22" t="s">
        <v>495</v>
      </c>
      <c r="O349" s="23" t="s">
        <v>207</v>
      </c>
      <c r="P349" s="22" t="str">
        <f>"85022"</f>
        <v>85022</v>
      </c>
      <c r="Q349" s="22" t="str">
        <f>"8102"</f>
        <v>8102</v>
      </c>
      <c r="R349" s="22" t="s">
        <v>18710</v>
      </c>
      <c r="S349" s="23" t="s">
        <v>19033</v>
      </c>
      <c r="T349" s="22" t="s">
        <v>19039</v>
      </c>
      <c r="U349" s="22" t="s">
        <v>18713</v>
      </c>
      <c r="V349" s="22" t="s">
        <v>18714</v>
      </c>
      <c r="W349" s="22" t="s">
        <v>18714</v>
      </c>
      <c r="X349" s="22" t="s">
        <v>18714</v>
      </c>
      <c r="Y349" s="23">
        <v>68</v>
      </c>
      <c r="Z349" s="22" t="s">
        <v>18723</v>
      </c>
    </row>
    <row r="350" spans="1:26" s="25" customFormat="1" hidden="1" x14ac:dyDescent="0.2">
      <c r="A350" s="23" t="s">
        <v>19037</v>
      </c>
      <c r="B350" s="22" t="s">
        <v>18874</v>
      </c>
      <c r="C350" s="23" t="str">
        <f t="shared" si="12"/>
        <v>000</v>
      </c>
      <c r="D350" s="23" t="s">
        <v>18718</v>
      </c>
      <c r="E350" s="22" t="s">
        <v>18875</v>
      </c>
      <c r="F350" s="22" t="s">
        <v>1212</v>
      </c>
      <c r="G350" s="22" t="str">
        <f>VLOOKUP(F350,[1]CHILDCARE_FACILITIES!N:Q,4,0)</f>
        <v>CDC-15893</v>
      </c>
      <c r="H350" s="22">
        <f>VLOOKUP(G350,'[1]CACFP FRL'!D:G,4,0)</f>
        <v>91234</v>
      </c>
      <c r="I350" s="22" t="str">
        <f>VLOOKUP(G350,[1]CHILDCARE_FACILITIES!AK:AL,2,0)</f>
        <v>CDC15893</v>
      </c>
      <c r="J350" s="22">
        <f>VLOOKUP(I350,'[1]Head Start QF 1-5 Stars'!O:Q,3,0)</f>
        <v>1410</v>
      </c>
      <c r="K350" s="23" t="s">
        <v>19037</v>
      </c>
      <c r="L350" s="22" t="s">
        <v>19063</v>
      </c>
      <c r="M350" s="22" t="s">
        <v>1637</v>
      </c>
      <c r="N350" s="22" t="s">
        <v>495</v>
      </c>
      <c r="O350" s="23" t="s">
        <v>207</v>
      </c>
      <c r="P350" s="22" t="str">
        <f>"85008"</f>
        <v>85008</v>
      </c>
      <c r="Q350" s="22" t="str">
        <f>"5803"</f>
        <v>5803</v>
      </c>
      <c r="R350" s="22" t="s">
        <v>18710</v>
      </c>
      <c r="S350" s="23" t="s">
        <v>18737</v>
      </c>
      <c r="T350" s="22" t="s">
        <v>19039</v>
      </c>
      <c r="U350" s="22" t="s">
        <v>18713</v>
      </c>
      <c r="V350" s="22" t="s">
        <v>18714</v>
      </c>
      <c r="W350" s="22" t="s">
        <v>18714</v>
      </c>
      <c r="X350" s="22" t="s">
        <v>18714</v>
      </c>
      <c r="Y350" s="23">
        <v>119</v>
      </c>
      <c r="Z350" s="22" t="s">
        <v>18723</v>
      </c>
    </row>
    <row r="351" spans="1:26" hidden="1" x14ac:dyDescent="0.2">
      <c r="A351" s="23" t="s">
        <v>19037</v>
      </c>
      <c r="B351" s="22" t="s">
        <v>18874</v>
      </c>
      <c r="C351" s="23" t="str">
        <f t="shared" si="12"/>
        <v>000</v>
      </c>
      <c r="D351" s="23" t="s">
        <v>18718</v>
      </c>
      <c r="E351" s="22" t="s">
        <v>18875</v>
      </c>
      <c r="F351" s="22" t="s">
        <v>19073</v>
      </c>
      <c r="G351" s="22" t="str">
        <f>VLOOKUP(F351,[1]CHILDCARE_FACILITIES!N:Q,4,0)</f>
        <v>CDC-8463</v>
      </c>
      <c r="H351" s="22" t="e">
        <f>VLOOKUP(G351,'[1]CACFP FRL'!D:G,4,0)</f>
        <v>#N/A</v>
      </c>
      <c r="I351" s="22" t="str">
        <f>VLOOKUP(G351,[1]CHILDCARE_FACILITIES!AK:AL,2,0)</f>
        <v>CDC8463</v>
      </c>
      <c r="J351" s="22">
        <f>VLOOKUP(I351,'[1]Head Start QF 1-5 Stars'!O:Q,3,0)</f>
        <v>1412</v>
      </c>
      <c r="K351" s="23" t="s">
        <v>19037</v>
      </c>
      <c r="L351" s="22" t="s">
        <v>19074</v>
      </c>
      <c r="M351" s="22" t="s">
        <v>1637</v>
      </c>
      <c r="N351" s="22" t="s">
        <v>495</v>
      </c>
      <c r="O351" s="23" t="s">
        <v>207</v>
      </c>
      <c r="P351" s="22" t="str">
        <f>"85013"</f>
        <v>85013</v>
      </c>
      <c r="Q351" s="22" t="str">
        <f>"3688"</f>
        <v>3688</v>
      </c>
      <c r="R351" s="22" t="s">
        <v>18710</v>
      </c>
      <c r="S351" s="23" t="s">
        <v>18737</v>
      </c>
      <c r="T351" s="22" t="s">
        <v>19039</v>
      </c>
      <c r="U351" s="22" t="s">
        <v>18713</v>
      </c>
      <c r="V351" s="22" t="s">
        <v>18731</v>
      </c>
      <c r="W351" s="22" t="s">
        <v>18731</v>
      </c>
      <c r="X351" s="22" t="s">
        <v>18731</v>
      </c>
      <c r="Y351" s="23">
        <v>68</v>
      </c>
      <c r="Z351" s="22" t="s">
        <v>18723</v>
      </c>
    </row>
    <row r="352" spans="1:26" s="25" customFormat="1" hidden="1" x14ac:dyDescent="0.2">
      <c r="A352" s="23" t="s">
        <v>19037</v>
      </c>
      <c r="B352" s="22" t="s">
        <v>18874</v>
      </c>
      <c r="C352" s="23" t="str">
        <f t="shared" si="12"/>
        <v>000</v>
      </c>
      <c r="D352" s="23" t="s">
        <v>18718</v>
      </c>
      <c r="E352" s="22" t="s">
        <v>18875</v>
      </c>
      <c r="F352" s="22" t="s">
        <v>75</v>
      </c>
      <c r="G352" s="22" t="str">
        <f>VLOOKUP(F352,[1]CHILDCARE_FACILITIES!N:Q,4,0)</f>
        <v>CDC-9609</v>
      </c>
      <c r="H352" s="22">
        <f>VLOOKUP(G352,'[1]CACFP FRL'!D:G,4,0)</f>
        <v>79758</v>
      </c>
      <c r="I352" s="22" t="str">
        <f>VLOOKUP(G352,[1]CHILDCARE_FACILITIES!AK:AL,2,0)</f>
        <v>CDC9609</v>
      </c>
      <c r="J352" s="22">
        <f>VLOOKUP(I352,'[1]Head Start QF 1-5 Stars'!O:Q,3,0)</f>
        <v>1258</v>
      </c>
      <c r="K352" s="23" t="s">
        <v>19037</v>
      </c>
      <c r="L352" s="22" t="s">
        <v>843</v>
      </c>
      <c r="M352" s="22" t="s">
        <v>1637</v>
      </c>
      <c r="N352" s="22" t="s">
        <v>495</v>
      </c>
      <c r="O352" s="23" t="s">
        <v>207</v>
      </c>
      <c r="P352" s="22" t="str">
        <f>"85006"</f>
        <v>85006</v>
      </c>
      <c r="Q352" s="22" t="str">
        <f>"2430"</f>
        <v>2430</v>
      </c>
      <c r="R352" s="22" t="s">
        <v>18710</v>
      </c>
      <c r="S352" s="23" t="s">
        <v>18737</v>
      </c>
      <c r="T352" s="22" t="s">
        <v>19531</v>
      </c>
      <c r="U352" s="22" t="s">
        <v>18713</v>
      </c>
      <c r="V352" s="22" t="s">
        <v>18731</v>
      </c>
      <c r="W352" s="22" t="s">
        <v>18731</v>
      </c>
      <c r="X352" s="22" t="s">
        <v>18731</v>
      </c>
      <c r="Y352" s="23">
        <v>34</v>
      </c>
      <c r="Z352" s="22" t="s">
        <v>18723</v>
      </c>
    </row>
    <row r="353" spans="1:26" hidden="1" x14ac:dyDescent="0.2">
      <c r="A353" s="23" t="s">
        <v>19037</v>
      </c>
      <c r="B353" s="22" t="s">
        <v>18874</v>
      </c>
      <c r="C353" s="23" t="str">
        <f t="shared" si="12"/>
        <v>000</v>
      </c>
      <c r="D353" s="23" t="s">
        <v>18718</v>
      </c>
      <c r="E353" s="22" t="s">
        <v>18875</v>
      </c>
      <c r="F353" s="22" t="s">
        <v>19120</v>
      </c>
      <c r="G353" s="22" t="str">
        <f>VLOOKUP(F353,[1]CHILDCARE_FACILITIES!N:Q,4,0)</f>
        <v>CDC-8105</v>
      </c>
      <c r="H353" s="22">
        <f>VLOOKUP(G353,'[1]CACFP FRL'!D:G,4,0)</f>
        <v>78729</v>
      </c>
      <c r="I353" s="22" t="str">
        <f>VLOOKUP(G353,[1]CHILDCARE_FACILITIES!AK:AL,2,0)</f>
        <v>CDC8105</v>
      </c>
      <c r="J353" s="22">
        <f>VLOOKUP(I353,'[1]Head Start QF 1-5 Stars'!O:Q,3,0)</f>
        <v>1256</v>
      </c>
      <c r="K353" s="23" t="s">
        <v>19037</v>
      </c>
      <c r="L353" s="22" t="s">
        <v>678</v>
      </c>
      <c r="M353" s="22" t="s">
        <v>1637</v>
      </c>
      <c r="N353" s="22" t="s">
        <v>495</v>
      </c>
      <c r="O353" s="23" t="s">
        <v>207</v>
      </c>
      <c r="P353" s="22" t="str">
        <f>"85008"</f>
        <v>85008</v>
      </c>
      <c r="Q353" s="22" t="str">
        <f>"5210"</f>
        <v>5210</v>
      </c>
      <c r="R353" s="22" t="s">
        <v>18710</v>
      </c>
      <c r="S353" s="23" t="s">
        <v>18737</v>
      </c>
      <c r="T353" s="22" t="s">
        <v>19039</v>
      </c>
      <c r="U353" s="22" t="s">
        <v>18713</v>
      </c>
      <c r="V353" s="22" t="s">
        <v>18731</v>
      </c>
      <c r="W353" s="22" t="s">
        <v>18731</v>
      </c>
      <c r="X353" s="22" t="s">
        <v>18731</v>
      </c>
      <c r="Y353" s="23">
        <v>34</v>
      </c>
      <c r="Z353" s="22" t="s">
        <v>18723</v>
      </c>
    </row>
    <row r="354" spans="1:26" hidden="1" x14ac:dyDescent="0.2">
      <c r="A354" s="23" t="s">
        <v>19037</v>
      </c>
      <c r="B354" s="22" t="s">
        <v>18874</v>
      </c>
      <c r="C354" s="23" t="str">
        <f t="shared" si="12"/>
        <v>000</v>
      </c>
      <c r="D354" s="23" t="s">
        <v>18718</v>
      </c>
      <c r="E354" s="22" t="s">
        <v>18875</v>
      </c>
      <c r="F354" s="22" t="s">
        <v>19532</v>
      </c>
      <c r="G354" s="22" t="str">
        <f>VLOOKUP(F354,[1]CHILDCARE_FACILITIES!N:Q,4,0)</f>
        <v>CDC-11565</v>
      </c>
      <c r="H354" s="22">
        <f>VLOOKUP(G354,'[1]CACFP FRL'!D:G,4,0)</f>
        <v>86879</v>
      </c>
      <c r="I354" s="22" t="str">
        <f>VLOOKUP(G354,[1]CHILDCARE_FACILITIES!AK:AL,2,0)</f>
        <v>CDC11565</v>
      </c>
      <c r="J354" s="22">
        <f>VLOOKUP(I354,'[1]Head Start QF 1-5 Stars'!O:Q,3,0)</f>
        <v>1408</v>
      </c>
      <c r="K354" s="23" t="s">
        <v>19037</v>
      </c>
      <c r="L354" s="22" t="s">
        <v>676</v>
      </c>
      <c r="M354" s="22" t="s">
        <v>1637</v>
      </c>
      <c r="N354" s="22" t="s">
        <v>495</v>
      </c>
      <c r="O354" s="23" t="s">
        <v>207</v>
      </c>
      <c r="P354" s="22" t="str">
        <f>"85016"</f>
        <v>85016</v>
      </c>
      <c r="Q354" s="22" t="str">
        <f>"7469"</f>
        <v>7469</v>
      </c>
      <c r="R354" s="22" t="s">
        <v>18710</v>
      </c>
      <c r="S354" s="23" t="s">
        <v>18711</v>
      </c>
      <c r="T354" s="22" t="s">
        <v>19531</v>
      </c>
      <c r="U354" s="22" t="s">
        <v>18713</v>
      </c>
      <c r="V354" s="22" t="s">
        <v>18731</v>
      </c>
      <c r="W354" s="22" t="s">
        <v>18731</v>
      </c>
      <c r="X354" s="22" t="s">
        <v>18731</v>
      </c>
      <c r="Y354" s="23">
        <v>34</v>
      </c>
      <c r="Z354" s="22" t="s">
        <v>18723</v>
      </c>
    </row>
    <row r="355" spans="1:26" hidden="1" x14ac:dyDescent="0.2">
      <c r="A355" s="23" t="s">
        <v>19037</v>
      </c>
      <c r="B355" s="22" t="s">
        <v>18874</v>
      </c>
      <c r="C355" s="23" t="str">
        <f t="shared" si="12"/>
        <v>000</v>
      </c>
      <c r="D355" s="23" t="s">
        <v>18718</v>
      </c>
      <c r="E355" s="22" t="s">
        <v>18875</v>
      </c>
      <c r="F355" s="22" t="s">
        <v>19533</v>
      </c>
      <c r="G355" s="22" t="str">
        <f>VLOOKUP(F355,[1]CHILDCARE_FACILITIES!N:Q,4,0)</f>
        <v>CDC-4063</v>
      </c>
      <c r="H355" s="22" t="e">
        <f>VLOOKUP(G355,'[1]CACFP FRL'!D:G,4,0)</f>
        <v>#N/A</v>
      </c>
      <c r="I355" s="22" t="str">
        <f>VLOOKUP(G355,[1]CHILDCARE_FACILITIES!AK:AL,2,0)</f>
        <v>CDC4063</v>
      </c>
      <c r="J355" s="22">
        <f>VLOOKUP(I355,'[1]Head Start QF 1-5 Stars'!O:Q,3,0)</f>
        <v>1411</v>
      </c>
      <c r="K355" s="23" t="s">
        <v>19037</v>
      </c>
      <c r="L355" s="22" t="s">
        <v>674</v>
      </c>
      <c r="M355" s="22" t="s">
        <v>1637</v>
      </c>
      <c r="N355" s="22" t="s">
        <v>495</v>
      </c>
      <c r="O355" s="23" t="s">
        <v>207</v>
      </c>
      <c r="P355" s="22" t="str">
        <f>"85006"</f>
        <v>85006</v>
      </c>
      <c r="Q355" s="22" t="str">
        <f>"1324"</f>
        <v>1324</v>
      </c>
      <c r="R355" s="22" t="s">
        <v>18710</v>
      </c>
      <c r="S355" s="23" t="s">
        <v>18737</v>
      </c>
      <c r="T355" s="22" t="s">
        <v>19039</v>
      </c>
      <c r="U355" s="22" t="s">
        <v>18713</v>
      </c>
      <c r="V355" s="22" t="s">
        <v>18731</v>
      </c>
      <c r="W355" s="22" t="s">
        <v>18731</v>
      </c>
      <c r="X355" s="22" t="s">
        <v>18731</v>
      </c>
      <c r="Y355" s="23">
        <v>68</v>
      </c>
      <c r="Z355" s="22" t="s">
        <v>18723</v>
      </c>
    </row>
    <row r="356" spans="1:26" hidden="1" x14ac:dyDescent="0.2">
      <c r="A356" s="23" t="s">
        <v>19037</v>
      </c>
      <c r="B356" s="22" t="s">
        <v>18874</v>
      </c>
      <c r="C356" s="23" t="str">
        <f t="shared" si="12"/>
        <v>000</v>
      </c>
      <c r="D356" s="23" t="s">
        <v>18718</v>
      </c>
      <c r="E356" s="22" t="s">
        <v>18875</v>
      </c>
      <c r="F356" s="22" t="s">
        <v>19297</v>
      </c>
      <c r="G356" s="22" t="str">
        <f>VLOOKUP(F356,[1]CHILDCARE_FACILITIES!N:Q,4,0)</f>
        <v>CDC-11649</v>
      </c>
      <c r="H356" s="22" t="e">
        <f>VLOOKUP(G356,'[1]CACFP FRL'!D:G,4,0)</f>
        <v>#N/A</v>
      </c>
      <c r="I356" s="22" t="str">
        <f>VLOOKUP(G356,[1]CHILDCARE_FACILITIES!AK:AL,2,0)</f>
        <v>CDC11649</v>
      </c>
      <c r="J356" s="22">
        <f>VLOOKUP(I356,'[1]Head Start QF 1-5 Stars'!O:Q,3,0)</f>
        <v>1406</v>
      </c>
      <c r="K356" s="23" t="s">
        <v>19037</v>
      </c>
      <c r="L356" s="22" t="s">
        <v>19298</v>
      </c>
      <c r="M356" s="22" t="s">
        <v>1637</v>
      </c>
      <c r="N356" s="22" t="s">
        <v>495</v>
      </c>
      <c r="O356" s="23" t="s">
        <v>207</v>
      </c>
      <c r="P356" s="22" t="str">
        <f>"85014"</f>
        <v>85014</v>
      </c>
      <c r="Q356" s="22" t="str">
        <f>"4225"</f>
        <v>4225</v>
      </c>
      <c r="R356" s="22" t="s">
        <v>18710</v>
      </c>
      <c r="S356" s="23" t="s">
        <v>18711</v>
      </c>
      <c r="T356" s="22" t="s">
        <v>19531</v>
      </c>
      <c r="U356" s="22" t="s">
        <v>18713</v>
      </c>
      <c r="V356" s="22" t="s">
        <v>18731</v>
      </c>
      <c r="W356" s="22" t="s">
        <v>18731</v>
      </c>
      <c r="X356" s="22" t="s">
        <v>18731</v>
      </c>
      <c r="Y356" s="23">
        <v>17</v>
      </c>
      <c r="Z356" s="22" t="s">
        <v>18723</v>
      </c>
    </row>
    <row r="357" spans="1:26" hidden="1" x14ac:dyDescent="0.2">
      <c r="A357" s="23" t="s">
        <v>18885</v>
      </c>
      <c r="B357" s="22" t="s">
        <v>18886</v>
      </c>
      <c r="C357" s="23" t="str">
        <f>"200"</f>
        <v>200</v>
      </c>
      <c r="D357" s="23" t="s">
        <v>18706</v>
      </c>
      <c r="E357" s="22" t="s">
        <v>18886</v>
      </c>
      <c r="F357" s="22" t="s">
        <v>1095</v>
      </c>
      <c r="G357" s="22" t="str">
        <f>VLOOKUP(F357,[1]CHILDCARE_FACILITIES!N:Q,4,0)</f>
        <v>CDC-2008</v>
      </c>
      <c r="H357" s="22">
        <f>VLOOKUP(G357,'[1]CACFP FRL'!D:G,4,0)</f>
        <v>10189</v>
      </c>
      <c r="I357" s="22" t="str">
        <f>VLOOKUP(G357,[1]CHILDCARE_FACILITIES!AK:AL,2,0)</f>
        <v>CDC2008</v>
      </c>
      <c r="J357" s="22" t="e">
        <f>VLOOKUP(I357,'[1]Head Start QF 1-5 Stars'!O:Q,3,0)</f>
        <v>#N/A</v>
      </c>
      <c r="K357" s="23" t="s">
        <v>18885</v>
      </c>
      <c r="L357" s="22" t="s">
        <v>19534</v>
      </c>
      <c r="M357" s="22" t="s">
        <v>1637</v>
      </c>
      <c r="N357" s="22" t="s">
        <v>499</v>
      </c>
      <c r="O357" s="23" t="s">
        <v>207</v>
      </c>
      <c r="P357" s="22" t="str">
        <f>"85349"</f>
        <v>85349</v>
      </c>
      <c r="Q357" s="22" t="str">
        <f>"6775"</f>
        <v>6775</v>
      </c>
      <c r="R357" s="22" t="s">
        <v>18809</v>
      </c>
      <c r="S357" s="23" t="s">
        <v>18721</v>
      </c>
      <c r="T357" s="22" t="s">
        <v>19535</v>
      </c>
      <c r="U357" s="22" t="s">
        <v>18713</v>
      </c>
      <c r="V357" s="22" t="s">
        <v>18731</v>
      </c>
      <c r="W357" s="22" t="s">
        <v>18714</v>
      </c>
      <c r="X357" s="22" t="s">
        <v>18714</v>
      </c>
      <c r="Y357" s="23">
        <v>8</v>
      </c>
      <c r="Z357" s="22" t="s">
        <v>18723</v>
      </c>
    </row>
    <row r="358" spans="1:26" hidden="1" x14ac:dyDescent="0.2">
      <c r="A358" s="23" t="s">
        <v>18892</v>
      </c>
      <c r="B358" s="22" t="s">
        <v>18886</v>
      </c>
      <c r="C358" s="23" t="str">
        <f>"200"</f>
        <v>200</v>
      </c>
      <c r="D358" s="23" t="s">
        <v>18706</v>
      </c>
      <c r="E358" s="22" t="s">
        <v>18886</v>
      </c>
      <c r="F358" s="22" t="s">
        <v>1095</v>
      </c>
      <c r="G358" s="22" t="str">
        <f>VLOOKUP(F358,[1]CHILDCARE_FACILITIES!N:Q,4,0)</f>
        <v>CDC-2008</v>
      </c>
      <c r="H358" s="22">
        <f>VLOOKUP(G358,'[1]CACFP FRL'!D:G,4,0)</f>
        <v>10189</v>
      </c>
      <c r="I358" s="22" t="str">
        <f>VLOOKUP(G358,[1]CHILDCARE_FACILITIES!AK:AL,2,0)</f>
        <v>CDC2008</v>
      </c>
      <c r="J358" s="22" t="e">
        <f>VLOOKUP(I358,'[1]Head Start QF 1-5 Stars'!O:Q,3,0)</f>
        <v>#N/A</v>
      </c>
      <c r="K358" s="23" t="s">
        <v>18892</v>
      </c>
      <c r="L358" s="22" t="s">
        <v>19536</v>
      </c>
      <c r="M358" s="22" t="s">
        <v>1637</v>
      </c>
      <c r="N358" s="22" t="s">
        <v>499</v>
      </c>
      <c r="O358" s="23" t="s">
        <v>207</v>
      </c>
      <c r="P358" s="22" t="str">
        <f>"85349"</f>
        <v>85349</v>
      </c>
      <c r="Q358" s="22" t="str">
        <f>""</f>
        <v/>
      </c>
      <c r="R358" s="22" t="s">
        <v>18809</v>
      </c>
      <c r="S358" s="23" t="s">
        <v>18721</v>
      </c>
      <c r="T358" s="22" t="s">
        <v>19535</v>
      </c>
      <c r="U358" s="22" t="s">
        <v>18713</v>
      </c>
      <c r="V358" s="22" t="s">
        <v>18714</v>
      </c>
      <c r="W358" s="22" t="s">
        <v>18714</v>
      </c>
      <c r="X358" s="22" t="s">
        <v>18714</v>
      </c>
      <c r="Y358" s="23">
        <v>8</v>
      </c>
      <c r="Z358" s="22" t="s">
        <v>18723</v>
      </c>
    </row>
    <row r="359" spans="1:26" hidden="1" x14ac:dyDescent="0.2">
      <c r="A359" s="23" t="s">
        <v>18759</v>
      </c>
      <c r="B359" s="22" t="s">
        <v>18760</v>
      </c>
      <c r="C359" s="23" t="str">
        <f>"200"</f>
        <v>200</v>
      </c>
      <c r="D359" s="23" t="s">
        <v>18706</v>
      </c>
      <c r="E359" s="22" t="s">
        <v>18761</v>
      </c>
      <c r="F359" s="22" t="s">
        <v>19470</v>
      </c>
      <c r="G359" s="22" t="e">
        <f>VLOOKUP(F359,[1]CHILDCARE_FACILITIES!N:Q,4,0)</f>
        <v>#N/A</v>
      </c>
      <c r="H359" s="22" t="e">
        <f>VLOOKUP(G359,'[1]CACFP FRL'!D:G,4,0)</f>
        <v>#N/A</v>
      </c>
      <c r="I359" s="22" t="e">
        <f>VLOOKUP(G359,[1]CHILDCARE_FACILITIES!AK:AL,2,0)</f>
        <v>#N/A</v>
      </c>
      <c r="J359" s="22" t="e">
        <f>VLOOKUP(I359,'[1]Head Start QF 1-5 Stars'!O:Q,3,0)</f>
        <v>#N/A</v>
      </c>
      <c r="K359" s="23" t="s">
        <v>18759</v>
      </c>
      <c r="L359" s="22" t="s">
        <v>19471</v>
      </c>
      <c r="M359" s="22" t="s">
        <v>19472</v>
      </c>
      <c r="N359" s="22" t="s">
        <v>1308</v>
      </c>
      <c r="O359" s="23" t="s">
        <v>207</v>
      </c>
      <c r="P359" s="22" t="str">
        <f>"85140"</f>
        <v>85140</v>
      </c>
      <c r="Q359" s="22" t="str">
        <f>"9164"</f>
        <v>9164</v>
      </c>
      <c r="R359" s="22" t="s">
        <v>18763</v>
      </c>
      <c r="S359" s="23" t="s">
        <v>18764</v>
      </c>
      <c r="T359" s="22" t="s">
        <v>19537</v>
      </c>
      <c r="U359" s="22" t="s">
        <v>18713</v>
      </c>
      <c r="V359" s="22" t="s">
        <v>18714</v>
      </c>
      <c r="W359" s="22" t="s">
        <v>18714</v>
      </c>
      <c r="X359" s="22" t="s">
        <v>18714</v>
      </c>
      <c r="Y359" s="23">
        <v>20</v>
      </c>
      <c r="Z359" s="22" t="s">
        <v>18723</v>
      </c>
    </row>
    <row r="360" spans="1:26" hidden="1" x14ac:dyDescent="0.2">
      <c r="A360" s="23" t="s">
        <v>19037</v>
      </c>
      <c r="B360" s="22" t="s">
        <v>18874</v>
      </c>
      <c r="C360" s="23" t="str">
        <f>"000"</f>
        <v>000</v>
      </c>
      <c r="D360" s="23" t="s">
        <v>18718</v>
      </c>
      <c r="E360" s="22" t="s">
        <v>18875</v>
      </c>
      <c r="F360" s="22" t="s">
        <v>19538</v>
      </c>
      <c r="G360" s="22" t="str">
        <f>VLOOKUP(F360,[1]CHILDCARE_FACILITIES!N:Q,4,0)</f>
        <v>CDC-7158</v>
      </c>
      <c r="H360" s="22">
        <f>VLOOKUP(G360,'[1]CACFP FRL'!D:G,4,0)</f>
        <v>8887</v>
      </c>
      <c r="I360" s="22" t="str">
        <f>VLOOKUP(G360,[1]CHILDCARE_FACILITIES!AK:AL,2,0)</f>
        <v>CDC7158</v>
      </c>
      <c r="J360" s="22">
        <f>VLOOKUP(I360,'[1]Head Start QF 1-5 Stars'!O:Q,3,0)</f>
        <v>2681</v>
      </c>
      <c r="K360" s="23" t="s">
        <v>19037</v>
      </c>
      <c r="L360" s="22" t="s">
        <v>681</v>
      </c>
      <c r="M360" s="22" t="s">
        <v>1637</v>
      </c>
      <c r="N360" s="22" t="s">
        <v>495</v>
      </c>
      <c r="O360" s="23" t="s">
        <v>207</v>
      </c>
      <c r="P360" s="22" t="str">
        <f>"85018"</f>
        <v>85018</v>
      </c>
      <c r="Q360" s="22" t="str">
        <f>"5767"</f>
        <v>5767</v>
      </c>
      <c r="R360" s="22" t="s">
        <v>18710</v>
      </c>
      <c r="S360" s="23" t="s">
        <v>18711</v>
      </c>
      <c r="T360" s="22" t="s">
        <v>19039</v>
      </c>
      <c r="U360" s="22" t="s">
        <v>18713</v>
      </c>
      <c r="V360" s="22" t="s">
        <v>18714</v>
      </c>
      <c r="W360" s="22" t="s">
        <v>18714</v>
      </c>
      <c r="X360" s="22" t="s">
        <v>18714</v>
      </c>
      <c r="Y360" s="23">
        <v>34</v>
      </c>
      <c r="Z360" s="22" t="s">
        <v>18723</v>
      </c>
    </row>
    <row r="361" spans="1:26" s="25" customFormat="1" hidden="1" x14ac:dyDescent="0.2">
      <c r="A361" s="23" t="s">
        <v>19037</v>
      </c>
      <c r="B361" s="22" t="s">
        <v>18874</v>
      </c>
      <c r="C361" s="23" t="str">
        <f>"000"</f>
        <v>000</v>
      </c>
      <c r="D361" s="23" t="s">
        <v>18718</v>
      </c>
      <c r="E361" s="22" t="s">
        <v>18875</v>
      </c>
      <c r="F361" s="22" t="s">
        <v>19363</v>
      </c>
      <c r="G361" s="22" t="str">
        <f>VLOOKUP(F361,[1]CHILDCARE_FACILITIES!N:Q,4,0)</f>
        <v>CDC-8964</v>
      </c>
      <c r="H361" s="22">
        <f>VLOOKUP(G361,'[1]CACFP FRL'!D:G,4,0)</f>
        <v>80690</v>
      </c>
      <c r="I361" s="22" t="str">
        <f>VLOOKUP(G361,[1]CHILDCARE_FACILITIES!AK:AL,2,0)</f>
        <v>CDC8964</v>
      </c>
      <c r="J361" s="22">
        <f>VLOOKUP(I361,'[1]Head Start QF 1-5 Stars'!O:Q,3,0)</f>
        <v>1413</v>
      </c>
      <c r="K361" s="23" t="s">
        <v>19037</v>
      </c>
      <c r="L361" s="22" t="s">
        <v>19364</v>
      </c>
      <c r="M361" s="22" t="s">
        <v>1637</v>
      </c>
      <c r="N361" s="22" t="s">
        <v>495</v>
      </c>
      <c r="O361" s="23" t="s">
        <v>207</v>
      </c>
      <c r="P361" s="22" t="str">
        <f>"85014"</f>
        <v>85014</v>
      </c>
      <c r="Q361" s="22" t="str">
        <f>"4322"</f>
        <v>4322</v>
      </c>
      <c r="R361" s="22" t="s">
        <v>18710</v>
      </c>
      <c r="S361" s="23" t="s">
        <v>18711</v>
      </c>
      <c r="T361" s="22" t="s">
        <v>19039</v>
      </c>
      <c r="U361" s="22" t="s">
        <v>18713</v>
      </c>
      <c r="V361" s="22" t="s">
        <v>18731</v>
      </c>
      <c r="W361" s="22" t="s">
        <v>18731</v>
      </c>
      <c r="X361" s="22" t="s">
        <v>18731</v>
      </c>
      <c r="Y361" s="23">
        <v>17</v>
      </c>
      <c r="Z361" s="22" t="s">
        <v>18723</v>
      </c>
    </row>
    <row r="362" spans="1:26" s="25" customFormat="1" hidden="1" x14ac:dyDescent="0.2">
      <c r="A362" s="23" t="s">
        <v>19037</v>
      </c>
      <c r="B362" s="22" t="s">
        <v>18874</v>
      </c>
      <c r="C362" s="23" t="str">
        <f>"000"</f>
        <v>000</v>
      </c>
      <c r="D362" s="23" t="s">
        <v>18718</v>
      </c>
      <c r="E362" s="22" t="s">
        <v>18875</v>
      </c>
      <c r="F362" s="22" t="s">
        <v>19442</v>
      </c>
      <c r="G362" s="22" t="str">
        <f>VLOOKUP(F362,[1]CHILDCARE_FACILITIES!N:Q,4,0)</f>
        <v>CDC-10965</v>
      </c>
      <c r="H362" s="22">
        <f>VLOOKUP(G362,'[1]CACFP FRL'!D:G,4,0)</f>
        <v>84663</v>
      </c>
      <c r="I362" s="22" t="str">
        <f>VLOOKUP(G362,[1]CHILDCARE_FACILITIES!AK:AL,2,0)</f>
        <v>CDC10965</v>
      </c>
      <c r="J362" s="22">
        <f>VLOOKUP(I362,'[1]Head Start QF 1-5 Stars'!O:Q,3,0)</f>
        <v>1135</v>
      </c>
      <c r="K362" s="23" t="s">
        <v>19037</v>
      </c>
      <c r="L362" s="22" t="s">
        <v>1433</v>
      </c>
      <c r="M362" s="22" t="s">
        <v>1637</v>
      </c>
      <c r="N362" s="22" t="s">
        <v>495</v>
      </c>
      <c r="O362" s="23" t="s">
        <v>207</v>
      </c>
      <c r="P362" s="22" t="str">
        <f>"85032"</f>
        <v>85032</v>
      </c>
      <c r="Q362" s="22" t="str">
        <f>"3704"</f>
        <v>3704</v>
      </c>
      <c r="R362" s="22" t="s">
        <v>18710</v>
      </c>
      <c r="S362" s="23" t="s">
        <v>19033</v>
      </c>
      <c r="T362" s="22" t="s">
        <v>19539</v>
      </c>
      <c r="U362" s="22" t="s">
        <v>18713</v>
      </c>
      <c r="V362" s="22" t="s">
        <v>18714</v>
      </c>
      <c r="W362" s="22" t="s">
        <v>18714</v>
      </c>
      <c r="X362" s="22" t="s">
        <v>18714</v>
      </c>
      <c r="Y362" s="23">
        <v>34</v>
      </c>
      <c r="Z362" s="22" t="s">
        <v>18723</v>
      </c>
    </row>
    <row r="363" spans="1:26" hidden="1" x14ac:dyDescent="0.2">
      <c r="A363" s="23" t="s">
        <v>19037</v>
      </c>
      <c r="B363" s="22" t="s">
        <v>18874</v>
      </c>
      <c r="C363" s="23" t="str">
        <f>"000"</f>
        <v>000</v>
      </c>
      <c r="D363" s="23" t="s">
        <v>18718</v>
      </c>
      <c r="E363" s="22" t="s">
        <v>18875</v>
      </c>
      <c r="F363" s="22" t="s">
        <v>19447</v>
      </c>
      <c r="G363" s="22" t="str">
        <f>VLOOKUP(F363,[1]CHILDCARE_FACILITIES!N:Q,4,0)</f>
        <v>CDC-4064</v>
      </c>
      <c r="H363" s="22" t="e">
        <f>VLOOKUP(G363,'[1]CACFP FRL'!D:G,4,0)</f>
        <v>#N/A</v>
      </c>
      <c r="I363" s="22" t="str">
        <f>VLOOKUP(G363,[1]CHILDCARE_FACILITIES!AK:AL,2,0)</f>
        <v>CDC4064</v>
      </c>
      <c r="J363" s="22">
        <f>VLOOKUP(I363,'[1]Head Start QF 1-5 Stars'!O:Q,3,0)</f>
        <v>1407</v>
      </c>
      <c r="K363" s="23" t="s">
        <v>19037</v>
      </c>
      <c r="L363" s="22" t="s">
        <v>684</v>
      </c>
      <c r="M363" s="22" t="s">
        <v>1637</v>
      </c>
      <c r="N363" s="22" t="s">
        <v>495</v>
      </c>
      <c r="O363" s="23" t="s">
        <v>207</v>
      </c>
      <c r="P363" s="22" t="str">
        <f>"85008"</f>
        <v>85008</v>
      </c>
      <c r="Q363" s="22" t="str">
        <f>"3026"</f>
        <v>3026</v>
      </c>
      <c r="R363" s="22" t="s">
        <v>18710</v>
      </c>
      <c r="S363" s="23" t="s">
        <v>18737</v>
      </c>
      <c r="T363" s="22" t="s">
        <v>19039</v>
      </c>
      <c r="U363" s="22" t="s">
        <v>18713</v>
      </c>
      <c r="V363" s="22" t="s">
        <v>18714</v>
      </c>
      <c r="W363" s="22" t="s">
        <v>18714</v>
      </c>
      <c r="X363" s="22" t="s">
        <v>18714</v>
      </c>
      <c r="Y363" s="23">
        <v>68</v>
      </c>
      <c r="Z363" s="22" t="s">
        <v>18723</v>
      </c>
    </row>
    <row r="364" spans="1:26" hidden="1" x14ac:dyDescent="0.2">
      <c r="A364" s="23" t="s">
        <v>18822</v>
      </c>
      <c r="B364" s="22" t="s">
        <v>18823</v>
      </c>
      <c r="C364" s="23" t="str">
        <f>"200"</f>
        <v>200</v>
      </c>
      <c r="D364" s="23" t="s">
        <v>18706</v>
      </c>
      <c r="E364" s="22" t="s">
        <v>18823</v>
      </c>
      <c r="F364" s="22" t="s">
        <v>18996</v>
      </c>
      <c r="G364" s="22" t="str">
        <f>VLOOKUP(F364,[1]CHILDCARE_FACILITIES!N:Q,4,0)</f>
        <v>CDC-5897</v>
      </c>
      <c r="H364" s="22">
        <f>VLOOKUP(G364,'[1]CACFP FRL'!D:G,4,0)</f>
        <v>10901</v>
      </c>
      <c r="I364" s="22" t="str">
        <f>VLOOKUP(G364,[1]CHILDCARE_FACILITIES!AK:AL,2,0)</f>
        <v>CDC5897</v>
      </c>
      <c r="J364" s="22" t="e">
        <f>VLOOKUP(I364,'[1]Head Start QF 1-5 Stars'!O:Q,3,0)</f>
        <v>#N/A</v>
      </c>
      <c r="K364" s="23" t="s">
        <v>18822</v>
      </c>
      <c r="L364" s="22" t="s">
        <v>18997</v>
      </c>
      <c r="M364" s="22" t="s">
        <v>1637</v>
      </c>
      <c r="N364" s="22" t="s">
        <v>764</v>
      </c>
      <c r="O364" s="23" t="s">
        <v>207</v>
      </c>
      <c r="P364" s="22" t="str">
        <f>"85756"</f>
        <v>85756</v>
      </c>
      <c r="Q364" s="22" t="str">
        <f>"6543"</f>
        <v>6543</v>
      </c>
      <c r="R364" s="22" t="s">
        <v>996</v>
      </c>
      <c r="S364" s="23" t="s">
        <v>18721</v>
      </c>
      <c r="T364" s="22" t="s">
        <v>18998</v>
      </c>
      <c r="U364" s="22" t="s">
        <v>18713</v>
      </c>
      <c r="V364" s="22" t="s">
        <v>18731</v>
      </c>
      <c r="W364" s="22" t="s">
        <v>18731</v>
      </c>
      <c r="X364" s="22" t="s">
        <v>18731</v>
      </c>
      <c r="Y364" s="23">
        <v>10</v>
      </c>
      <c r="Z364" s="22" t="s">
        <v>18723</v>
      </c>
    </row>
    <row r="365" spans="1:26" hidden="1" x14ac:dyDescent="0.2">
      <c r="A365" s="23" t="s">
        <v>19037</v>
      </c>
      <c r="B365" s="22" t="s">
        <v>18874</v>
      </c>
      <c r="C365" s="23" t="str">
        <f>"000"</f>
        <v>000</v>
      </c>
      <c r="D365" s="23" t="s">
        <v>18718</v>
      </c>
      <c r="E365" s="22" t="s">
        <v>18875</v>
      </c>
      <c r="F365" s="22" t="s">
        <v>19464</v>
      </c>
      <c r="G365" s="22" t="str">
        <f>VLOOKUP(F365,[1]CHILDCARE_FACILITIES!N:Q,4,0)</f>
        <v>CDC-8046</v>
      </c>
      <c r="H365" s="22">
        <f>VLOOKUP(G365,'[1]CACFP FRL'!D:G,4,0)</f>
        <v>78728</v>
      </c>
      <c r="I365" s="22" t="str">
        <f>VLOOKUP(G365,[1]CHILDCARE_FACILITIES!AK:AL,2,0)</f>
        <v>CDC8046</v>
      </c>
      <c r="J365" s="22">
        <f>VLOOKUP(I365,'[1]Head Start QF 1-5 Stars'!O:Q,3,0)</f>
        <v>2298</v>
      </c>
      <c r="K365" s="23" t="s">
        <v>19037</v>
      </c>
      <c r="L365" s="22" t="s">
        <v>19465</v>
      </c>
      <c r="M365" s="22" t="s">
        <v>1637</v>
      </c>
      <c r="N365" s="22" t="s">
        <v>495</v>
      </c>
      <c r="O365" s="23" t="s">
        <v>207</v>
      </c>
      <c r="P365" s="22" t="str">
        <f>"85013"</f>
        <v>85013</v>
      </c>
      <c r="Q365" s="22" t="str">
        <f>"4009"</f>
        <v>4009</v>
      </c>
      <c r="R365" s="22" t="s">
        <v>18710</v>
      </c>
      <c r="S365" s="23" t="s">
        <v>18737</v>
      </c>
      <c r="T365" s="22" t="s">
        <v>19039</v>
      </c>
      <c r="U365" s="22" t="s">
        <v>18713</v>
      </c>
      <c r="V365" s="22" t="s">
        <v>18714</v>
      </c>
      <c r="W365" s="22" t="s">
        <v>18714</v>
      </c>
      <c r="X365" s="22" t="s">
        <v>18714</v>
      </c>
      <c r="Y365" s="23">
        <v>34</v>
      </c>
      <c r="Z365" s="22" t="s">
        <v>18723</v>
      </c>
    </row>
    <row r="366" spans="1:26" hidden="1" x14ac:dyDescent="0.2">
      <c r="A366" s="23" t="s">
        <v>18822</v>
      </c>
      <c r="B366" s="22" t="s">
        <v>18823</v>
      </c>
      <c r="C366" s="23" t="str">
        <f>"200"</f>
        <v>200</v>
      </c>
      <c r="D366" s="23" t="s">
        <v>18706</v>
      </c>
      <c r="E366" s="22" t="s">
        <v>18823</v>
      </c>
      <c r="F366" s="22" t="s">
        <v>18999</v>
      </c>
      <c r="G366" s="22" t="str">
        <f>VLOOKUP(F366,[1]CHILDCARE_FACILITIES!N:Q,4,0)</f>
        <v>CDC-9212</v>
      </c>
      <c r="H366" s="22">
        <f>VLOOKUP(G366,'[1]CACFP FRL'!D:G,4,0)</f>
        <v>7948</v>
      </c>
      <c r="I366" s="22" t="str">
        <f>VLOOKUP(G366,[1]CHILDCARE_FACILITIES!AK:AL,2,0)</f>
        <v>CDC9212</v>
      </c>
      <c r="J366" s="22" t="e">
        <f>VLOOKUP(I366,'[1]Head Start QF 1-5 Stars'!O:Q,3,0)</f>
        <v>#N/A</v>
      </c>
      <c r="K366" s="23" t="s">
        <v>18822</v>
      </c>
      <c r="L366" s="22" t="s">
        <v>19000</v>
      </c>
      <c r="M366" s="22" t="s">
        <v>1637</v>
      </c>
      <c r="N366" s="22" t="s">
        <v>764</v>
      </c>
      <c r="O366" s="23" t="s">
        <v>207</v>
      </c>
      <c r="P366" s="22" t="str">
        <f>"85701"</f>
        <v>85701</v>
      </c>
      <c r="Q366" s="22" t="str">
        <f>"2900"</f>
        <v>2900</v>
      </c>
      <c r="R366" s="22" t="s">
        <v>996</v>
      </c>
      <c r="S366" s="23" t="s">
        <v>18721</v>
      </c>
      <c r="T366" s="22" t="s">
        <v>19001</v>
      </c>
      <c r="U366" s="22" t="s">
        <v>18713</v>
      </c>
      <c r="V366" s="22" t="s">
        <v>18731</v>
      </c>
      <c r="W366" s="22" t="s">
        <v>18731</v>
      </c>
      <c r="X366" s="22" t="s">
        <v>18714</v>
      </c>
      <c r="Y366" s="23">
        <v>36</v>
      </c>
      <c r="Z366" s="22" t="s">
        <v>18723</v>
      </c>
    </row>
    <row r="367" spans="1:26" s="25" customFormat="1" hidden="1" x14ac:dyDescent="0.2">
      <c r="A367" s="24" t="s">
        <v>19540</v>
      </c>
      <c r="B367" s="25" t="s">
        <v>19541</v>
      </c>
      <c r="C367" s="24" t="str">
        <f t="shared" ref="C367:C376" si="13">"000"</f>
        <v>000</v>
      </c>
      <c r="D367" s="24" t="s">
        <v>19199</v>
      </c>
      <c r="E367" s="25" t="s">
        <v>19542</v>
      </c>
      <c r="F367" s="25" t="s">
        <v>19543</v>
      </c>
      <c r="G367" s="25" t="e">
        <f>VLOOKUP(F367,[1]CHILDCARE_FACILITIES!N:Q,4,0)</f>
        <v>#N/A</v>
      </c>
      <c r="H367" s="25" t="e">
        <f>VLOOKUP(G367,'[1]CACFP FRL'!D:G,4,0)</f>
        <v>#N/A</v>
      </c>
      <c r="I367" s="25" t="e">
        <f>VLOOKUP(G367,[1]CHILDCARE_FACILITIES!AK:AL,2,0)</f>
        <v>#N/A</v>
      </c>
      <c r="J367" s="25" t="e">
        <f>VLOOKUP(I367,'[1]Head Start QF 1-5 Stars'!O:Q,3,0)</f>
        <v>#N/A</v>
      </c>
      <c r="K367" s="24" t="s">
        <v>19540</v>
      </c>
      <c r="L367" s="25" t="s">
        <v>19543</v>
      </c>
      <c r="M367" s="25" t="s">
        <v>1637</v>
      </c>
      <c r="N367" s="25" t="s">
        <v>19543</v>
      </c>
      <c r="O367" s="24" t="s">
        <v>207</v>
      </c>
      <c r="P367" s="25" t="str">
        <f>"86520"</f>
        <v>86520</v>
      </c>
      <c r="Q367" s="25" t="str">
        <f>""</f>
        <v/>
      </c>
      <c r="R367" s="25" t="s">
        <v>19433</v>
      </c>
      <c r="S367" s="24" t="s">
        <v>18818</v>
      </c>
      <c r="U367" s="25" t="s">
        <v>18713</v>
      </c>
      <c r="V367" s="25" t="s">
        <v>18714</v>
      </c>
      <c r="W367" s="25" t="s">
        <v>18714</v>
      </c>
      <c r="X367" s="25" t="s">
        <v>18714</v>
      </c>
      <c r="Y367" s="24">
        <v>17</v>
      </c>
      <c r="Z367" s="25" t="s">
        <v>18723</v>
      </c>
    </row>
    <row r="368" spans="1:26" s="25" customFormat="1" hidden="1" x14ac:dyDescent="0.2">
      <c r="A368" s="24" t="s">
        <v>19540</v>
      </c>
      <c r="B368" s="25" t="s">
        <v>19541</v>
      </c>
      <c r="C368" s="24" t="str">
        <f t="shared" si="13"/>
        <v>000</v>
      </c>
      <c r="D368" s="24" t="s">
        <v>19199</v>
      </c>
      <c r="E368" s="25" t="s">
        <v>19542</v>
      </c>
      <c r="F368" s="25" t="s">
        <v>402</v>
      </c>
      <c r="G368" s="25" t="e">
        <f>VLOOKUP(F368,[1]CHILDCARE_FACILITIES!N:Q,4,0)</f>
        <v>#N/A</v>
      </c>
      <c r="H368" s="25" t="e">
        <f>VLOOKUP(G368,'[1]CACFP FRL'!D:G,4,0)</f>
        <v>#N/A</v>
      </c>
      <c r="I368" s="25" t="e">
        <f>VLOOKUP(G368,[1]CHILDCARE_FACILITIES!AK:AL,2,0)</f>
        <v>#N/A</v>
      </c>
      <c r="J368" s="25" t="e">
        <f>VLOOKUP(I368,'[1]Head Start QF 1-5 Stars'!O:Q,3,0)</f>
        <v>#N/A</v>
      </c>
      <c r="K368" s="24" t="s">
        <v>19540</v>
      </c>
      <c r="L368" s="25" t="s">
        <v>19544</v>
      </c>
      <c r="M368" s="25" t="s">
        <v>1637</v>
      </c>
      <c r="N368" s="25" t="s">
        <v>402</v>
      </c>
      <c r="O368" s="24" t="s">
        <v>207</v>
      </c>
      <c r="P368" s="25" t="str">
        <f>"86020"</f>
        <v>86020</v>
      </c>
      <c r="Q368" s="25" t="str">
        <f>""</f>
        <v/>
      </c>
      <c r="R368" s="25" t="s">
        <v>19091</v>
      </c>
      <c r="S368" s="24" t="s">
        <v>18818</v>
      </c>
      <c r="T368" s="25" t="s">
        <v>19545</v>
      </c>
      <c r="U368" s="25" t="s">
        <v>18713</v>
      </c>
      <c r="V368" s="25" t="s">
        <v>18714</v>
      </c>
      <c r="W368" s="25" t="s">
        <v>18714</v>
      </c>
      <c r="X368" s="25" t="s">
        <v>18714</v>
      </c>
      <c r="Y368" s="24">
        <v>20</v>
      </c>
      <c r="Z368" s="25" t="s">
        <v>18723</v>
      </c>
    </row>
    <row r="369" spans="1:26" s="25" customFormat="1" hidden="1" x14ac:dyDescent="0.2">
      <c r="A369" s="24" t="s">
        <v>19540</v>
      </c>
      <c r="B369" s="25" t="s">
        <v>19541</v>
      </c>
      <c r="C369" s="24" t="str">
        <f t="shared" si="13"/>
        <v>000</v>
      </c>
      <c r="D369" s="24" t="s">
        <v>19199</v>
      </c>
      <c r="E369" s="25" t="s">
        <v>19542</v>
      </c>
      <c r="F369" s="25" t="s">
        <v>10</v>
      </c>
      <c r="G369" s="25" t="str">
        <f>VLOOKUP(F369,[1]CHILDCARE_FACILITIES!N:Q,4,0)</f>
        <v>CDC-16351</v>
      </c>
      <c r="H369" s="25" t="e">
        <f>VLOOKUP(G369,'[1]CACFP FRL'!D:G,4,0)</f>
        <v>#N/A</v>
      </c>
      <c r="I369" s="25" t="str">
        <f>VLOOKUP(G369,[1]CHILDCARE_FACILITIES!AK:AL,2,0)</f>
        <v>CDC16351</v>
      </c>
      <c r="J369" s="25" t="e">
        <f>VLOOKUP(I369,'[1]Head Start QF 1-5 Stars'!O:Q,3,0)</f>
        <v>#N/A</v>
      </c>
      <c r="K369" s="24" t="s">
        <v>19540</v>
      </c>
      <c r="L369" s="25" t="s">
        <v>19546</v>
      </c>
      <c r="M369" s="25" t="s">
        <v>1637</v>
      </c>
      <c r="N369" s="25" t="s">
        <v>463</v>
      </c>
      <c r="O369" s="24" t="s">
        <v>207</v>
      </c>
      <c r="P369" s="25" t="str">
        <f>"86503"</f>
        <v>86503</v>
      </c>
      <c r="Q369" s="25" t="str">
        <f>""</f>
        <v/>
      </c>
      <c r="R369" s="25" t="s">
        <v>19433</v>
      </c>
      <c r="S369" s="24" t="s">
        <v>18818</v>
      </c>
      <c r="T369" s="25" t="s">
        <v>19547</v>
      </c>
      <c r="U369" s="25" t="s">
        <v>18713</v>
      </c>
      <c r="V369" s="25" t="s">
        <v>18714</v>
      </c>
      <c r="W369" s="25" t="s">
        <v>18714</v>
      </c>
      <c r="X369" s="25" t="s">
        <v>18714</v>
      </c>
      <c r="Y369" s="24">
        <v>15</v>
      </c>
      <c r="Z369" s="25" t="s">
        <v>18723</v>
      </c>
    </row>
    <row r="370" spans="1:26" s="25" customFormat="1" hidden="1" x14ac:dyDescent="0.2">
      <c r="A370" s="24" t="s">
        <v>19540</v>
      </c>
      <c r="B370" s="25" t="s">
        <v>19541</v>
      </c>
      <c r="C370" s="24" t="str">
        <f t="shared" si="13"/>
        <v>000</v>
      </c>
      <c r="D370" s="24" t="s">
        <v>19199</v>
      </c>
      <c r="E370" s="25" t="s">
        <v>19542</v>
      </c>
      <c r="F370" s="25" t="s">
        <v>10</v>
      </c>
      <c r="G370" s="25" t="str">
        <f>VLOOKUP(F370,[1]CHILDCARE_FACILITIES!N:Q,4,0)</f>
        <v>CDC-16351</v>
      </c>
      <c r="H370" s="25" t="e">
        <f>VLOOKUP(G370,'[1]CACFP FRL'!D:G,4,0)</f>
        <v>#N/A</v>
      </c>
      <c r="I370" s="25" t="str">
        <f>VLOOKUP(G370,[1]CHILDCARE_FACILITIES!AK:AL,2,0)</f>
        <v>CDC16351</v>
      </c>
      <c r="J370" s="25" t="e">
        <f>VLOOKUP(I370,'[1]Head Start QF 1-5 Stars'!O:Q,3,0)</f>
        <v>#N/A</v>
      </c>
      <c r="K370" s="24" t="s">
        <v>19540</v>
      </c>
      <c r="L370" s="25" t="s">
        <v>19548</v>
      </c>
      <c r="M370" s="25" t="s">
        <v>1637</v>
      </c>
      <c r="N370" s="25" t="s">
        <v>463</v>
      </c>
      <c r="O370" s="24" t="s">
        <v>207</v>
      </c>
      <c r="P370" s="25" t="str">
        <f>"86503"</f>
        <v>86503</v>
      </c>
      <c r="Q370" s="25" t="str">
        <f>""</f>
        <v/>
      </c>
      <c r="R370" s="25" t="s">
        <v>19433</v>
      </c>
      <c r="S370" s="24" t="s">
        <v>18818</v>
      </c>
      <c r="T370" s="25" t="s">
        <v>19549</v>
      </c>
      <c r="U370" s="25" t="s">
        <v>18713</v>
      </c>
      <c r="V370" s="25" t="s">
        <v>18714</v>
      </c>
      <c r="W370" s="25" t="s">
        <v>18714</v>
      </c>
      <c r="X370" s="25" t="s">
        <v>18714</v>
      </c>
      <c r="Y370" s="24">
        <v>18</v>
      </c>
      <c r="Z370" s="25" t="s">
        <v>18723</v>
      </c>
    </row>
    <row r="371" spans="1:26" s="25" customFormat="1" hidden="1" x14ac:dyDescent="0.2">
      <c r="A371" s="24" t="s">
        <v>19540</v>
      </c>
      <c r="B371" s="25" t="s">
        <v>19541</v>
      </c>
      <c r="C371" s="24" t="str">
        <f t="shared" si="13"/>
        <v>000</v>
      </c>
      <c r="D371" s="24" t="s">
        <v>19199</v>
      </c>
      <c r="E371" s="25" t="s">
        <v>19542</v>
      </c>
      <c r="F371" s="25" t="s">
        <v>19550</v>
      </c>
      <c r="G371" s="25" t="e">
        <f>VLOOKUP(F371,[1]CHILDCARE_FACILITIES!N:Q,4,0)</f>
        <v>#N/A</v>
      </c>
      <c r="H371" s="25" t="e">
        <f>VLOOKUP(G371,'[1]CACFP FRL'!D:G,4,0)</f>
        <v>#N/A</v>
      </c>
      <c r="I371" s="25" t="e">
        <f>VLOOKUP(G371,[1]CHILDCARE_FACILITIES!AK:AL,2,0)</f>
        <v>#N/A</v>
      </c>
      <c r="J371" s="25" t="e">
        <f>VLOOKUP(I371,'[1]Head Start QF 1-5 Stars'!O:Q,3,0)</f>
        <v>#N/A</v>
      </c>
      <c r="K371" s="24" t="s">
        <v>19540</v>
      </c>
      <c r="L371" s="25" t="s">
        <v>19551</v>
      </c>
      <c r="M371" s="25" t="s">
        <v>1637</v>
      </c>
      <c r="N371" s="25" t="s">
        <v>19550</v>
      </c>
      <c r="O371" s="24" t="s">
        <v>207</v>
      </c>
      <c r="P371" s="25" t="str">
        <f>"86505"</f>
        <v>86505</v>
      </c>
      <c r="Q371" s="25" t="str">
        <f>""</f>
        <v/>
      </c>
      <c r="R371" s="25" t="s">
        <v>19433</v>
      </c>
      <c r="S371" s="24" t="s">
        <v>18818</v>
      </c>
      <c r="T371" s="25" t="s">
        <v>19552</v>
      </c>
      <c r="U371" s="25" t="s">
        <v>18713</v>
      </c>
      <c r="V371" s="25" t="s">
        <v>18714</v>
      </c>
      <c r="W371" s="25" t="s">
        <v>18714</v>
      </c>
      <c r="X371" s="25" t="s">
        <v>18714</v>
      </c>
      <c r="Y371" s="24">
        <v>14</v>
      </c>
      <c r="Z371" s="25" t="s">
        <v>18723</v>
      </c>
    </row>
    <row r="372" spans="1:26" s="25" customFormat="1" hidden="1" x14ac:dyDescent="0.2">
      <c r="A372" s="24" t="s">
        <v>19540</v>
      </c>
      <c r="B372" s="25" t="s">
        <v>19541</v>
      </c>
      <c r="C372" s="24" t="str">
        <f t="shared" si="13"/>
        <v>000</v>
      </c>
      <c r="D372" s="24" t="s">
        <v>19199</v>
      </c>
      <c r="E372" s="25" t="s">
        <v>19542</v>
      </c>
      <c r="F372" s="25" t="s">
        <v>19405</v>
      </c>
      <c r="G372" s="25" t="e">
        <f>VLOOKUP(F372,[1]CHILDCARE_FACILITIES!N:Q,4,0)</f>
        <v>#N/A</v>
      </c>
      <c r="H372" s="25" t="e">
        <f>VLOOKUP(G372,'[1]CACFP FRL'!D:G,4,0)</f>
        <v>#N/A</v>
      </c>
      <c r="I372" s="25" t="e">
        <f>VLOOKUP(G372,[1]CHILDCARE_FACILITIES!AK:AL,2,0)</f>
        <v>#N/A</v>
      </c>
      <c r="J372" s="25" t="e">
        <f>VLOOKUP(I372,'[1]Head Start QF 1-5 Stars'!O:Q,3,0)</f>
        <v>#N/A</v>
      </c>
      <c r="K372" s="24" t="s">
        <v>19540</v>
      </c>
      <c r="L372" s="25" t="s">
        <v>19405</v>
      </c>
      <c r="M372" s="25" t="s">
        <v>1637</v>
      </c>
      <c r="N372" s="25" t="s">
        <v>19405</v>
      </c>
      <c r="O372" s="24" t="s">
        <v>207</v>
      </c>
      <c r="P372" s="25" t="str">
        <f>"86326"</f>
        <v>86326</v>
      </c>
      <c r="Q372" s="25" t="str">
        <f>""</f>
        <v/>
      </c>
      <c r="R372" s="25" t="s">
        <v>19433</v>
      </c>
      <c r="S372" s="24" t="s">
        <v>18818</v>
      </c>
      <c r="T372" s="25" t="s">
        <v>19553</v>
      </c>
      <c r="U372" s="25" t="s">
        <v>18713</v>
      </c>
      <c r="V372" s="25" t="s">
        <v>18714</v>
      </c>
      <c r="W372" s="25" t="s">
        <v>18714</v>
      </c>
      <c r="X372" s="25" t="s">
        <v>18714</v>
      </c>
      <c r="Y372" s="24">
        <v>15</v>
      </c>
      <c r="Z372" s="25" t="s">
        <v>18723</v>
      </c>
    </row>
    <row r="373" spans="1:26" s="25" customFormat="1" hidden="1" x14ac:dyDescent="0.2">
      <c r="A373" s="24" t="s">
        <v>19540</v>
      </c>
      <c r="B373" s="25" t="s">
        <v>19541</v>
      </c>
      <c r="C373" s="24" t="str">
        <f t="shared" si="13"/>
        <v>000</v>
      </c>
      <c r="D373" s="24" t="s">
        <v>19199</v>
      </c>
      <c r="E373" s="25" t="s">
        <v>19542</v>
      </c>
      <c r="F373" s="25" t="s">
        <v>19554</v>
      </c>
      <c r="G373" s="25" t="e">
        <f>VLOOKUP(F373,[1]CHILDCARE_FACILITIES!N:Q,4,0)</f>
        <v>#N/A</v>
      </c>
      <c r="H373" s="25" t="e">
        <f>VLOOKUP(G373,'[1]CACFP FRL'!D:G,4,0)</f>
        <v>#N/A</v>
      </c>
      <c r="I373" s="25" t="e">
        <f>VLOOKUP(G373,[1]CHILDCARE_FACILITIES!AK:AL,2,0)</f>
        <v>#N/A</v>
      </c>
      <c r="J373" s="25" t="e">
        <f>VLOOKUP(I373,'[1]Head Start QF 1-5 Stars'!O:Q,3,0)</f>
        <v>#N/A</v>
      </c>
      <c r="K373" s="24" t="s">
        <v>19540</v>
      </c>
      <c r="L373" s="25" t="s">
        <v>19555</v>
      </c>
      <c r="M373" s="25" t="s">
        <v>1637</v>
      </c>
      <c r="N373" s="25" t="s">
        <v>19556</v>
      </c>
      <c r="O373" s="24" t="s">
        <v>207</v>
      </c>
      <c r="P373" s="25" t="str">
        <f>"86044"</f>
        <v>86044</v>
      </c>
      <c r="Q373" s="25" t="str">
        <f>""</f>
        <v/>
      </c>
      <c r="R373" s="25" t="s">
        <v>19091</v>
      </c>
      <c r="S373" s="24" t="s">
        <v>18818</v>
      </c>
      <c r="T373" s="25" t="s">
        <v>19557</v>
      </c>
      <c r="U373" s="25" t="s">
        <v>18713</v>
      </c>
      <c r="V373" s="25" t="s">
        <v>18714</v>
      </c>
      <c r="W373" s="25" t="s">
        <v>18714</v>
      </c>
      <c r="X373" s="25" t="s">
        <v>18714</v>
      </c>
      <c r="Y373" s="24">
        <v>15</v>
      </c>
      <c r="Z373" s="25" t="s">
        <v>18723</v>
      </c>
    </row>
    <row r="374" spans="1:26" hidden="1" x14ac:dyDescent="0.2">
      <c r="A374" s="24" t="s">
        <v>19540</v>
      </c>
      <c r="B374" s="25" t="s">
        <v>19541</v>
      </c>
      <c r="C374" s="24" t="str">
        <f t="shared" si="13"/>
        <v>000</v>
      </c>
      <c r="D374" s="24" t="s">
        <v>19199</v>
      </c>
      <c r="E374" s="25" t="s">
        <v>19542</v>
      </c>
      <c r="F374" s="25" t="s">
        <v>19558</v>
      </c>
      <c r="G374" s="25" t="e">
        <f>VLOOKUP(F374,[1]CHILDCARE_FACILITIES!N:Q,4,0)</f>
        <v>#N/A</v>
      </c>
      <c r="H374" s="25" t="e">
        <f>VLOOKUP(G374,'[1]CACFP FRL'!D:G,4,0)</f>
        <v>#N/A</v>
      </c>
      <c r="I374" s="25" t="e">
        <f>VLOOKUP(G374,[1]CHILDCARE_FACILITIES!AK:AL,2,0)</f>
        <v>#N/A</v>
      </c>
      <c r="J374" s="25" t="e">
        <f>VLOOKUP(I374,'[1]Head Start QF 1-5 Stars'!O:Q,3,0)</f>
        <v>#N/A</v>
      </c>
      <c r="K374" s="24" t="s">
        <v>19540</v>
      </c>
      <c r="L374" s="25" t="s">
        <v>19559</v>
      </c>
      <c r="M374" s="25" t="s">
        <v>19560</v>
      </c>
      <c r="N374" s="25" t="s">
        <v>463</v>
      </c>
      <c r="O374" s="24" t="s">
        <v>207</v>
      </c>
      <c r="P374" s="25" t="str">
        <f>"86503"</f>
        <v>86503</v>
      </c>
      <c r="Q374" s="25" t="str">
        <f>""</f>
        <v/>
      </c>
      <c r="R374" s="25" t="s">
        <v>19433</v>
      </c>
      <c r="S374" s="24" t="s">
        <v>18818</v>
      </c>
      <c r="T374" s="25" t="s">
        <v>19561</v>
      </c>
      <c r="U374" s="25" t="s">
        <v>18713</v>
      </c>
      <c r="V374" s="25" t="s">
        <v>18714</v>
      </c>
      <c r="W374" s="25" t="s">
        <v>18714</v>
      </c>
      <c r="X374" s="25" t="s">
        <v>18714</v>
      </c>
      <c r="Y374" s="24">
        <v>37</v>
      </c>
      <c r="Z374" s="25" t="s">
        <v>18723</v>
      </c>
    </row>
    <row r="375" spans="1:26" hidden="1" x14ac:dyDescent="0.2">
      <c r="A375" s="24" t="s">
        <v>19540</v>
      </c>
      <c r="B375" s="25" t="s">
        <v>19541</v>
      </c>
      <c r="C375" s="24" t="str">
        <f t="shared" si="13"/>
        <v>000</v>
      </c>
      <c r="D375" s="24" t="s">
        <v>19199</v>
      </c>
      <c r="E375" s="25" t="s">
        <v>19542</v>
      </c>
      <c r="F375" s="25" t="s">
        <v>19562</v>
      </c>
      <c r="G375" s="25" t="e">
        <f>VLOOKUP(F375,[1]CHILDCARE_FACILITIES!N:Q,4,0)</f>
        <v>#N/A</v>
      </c>
      <c r="H375" s="25" t="e">
        <f>VLOOKUP(G375,'[1]CACFP FRL'!D:G,4,0)</f>
        <v>#N/A</v>
      </c>
      <c r="I375" s="25" t="e">
        <f>VLOOKUP(G375,[1]CHILDCARE_FACILITIES!AK:AL,2,0)</f>
        <v>#N/A</v>
      </c>
      <c r="J375" s="25" t="e">
        <f>VLOOKUP(I375,'[1]Head Start QF 1-5 Stars'!O:Q,3,0)</f>
        <v>#N/A</v>
      </c>
      <c r="K375" s="24" t="s">
        <v>19540</v>
      </c>
      <c r="L375" s="25" t="s">
        <v>19563</v>
      </c>
      <c r="M375" s="25" t="s">
        <v>19564</v>
      </c>
      <c r="N375" s="25" t="s">
        <v>19562</v>
      </c>
      <c r="O375" s="24" t="s">
        <v>207</v>
      </c>
      <c r="P375" s="25" t="str">
        <f>"86033"</f>
        <v>86033</v>
      </c>
      <c r="Q375" s="25" t="str">
        <f>""</f>
        <v/>
      </c>
      <c r="R375" s="25" t="s">
        <v>19156</v>
      </c>
      <c r="S375" s="24" t="s">
        <v>18818</v>
      </c>
      <c r="T375" s="25" t="s">
        <v>19565</v>
      </c>
      <c r="U375" s="25" t="s">
        <v>18713</v>
      </c>
      <c r="V375" s="25" t="s">
        <v>18714</v>
      </c>
      <c r="W375" s="25" t="s">
        <v>18714</v>
      </c>
      <c r="X375" s="25" t="s">
        <v>18714</v>
      </c>
      <c r="Y375" s="24">
        <v>20</v>
      </c>
      <c r="Z375" s="25" t="s">
        <v>18723</v>
      </c>
    </row>
    <row r="376" spans="1:26" s="25" customFormat="1" hidden="1" x14ac:dyDescent="0.2">
      <c r="A376" s="24" t="s">
        <v>19540</v>
      </c>
      <c r="B376" s="25" t="s">
        <v>19541</v>
      </c>
      <c r="C376" s="24" t="str">
        <f t="shared" si="13"/>
        <v>000</v>
      </c>
      <c r="D376" s="24" t="s">
        <v>19199</v>
      </c>
      <c r="E376" s="25" t="s">
        <v>19542</v>
      </c>
      <c r="F376" s="25" t="s">
        <v>19566</v>
      </c>
      <c r="G376" s="25" t="e">
        <f>VLOOKUP(F376,[1]CHILDCARE_FACILITIES!N:Q,4,0)</f>
        <v>#N/A</v>
      </c>
      <c r="H376" s="25" t="e">
        <f>VLOOKUP(G376,'[1]CACFP FRL'!D:G,4,0)</f>
        <v>#N/A</v>
      </c>
      <c r="I376" s="25" t="e">
        <f>VLOOKUP(G376,[1]CHILDCARE_FACILITIES!AK:AL,2,0)</f>
        <v>#N/A</v>
      </c>
      <c r="J376" s="25" t="e">
        <f>VLOOKUP(I376,'[1]Head Start QF 1-5 Stars'!O:Q,3,0)</f>
        <v>#N/A</v>
      </c>
      <c r="K376" s="24" t="s">
        <v>19540</v>
      </c>
      <c r="L376" s="25" t="s">
        <v>19567</v>
      </c>
      <c r="M376" s="25" t="s">
        <v>19568</v>
      </c>
      <c r="N376" s="25" t="s">
        <v>19566</v>
      </c>
      <c r="O376" s="24" t="s">
        <v>207</v>
      </c>
      <c r="P376" s="25" t="str">
        <f>"86047"</f>
        <v>86047</v>
      </c>
      <c r="Q376" s="25" t="str">
        <f>""</f>
        <v/>
      </c>
      <c r="R376" s="25" t="s">
        <v>19156</v>
      </c>
      <c r="S376" s="24" t="s">
        <v>18818</v>
      </c>
      <c r="T376" s="25" t="s">
        <v>19569</v>
      </c>
      <c r="U376" s="25" t="s">
        <v>18713</v>
      </c>
      <c r="V376" s="25" t="s">
        <v>18714</v>
      </c>
      <c r="W376" s="25" t="s">
        <v>18714</v>
      </c>
      <c r="X376" s="25" t="s">
        <v>18714</v>
      </c>
      <c r="Y376" s="24">
        <v>17</v>
      </c>
      <c r="Z376" s="25" t="s">
        <v>18723</v>
      </c>
    </row>
    <row r="377" spans="1:26" hidden="1" x14ac:dyDescent="0.2">
      <c r="A377" s="23" t="s">
        <v>18912</v>
      </c>
      <c r="B377" s="22" t="s">
        <v>18913</v>
      </c>
      <c r="C377" s="23" t="str">
        <f>"200"</f>
        <v>200</v>
      </c>
      <c r="D377" s="23" t="s">
        <v>18706</v>
      </c>
      <c r="E377" s="22" t="s">
        <v>18913</v>
      </c>
      <c r="F377" s="22" t="s">
        <v>19435</v>
      </c>
      <c r="G377" s="22" t="str">
        <f>VLOOKUP(F377,[1]CHILDCARE_FACILITIES!N:Q,4,0)</f>
        <v>CDC-17805</v>
      </c>
      <c r="H377" s="22" t="e">
        <f>VLOOKUP(G377,'[1]CACFP FRL'!D:G,4,0)</f>
        <v>#N/A</v>
      </c>
      <c r="I377" s="22" t="str">
        <f>VLOOKUP(G377,[1]CHILDCARE_FACILITIES!AK:AL,2,0)</f>
        <v>CDC17805</v>
      </c>
      <c r="J377" s="22" t="e">
        <f>VLOOKUP(I377,'[1]Head Start QF 1-5 Stars'!O:Q,3,0)</f>
        <v>#N/A</v>
      </c>
      <c r="K377" s="23" t="s">
        <v>18912</v>
      </c>
      <c r="L377" s="22" t="s">
        <v>19436</v>
      </c>
      <c r="M377" s="22" t="s">
        <v>1637</v>
      </c>
      <c r="N377" s="22" t="s">
        <v>19437</v>
      </c>
      <c r="O377" s="23" t="s">
        <v>207</v>
      </c>
      <c r="P377" s="22" t="str">
        <f>"85901"</f>
        <v>85901</v>
      </c>
      <c r="Q377" s="22" t="str">
        <f>""</f>
        <v/>
      </c>
      <c r="R377" s="22" t="s">
        <v>19156</v>
      </c>
      <c r="S377" s="23" t="s">
        <v>18818</v>
      </c>
      <c r="T377" s="22" t="s">
        <v>19438</v>
      </c>
      <c r="U377" s="22" t="s">
        <v>18713</v>
      </c>
      <c r="V377" s="22" t="s">
        <v>18714</v>
      </c>
      <c r="W377" s="22" t="s">
        <v>18714</v>
      </c>
      <c r="X377" s="22" t="s">
        <v>18714</v>
      </c>
      <c r="Y377" s="23">
        <v>11</v>
      </c>
      <c r="Z377" s="22" t="s">
        <v>18723</v>
      </c>
    </row>
    <row r="378" spans="1:26" hidden="1" x14ac:dyDescent="0.2">
      <c r="A378" s="24" t="s">
        <v>19540</v>
      </c>
      <c r="B378" s="25" t="s">
        <v>19541</v>
      </c>
      <c r="C378" s="24" t="str">
        <f>"200"</f>
        <v>200</v>
      </c>
      <c r="D378" s="24" t="s">
        <v>19216</v>
      </c>
      <c r="E378" s="25" t="s">
        <v>19542</v>
      </c>
      <c r="F378" s="25" t="s">
        <v>19570</v>
      </c>
      <c r="G378" s="25" t="e">
        <f>VLOOKUP(F378,[1]CHILDCARE_FACILITIES!N:Q,4,0)</f>
        <v>#N/A</v>
      </c>
      <c r="H378" s="25" t="e">
        <f>VLOOKUP(G378,'[1]CACFP FRL'!D:G,4,0)</f>
        <v>#N/A</v>
      </c>
      <c r="I378" s="25" t="e">
        <f>VLOOKUP(G378,[1]CHILDCARE_FACILITIES!AK:AL,2,0)</f>
        <v>#N/A</v>
      </c>
      <c r="J378" s="25" t="e">
        <f>VLOOKUP(I378,'[1]Head Start QF 1-5 Stars'!O:Q,3,0)</f>
        <v>#N/A</v>
      </c>
      <c r="K378" s="24" t="s">
        <v>19540</v>
      </c>
      <c r="L378" s="25" t="s">
        <v>19571</v>
      </c>
      <c r="M378" s="25" t="s">
        <v>1637</v>
      </c>
      <c r="N378" s="25" t="s">
        <v>476</v>
      </c>
      <c r="O378" s="24" t="s">
        <v>207</v>
      </c>
      <c r="P378" s="25" t="str">
        <f>"86556"</f>
        <v>86556</v>
      </c>
      <c r="Q378" s="25" t="str">
        <f>"9998"</f>
        <v>9998</v>
      </c>
      <c r="R378" s="25" t="s">
        <v>19433</v>
      </c>
      <c r="S378" s="24" t="s">
        <v>18818</v>
      </c>
      <c r="T378" s="25" t="s">
        <v>19572</v>
      </c>
      <c r="U378" s="25" t="s">
        <v>18713</v>
      </c>
      <c r="V378" s="25" t="s">
        <v>18714</v>
      </c>
      <c r="W378" s="25" t="s">
        <v>18714</v>
      </c>
      <c r="X378" s="25" t="s">
        <v>18714</v>
      </c>
      <c r="Y378" s="24">
        <v>8</v>
      </c>
      <c r="Z378" s="25" t="s">
        <v>18723</v>
      </c>
    </row>
    <row r="379" spans="1:26" hidden="1" x14ac:dyDescent="0.2">
      <c r="A379" s="24" t="s">
        <v>19540</v>
      </c>
      <c r="B379" s="25" t="s">
        <v>19541</v>
      </c>
      <c r="C379" s="24" t="str">
        <f>"200"</f>
        <v>200</v>
      </c>
      <c r="D379" s="24" t="s">
        <v>19216</v>
      </c>
      <c r="E379" s="25" t="s">
        <v>19542</v>
      </c>
      <c r="F379" s="25" t="s">
        <v>19573</v>
      </c>
      <c r="G379" s="25" t="e">
        <f>VLOOKUP(F379,[1]CHILDCARE_FACILITIES!N:Q,4,0)</f>
        <v>#N/A</v>
      </c>
      <c r="H379" s="25" t="e">
        <f>VLOOKUP(G379,'[1]CACFP FRL'!D:G,4,0)</f>
        <v>#N/A</v>
      </c>
      <c r="I379" s="25" t="e">
        <f>VLOOKUP(G379,[1]CHILDCARE_FACILITIES!AK:AL,2,0)</f>
        <v>#N/A</v>
      </c>
      <c r="J379" s="25" t="e">
        <f>VLOOKUP(I379,'[1]Head Start QF 1-5 Stars'!O:Q,3,0)</f>
        <v>#N/A</v>
      </c>
      <c r="K379" s="24" t="s">
        <v>19540</v>
      </c>
      <c r="L379" s="25" t="s">
        <v>19574</v>
      </c>
      <c r="M379" s="25" t="s">
        <v>19575</v>
      </c>
      <c r="N379" s="25" t="s">
        <v>479</v>
      </c>
      <c r="O379" s="24" t="s">
        <v>207</v>
      </c>
      <c r="P379" s="25" t="str">
        <f>"86504"</f>
        <v>86504</v>
      </c>
      <c r="Q379" s="25" t="str">
        <f>""</f>
        <v/>
      </c>
      <c r="R379" s="25" t="s">
        <v>19433</v>
      </c>
      <c r="S379" s="24" t="s">
        <v>18818</v>
      </c>
      <c r="T379" s="25" t="s">
        <v>19576</v>
      </c>
      <c r="U379" s="25" t="s">
        <v>18713</v>
      </c>
      <c r="V379" s="25" t="s">
        <v>18714</v>
      </c>
      <c r="W379" s="25" t="s">
        <v>18714</v>
      </c>
      <c r="X379" s="25" t="s">
        <v>18714</v>
      </c>
      <c r="Y379" s="24">
        <v>12</v>
      </c>
      <c r="Z379" s="25" t="s">
        <v>18723</v>
      </c>
    </row>
    <row r="380" spans="1:26" hidden="1" x14ac:dyDescent="0.2">
      <c r="A380" s="24" t="s">
        <v>19540</v>
      </c>
      <c r="B380" s="25" t="s">
        <v>19541</v>
      </c>
      <c r="C380" s="24" t="str">
        <f>"000"</f>
        <v>000</v>
      </c>
      <c r="D380" s="24" t="s">
        <v>19199</v>
      </c>
      <c r="E380" s="25" t="s">
        <v>19542</v>
      </c>
      <c r="F380" s="25" t="s">
        <v>451</v>
      </c>
      <c r="G380" s="25" t="e">
        <f>VLOOKUP(F380,[1]CHILDCARE_FACILITIES!N:Q,4,0)</f>
        <v>#N/A</v>
      </c>
      <c r="H380" s="25" t="e">
        <f>VLOOKUP(G380,'[1]CACFP FRL'!D:G,4,0)</f>
        <v>#N/A</v>
      </c>
      <c r="I380" s="25" t="e">
        <f>VLOOKUP(G380,[1]CHILDCARE_FACILITIES!AK:AL,2,0)</f>
        <v>#N/A</v>
      </c>
      <c r="J380" s="25" t="e">
        <f>VLOOKUP(I380,'[1]Head Start QF 1-5 Stars'!O:Q,3,0)</f>
        <v>#N/A</v>
      </c>
      <c r="K380" s="24" t="s">
        <v>19540</v>
      </c>
      <c r="L380" s="25" t="s">
        <v>19577</v>
      </c>
      <c r="M380" s="25" t="s">
        <v>19578</v>
      </c>
      <c r="N380" s="25" t="s">
        <v>451</v>
      </c>
      <c r="O380" s="24" t="s">
        <v>207</v>
      </c>
      <c r="P380" s="25" t="str">
        <f>"86505"</f>
        <v>86505</v>
      </c>
      <c r="Q380" s="25" t="str">
        <f>""</f>
        <v/>
      </c>
      <c r="R380" s="25" t="s">
        <v>19433</v>
      </c>
      <c r="S380" s="24" t="s">
        <v>18818</v>
      </c>
      <c r="T380" s="25" t="s">
        <v>19579</v>
      </c>
      <c r="U380" s="25" t="s">
        <v>18713</v>
      </c>
      <c r="V380" s="25" t="s">
        <v>18714</v>
      </c>
      <c r="W380" s="25" t="s">
        <v>18714</v>
      </c>
      <c r="X380" s="25" t="s">
        <v>18714</v>
      </c>
      <c r="Y380" s="24">
        <v>17</v>
      </c>
      <c r="Z380" s="25" t="s">
        <v>18723</v>
      </c>
    </row>
    <row r="381" spans="1:26" hidden="1" x14ac:dyDescent="0.2">
      <c r="A381" s="24" t="s">
        <v>19540</v>
      </c>
      <c r="B381" s="25" t="s">
        <v>19541</v>
      </c>
      <c r="C381" s="24" t="str">
        <f>"000"</f>
        <v>000</v>
      </c>
      <c r="D381" s="24" t="s">
        <v>19199</v>
      </c>
      <c r="E381" s="25" t="s">
        <v>19542</v>
      </c>
      <c r="F381" s="25" t="s">
        <v>19580</v>
      </c>
      <c r="G381" s="25" t="e">
        <f>VLOOKUP(F381,[1]CHILDCARE_FACILITIES!N:Q,4,0)</f>
        <v>#N/A</v>
      </c>
      <c r="H381" s="25" t="e">
        <f>VLOOKUP(G381,'[1]CACFP FRL'!D:G,4,0)</f>
        <v>#N/A</v>
      </c>
      <c r="I381" s="25" t="e">
        <f>VLOOKUP(G381,[1]CHILDCARE_FACILITIES!AK:AL,2,0)</f>
        <v>#N/A</v>
      </c>
      <c r="J381" s="25" t="e">
        <f>VLOOKUP(I381,'[1]Head Start QF 1-5 Stars'!O:Q,3,0)</f>
        <v>#N/A</v>
      </c>
      <c r="K381" s="24" t="s">
        <v>19540</v>
      </c>
      <c r="L381" s="25" t="s">
        <v>19581</v>
      </c>
      <c r="M381" s="25" t="s">
        <v>1637</v>
      </c>
      <c r="N381" s="25" t="s">
        <v>402</v>
      </c>
      <c r="O381" s="24" t="s">
        <v>207</v>
      </c>
      <c r="P381" s="25" t="str">
        <f>"86520"</f>
        <v>86520</v>
      </c>
      <c r="Q381" s="25" t="str">
        <f>""</f>
        <v/>
      </c>
      <c r="R381" s="25" t="s">
        <v>19091</v>
      </c>
      <c r="S381" s="24" t="s">
        <v>18818</v>
      </c>
      <c r="T381" s="25" t="s">
        <v>19582</v>
      </c>
      <c r="U381" s="25" t="s">
        <v>18713</v>
      </c>
      <c r="V381" s="25" t="s">
        <v>18714</v>
      </c>
      <c r="W381" s="25" t="s">
        <v>18714</v>
      </c>
      <c r="X381" s="25" t="s">
        <v>18714</v>
      </c>
      <c r="Y381" s="24">
        <v>17</v>
      </c>
      <c r="Z381" s="25" t="s">
        <v>18723</v>
      </c>
    </row>
    <row r="382" spans="1:26" hidden="1" x14ac:dyDescent="0.2">
      <c r="A382" s="23" t="s">
        <v>18716</v>
      </c>
      <c r="B382" s="22" t="s">
        <v>18717</v>
      </c>
      <c r="C382" s="23" t="str">
        <f>"200"</f>
        <v>200</v>
      </c>
      <c r="D382" s="23" t="s">
        <v>18706</v>
      </c>
      <c r="E382" s="22" t="s">
        <v>18717</v>
      </c>
      <c r="F382" s="22" t="s">
        <v>1087</v>
      </c>
      <c r="G382" s="22" t="str">
        <f>VLOOKUP(F382,[1]CHILDCARE_FACILITIES!N:Q,4,0)</f>
        <v>CDC-6222</v>
      </c>
      <c r="H382" s="22" t="e">
        <f>VLOOKUP(G382,'[1]CACFP FRL'!D:G,4,0)</f>
        <v>#N/A</v>
      </c>
      <c r="I382" s="22" t="str">
        <f>VLOOKUP(G382,[1]CHILDCARE_FACILITIES!AK:AL,2,0)</f>
        <v>CDC6222</v>
      </c>
      <c r="J382" s="22" t="e">
        <f>VLOOKUP(I382,'[1]Head Start QF 1-5 Stars'!O:Q,3,0)</f>
        <v>#N/A</v>
      </c>
      <c r="K382" s="23" t="s">
        <v>18716</v>
      </c>
      <c r="L382" s="22" t="s">
        <v>18788</v>
      </c>
      <c r="M382" s="22" t="s">
        <v>1637</v>
      </c>
      <c r="N382" s="22" t="s">
        <v>379</v>
      </c>
      <c r="O382" s="23" t="s">
        <v>207</v>
      </c>
      <c r="P382" s="22" t="str">
        <f>"85301"</f>
        <v>85301</v>
      </c>
      <c r="Q382" s="22" t="str">
        <f>"8024"</f>
        <v>8024</v>
      </c>
      <c r="R382" s="22" t="s">
        <v>18710</v>
      </c>
      <c r="S382" s="23" t="s">
        <v>18737</v>
      </c>
      <c r="T382" s="22" t="s">
        <v>19583</v>
      </c>
      <c r="U382" s="22" t="s">
        <v>18713</v>
      </c>
      <c r="V382" s="22" t="s">
        <v>18731</v>
      </c>
      <c r="W382" s="22" t="s">
        <v>18731</v>
      </c>
      <c r="X382" s="22" t="s">
        <v>18731</v>
      </c>
      <c r="Y382" s="23">
        <v>16</v>
      </c>
      <c r="Z382" s="22" t="s">
        <v>18723</v>
      </c>
    </row>
    <row r="383" spans="1:26" hidden="1" x14ac:dyDescent="0.2">
      <c r="A383" s="23" t="s">
        <v>18912</v>
      </c>
      <c r="B383" s="22" t="s">
        <v>18913</v>
      </c>
      <c r="C383" s="23" t="str">
        <f>"200"</f>
        <v>200</v>
      </c>
      <c r="D383" s="23" t="s">
        <v>18706</v>
      </c>
      <c r="E383" s="22" t="s">
        <v>18913</v>
      </c>
      <c r="F383" s="22" t="s">
        <v>19444</v>
      </c>
      <c r="G383" s="22" t="str">
        <f>VLOOKUP(F383,[1]CHILDCARE_FACILITIES!N:Q,4,0)</f>
        <v>CDC-1629</v>
      </c>
      <c r="H383" s="22" t="e">
        <f>VLOOKUP(G383,'[1]CACFP FRL'!D:G,4,0)</f>
        <v>#N/A</v>
      </c>
      <c r="I383" s="22" t="str">
        <f>VLOOKUP(G383,[1]CHILDCARE_FACILITIES!AK:AL,2,0)</f>
        <v>CDC1629</v>
      </c>
      <c r="J383" s="22" t="e">
        <f>VLOOKUP(I383,'[1]Head Start QF 1-5 Stars'!O:Q,3,0)</f>
        <v>#N/A</v>
      </c>
      <c r="K383" s="23" t="s">
        <v>18912</v>
      </c>
      <c r="L383" s="22" t="s">
        <v>19445</v>
      </c>
      <c r="M383" s="22" t="s">
        <v>1637</v>
      </c>
      <c r="N383" s="22" t="s">
        <v>1473</v>
      </c>
      <c r="O383" s="23" t="s">
        <v>207</v>
      </c>
      <c r="P383" s="22" t="str">
        <f>"85937"</f>
        <v>85937</v>
      </c>
      <c r="Q383" s="22" t="str">
        <f>""</f>
        <v/>
      </c>
      <c r="R383" s="22" t="s">
        <v>19156</v>
      </c>
      <c r="S383" s="23" t="s">
        <v>18818</v>
      </c>
      <c r="T383" s="22" t="s">
        <v>19446</v>
      </c>
      <c r="U383" s="22" t="s">
        <v>18713</v>
      </c>
      <c r="V383" s="22" t="s">
        <v>18731</v>
      </c>
      <c r="W383" s="22" t="s">
        <v>18731</v>
      </c>
      <c r="X383" s="22" t="s">
        <v>18731</v>
      </c>
      <c r="Y383" s="23">
        <v>11</v>
      </c>
      <c r="Z383" s="22" t="s">
        <v>18723</v>
      </c>
    </row>
    <row r="384" spans="1:26" hidden="1" x14ac:dyDescent="0.2">
      <c r="A384" s="24" t="s">
        <v>19540</v>
      </c>
      <c r="B384" s="25" t="s">
        <v>19541</v>
      </c>
      <c r="C384" s="24" t="str">
        <f>"000"</f>
        <v>000</v>
      </c>
      <c r="D384" s="24" t="s">
        <v>19199</v>
      </c>
      <c r="E384" s="25" t="s">
        <v>19542</v>
      </c>
      <c r="F384" s="25" t="s">
        <v>19584</v>
      </c>
      <c r="G384" s="25" t="e">
        <f>VLOOKUP(F384,[1]CHILDCARE_FACILITIES!N:Q,4,0)</f>
        <v>#N/A</v>
      </c>
      <c r="H384" s="25" t="e">
        <f>VLOOKUP(G384,'[1]CACFP FRL'!D:G,4,0)</f>
        <v>#N/A</v>
      </c>
      <c r="I384" s="25" t="e">
        <f>VLOOKUP(G384,[1]CHILDCARE_FACILITIES!AK:AL,2,0)</f>
        <v>#N/A</v>
      </c>
      <c r="J384" s="25" t="e">
        <f>VLOOKUP(I384,'[1]Head Start QF 1-5 Stars'!O:Q,3,0)</f>
        <v>#N/A</v>
      </c>
      <c r="K384" s="24" t="s">
        <v>19540</v>
      </c>
      <c r="L384" s="25" t="s">
        <v>19585</v>
      </c>
      <c r="M384" s="25" t="s">
        <v>1637</v>
      </c>
      <c r="N384" s="25" t="s">
        <v>19556</v>
      </c>
      <c r="O384" s="24" t="s">
        <v>207</v>
      </c>
      <c r="P384" s="25" t="str">
        <f>"86044"</f>
        <v>86044</v>
      </c>
      <c r="Q384" s="25" t="str">
        <f>""</f>
        <v/>
      </c>
      <c r="R384" s="25" t="s">
        <v>19091</v>
      </c>
      <c r="S384" s="24" t="s">
        <v>18818</v>
      </c>
      <c r="T384" s="25" t="s">
        <v>19586</v>
      </c>
      <c r="U384" s="25" t="s">
        <v>18713</v>
      </c>
      <c r="V384" s="25" t="s">
        <v>18714</v>
      </c>
      <c r="W384" s="25" t="s">
        <v>18714</v>
      </c>
      <c r="X384" s="25" t="s">
        <v>18714</v>
      </c>
      <c r="Y384" s="24">
        <v>18</v>
      </c>
      <c r="Z384" s="25" t="s">
        <v>18723</v>
      </c>
    </row>
    <row r="385" spans="1:26" hidden="1" x14ac:dyDescent="0.2">
      <c r="A385" s="23" t="s">
        <v>19037</v>
      </c>
      <c r="B385" s="22" t="s">
        <v>18874</v>
      </c>
      <c r="C385" s="23" t="str">
        <f>"200"</f>
        <v>200</v>
      </c>
      <c r="D385" s="23" t="s">
        <v>18706</v>
      </c>
      <c r="E385" s="22" t="s">
        <v>18875</v>
      </c>
      <c r="F385" s="22" t="s">
        <v>19587</v>
      </c>
      <c r="G385" s="22" t="str">
        <f>VLOOKUP(F385,[1]CHILDCARE_FACILITIES!N:Q,4,0)</f>
        <v>CDC-17485</v>
      </c>
      <c r="H385" s="22" t="e">
        <f>VLOOKUP(G385,'[1]CACFP FRL'!D:G,4,0)</f>
        <v>#N/A</v>
      </c>
      <c r="I385" s="22" t="str">
        <f>VLOOKUP(G385,[1]CHILDCARE_FACILITIES!AK:AL,2,0)</f>
        <v>CDC17485</v>
      </c>
      <c r="J385" s="22" t="e">
        <f>VLOOKUP(I385,'[1]Head Start QF 1-5 Stars'!O:Q,3,0)</f>
        <v>#N/A</v>
      </c>
      <c r="K385" s="23" t="s">
        <v>19037</v>
      </c>
      <c r="L385" s="22" t="s">
        <v>630</v>
      </c>
      <c r="M385" s="22" t="s">
        <v>1637</v>
      </c>
      <c r="N385" s="22" t="s">
        <v>495</v>
      </c>
      <c r="O385" s="23" t="s">
        <v>207</v>
      </c>
      <c r="P385" s="22" t="str">
        <f>"85015"</f>
        <v>85015</v>
      </c>
      <c r="Q385" s="22" t="str">
        <f>"2616"</f>
        <v>2616</v>
      </c>
      <c r="R385" s="22" t="s">
        <v>18710</v>
      </c>
      <c r="S385" s="23" t="s">
        <v>18737</v>
      </c>
      <c r="T385" s="22" t="s">
        <v>19039</v>
      </c>
      <c r="U385" s="22" t="s">
        <v>18713</v>
      </c>
      <c r="V385" s="22" t="s">
        <v>18731</v>
      </c>
      <c r="W385" s="22" t="s">
        <v>18731</v>
      </c>
      <c r="X385" s="22" t="s">
        <v>18731</v>
      </c>
      <c r="Y385" s="23">
        <v>24</v>
      </c>
      <c r="Z385" s="22" t="s">
        <v>18723</v>
      </c>
    </row>
    <row r="386" spans="1:26" hidden="1" x14ac:dyDescent="0.2">
      <c r="A386" s="24" t="s">
        <v>19540</v>
      </c>
      <c r="B386" s="25" t="s">
        <v>19541</v>
      </c>
      <c r="C386" s="24" t="str">
        <f>"000"</f>
        <v>000</v>
      </c>
      <c r="D386" s="24" t="s">
        <v>19199</v>
      </c>
      <c r="E386" s="25" t="s">
        <v>19542</v>
      </c>
      <c r="F386" s="25" t="s">
        <v>432</v>
      </c>
      <c r="G386" s="25" t="e">
        <f>VLOOKUP(F386,[1]CHILDCARE_FACILITIES!N:Q,4,0)</f>
        <v>#N/A</v>
      </c>
      <c r="H386" s="25" t="e">
        <f>VLOOKUP(G386,'[1]CACFP FRL'!D:G,4,0)</f>
        <v>#N/A</v>
      </c>
      <c r="I386" s="25" t="e">
        <f>VLOOKUP(G386,[1]CHILDCARE_FACILITIES!AK:AL,2,0)</f>
        <v>#N/A</v>
      </c>
      <c r="J386" s="25" t="e">
        <f>VLOOKUP(I386,'[1]Head Start QF 1-5 Stars'!O:Q,3,0)</f>
        <v>#N/A</v>
      </c>
      <c r="K386" s="24" t="s">
        <v>19540</v>
      </c>
      <c r="L386" s="25" t="s">
        <v>19588</v>
      </c>
      <c r="M386" s="25" t="s">
        <v>19589</v>
      </c>
      <c r="N386" s="25" t="s">
        <v>432</v>
      </c>
      <c r="O386" s="24" t="s">
        <v>207</v>
      </c>
      <c r="P386" s="25" t="str">
        <f>"86515"</f>
        <v>86515</v>
      </c>
      <c r="Q386" s="25" t="str">
        <f>""</f>
        <v/>
      </c>
      <c r="R386" s="25" t="s">
        <v>19156</v>
      </c>
      <c r="S386" s="24" t="s">
        <v>18818</v>
      </c>
      <c r="T386" s="25" t="s">
        <v>19590</v>
      </c>
      <c r="U386" s="25" t="s">
        <v>18713</v>
      </c>
      <c r="V386" s="25" t="s">
        <v>18714</v>
      </c>
      <c r="W386" s="25" t="s">
        <v>18714</v>
      </c>
      <c r="X386" s="25" t="s">
        <v>18714</v>
      </c>
      <c r="Y386" s="24">
        <v>18</v>
      </c>
      <c r="Z386" s="25" t="s">
        <v>18723</v>
      </c>
    </row>
    <row r="387" spans="1:26" s="25" customFormat="1" hidden="1" x14ac:dyDescent="0.2">
      <c r="A387" s="24" t="s">
        <v>19540</v>
      </c>
      <c r="B387" s="25" t="s">
        <v>19541</v>
      </c>
      <c r="C387" s="24" t="str">
        <f>"000"</f>
        <v>000</v>
      </c>
      <c r="D387" s="24" t="s">
        <v>19199</v>
      </c>
      <c r="E387" s="25" t="s">
        <v>19542</v>
      </c>
      <c r="F387" s="25" t="s">
        <v>424</v>
      </c>
      <c r="G387" s="25" t="e">
        <f>VLOOKUP(F387,[1]CHILDCARE_FACILITIES!N:Q,4,0)</f>
        <v>#N/A</v>
      </c>
      <c r="H387" s="25" t="e">
        <f>VLOOKUP(G387,'[1]CACFP FRL'!D:G,4,0)</f>
        <v>#N/A</v>
      </c>
      <c r="I387" s="25" t="e">
        <f>VLOOKUP(G387,[1]CHILDCARE_FACILITIES!AK:AL,2,0)</f>
        <v>#N/A</v>
      </c>
      <c r="J387" s="25" t="e">
        <f>VLOOKUP(I387,'[1]Head Start QF 1-5 Stars'!O:Q,3,0)</f>
        <v>#N/A</v>
      </c>
      <c r="K387" s="24" t="s">
        <v>19540</v>
      </c>
      <c r="L387" s="25" t="s">
        <v>19591</v>
      </c>
      <c r="M387" s="25" t="s">
        <v>1637</v>
      </c>
      <c r="N387" s="25" t="s">
        <v>424</v>
      </c>
      <c r="O387" s="24" t="s">
        <v>207</v>
      </c>
      <c r="P387" s="25" t="str">
        <f>"86033"</f>
        <v>86033</v>
      </c>
      <c r="Q387" s="25" t="str">
        <f>""</f>
        <v/>
      </c>
      <c r="R387" s="25" t="s">
        <v>19156</v>
      </c>
      <c r="S387" s="24" t="s">
        <v>18818</v>
      </c>
      <c r="T387" s="25" t="s">
        <v>19592</v>
      </c>
      <c r="U387" s="25" t="s">
        <v>18713</v>
      </c>
      <c r="V387" s="25" t="s">
        <v>18714</v>
      </c>
      <c r="W387" s="25" t="s">
        <v>18714</v>
      </c>
      <c r="X387" s="25" t="s">
        <v>18714</v>
      </c>
      <c r="Y387" s="24">
        <v>49</v>
      </c>
      <c r="Z387" s="25" t="s">
        <v>18723</v>
      </c>
    </row>
    <row r="388" spans="1:26" s="25" customFormat="1" hidden="1" x14ac:dyDescent="0.2">
      <c r="A388" s="24" t="s">
        <v>18796</v>
      </c>
      <c r="B388" s="25" t="s">
        <v>18705</v>
      </c>
      <c r="C388" s="24" t="str">
        <f>"200"</f>
        <v>200</v>
      </c>
      <c r="D388" s="24" t="s">
        <v>18706</v>
      </c>
      <c r="E388" s="25" t="s">
        <v>18797</v>
      </c>
      <c r="F388" s="25" t="s">
        <v>19343</v>
      </c>
      <c r="G388" s="25" t="e">
        <f>VLOOKUP(F388,[1]CHILDCARE_FACILITIES!N:Q,4,0)</f>
        <v>#N/A</v>
      </c>
      <c r="H388" s="25" t="e">
        <f>VLOOKUP(G388,'[1]CACFP FRL'!D:G,4,0)</f>
        <v>#N/A</v>
      </c>
      <c r="I388" s="25" t="e">
        <f>VLOOKUP(G388,[1]CHILDCARE_FACILITIES!AK:AL,2,0)</f>
        <v>#N/A</v>
      </c>
      <c r="J388" s="25" t="e">
        <f>VLOOKUP(I388,'[1]Head Start QF 1-5 Stars'!O:Q,3,0)</f>
        <v>#N/A</v>
      </c>
      <c r="K388" s="24" t="s">
        <v>18796</v>
      </c>
      <c r="L388" s="25" t="s">
        <v>19344</v>
      </c>
      <c r="M388" s="25" t="s">
        <v>1637</v>
      </c>
      <c r="N388" s="25" t="s">
        <v>724</v>
      </c>
      <c r="O388" s="24" t="s">
        <v>207</v>
      </c>
      <c r="P388" s="25" t="str">
        <f>"85225"</f>
        <v>85225</v>
      </c>
      <c r="Q388" s="25" t="str">
        <f>"4439"</f>
        <v>4439</v>
      </c>
      <c r="R388" s="25" t="s">
        <v>18710</v>
      </c>
      <c r="S388" s="24" t="s">
        <v>18711</v>
      </c>
      <c r="T388" s="25" t="s">
        <v>19345</v>
      </c>
      <c r="U388" s="25" t="s">
        <v>18713</v>
      </c>
      <c r="V388" s="25" t="s">
        <v>18714</v>
      </c>
      <c r="W388" s="25" t="s">
        <v>18714</v>
      </c>
      <c r="X388" s="25" t="s">
        <v>18714</v>
      </c>
      <c r="Y388" s="24">
        <v>32</v>
      </c>
      <c r="Z388" s="25" t="s">
        <v>18723</v>
      </c>
    </row>
    <row r="389" spans="1:26" hidden="1" x14ac:dyDescent="0.2">
      <c r="A389" s="24" t="s">
        <v>19540</v>
      </c>
      <c r="B389" s="25" t="s">
        <v>19541</v>
      </c>
      <c r="C389" s="24" t="str">
        <f>"000"</f>
        <v>000</v>
      </c>
      <c r="D389" s="24" t="s">
        <v>19199</v>
      </c>
      <c r="E389" s="25" t="s">
        <v>19542</v>
      </c>
      <c r="F389" s="25" t="s">
        <v>19593</v>
      </c>
      <c r="G389" s="25" t="e">
        <f>VLOOKUP(F389,[1]CHILDCARE_FACILITIES!N:Q,4,0)</f>
        <v>#N/A</v>
      </c>
      <c r="H389" s="25" t="e">
        <f>VLOOKUP(G389,'[1]CACFP FRL'!D:G,4,0)</f>
        <v>#N/A</v>
      </c>
      <c r="I389" s="25" t="e">
        <f>VLOOKUP(G389,[1]CHILDCARE_FACILITIES!AK:AL,2,0)</f>
        <v>#N/A</v>
      </c>
      <c r="J389" s="25" t="e">
        <f>VLOOKUP(I389,'[1]Head Start QF 1-5 Stars'!O:Q,3,0)</f>
        <v>#N/A</v>
      </c>
      <c r="K389" s="24" t="s">
        <v>19540</v>
      </c>
      <c r="L389" s="25" t="s">
        <v>19594</v>
      </c>
      <c r="M389" s="25" t="s">
        <v>1637</v>
      </c>
      <c r="N389" s="25" t="s">
        <v>19595</v>
      </c>
      <c r="O389" s="24" t="s">
        <v>207</v>
      </c>
      <c r="P389" s="25" t="str">
        <f>"86505"</f>
        <v>86505</v>
      </c>
      <c r="Q389" s="25" t="str">
        <f>""</f>
        <v/>
      </c>
      <c r="R389" s="25" t="s">
        <v>19433</v>
      </c>
      <c r="S389" s="24" t="s">
        <v>18818</v>
      </c>
      <c r="T389" s="25" t="s">
        <v>19596</v>
      </c>
      <c r="U389" s="25" t="s">
        <v>18713</v>
      </c>
      <c r="V389" s="25" t="s">
        <v>18714</v>
      </c>
      <c r="W389" s="25" t="s">
        <v>18714</v>
      </c>
      <c r="X389" s="25" t="s">
        <v>18714</v>
      </c>
      <c r="Y389" s="24">
        <v>20</v>
      </c>
      <c r="Z389" s="25" t="s">
        <v>18723</v>
      </c>
    </row>
    <row r="390" spans="1:26" hidden="1" x14ac:dyDescent="0.2">
      <c r="A390" s="24" t="s">
        <v>19540</v>
      </c>
      <c r="B390" s="25" t="s">
        <v>19541</v>
      </c>
      <c r="C390" s="24" t="str">
        <f>"000"</f>
        <v>000</v>
      </c>
      <c r="D390" s="24" t="s">
        <v>19199</v>
      </c>
      <c r="E390" s="25" t="s">
        <v>19542</v>
      </c>
      <c r="F390" s="25" t="s">
        <v>19597</v>
      </c>
      <c r="G390" s="25" t="e">
        <f>VLOOKUP(F390,[1]CHILDCARE_FACILITIES!N:Q,4,0)</f>
        <v>#N/A</v>
      </c>
      <c r="H390" s="25" t="e">
        <f>VLOOKUP(G390,'[1]CACFP FRL'!D:G,4,0)</f>
        <v>#N/A</v>
      </c>
      <c r="I390" s="25" t="e">
        <f>VLOOKUP(G390,[1]CHILDCARE_FACILITIES!AK:AL,2,0)</f>
        <v>#N/A</v>
      </c>
      <c r="J390" s="25" t="e">
        <f>VLOOKUP(I390,'[1]Head Start QF 1-5 Stars'!O:Q,3,0)</f>
        <v>#N/A</v>
      </c>
      <c r="K390" s="24" t="s">
        <v>19540</v>
      </c>
      <c r="L390" s="25" t="s">
        <v>19598</v>
      </c>
      <c r="M390" s="25" t="s">
        <v>19599</v>
      </c>
      <c r="N390" s="25" t="s">
        <v>19597</v>
      </c>
      <c r="O390" s="24" t="s">
        <v>207</v>
      </c>
      <c r="P390" s="25" t="str">
        <f>"86515"</f>
        <v>86515</v>
      </c>
      <c r="Q390" s="25" t="str">
        <f>""</f>
        <v/>
      </c>
      <c r="R390" s="25" t="s">
        <v>19433</v>
      </c>
      <c r="S390" s="24" t="s">
        <v>18818</v>
      </c>
      <c r="T390" s="25" t="s">
        <v>19600</v>
      </c>
      <c r="U390" s="25" t="s">
        <v>18713</v>
      </c>
      <c r="V390" s="25" t="s">
        <v>18714</v>
      </c>
      <c r="W390" s="25" t="s">
        <v>18714</v>
      </c>
      <c r="X390" s="25" t="s">
        <v>18714</v>
      </c>
      <c r="Y390" s="24">
        <v>17</v>
      </c>
      <c r="Z390" s="25" t="s">
        <v>18723</v>
      </c>
    </row>
    <row r="391" spans="1:26" s="25" customFormat="1" hidden="1" x14ac:dyDescent="0.2">
      <c r="A391" s="24" t="s">
        <v>19540</v>
      </c>
      <c r="B391" s="25" t="s">
        <v>19541</v>
      </c>
      <c r="C391" s="24" t="str">
        <f>"000"</f>
        <v>000</v>
      </c>
      <c r="D391" s="24" t="s">
        <v>19199</v>
      </c>
      <c r="E391" s="25" t="s">
        <v>19542</v>
      </c>
      <c r="F391" s="25" t="s">
        <v>19601</v>
      </c>
      <c r="G391" s="25" t="e">
        <f>VLOOKUP(F391,[1]CHILDCARE_FACILITIES!N:Q,4,0)</f>
        <v>#N/A</v>
      </c>
      <c r="H391" s="25" t="e">
        <f>VLOOKUP(G391,'[1]CACFP FRL'!D:G,4,0)</f>
        <v>#N/A</v>
      </c>
      <c r="I391" s="25" t="e">
        <f>VLOOKUP(G391,[1]CHILDCARE_FACILITIES!AK:AL,2,0)</f>
        <v>#N/A</v>
      </c>
      <c r="J391" s="25" t="e">
        <f>VLOOKUP(I391,'[1]Head Start QF 1-5 Stars'!O:Q,3,0)</f>
        <v>#N/A</v>
      </c>
      <c r="K391" s="24" t="s">
        <v>19540</v>
      </c>
      <c r="L391" s="25" t="s">
        <v>19602</v>
      </c>
      <c r="M391" s="25" t="s">
        <v>1637</v>
      </c>
      <c r="N391" s="25" t="s">
        <v>19603</v>
      </c>
      <c r="O391" s="24" t="s">
        <v>207</v>
      </c>
      <c r="P391" s="25" t="str">
        <f>"86035"</f>
        <v>86035</v>
      </c>
      <c r="Q391" s="25" t="str">
        <f>""</f>
        <v/>
      </c>
      <c r="R391" s="25" t="s">
        <v>19091</v>
      </c>
      <c r="S391" s="24" t="s">
        <v>18818</v>
      </c>
      <c r="T391" s="25" t="s">
        <v>19604</v>
      </c>
      <c r="U391" s="25" t="s">
        <v>18713</v>
      </c>
      <c r="V391" s="25" t="s">
        <v>18714</v>
      </c>
      <c r="W391" s="25" t="s">
        <v>18714</v>
      </c>
      <c r="X391" s="25" t="s">
        <v>18714</v>
      </c>
      <c r="Y391" s="24">
        <v>13</v>
      </c>
      <c r="Z391" s="25" t="s">
        <v>18723</v>
      </c>
    </row>
    <row r="392" spans="1:26" s="25" customFormat="1" hidden="1" x14ac:dyDescent="0.2">
      <c r="A392" s="24" t="s">
        <v>19540</v>
      </c>
      <c r="B392" s="25" t="s">
        <v>19541</v>
      </c>
      <c r="C392" s="24" t="str">
        <f>"000"</f>
        <v>000</v>
      </c>
      <c r="D392" s="24" t="s">
        <v>19199</v>
      </c>
      <c r="E392" s="25" t="s">
        <v>19542</v>
      </c>
      <c r="F392" s="25" t="s">
        <v>19605</v>
      </c>
      <c r="G392" s="25" t="e">
        <f>VLOOKUP(F392,[1]CHILDCARE_FACILITIES!N:Q,4,0)</f>
        <v>#N/A</v>
      </c>
      <c r="H392" s="25" t="e">
        <f>VLOOKUP(G392,'[1]CACFP FRL'!D:G,4,0)</f>
        <v>#N/A</v>
      </c>
      <c r="I392" s="25" t="e">
        <f>VLOOKUP(G392,[1]CHILDCARE_FACILITIES!AK:AL,2,0)</f>
        <v>#N/A</v>
      </c>
      <c r="J392" s="25" t="e">
        <f>VLOOKUP(I392,'[1]Head Start QF 1-5 Stars'!O:Q,3,0)</f>
        <v>#N/A</v>
      </c>
      <c r="K392" s="24" t="s">
        <v>19540</v>
      </c>
      <c r="L392" s="25" t="s">
        <v>19606</v>
      </c>
      <c r="M392" s="25" t="s">
        <v>1637</v>
      </c>
      <c r="N392" s="25" t="s">
        <v>19605</v>
      </c>
      <c r="O392" s="24" t="s">
        <v>207</v>
      </c>
      <c r="P392" s="25" t="str">
        <f>"86507"</f>
        <v>86507</v>
      </c>
      <c r="Q392" s="25" t="str">
        <f>""</f>
        <v/>
      </c>
      <c r="R392" s="25" t="s">
        <v>19433</v>
      </c>
      <c r="S392" s="24" t="s">
        <v>18818</v>
      </c>
      <c r="T392" s="25" t="s">
        <v>19607</v>
      </c>
      <c r="U392" s="25" t="s">
        <v>18713</v>
      </c>
      <c r="V392" s="25" t="s">
        <v>18714</v>
      </c>
      <c r="W392" s="25" t="s">
        <v>18714</v>
      </c>
      <c r="X392" s="25" t="s">
        <v>18714</v>
      </c>
      <c r="Y392" s="24">
        <v>39</v>
      </c>
      <c r="Z392" s="25" t="s">
        <v>18723</v>
      </c>
    </row>
    <row r="393" spans="1:26" s="25" customFormat="1" hidden="1" x14ac:dyDescent="0.2">
      <c r="A393" s="24" t="s">
        <v>19540</v>
      </c>
      <c r="B393" s="25" t="s">
        <v>19541</v>
      </c>
      <c r="C393" s="24" t="str">
        <f>"000"</f>
        <v>000</v>
      </c>
      <c r="D393" s="24" t="s">
        <v>19199</v>
      </c>
      <c r="E393" s="25" t="s">
        <v>19542</v>
      </c>
      <c r="F393" s="25" t="s">
        <v>19608</v>
      </c>
      <c r="G393" s="25" t="e">
        <f>VLOOKUP(F393,[1]CHILDCARE_FACILITIES!N:Q,4,0)</f>
        <v>#N/A</v>
      </c>
      <c r="H393" s="25" t="e">
        <f>VLOOKUP(G393,'[1]CACFP FRL'!D:G,4,0)</f>
        <v>#N/A</v>
      </c>
      <c r="I393" s="25" t="e">
        <f>VLOOKUP(G393,[1]CHILDCARE_FACILITIES!AK:AL,2,0)</f>
        <v>#N/A</v>
      </c>
      <c r="J393" s="25" t="e">
        <f>VLOOKUP(I393,'[1]Head Start QF 1-5 Stars'!O:Q,3,0)</f>
        <v>#N/A</v>
      </c>
      <c r="K393" s="24" t="s">
        <v>19540</v>
      </c>
      <c r="L393" s="25" t="s">
        <v>19609</v>
      </c>
      <c r="M393" s="25" t="s">
        <v>1637</v>
      </c>
      <c r="N393" s="25" t="s">
        <v>19608</v>
      </c>
      <c r="O393" s="24" t="s">
        <v>207</v>
      </c>
      <c r="P393" s="25" t="str">
        <f>"86508"</f>
        <v>86508</v>
      </c>
      <c r="Q393" s="25" t="str">
        <f>""</f>
        <v/>
      </c>
      <c r="R393" s="25" t="s">
        <v>19433</v>
      </c>
      <c r="S393" s="24" t="s">
        <v>18818</v>
      </c>
      <c r="T393" s="25" t="s">
        <v>19610</v>
      </c>
      <c r="U393" s="25" t="s">
        <v>18713</v>
      </c>
      <c r="V393" s="25" t="s">
        <v>18714</v>
      </c>
      <c r="W393" s="25" t="s">
        <v>18714</v>
      </c>
      <c r="X393" s="25" t="s">
        <v>18714</v>
      </c>
      <c r="Y393" s="24">
        <v>14</v>
      </c>
      <c r="Z393" s="25" t="s">
        <v>18723</v>
      </c>
    </row>
    <row r="394" spans="1:26" hidden="1" x14ac:dyDescent="0.2">
      <c r="A394" s="23" t="s">
        <v>18912</v>
      </c>
      <c r="B394" s="22" t="s">
        <v>18913</v>
      </c>
      <c r="C394" s="23" t="str">
        <f>"200"</f>
        <v>200</v>
      </c>
      <c r="D394" s="23" t="s">
        <v>18706</v>
      </c>
      <c r="E394" s="22" t="s">
        <v>18913</v>
      </c>
      <c r="F394" s="22" t="s">
        <v>19448</v>
      </c>
      <c r="G394" s="22" t="str">
        <f>VLOOKUP(F394,[1]CHILDCARE_FACILITIES!N:Q,4,0)</f>
        <v>CDC-14567</v>
      </c>
      <c r="H394" s="22" t="e">
        <f>VLOOKUP(G394,'[1]CACFP FRL'!D:G,4,0)</f>
        <v>#N/A</v>
      </c>
      <c r="I394" s="22" t="str">
        <f>VLOOKUP(G394,[1]CHILDCARE_FACILITIES!AK:AL,2,0)</f>
        <v>CDC14567</v>
      </c>
      <c r="J394" s="22" t="e">
        <f>VLOOKUP(I394,'[1]Head Start QF 1-5 Stars'!O:Q,3,0)</f>
        <v>#N/A</v>
      </c>
      <c r="K394" s="23" t="s">
        <v>18912</v>
      </c>
      <c r="L394" s="22" t="s">
        <v>19449</v>
      </c>
      <c r="M394" s="22" t="s">
        <v>1637</v>
      </c>
      <c r="N394" s="22" t="s">
        <v>19450</v>
      </c>
      <c r="O394" s="23" t="s">
        <v>207</v>
      </c>
      <c r="P394" s="22" t="str">
        <f>"85936"</f>
        <v>85936</v>
      </c>
      <c r="Q394" s="22" t="str">
        <f>""</f>
        <v/>
      </c>
      <c r="R394" s="22" t="s">
        <v>19433</v>
      </c>
      <c r="S394" s="23" t="s">
        <v>18818</v>
      </c>
      <c r="T394" s="22" t="s">
        <v>19451</v>
      </c>
      <c r="U394" s="22" t="s">
        <v>18713</v>
      </c>
      <c r="V394" s="22" t="s">
        <v>18714</v>
      </c>
      <c r="W394" s="22" t="s">
        <v>18714</v>
      </c>
      <c r="X394" s="22" t="s">
        <v>18714</v>
      </c>
      <c r="Y394" s="23">
        <v>8</v>
      </c>
      <c r="Z394" s="22" t="s">
        <v>18723</v>
      </c>
    </row>
    <row r="395" spans="1:26" hidden="1" x14ac:dyDescent="0.2">
      <c r="A395" s="24" t="s">
        <v>19540</v>
      </c>
      <c r="B395" s="25" t="s">
        <v>19541</v>
      </c>
      <c r="C395" s="24" t="str">
        <f>"000"</f>
        <v>000</v>
      </c>
      <c r="D395" s="24" t="s">
        <v>19199</v>
      </c>
      <c r="E395" s="25" t="s">
        <v>19542</v>
      </c>
      <c r="F395" s="25" t="s">
        <v>460</v>
      </c>
      <c r="G395" s="25" t="e">
        <f>VLOOKUP(F395,[1]CHILDCARE_FACILITIES!N:Q,4,0)</f>
        <v>#N/A</v>
      </c>
      <c r="H395" s="25" t="e">
        <f>VLOOKUP(G395,'[1]CACFP FRL'!D:G,4,0)</f>
        <v>#N/A</v>
      </c>
      <c r="I395" s="25" t="e">
        <f>VLOOKUP(G395,[1]CHILDCARE_FACILITIES!AK:AL,2,0)</f>
        <v>#N/A</v>
      </c>
      <c r="J395" s="25" t="e">
        <f>VLOOKUP(I395,'[1]Head Start QF 1-5 Stars'!O:Q,3,0)</f>
        <v>#N/A</v>
      </c>
      <c r="K395" s="24" t="s">
        <v>19540</v>
      </c>
      <c r="L395" s="25" t="s">
        <v>19611</v>
      </c>
      <c r="M395" s="25" t="s">
        <v>1637</v>
      </c>
      <c r="N395" s="25" t="s">
        <v>460</v>
      </c>
      <c r="O395" s="24" t="s">
        <v>207</v>
      </c>
      <c r="P395" s="25" t="str">
        <f>"86538"</f>
        <v>86538</v>
      </c>
      <c r="Q395" s="25" t="str">
        <f>""</f>
        <v/>
      </c>
      <c r="R395" s="25" t="s">
        <v>19433</v>
      </c>
      <c r="S395" s="24" t="s">
        <v>18818</v>
      </c>
      <c r="T395" s="25" t="s">
        <v>19612</v>
      </c>
      <c r="U395" s="25" t="s">
        <v>18713</v>
      </c>
      <c r="V395" s="25" t="s">
        <v>18714</v>
      </c>
      <c r="W395" s="25" t="s">
        <v>18714</v>
      </c>
      <c r="X395" s="25" t="s">
        <v>18714</v>
      </c>
      <c r="Y395" s="24">
        <v>56</v>
      </c>
      <c r="Z395" s="25" t="s">
        <v>18723</v>
      </c>
    </row>
    <row r="396" spans="1:26" hidden="1" x14ac:dyDescent="0.2">
      <c r="A396" s="23" t="s">
        <v>18759</v>
      </c>
      <c r="B396" s="22" t="s">
        <v>18760</v>
      </c>
      <c r="C396" s="23" t="str">
        <f>"200"</f>
        <v>200</v>
      </c>
      <c r="D396" s="23" t="s">
        <v>18706</v>
      </c>
      <c r="E396" s="22" t="s">
        <v>18761</v>
      </c>
      <c r="F396" s="22" t="s">
        <v>19474</v>
      </c>
      <c r="G396" s="22" t="e">
        <f>VLOOKUP(F396,[1]CHILDCARE_FACILITIES!N:Q,4,0)</f>
        <v>#N/A</v>
      </c>
      <c r="H396" s="22" t="e">
        <f>VLOOKUP(G396,'[1]CACFP FRL'!D:G,4,0)</f>
        <v>#N/A</v>
      </c>
      <c r="I396" s="22" t="e">
        <f>VLOOKUP(G396,[1]CHILDCARE_FACILITIES!AK:AL,2,0)</f>
        <v>#N/A</v>
      </c>
      <c r="J396" s="22" t="e">
        <f>VLOOKUP(I396,'[1]Head Start QF 1-5 Stars'!O:Q,3,0)</f>
        <v>#N/A</v>
      </c>
      <c r="K396" s="23" t="s">
        <v>18759</v>
      </c>
      <c r="L396" s="22" t="s">
        <v>698</v>
      </c>
      <c r="M396" s="22" t="s">
        <v>1637</v>
      </c>
      <c r="N396" s="22" t="s">
        <v>699</v>
      </c>
      <c r="O396" s="23" t="s">
        <v>207</v>
      </c>
      <c r="P396" s="22" t="str">
        <f>"85172"</f>
        <v>85172</v>
      </c>
      <c r="Q396" s="22" t="str">
        <f>"9687"</f>
        <v>9687</v>
      </c>
      <c r="R396" s="22" t="s">
        <v>18763</v>
      </c>
      <c r="S396" s="23" t="s">
        <v>18818</v>
      </c>
      <c r="T396" s="22" t="s">
        <v>19475</v>
      </c>
      <c r="U396" s="22" t="s">
        <v>18713</v>
      </c>
      <c r="V396" s="22" t="s">
        <v>18731</v>
      </c>
      <c r="W396" s="22" t="s">
        <v>18731</v>
      </c>
      <c r="X396" s="22" t="s">
        <v>18731</v>
      </c>
      <c r="Y396" s="23">
        <v>10</v>
      </c>
      <c r="Z396" s="22" t="s">
        <v>18723</v>
      </c>
    </row>
    <row r="397" spans="1:26" hidden="1" x14ac:dyDescent="0.2">
      <c r="A397" s="24" t="s">
        <v>19540</v>
      </c>
      <c r="B397" s="25" t="s">
        <v>19541</v>
      </c>
      <c r="C397" s="24" t="str">
        <f>"000"</f>
        <v>000</v>
      </c>
      <c r="D397" s="24" t="s">
        <v>19199</v>
      </c>
      <c r="E397" s="25" t="s">
        <v>19542</v>
      </c>
      <c r="F397" s="25" t="s">
        <v>19613</v>
      </c>
      <c r="G397" s="25" t="e">
        <f>VLOOKUP(F397,[1]CHILDCARE_FACILITIES!N:Q,4,0)</f>
        <v>#N/A</v>
      </c>
      <c r="H397" s="25" t="e">
        <f>VLOOKUP(G397,'[1]CACFP FRL'!D:G,4,0)</f>
        <v>#N/A</v>
      </c>
      <c r="I397" s="25" t="e">
        <f>VLOOKUP(G397,[1]CHILDCARE_FACILITIES!AK:AL,2,0)</f>
        <v>#N/A</v>
      </c>
      <c r="J397" s="25" t="e">
        <f>VLOOKUP(I397,'[1]Head Start QF 1-5 Stars'!O:Q,3,0)</f>
        <v>#N/A</v>
      </c>
      <c r="K397" s="24" t="s">
        <v>19540</v>
      </c>
      <c r="L397" s="25" t="s">
        <v>19614</v>
      </c>
      <c r="M397" s="25" t="s">
        <v>1637</v>
      </c>
      <c r="N397" s="25" t="s">
        <v>19556</v>
      </c>
      <c r="O397" s="24" t="s">
        <v>207</v>
      </c>
      <c r="P397" s="25" t="str">
        <f>"86044"</f>
        <v>86044</v>
      </c>
      <c r="Q397" s="25" t="str">
        <f>""</f>
        <v/>
      </c>
      <c r="R397" s="25" t="s">
        <v>19091</v>
      </c>
      <c r="S397" s="24" t="s">
        <v>18818</v>
      </c>
      <c r="T397" s="25" t="s">
        <v>19615</v>
      </c>
      <c r="U397" s="25" t="s">
        <v>18713</v>
      </c>
      <c r="V397" s="25" t="s">
        <v>18714</v>
      </c>
      <c r="W397" s="25" t="s">
        <v>18714</v>
      </c>
      <c r="X397" s="25" t="s">
        <v>18714</v>
      </c>
      <c r="Y397" s="24">
        <v>13</v>
      </c>
      <c r="Z397" s="25" t="s">
        <v>18723</v>
      </c>
    </row>
    <row r="398" spans="1:26" hidden="1" x14ac:dyDescent="0.2">
      <c r="A398" s="24" t="s">
        <v>19540</v>
      </c>
      <c r="B398" s="25" t="s">
        <v>19541</v>
      </c>
      <c r="C398" s="24" t="str">
        <f>"000"</f>
        <v>000</v>
      </c>
      <c r="D398" s="24" t="s">
        <v>19199</v>
      </c>
      <c r="E398" s="25" t="s">
        <v>19542</v>
      </c>
      <c r="F398" s="25" t="s">
        <v>19616</v>
      </c>
      <c r="G398" s="25" t="e">
        <f>VLOOKUP(F398,[1]CHILDCARE_FACILITIES!N:Q,4,0)</f>
        <v>#N/A</v>
      </c>
      <c r="H398" s="25" t="e">
        <f>VLOOKUP(G398,'[1]CACFP FRL'!D:G,4,0)</f>
        <v>#N/A</v>
      </c>
      <c r="I398" s="25" t="e">
        <f>VLOOKUP(G398,[1]CHILDCARE_FACILITIES!AK:AL,2,0)</f>
        <v>#N/A</v>
      </c>
      <c r="J398" s="25" t="e">
        <f>VLOOKUP(I398,'[1]Head Start QF 1-5 Stars'!O:Q,3,0)</f>
        <v>#N/A</v>
      </c>
      <c r="K398" s="24" t="s">
        <v>19540</v>
      </c>
      <c r="L398" s="25" t="s">
        <v>19617</v>
      </c>
      <c r="M398" s="25" t="s">
        <v>1637</v>
      </c>
      <c r="N398" s="25" t="s">
        <v>463</v>
      </c>
      <c r="O398" s="24" t="s">
        <v>207</v>
      </c>
      <c r="P398" s="25" t="str">
        <f>"86503"</f>
        <v>86503</v>
      </c>
      <c r="Q398" s="25" t="str">
        <f>""</f>
        <v/>
      </c>
      <c r="R398" s="25" t="s">
        <v>19433</v>
      </c>
      <c r="S398" s="24" t="s">
        <v>18818</v>
      </c>
      <c r="T398" s="25" t="s">
        <v>19618</v>
      </c>
      <c r="U398" s="25" t="s">
        <v>18713</v>
      </c>
      <c r="V398" s="25" t="s">
        <v>18714</v>
      </c>
      <c r="W398" s="25" t="s">
        <v>18714</v>
      </c>
      <c r="X398" s="25" t="s">
        <v>18714</v>
      </c>
      <c r="Y398" s="24">
        <v>14</v>
      </c>
      <c r="Z398" s="25" t="s">
        <v>18723</v>
      </c>
    </row>
    <row r="399" spans="1:26" s="25" customFormat="1" hidden="1" x14ac:dyDescent="0.2">
      <c r="A399" s="24" t="s">
        <v>19540</v>
      </c>
      <c r="B399" s="25" t="s">
        <v>19541</v>
      </c>
      <c r="C399" s="24" t="str">
        <f>"000"</f>
        <v>000</v>
      </c>
      <c r="D399" s="24" t="s">
        <v>19199</v>
      </c>
      <c r="E399" s="25" t="s">
        <v>19542</v>
      </c>
      <c r="F399" s="25" t="s">
        <v>427</v>
      </c>
      <c r="G399" s="25" t="e">
        <f>VLOOKUP(F399,[1]CHILDCARE_FACILITIES!N:Q,4,0)</f>
        <v>#N/A</v>
      </c>
      <c r="H399" s="25" t="e">
        <f>VLOOKUP(G399,'[1]CACFP FRL'!D:G,4,0)</f>
        <v>#N/A</v>
      </c>
      <c r="I399" s="25" t="e">
        <f>VLOOKUP(G399,[1]CHILDCARE_FACILITIES!AK:AL,2,0)</f>
        <v>#N/A</v>
      </c>
      <c r="J399" s="25" t="e">
        <f>VLOOKUP(I399,'[1]Head Start QF 1-5 Stars'!O:Q,3,0)</f>
        <v>#N/A</v>
      </c>
      <c r="K399" s="24" t="s">
        <v>19540</v>
      </c>
      <c r="L399" s="25" t="s">
        <v>19619</v>
      </c>
      <c r="M399" s="25" t="s">
        <v>1637</v>
      </c>
      <c r="N399" s="25" t="s">
        <v>427</v>
      </c>
      <c r="O399" s="24" t="s">
        <v>207</v>
      </c>
      <c r="P399" s="25" t="str">
        <f>"86510"</f>
        <v>86510</v>
      </c>
      <c r="Q399" s="25" t="str">
        <f>""</f>
        <v/>
      </c>
      <c r="R399" s="25" t="s">
        <v>19156</v>
      </c>
      <c r="S399" s="24" t="s">
        <v>18818</v>
      </c>
      <c r="T399" s="25" t="s">
        <v>19620</v>
      </c>
      <c r="U399" s="25" t="s">
        <v>18713</v>
      </c>
      <c r="V399" s="25" t="s">
        <v>18714</v>
      </c>
      <c r="W399" s="25" t="s">
        <v>18714</v>
      </c>
      <c r="X399" s="25" t="s">
        <v>18714</v>
      </c>
      <c r="Y399" s="24">
        <v>37</v>
      </c>
      <c r="Z399" s="25" t="s">
        <v>18723</v>
      </c>
    </row>
    <row r="400" spans="1:26" hidden="1" x14ac:dyDescent="0.2">
      <c r="A400" s="24" t="s">
        <v>19540</v>
      </c>
      <c r="B400" s="25" t="s">
        <v>19541</v>
      </c>
      <c r="C400" s="24" t="str">
        <f>"000"</f>
        <v>000</v>
      </c>
      <c r="D400" s="24" t="s">
        <v>19199</v>
      </c>
      <c r="E400" s="25" t="s">
        <v>19542</v>
      </c>
      <c r="F400" s="25" t="s">
        <v>19621</v>
      </c>
      <c r="G400" s="25" t="e">
        <f>VLOOKUP(F400,[1]CHILDCARE_FACILITIES!N:Q,4,0)</f>
        <v>#N/A</v>
      </c>
      <c r="H400" s="25" t="e">
        <f>VLOOKUP(G400,'[1]CACFP FRL'!D:G,4,0)</f>
        <v>#N/A</v>
      </c>
      <c r="I400" s="25" t="e">
        <f>VLOOKUP(G400,[1]CHILDCARE_FACILITIES!AK:AL,2,0)</f>
        <v>#N/A</v>
      </c>
      <c r="J400" s="25" t="e">
        <f>VLOOKUP(I400,'[1]Head Start QF 1-5 Stars'!O:Q,3,0)</f>
        <v>#N/A</v>
      </c>
      <c r="K400" s="24" t="s">
        <v>19540</v>
      </c>
      <c r="L400" s="25" t="s">
        <v>19622</v>
      </c>
      <c r="M400" s="25" t="s">
        <v>1637</v>
      </c>
      <c r="N400" s="25" t="s">
        <v>19621</v>
      </c>
      <c r="O400" s="24" t="s">
        <v>207</v>
      </c>
      <c r="P400" s="25" t="str">
        <f>"86514"</f>
        <v>86514</v>
      </c>
      <c r="Q400" s="25" t="str">
        <f>""</f>
        <v/>
      </c>
      <c r="R400" s="25" t="s">
        <v>19433</v>
      </c>
      <c r="S400" s="24" t="s">
        <v>18818</v>
      </c>
      <c r="T400" s="25"/>
      <c r="U400" s="25" t="s">
        <v>18713</v>
      </c>
      <c r="V400" s="25" t="s">
        <v>18714</v>
      </c>
      <c r="W400" s="25" t="s">
        <v>18714</v>
      </c>
      <c r="X400" s="25" t="s">
        <v>18714</v>
      </c>
      <c r="Y400" s="24">
        <v>20</v>
      </c>
      <c r="Z400" s="25" t="s">
        <v>18723</v>
      </c>
    </row>
    <row r="401" spans="1:26" hidden="1" x14ac:dyDescent="0.2">
      <c r="A401" s="23" t="s">
        <v>18873</v>
      </c>
      <c r="B401" s="22" t="s">
        <v>18874</v>
      </c>
      <c r="C401" s="23" t="str">
        <f>"200"</f>
        <v>200</v>
      </c>
      <c r="D401" s="23" t="s">
        <v>18706</v>
      </c>
      <c r="E401" s="22" t="s">
        <v>18875</v>
      </c>
      <c r="F401" s="22" t="s">
        <v>1089</v>
      </c>
      <c r="G401" s="22" t="str">
        <f>VLOOKUP(F401,[1]CHILDCARE_FACILITIES!N:Q,4,0)</f>
        <v>CDC-11703</v>
      </c>
      <c r="H401" s="22">
        <f>VLOOKUP(G401,'[1]CACFP FRL'!D:G,4,0)</f>
        <v>88418</v>
      </c>
      <c r="I401" s="22" t="str">
        <f>VLOOKUP(G401,[1]CHILDCARE_FACILITIES!AK:AL,2,0)</f>
        <v>CDC11703</v>
      </c>
      <c r="J401" s="22">
        <f>VLOOKUP(I401,'[1]Head Start QF 1-5 Stars'!O:Q,3,0)</f>
        <v>787</v>
      </c>
      <c r="K401" s="23" t="s">
        <v>18873</v>
      </c>
      <c r="L401" s="22" t="s">
        <v>19623</v>
      </c>
      <c r="M401" s="22" t="s">
        <v>1637</v>
      </c>
      <c r="N401" s="22" t="s">
        <v>495</v>
      </c>
      <c r="O401" s="23" t="s">
        <v>207</v>
      </c>
      <c r="P401" s="22" t="str">
        <f>"85015"</f>
        <v>85015</v>
      </c>
      <c r="Q401" s="22" t="str">
        <f>"2750"</f>
        <v>2750</v>
      </c>
      <c r="R401" s="22" t="s">
        <v>18710</v>
      </c>
      <c r="S401" s="23" t="s">
        <v>18737</v>
      </c>
      <c r="T401" s="22" t="s">
        <v>19624</v>
      </c>
      <c r="U401" s="22" t="s">
        <v>18713</v>
      </c>
      <c r="V401" s="22" t="s">
        <v>18714</v>
      </c>
      <c r="W401" s="22" t="s">
        <v>18714</v>
      </c>
      <c r="X401" s="22" t="s">
        <v>18714</v>
      </c>
      <c r="Y401" s="23">
        <v>28</v>
      </c>
      <c r="Z401" s="22" t="s">
        <v>18715</v>
      </c>
    </row>
    <row r="402" spans="1:26" hidden="1" x14ac:dyDescent="0.2">
      <c r="A402" s="24" t="s">
        <v>19540</v>
      </c>
      <c r="B402" s="25" t="s">
        <v>19541</v>
      </c>
      <c r="C402" s="24" t="str">
        <f>"000"</f>
        <v>000</v>
      </c>
      <c r="D402" s="24" t="s">
        <v>19199</v>
      </c>
      <c r="E402" s="25" t="s">
        <v>19542</v>
      </c>
      <c r="F402" s="25" t="s">
        <v>19625</v>
      </c>
      <c r="G402" s="25" t="e">
        <f>VLOOKUP(F402,[1]CHILDCARE_FACILITIES!N:Q,4,0)</f>
        <v>#N/A</v>
      </c>
      <c r="H402" s="25" t="e">
        <f>VLOOKUP(G402,'[1]CACFP FRL'!D:G,4,0)</f>
        <v>#N/A</v>
      </c>
      <c r="I402" s="25" t="e">
        <f>VLOOKUP(G402,[1]CHILDCARE_FACILITIES!AK:AL,2,0)</f>
        <v>#N/A</v>
      </c>
      <c r="J402" s="25" t="e">
        <f>VLOOKUP(I402,'[1]Head Start QF 1-5 Stars'!O:Q,3,0)</f>
        <v>#N/A</v>
      </c>
      <c r="K402" s="24" t="s">
        <v>19540</v>
      </c>
      <c r="L402" s="25" t="s">
        <v>19626</v>
      </c>
      <c r="M402" s="25" t="s">
        <v>1637</v>
      </c>
      <c r="N402" s="25" t="s">
        <v>19625</v>
      </c>
      <c r="O402" s="24" t="s">
        <v>207</v>
      </c>
      <c r="P402" s="25" t="str">
        <f>"86544"</f>
        <v>86544</v>
      </c>
      <c r="Q402" s="25" t="str">
        <f>""</f>
        <v/>
      </c>
      <c r="R402" s="25" t="s">
        <v>19433</v>
      </c>
      <c r="S402" s="24" t="s">
        <v>18818</v>
      </c>
      <c r="T402" s="25" t="s">
        <v>19627</v>
      </c>
      <c r="U402" s="25" t="s">
        <v>18713</v>
      </c>
      <c r="V402" s="25" t="s">
        <v>18714</v>
      </c>
      <c r="W402" s="25" t="s">
        <v>18714</v>
      </c>
      <c r="X402" s="25" t="s">
        <v>18714</v>
      </c>
      <c r="Y402" s="24">
        <v>10</v>
      </c>
      <c r="Z402" s="25" t="s">
        <v>18723</v>
      </c>
    </row>
    <row r="403" spans="1:26" hidden="1" x14ac:dyDescent="0.2">
      <c r="A403" s="24" t="s">
        <v>19540</v>
      </c>
      <c r="B403" s="25" t="s">
        <v>19541</v>
      </c>
      <c r="C403" s="24" t="str">
        <f>"000"</f>
        <v>000</v>
      </c>
      <c r="D403" s="24" t="s">
        <v>19199</v>
      </c>
      <c r="E403" s="25" t="s">
        <v>19542</v>
      </c>
      <c r="F403" s="25" t="s">
        <v>19628</v>
      </c>
      <c r="G403" s="25" t="e">
        <f>VLOOKUP(F403,[1]CHILDCARE_FACILITIES!N:Q,4,0)</f>
        <v>#N/A</v>
      </c>
      <c r="H403" s="25" t="e">
        <f>VLOOKUP(G403,'[1]CACFP FRL'!D:G,4,0)</f>
        <v>#N/A</v>
      </c>
      <c r="I403" s="25" t="e">
        <f>VLOOKUP(G403,[1]CHILDCARE_FACILITIES!AK:AL,2,0)</f>
        <v>#N/A</v>
      </c>
      <c r="J403" s="25" t="e">
        <f>VLOOKUP(I403,'[1]Head Start QF 1-5 Stars'!O:Q,3,0)</f>
        <v>#N/A</v>
      </c>
      <c r="K403" s="24" t="s">
        <v>19540</v>
      </c>
      <c r="L403" s="25" t="s">
        <v>19628</v>
      </c>
      <c r="M403" s="25" t="s">
        <v>1637</v>
      </c>
      <c r="N403" s="25" t="s">
        <v>19628</v>
      </c>
      <c r="O403" s="24" t="s">
        <v>207</v>
      </c>
      <c r="P403" s="25" t="str">
        <f>"86545"</f>
        <v>86545</v>
      </c>
      <c r="Q403" s="25" t="str">
        <f>""</f>
        <v/>
      </c>
      <c r="R403" s="25" t="s">
        <v>19433</v>
      </c>
      <c r="S403" s="24" t="s">
        <v>18818</v>
      </c>
      <c r="T403" s="25"/>
      <c r="U403" s="25" t="s">
        <v>18713</v>
      </c>
      <c r="V403" s="25" t="s">
        <v>18714</v>
      </c>
      <c r="W403" s="25" t="s">
        <v>18714</v>
      </c>
      <c r="X403" s="25" t="s">
        <v>18714</v>
      </c>
      <c r="Y403" s="24">
        <v>15</v>
      </c>
      <c r="Z403" s="25" t="s">
        <v>18723</v>
      </c>
    </row>
    <row r="404" spans="1:26" hidden="1" x14ac:dyDescent="0.2">
      <c r="A404" s="23" t="s">
        <v>18822</v>
      </c>
      <c r="B404" s="22" t="s">
        <v>18823</v>
      </c>
      <c r="C404" s="23" t="str">
        <f>"200"</f>
        <v>200</v>
      </c>
      <c r="D404" s="23" t="s">
        <v>18706</v>
      </c>
      <c r="E404" s="22" t="s">
        <v>18823</v>
      </c>
      <c r="F404" s="22" t="s">
        <v>19013</v>
      </c>
      <c r="G404" s="22" t="str">
        <f>VLOOKUP(F404,[1]CHILDCARE_FACILITIES!N:Q,4,0)</f>
        <v>CDC-9329</v>
      </c>
      <c r="H404" s="22">
        <f>VLOOKUP(G404,'[1]CACFP FRL'!D:G,4,0)</f>
        <v>80623</v>
      </c>
      <c r="I404" s="22" t="str">
        <f>VLOOKUP(G404,[1]CHILDCARE_FACILITIES!AK:AL,2,0)</f>
        <v>CDC9329</v>
      </c>
      <c r="J404" s="22" t="e">
        <f>VLOOKUP(I404,'[1]Head Start QF 1-5 Stars'!O:Q,3,0)</f>
        <v>#N/A</v>
      </c>
      <c r="K404" s="23" t="s">
        <v>18822</v>
      </c>
      <c r="L404" s="22" t="s">
        <v>19014</v>
      </c>
      <c r="M404" s="22" t="s">
        <v>1637</v>
      </c>
      <c r="N404" s="22" t="s">
        <v>764</v>
      </c>
      <c r="O404" s="23" t="s">
        <v>207</v>
      </c>
      <c r="P404" s="22" t="str">
        <f>"85756"</f>
        <v>85756</v>
      </c>
      <c r="Q404" s="22" t="str">
        <f>"8909"</f>
        <v>8909</v>
      </c>
      <c r="R404" s="22" t="s">
        <v>996</v>
      </c>
      <c r="S404" s="23" t="s">
        <v>18721</v>
      </c>
      <c r="T404" s="22" t="s">
        <v>19015</v>
      </c>
      <c r="U404" s="22" t="s">
        <v>18713</v>
      </c>
      <c r="V404" s="22" t="s">
        <v>18731</v>
      </c>
      <c r="W404" s="22" t="s">
        <v>18731</v>
      </c>
      <c r="X404" s="22" t="s">
        <v>18731</v>
      </c>
      <c r="Y404" s="23">
        <v>10</v>
      </c>
      <c r="Z404" s="22" t="s">
        <v>18723</v>
      </c>
    </row>
    <row r="405" spans="1:26" s="25" customFormat="1" hidden="1" x14ac:dyDescent="0.2">
      <c r="A405" s="24" t="s">
        <v>19540</v>
      </c>
      <c r="B405" s="25" t="s">
        <v>19541</v>
      </c>
      <c r="C405" s="24" t="str">
        <f>"000"</f>
        <v>000</v>
      </c>
      <c r="D405" s="24" t="s">
        <v>19199</v>
      </c>
      <c r="E405" s="25" t="s">
        <v>19542</v>
      </c>
      <c r="F405" s="25" t="s">
        <v>19629</v>
      </c>
      <c r="G405" s="25" t="e">
        <f>VLOOKUP(F405,[1]CHILDCARE_FACILITIES!N:Q,4,0)</f>
        <v>#N/A</v>
      </c>
      <c r="H405" s="25" t="e">
        <f>VLOOKUP(G405,'[1]CACFP FRL'!D:G,4,0)</f>
        <v>#N/A</v>
      </c>
      <c r="I405" s="25" t="e">
        <f>VLOOKUP(G405,[1]CHILDCARE_FACILITIES!AK:AL,2,0)</f>
        <v>#N/A</v>
      </c>
      <c r="J405" s="25" t="e">
        <f>VLOOKUP(I405,'[1]Head Start QF 1-5 Stars'!O:Q,3,0)</f>
        <v>#N/A</v>
      </c>
      <c r="K405" s="24" t="s">
        <v>19540</v>
      </c>
      <c r="L405" s="25" t="s">
        <v>19629</v>
      </c>
      <c r="M405" s="25" t="s">
        <v>1637</v>
      </c>
      <c r="N405" s="25" t="s">
        <v>19629</v>
      </c>
      <c r="O405" s="24" t="s">
        <v>207</v>
      </c>
      <c r="P405" s="25" t="str">
        <f>"86503"</f>
        <v>86503</v>
      </c>
      <c r="Q405" s="25" t="str">
        <f>""</f>
        <v/>
      </c>
      <c r="R405" s="25" t="s">
        <v>19433</v>
      </c>
      <c r="S405" s="24" t="s">
        <v>18818</v>
      </c>
      <c r="U405" s="25" t="s">
        <v>18713</v>
      </c>
      <c r="V405" s="25" t="s">
        <v>18714</v>
      </c>
      <c r="W405" s="25" t="s">
        <v>18714</v>
      </c>
      <c r="X405" s="25" t="s">
        <v>18714</v>
      </c>
      <c r="Y405" s="24">
        <v>10</v>
      </c>
      <c r="Z405" s="25" t="s">
        <v>18723</v>
      </c>
    </row>
    <row r="406" spans="1:26" hidden="1" x14ac:dyDescent="0.2">
      <c r="A406" s="24" t="s">
        <v>19540</v>
      </c>
      <c r="B406" s="25" t="s">
        <v>19541</v>
      </c>
      <c r="C406" s="24" t="str">
        <f>"000"</f>
        <v>000</v>
      </c>
      <c r="D406" s="24" t="s">
        <v>19199</v>
      </c>
      <c r="E406" s="25" t="s">
        <v>19542</v>
      </c>
      <c r="F406" s="25" t="s">
        <v>19630</v>
      </c>
      <c r="G406" s="25" t="e">
        <f>VLOOKUP(F406,[1]CHILDCARE_FACILITIES!N:Q,4,0)</f>
        <v>#N/A</v>
      </c>
      <c r="H406" s="25" t="e">
        <f>VLOOKUP(G406,'[1]CACFP FRL'!D:G,4,0)</f>
        <v>#N/A</v>
      </c>
      <c r="I406" s="25" t="e">
        <f>VLOOKUP(G406,[1]CHILDCARE_FACILITIES!AK:AL,2,0)</f>
        <v>#N/A</v>
      </c>
      <c r="J406" s="25" t="e">
        <f>VLOOKUP(I406,'[1]Head Start QF 1-5 Stars'!O:Q,3,0)</f>
        <v>#N/A</v>
      </c>
      <c r="K406" s="24" t="s">
        <v>19540</v>
      </c>
      <c r="L406" s="25" t="s">
        <v>19631</v>
      </c>
      <c r="M406" s="25" t="s">
        <v>1637</v>
      </c>
      <c r="N406" s="25" t="s">
        <v>473</v>
      </c>
      <c r="O406" s="24" t="s">
        <v>207</v>
      </c>
      <c r="P406" s="25" t="str">
        <f>"86512"</f>
        <v>86512</v>
      </c>
      <c r="Q406" s="25" t="str">
        <f>""</f>
        <v/>
      </c>
      <c r="R406" s="25" t="s">
        <v>19433</v>
      </c>
      <c r="S406" s="24" t="s">
        <v>18818</v>
      </c>
      <c r="T406" s="25" t="s">
        <v>19632</v>
      </c>
      <c r="U406" s="25" t="s">
        <v>18713</v>
      </c>
      <c r="V406" s="25" t="s">
        <v>18714</v>
      </c>
      <c r="W406" s="25" t="s">
        <v>18714</v>
      </c>
      <c r="X406" s="25" t="s">
        <v>18714</v>
      </c>
      <c r="Y406" s="24">
        <v>18</v>
      </c>
      <c r="Z406" s="25" t="s">
        <v>18723</v>
      </c>
    </row>
    <row r="407" spans="1:26" hidden="1" x14ac:dyDescent="0.2">
      <c r="A407" s="23" t="s">
        <v>18822</v>
      </c>
      <c r="B407" s="22" t="s">
        <v>18823</v>
      </c>
      <c r="C407" s="23" t="str">
        <f>"200"</f>
        <v>200</v>
      </c>
      <c r="D407" s="23" t="s">
        <v>18706</v>
      </c>
      <c r="E407" s="22" t="s">
        <v>18823</v>
      </c>
      <c r="F407" s="22" t="s">
        <v>19016</v>
      </c>
      <c r="G407" s="22" t="str">
        <f>VLOOKUP(F407,[1]CHILDCARE_FACILITIES!N:Q,4,0)</f>
        <v>CDC-1569</v>
      </c>
      <c r="H407" s="22">
        <f>VLOOKUP(G407,'[1]CACFP FRL'!D:G,4,0)</f>
        <v>9830</v>
      </c>
      <c r="I407" s="22" t="str">
        <f>VLOOKUP(G407,[1]CHILDCARE_FACILITIES!AK:AL,2,0)</f>
        <v>CDC1569</v>
      </c>
      <c r="J407" s="22" t="e">
        <f>VLOOKUP(I407,'[1]Head Start QF 1-5 Stars'!O:Q,3,0)</f>
        <v>#N/A</v>
      </c>
      <c r="K407" s="23" t="s">
        <v>18822</v>
      </c>
      <c r="L407" s="22" t="s">
        <v>19017</v>
      </c>
      <c r="M407" s="22" t="s">
        <v>1637</v>
      </c>
      <c r="N407" s="22" t="s">
        <v>764</v>
      </c>
      <c r="O407" s="23" t="s">
        <v>207</v>
      </c>
      <c r="P407" s="22" t="str">
        <f>"85706"</f>
        <v>85706</v>
      </c>
      <c r="Q407" s="22" t="str">
        <f>"4303"</f>
        <v>4303</v>
      </c>
      <c r="R407" s="22" t="s">
        <v>996</v>
      </c>
      <c r="S407" s="23" t="s">
        <v>18721</v>
      </c>
      <c r="T407" s="22" t="s">
        <v>19018</v>
      </c>
      <c r="U407" s="22" t="s">
        <v>18713</v>
      </c>
      <c r="V407" s="22" t="s">
        <v>18731</v>
      </c>
      <c r="W407" s="22" t="s">
        <v>18731</v>
      </c>
      <c r="X407" s="22" t="s">
        <v>18731</v>
      </c>
      <c r="Y407" s="23">
        <v>20</v>
      </c>
      <c r="Z407" s="22" t="s">
        <v>18723</v>
      </c>
    </row>
    <row r="408" spans="1:26" hidden="1" x14ac:dyDescent="0.2">
      <c r="A408" s="23" t="s">
        <v>18912</v>
      </c>
      <c r="B408" s="22" t="s">
        <v>18913</v>
      </c>
      <c r="C408" s="23" t="str">
        <f>"200"</f>
        <v>200</v>
      </c>
      <c r="D408" s="23" t="s">
        <v>18706</v>
      </c>
      <c r="E408" s="22" t="s">
        <v>18913</v>
      </c>
      <c r="F408" s="22" t="s">
        <v>19633</v>
      </c>
      <c r="G408" s="22" t="str">
        <f>VLOOKUP(F408,[1]CHILDCARE_FACILITIES!N:Q,4,0)</f>
        <v>CDC-10457</v>
      </c>
      <c r="H408" s="22" t="e">
        <f>VLOOKUP(G408,'[1]CACFP FRL'!D:G,4,0)</f>
        <v>#N/A</v>
      </c>
      <c r="I408" s="22" t="str">
        <f>VLOOKUP(G408,[1]CHILDCARE_FACILITIES!AK:AL,2,0)</f>
        <v>CDC10457</v>
      </c>
      <c r="J408" s="22" t="e">
        <f>VLOOKUP(I408,'[1]Head Start QF 1-5 Stars'!O:Q,3,0)</f>
        <v>#N/A</v>
      </c>
      <c r="K408" s="23" t="s">
        <v>18912</v>
      </c>
      <c r="L408" s="22" t="s">
        <v>19634</v>
      </c>
      <c r="M408" s="22" t="s">
        <v>1637</v>
      </c>
      <c r="N408" s="22" t="s">
        <v>1380</v>
      </c>
      <c r="O408" s="23" t="s">
        <v>207</v>
      </c>
      <c r="P408" s="22" t="str">
        <f>"86004"</f>
        <v>86004</v>
      </c>
      <c r="Q408" s="22" t="str">
        <f>"4136"</f>
        <v>4136</v>
      </c>
      <c r="R408" s="22" t="s">
        <v>19091</v>
      </c>
      <c r="S408" s="23" t="s">
        <v>18818</v>
      </c>
      <c r="T408" s="22" t="s">
        <v>19635</v>
      </c>
      <c r="U408" s="22" t="s">
        <v>18713</v>
      </c>
      <c r="V408" s="22" t="s">
        <v>18714</v>
      </c>
      <c r="W408" s="22" t="s">
        <v>18714</v>
      </c>
      <c r="X408" s="22" t="s">
        <v>18714</v>
      </c>
      <c r="Y408" s="23">
        <v>29</v>
      </c>
      <c r="Z408" s="22" t="s">
        <v>18723</v>
      </c>
    </row>
    <row r="409" spans="1:26" hidden="1" x14ac:dyDescent="0.2">
      <c r="A409" s="24" t="s">
        <v>19540</v>
      </c>
      <c r="B409" s="25" t="s">
        <v>19541</v>
      </c>
      <c r="C409" s="24" t="str">
        <f t="shared" ref="C409:C414" si="14">"000"</f>
        <v>000</v>
      </c>
      <c r="D409" s="24" t="s">
        <v>19199</v>
      </c>
      <c r="E409" s="25" t="s">
        <v>19542</v>
      </c>
      <c r="F409" s="25" t="s">
        <v>19636</v>
      </c>
      <c r="G409" s="25" t="e">
        <f>VLOOKUP(F409,[1]CHILDCARE_FACILITIES!N:Q,4,0)</f>
        <v>#N/A</v>
      </c>
      <c r="H409" s="25" t="e">
        <f>VLOOKUP(G409,'[1]CACFP FRL'!D:G,4,0)</f>
        <v>#N/A</v>
      </c>
      <c r="I409" s="25" t="e">
        <f>VLOOKUP(G409,[1]CHILDCARE_FACILITIES!AK:AL,2,0)</f>
        <v>#N/A</v>
      </c>
      <c r="J409" s="25" t="e">
        <f>VLOOKUP(I409,'[1]Head Start QF 1-5 Stars'!O:Q,3,0)</f>
        <v>#N/A</v>
      </c>
      <c r="K409" s="24" t="s">
        <v>19540</v>
      </c>
      <c r="L409" s="25" t="s">
        <v>19637</v>
      </c>
      <c r="M409" s="25" t="s">
        <v>1637</v>
      </c>
      <c r="N409" s="25" t="s">
        <v>479</v>
      </c>
      <c r="O409" s="24" t="s">
        <v>207</v>
      </c>
      <c r="P409" s="25" t="str">
        <f>"86504"</f>
        <v>86504</v>
      </c>
      <c r="Q409" s="25" t="str">
        <f>""</f>
        <v/>
      </c>
      <c r="R409" s="25" t="s">
        <v>19433</v>
      </c>
      <c r="S409" s="24" t="s">
        <v>18818</v>
      </c>
      <c r="T409" s="25" t="s">
        <v>19638</v>
      </c>
      <c r="U409" s="25" t="s">
        <v>18713</v>
      </c>
      <c r="V409" s="25" t="s">
        <v>18714</v>
      </c>
      <c r="W409" s="25" t="s">
        <v>18714</v>
      </c>
      <c r="X409" s="25" t="s">
        <v>18714</v>
      </c>
      <c r="Y409" s="24">
        <v>20</v>
      </c>
      <c r="Z409" s="25" t="s">
        <v>18723</v>
      </c>
    </row>
    <row r="410" spans="1:26" hidden="1" x14ac:dyDescent="0.2">
      <c r="A410" s="24" t="s">
        <v>19540</v>
      </c>
      <c r="B410" s="25" t="s">
        <v>19541</v>
      </c>
      <c r="C410" s="24" t="str">
        <f t="shared" si="14"/>
        <v>000</v>
      </c>
      <c r="D410" s="24" t="s">
        <v>19199</v>
      </c>
      <c r="E410" s="25" t="s">
        <v>19542</v>
      </c>
      <c r="F410" s="25" t="s">
        <v>885</v>
      </c>
      <c r="G410" s="25" t="e">
        <f>VLOOKUP(F410,[1]CHILDCARE_FACILITIES!N:Q,4,0)</f>
        <v>#N/A</v>
      </c>
      <c r="H410" s="25" t="e">
        <f>VLOOKUP(G410,'[1]CACFP FRL'!D:G,4,0)</f>
        <v>#N/A</v>
      </c>
      <c r="I410" s="25" t="e">
        <f>VLOOKUP(G410,[1]CHILDCARE_FACILITIES!AK:AL,2,0)</f>
        <v>#N/A</v>
      </c>
      <c r="J410" s="25" t="e">
        <f>VLOOKUP(I410,'[1]Head Start QF 1-5 Stars'!O:Q,3,0)</f>
        <v>#N/A</v>
      </c>
      <c r="K410" s="24" t="s">
        <v>19540</v>
      </c>
      <c r="L410" s="25" t="s">
        <v>19639</v>
      </c>
      <c r="M410" s="25" t="s">
        <v>1637</v>
      </c>
      <c r="N410" s="25" t="s">
        <v>885</v>
      </c>
      <c r="O410" s="24" t="s">
        <v>207</v>
      </c>
      <c r="P410" s="25" t="str">
        <f>"86054"</f>
        <v>86054</v>
      </c>
      <c r="Q410" s="25" t="str">
        <f>""</f>
        <v/>
      </c>
      <c r="R410" s="25" t="s">
        <v>19156</v>
      </c>
      <c r="S410" s="24" t="s">
        <v>18818</v>
      </c>
      <c r="T410" s="25" t="s">
        <v>19640</v>
      </c>
      <c r="U410" s="25" t="s">
        <v>18713</v>
      </c>
      <c r="V410" s="25" t="s">
        <v>18714</v>
      </c>
      <c r="W410" s="25" t="s">
        <v>18714</v>
      </c>
      <c r="X410" s="25" t="s">
        <v>18714</v>
      </c>
      <c r="Y410" s="24">
        <v>14</v>
      </c>
      <c r="Z410" s="25" t="s">
        <v>18723</v>
      </c>
    </row>
    <row r="411" spans="1:26" hidden="1" x14ac:dyDescent="0.2">
      <c r="A411" s="24" t="s">
        <v>19540</v>
      </c>
      <c r="B411" s="25" t="s">
        <v>19541</v>
      </c>
      <c r="C411" s="24" t="str">
        <f t="shared" si="14"/>
        <v>000</v>
      </c>
      <c r="D411" s="24" t="s">
        <v>19199</v>
      </c>
      <c r="E411" s="25" t="s">
        <v>19542</v>
      </c>
      <c r="F411" s="25" t="s">
        <v>19641</v>
      </c>
      <c r="G411" s="25" t="e">
        <f>VLOOKUP(F411,[1]CHILDCARE_FACILITIES!N:Q,4,0)</f>
        <v>#N/A</v>
      </c>
      <c r="H411" s="25" t="e">
        <f>VLOOKUP(G411,'[1]CACFP FRL'!D:G,4,0)</f>
        <v>#N/A</v>
      </c>
      <c r="I411" s="25" t="e">
        <f>VLOOKUP(G411,[1]CHILDCARE_FACILITIES!AK:AL,2,0)</f>
        <v>#N/A</v>
      </c>
      <c r="J411" s="25" t="e">
        <f>VLOOKUP(I411,'[1]Head Start QF 1-5 Stars'!O:Q,3,0)</f>
        <v>#N/A</v>
      </c>
      <c r="K411" s="24" t="s">
        <v>19540</v>
      </c>
      <c r="L411" s="25" t="s">
        <v>19642</v>
      </c>
      <c r="M411" s="25" t="s">
        <v>1637</v>
      </c>
      <c r="N411" s="25" t="s">
        <v>19641</v>
      </c>
      <c r="O411" s="24" t="s">
        <v>207</v>
      </c>
      <c r="P411" s="25" t="str">
        <f>"86511"</f>
        <v>86511</v>
      </c>
      <c r="Q411" s="25" t="str">
        <f>""</f>
        <v/>
      </c>
      <c r="R411" s="25" t="s">
        <v>19433</v>
      </c>
      <c r="S411" s="24" t="s">
        <v>18818</v>
      </c>
      <c r="T411" s="25" t="s">
        <v>19643</v>
      </c>
      <c r="U411" s="25" t="s">
        <v>18713</v>
      </c>
      <c r="V411" s="25" t="s">
        <v>18714</v>
      </c>
      <c r="W411" s="25" t="s">
        <v>18714</v>
      </c>
      <c r="X411" s="25" t="s">
        <v>18714</v>
      </c>
      <c r="Y411" s="24">
        <v>40</v>
      </c>
      <c r="Z411" s="25" t="s">
        <v>18723</v>
      </c>
    </row>
    <row r="412" spans="1:26" hidden="1" x14ac:dyDescent="0.2">
      <c r="A412" s="24" t="s">
        <v>19540</v>
      </c>
      <c r="B412" s="25" t="s">
        <v>19541</v>
      </c>
      <c r="C412" s="24" t="str">
        <f t="shared" si="14"/>
        <v>000</v>
      </c>
      <c r="D412" s="24" t="s">
        <v>19199</v>
      </c>
      <c r="E412" s="25" t="s">
        <v>19542</v>
      </c>
      <c r="F412" s="25" t="s">
        <v>19644</v>
      </c>
      <c r="G412" s="25" t="e">
        <f>VLOOKUP(F412,[1]CHILDCARE_FACILITIES!N:Q,4,0)</f>
        <v>#N/A</v>
      </c>
      <c r="H412" s="25" t="e">
        <f>VLOOKUP(G412,'[1]CACFP FRL'!D:G,4,0)</f>
        <v>#N/A</v>
      </c>
      <c r="I412" s="25" t="e">
        <f>VLOOKUP(G412,[1]CHILDCARE_FACILITIES!AK:AL,2,0)</f>
        <v>#N/A</v>
      </c>
      <c r="J412" s="25" t="e">
        <f>VLOOKUP(I412,'[1]Head Start QF 1-5 Stars'!O:Q,3,0)</f>
        <v>#N/A</v>
      </c>
      <c r="K412" s="24" t="s">
        <v>19540</v>
      </c>
      <c r="L412" s="25" t="s">
        <v>19645</v>
      </c>
      <c r="M412" s="25"/>
      <c r="N412" s="25" t="s">
        <v>451</v>
      </c>
      <c r="O412" s="24" t="s">
        <v>207</v>
      </c>
      <c r="P412" s="25" t="str">
        <f>"86505"</f>
        <v>86505</v>
      </c>
      <c r="Q412" s="25" t="str">
        <f>"0117"</f>
        <v>0117</v>
      </c>
      <c r="R412" s="25" t="s">
        <v>19433</v>
      </c>
      <c r="S412" s="24" t="s">
        <v>18818</v>
      </c>
      <c r="T412" s="25" t="s">
        <v>19646</v>
      </c>
      <c r="U412" s="25" t="s">
        <v>18713</v>
      </c>
      <c r="V412" s="25" t="s">
        <v>18714</v>
      </c>
      <c r="W412" s="25" t="s">
        <v>18714</v>
      </c>
      <c r="X412" s="25" t="s">
        <v>18714</v>
      </c>
      <c r="Y412" s="24">
        <v>16</v>
      </c>
      <c r="Z412" s="25" t="s">
        <v>18723</v>
      </c>
    </row>
    <row r="413" spans="1:26" hidden="1" x14ac:dyDescent="0.2">
      <c r="A413" s="24" t="s">
        <v>19540</v>
      </c>
      <c r="B413" s="25" t="s">
        <v>19541</v>
      </c>
      <c r="C413" s="24" t="str">
        <f t="shared" si="14"/>
        <v>000</v>
      </c>
      <c r="D413" s="24" t="s">
        <v>19199</v>
      </c>
      <c r="E413" s="25" t="s">
        <v>19542</v>
      </c>
      <c r="F413" s="25" t="s">
        <v>19556</v>
      </c>
      <c r="G413" s="25" t="e">
        <f>VLOOKUP(F413,[1]CHILDCARE_FACILITIES!N:Q,4,0)</f>
        <v>#N/A</v>
      </c>
      <c r="H413" s="25" t="e">
        <f>VLOOKUP(G413,'[1]CACFP FRL'!D:G,4,0)</f>
        <v>#N/A</v>
      </c>
      <c r="I413" s="25" t="e">
        <f>VLOOKUP(G413,[1]CHILDCARE_FACILITIES!AK:AL,2,0)</f>
        <v>#N/A</v>
      </c>
      <c r="J413" s="25" t="e">
        <f>VLOOKUP(I413,'[1]Head Start QF 1-5 Stars'!O:Q,3,0)</f>
        <v>#N/A</v>
      </c>
      <c r="K413" s="24" t="s">
        <v>19540</v>
      </c>
      <c r="L413" s="25" t="s">
        <v>19647</v>
      </c>
      <c r="M413" s="25" t="s">
        <v>1637</v>
      </c>
      <c r="N413" s="25" t="s">
        <v>19556</v>
      </c>
      <c r="O413" s="24" t="s">
        <v>207</v>
      </c>
      <c r="P413" s="25" t="str">
        <f>"86044"</f>
        <v>86044</v>
      </c>
      <c r="Q413" s="25" t="str">
        <f>""</f>
        <v/>
      </c>
      <c r="R413" s="25" t="s">
        <v>19091</v>
      </c>
      <c r="S413" s="24" t="s">
        <v>18818</v>
      </c>
      <c r="T413" s="25" t="s">
        <v>19648</v>
      </c>
      <c r="U413" s="25" t="s">
        <v>18713</v>
      </c>
      <c r="V413" s="25" t="s">
        <v>18714</v>
      </c>
      <c r="W413" s="25" t="s">
        <v>18714</v>
      </c>
      <c r="X413" s="25" t="s">
        <v>18714</v>
      </c>
      <c r="Y413" s="24">
        <v>18</v>
      </c>
      <c r="Z413" s="25" t="s">
        <v>18723</v>
      </c>
    </row>
    <row r="414" spans="1:26" hidden="1" x14ac:dyDescent="0.2">
      <c r="A414" s="24" t="s">
        <v>19540</v>
      </c>
      <c r="B414" s="25" t="s">
        <v>19541</v>
      </c>
      <c r="C414" s="24" t="str">
        <f t="shared" si="14"/>
        <v>000</v>
      </c>
      <c r="D414" s="24" t="s">
        <v>19199</v>
      </c>
      <c r="E414" s="25" t="s">
        <v>19542</v>
      </c>
      <c r="F414" s="25" t="s">
        <v>476</v>
      </c>
      <c r="G414" s="25" t="e">
        <f>VLOOKUP(F414,[1]CHILDCARE_FACILITIES!N:Q,4,0)</f>
        <v>#N/A</v>
      </c>
      <c r="H414" s="25" t="e">
        <f>VLOOKUP(G414,'[1]CACFP FRL'!D:G,4,0)</f>
        <v>#N/A</v>
      </c>
      <c r="I414" s="25" t="e">
        <f>VLOOKUP(G414,[1]CHILDCARE_FACILITIES!AK:AL,2,0)</f>
        <v>#N/A</v>
      </c>
      <c r="J414" s="25" t="e">
        <f>VLOOKUP(I414,'[1]Head Start QF 1-5 Stars'!O:Q,3,0)</f>
        <v>#N/A</v>
      </c>
      <c r="K414" s="24" t="s">
        <v>19540</v>
      </c>
      <c r="L414" s="25" t="s">
        <v>476</v>
      </c>
      <c r="M414" s="25" t="s">
        <v>1637</v>
      </c>
      <c r="N414" s="25" t="s">
        <v>476</v>
      </c>
      <c r="O414" s="24" t="s">
        <v>207</v>
      </c>
      <c r="P414" s="25" t="str">
        <f>"86556"</f>
        <v>86556</v>
      </c>
      <c r="Q414" s="25" t="str">
        <f>""</f>
        <v/>
      </c>
      <c r="R414" s="25" t="s">
        <v>19433</v>
      </c>
      <c r="S414" s="24" t="s">
        <v>18818</v>
      </c>
      <c r="T414" s="25"/>
      <c r="U414" s="25" t="s">
        <v>18713</v>
      </c>
      <c r="V414" s="25" t="s">
        <v>18714</v>
      </c>
      <c r="W414" s="25" t="s">
        <v>18714</v>
      </c>
      <c r="X414" s="25" t="s">
        <v>18714</v>
      </c>
      <c r="Y414" s="24">
        <v>15</v>
      </c>
      <c r="Z414" s="25" t="s">
        <v>18723</v>
      </c>
    </row>
    <row r="415" spans="1:26" s="25" customFormat="1" hidden="1" x14ac:dyDescent="0.2">
      <c r="A415" s="24" t="s">
        <v>19649</v>
      </c>
      <c r="B415" s="25" t="s">
        <v>19650</v>
      </c>
      <c r="C415" s="24" t="str">
        <f>"200"</f>
        <v>200</v>
      </c>
      <c r="D415" s="24" t="s">
        <v>18706</v>
      </c>
      <c r="E415" s="25" t="s">
        <v>19651</v>
      </c>
      <c r="F415" s="25" t="s">
        <v>19652</v>
      </c>
      <c r="G415" s="25" t="e">
        <f>VLOOKUP(F415,[1]CHILDCARE_FACILITIES!N:Q,4,0)</f>
        <v>#N/A</v>
      </c>
      <c r="H415" s="25" t="e">
        <f>VLOOKUP(G415,'[1]CACFP FRL'!D:G,4,0)</f>
        <v>#N/A</v>
      </c>
      <c r="I415" s="25" t="e">
        <f>VLOOKUP(G415,[1]CHILDCARE_FACILITIES!AK:AL,2,0)</f>
        <v>#N/A</v>
      </c>
      <c r="J415" s="25" t="e">
        <f>VLOOKUP(I415,'[1]Head Start QF 1-5 Stars'!O:Q,3,0)</f>
        <v>#N/A</v>
      </c>
      <c r="K415" s="24" t="s">
        <v>19649</v>
      </c>
      <c r="L415" s="25" t="s">
        <v>19653</v>
      </c>
      <c r="M415" s="25" t="s">
        <v>19654</v>
      </c>
      <c r="N415" s="25" t="s">
        <v>19655</v>
      </c>
      <c r="O415" s="24" t="s">
        <v>207</v>
      </c>
      <c r="P415" s="25" t="str">
        <f>"86021"</f>
        <v>86021</v>
      </c>
      <c r="Q415" s="25" t="str">
        <f>""</f>
        <v/>
      </c>
      <c r="R415" s="25" t="s">
        <v>18890</v>
      </c>
      <c r="S415" s="24" t="s">
        <v>18764</v>
      </c>
      <c r="T415" s="25" t="s">
        <v>19656</v>
      </c>
      <c r="U415" s="25" t="s">
        <v>18713</v>
      </c>
      <c r="V415" s="25" t="s">
        <v>18714</v>
      </c>
      <c r="W415" s="25" t="s">
        <v>18714</v>
      </c>
      <c r="X415" s="25" t="s">
        <v>18714</v>
      </c>
      <c r="Y415" s="24">
        <v>8</v>
      </c>
      <c r="Z415" s="25" t="s">
        <v>18723</v>
      </c>
    </row>
    <row r="416" spans="1:26" hidden="1" x14ac:dyDescent="0.2">
      <c r="A416" s="24" t="s">
        <v>19540</v>
      </c>
      <c r="B416" s="25" t="s">
        <v>19541</v>
      </c>
      <c r="C416" s="24" t="str">
        <f>"000"</f>
        <v>000</v>
      </c>
      <c r="D416" s="24" t="s">
        <v>19199</v>
      </c>
      <c r="E416" s="25" t="s">
        <v>19542</v>
      </c>
      <c r="F416" s="25" t="s">
        <v>406</v>
      </c>
      <c r="G416" s="25" t="e">
        <f>VLOOKUP(F416,[1]CHILDCARE_FACILITIES!N:Q,4,0)</f>
        <v>#N/A</v>
      </c>
      <c r="H416" s="25" t="e">
        <f>VLOOKUP(G416,'[1]CACFP FRL'!D:G,4,0)</f>
        <v>#N/A</v>
      </c>
      <c r="I416" s="25" t="e">
        <f>VLOOKUP(G416,[1]CHILDCARE_FACILITIES!AK:AL,2,0)</f>
        <v>#N/A</v>
      </c>
      <c r="J416" s="25" t="e">
        <f>VLOOKUP(I416,'[1]Head Start QF 1-5 Stars'!O:Q,3,0)</f>
        <v>#N/A</v>
      </c>
      <c r="K416" s="24" t="s">
        <v>19540</v>
      </c>
      <c r="L416" s="25" t="s">
        <v>19657</v>
      </c>
      <c r="M416" s="25" t="s">
        <v>1637</v>
      </c>
      <c r="N416" s="25" t="s">
        <v>406</v>
      </c>
      <c r="O416" s="24" t="s">
        <v>207</v>
      </c>
      <c r="P416" s="25" t="str">
        <f>"86045"</f>
        <v>86045</v>
      </c>
      <c r="Q416" s="25" t="str">
        <f>""</f>
        <v/>
      </c>
      <c r="R416" s="25" t="s">
        <v>19091</v>
      </c>
      <c r="S416" s="24" t="s">
        <v>18818</v>
      </c>
      <c r="T416" s="25" t="s">
        <v>19658</v>
      </c>
      <c r="U416" s="25" t="s">
        <v>18713</v>
      </c>
      <c r="V416" s="25" t="s">
        <v>18714</v>
      </c>
      <c r="W416" s="25" t="s">
        <v>18714</v>
      </c>
      <c r="X416" s="25" t="s">
        <v>18714</v>
      </c>
      <c r="Y416" s="24">
        <v>20</v>
      </c>
      <c r="Z416" s="25" t="s">
        <v>18723</v>
      </c>
    </row>
    <row r="417" spans="1:26" hidden="1" x14ac:dyDescent="0.2">
      <c r="A417" s="23" t="s">
        <v>18716</v>
      </c>
      <c r="B417" s="22" t="s">
        <v>18717</v>
      </c>
      <c r="C417" s="23" t="str">
        <f>"200"</f>
        <v>200</v>
      </c>
      <c r="D417" s="23" t="s">
        <v>18706</v>
      </c>
      <c r="E417" s="22" t="s">
        <v>18717</v>
      </c>
      <c r="F417" s="22" t="s">
        <v>18793</v>
      </c>
      <c r="G417" s="22" t="str">
        <f>VLOOKUP(F417,[1]CHILDCARE_FACILITIES!N:Q,4,0)</f>
        <v>CDC-8713</v>
      </c>
      <c r="H417" s="22" t="e">
        <f>VLOOKUP(G417,'[1]CACFP FRL'!D:G,4,0)</f>
        <v>#N/A</v>
      </c>
      <c r="I417" s="22" t="str">
        <f>VLOOKUP(G417,[1]CHILDCARE_FACILITIES!AK:AL,2,0)</f>
        <v>CDC8713</v>
      </c>
      <c r="J417" s="22" t="e">
        <f>VLOOKUP(I417,'[1]Head Start QF 1-5 Stars'!O:Q,3,0)</f>
        <v>#N/A</v>
      </c>
      <c r="K417" s="23" t="s">
        <v>18716</v>
      </c>
      <c r="L417" s="22" t="s">
        <v>18794</v>
      </c>
      <c r="M417" s="22" t="s">
        <v>1637</v>
      </c>
      <c r="N417" s="22" t="s">
        <v>1283</v>
      </c>
      <c r="O417" s="23" t="s">
        <v>207</v>
      </c>
      <c r="P417" s="22" t="str">
        <f>"85353"</f>
        <v>85353</v>
      </c>
      <c r="Q417" s="22" t="str">
        <f>""</f>
        <v/>
      </c>
      <c r="R417" s="22" t="s">
        <v>18710</v>
      </c>
      <c r="S417" s="23" t="s">
        <v>18737</v>
      </c>
      <c r="T417" s="22" t="s">
        <v>18795</v>
      </c>
      <c r="U417" s="22" t="s">
        <v>18713</v>
      </c>
      <c r="V417" s="22" t="s">
        <v>18731</v>
      </c>
      <c r="W417" s="22" t="s">
        <v>18731</v>
      </c>
      <c r="X417" s="22" t="s">
        <v>18731</v>
      </c>
      <c r="Y417" s="23">
        <v>10</v>
      </c>
      <c r="Z417" s="22" t="s">
        <v>18723</v>
      </c>
    </row>
    <row r="418" spans="1:26" hidden="1" x14ac:dyDescent="0.2">
      <c r="A418" s="24" t="s">
        <v>19540</v>
      </c>
      <c r="B418" s="25" t="s">
        <v>19541</v>
      </c>
      <c r="C418" s="24" t="str">
        <f t="shared" ref="C418:C425" si="15">"000"</f>
        <v>000</v>
      </c>
      <c r="D418" s="24" t="s">
        <v>19199</v>
      </c>
      <c r="E418" s="25" t="s">
        <v>19542</v>
      </c>
      <c r="F418" s="25" t="s">
        <v>19659</v>
      </c>
      <c r="G418" s="25" t="e">
        <f>VLOOKUP(F418,[1]CHILDCARE_FACILITIES!N:Q,4,0)</f>
        <v>#N/A</v>
      </c>
      <c r="H418" s="25" t="e">
        <f>VLOOKUP(G418,'[1]CACFP FRL'!D:G,4,0)</f>
        <v>#N/A</v>
      </c>
      <c r="I418" s="25" t="e">
        <f>VLOOKUP(G418,[1]CHILDCARE_FACILITIES!AK:AL,2,0)</f>
        <v>#N/A</v>
      </c>
      <c r="J418" s="25" t="e">
        <f>VLOOKUP(I418,'[1]Head Start QF 1-5 Stars'!O:Q,3,0)</f>
        <v>#N/A</v>
      </c>
      <c r="K418" s="24" t="s">
        <v>19540</v>
      </c>
      <c r="L418" s="25" t="s">
        <v>19660</v>
      </c>
      <c r="M418" s="25" t="s">
        <v>1637</v>
      </c>
      <c r="N418" s="25" t="s">
        <v>427</v>
      </c>
      <c r="O418" s="24" t="s">
        <v>207</v>
      </c>
      <c r="P418" s="25" t="str">
        <f>"86510"</f>
        <v>86510</v>
      </c>
      <c r="Q418" s="25" t="str">
        <f>""</f>
        <v/>
      </c>
      <c r="R418" s="25" t="s">
        <v>19156</v>
      </c>
      <c r="S418" s="24" t="s">
        <v>18818</v>
      </c>
      <c r="T418" s="25" t="s">
        <v>19661</v>
      </c>
      <c r="U418" s="25" t="s">
        <v>18713</v>
      </c>
      <c r="V418" s="25" t="s">
        <v>18714</v>
      </c>
      <c r="W418" s="25" t="s">
        <v>18714</v>
      </c>
      <c r="X418" s="25" t="s">
        <v>18714</v>
      </c>
      <c r="Y418" s="24">
        <v>20</v>
      </c>
      <c r="Z418" s="25" t="s">
        <v>18723</v>
      </c>
    </row>
    <row r="419" spans="1:26" s="25" customFormat="1" hidden="1" x14ac:dyDescent="0.2">
      <c r="A419" s="24" t="s">
        <v>19540</v>
      </c>
      <c r="B419" s="25" t="s">
        <v>19541</v>
      </c>
      <c r="C419" s="24" t="str">
        <f t="shared" si="15"/>
        <v>000</v>
      </c>
      <c r="D419" s="24" t="s">
        <v>19199</v>
      </c>
      <c r="E419" s="25" t="s">
        <v>19542</v>
      </c>
      <c r="F419" s="25" t="s">
        <v>19662</v>
      </c>
      <c r="G419" s="25" t="e">
        <f>VLOOKUP(F419,[1]CHILDCARE_FACILITIES!N:Q,4,0)</f>
        <v>#N/A</v>
      </c>
      <c r="H419" s="25" t="e">
        <f>VLOOKUP(G419,'[1]CACFP FRL'!D:G,4,0)</f>
        <v>#N/A</v>
      </c>
      <c r="I419" s="25" t="e">
        <f>VLOOKUP(G419,[1]CHILDCARE_FACILITIES!AK:AL,2,0)</f>
        <v>#N/A</v>
      </c>
      <c r="J419" s="25" t="e">
        <f>VLOOKUP(I419,'[1]Head Start QF 1-5 Stars'!O:Q,3,0)</f>
        <v>#N/A</v>
      </c>
      <c r="K419" s="24" t="s">
        <v>19540</v>
      </c>
      <c r="L419" s="25" t="s">
        <v>19663</v>
      </c>
      <c r="M419" s="25" t="s">
        <v>1637</v>
      </c>
      <c r="N419" s="25" t="s">
        <v>19662</v>
      </c>
      <c r="O419" s="24" t="s">
        <v>207</v>
      </c>
      <c r="P419" s="25" t="str">
        <f>"86502"</f>
        <v>86502</v>
      </c>
      <c r="Q419" s="25" t="str">
        <f>""</f>
        <v/>
      </c>
      <c r="R419" s="25" t="s">
        <v>19433</v>
      </c>
      <c r="S419" s="24" t="s">
        <v>18818</v>
      </c>
      <c r="U419" s="25" t="s">
        <v>18713</v>
      </c>
      <c r="V419" s="25" t="s">
        <v>18714</v>
      </c>
      <c r="W419" s="25" t="s">
        <v>18714</v>
      </c>
      <c r="X419" s="25" t="s">
        <v>18714</v>
      </c>
      <c r="Y419" s="24">
        <v>10</v>
      </c>
      <c r="Z419" s="25" t="s">
        <v>18723</v>
      </c>
    </row>
    <row r="420" spans="1:26" s="25" customFormat="1" hidden="1" x14ac:dyDescent="0.2">
      <c r="A420" s="24" t="s">
        <v>19540</v>
      </c>
      <c r="B420" s="25" t="s">
        <v>19541</v>
      </c>
      <c r="C420" s="24" t="str">
        <f t="shared" si="15"/>
        <v>000</v>
      </c>
      <c r="D420" s="24" t="s">
        <v>19199</v>
      </c>
      <c r="E420" s="25" t="s">
        <v>19542</v>
      </c>
      <c r="F420" s="25" t="s">
        <v>487</v>
      </c>
      <c r="G420" s="25" t="e">
        <f>VLOOKUP(F420,[1]CHILDCARE_FACILITIES!N:Q,4,0)</f>
        <v>#N/A</v>
      </c>
      <c r="H420" s="25" t="e">
        <f>VLOOKUP(G420,'[1]CACFP FRL'!D:G,4,0)</f>
        <v>#N/A</v>
      </c>
      <c r="I420" s="25" t="e">
        <f>VLOOKUP(G420,[1]CHILDCARE_FACILITIES!AK:AL,2,0)</f>
        <v>#N/A</v>
      </c>
      <c r="J420" s="25" t="e">
        <f>VLOOKUP(I420,'[1]Head Start QF 1-5 Stars'!O:Q,3,0)</f>
        <v>#N/A</v>
      </c>
      <c r="K420" s="24" t="s">
        <v>19540</v>
      </c>
      <c r="L420" s="25" t="s">
        <v>19664</v>
      </c>
      <c r="M420" s="25" t="s">
        <v>1637</v>
      </c>
      <c r="N420" s="25" t="s">
        <v>487</v>
      </c>
      <c r="O420" s="24" t="s">
        <v>207</v>
      </c>
      <c r="P420" s="25" t="str">
        <f>"86515"</f>
        <v>86515</v>
      </c>
      <c r="Q420" s="25" t="str">
        <f>""</f>
        <v/>
      </c>
      <c r="R420" s="25" t="s">
        <v>19433</v>
      </c>
      <c r="S420" s="24" t="s">
        <v>18818</v>
      </c>
      <c r="T420" s="25" t="s">
        <v>19665</v>
      </c>
      <c r="U420" s="25" t="s">
        <v>18713</v>
      </c>
      <c r="V420" s="25" t="s">
        <v>18714</v>
      </c>
      <c r="W420" s="25" t="s">
        <v>18714</v>
      </c>
      <c r="X420" s="25" t="s">
        <v>18714</v>
      </c>
      <c r="Y420" s="24">
        <v>80</v>
      </c>
      <c r="Z420" s="25" t="s">
        <v>18723</v>
      </c>
    </row>
    <row r="421" spans="1:26" hidden="1" x14ac:dyDescent="0.2">
      <c r="A421" s="24" t="s">
        <v>19666</v>
      </c>
      <c r="B421" s="25" t="s">
        <v>19667</v>
      </c>
      <c r="C421" s="24" t="str">
        <f t="shared" si="15"/>
        <v>000</v>
      </c>
      <c r="D421" s="24" t="s">
        <v>19199</v>
      </c>
      <c r="E421" s="25" t="s">
        <v>19667</v>
      </c>
      <c r="F421" s="25" t="s">
        <v>19668</v>
      </c>
      <c r="G421" s="25" t="e">
        <f>VLOOKUP(F421,[1]CHILDCARE_FACILITIES!N:Q,4,0)</f>
        <v>#N/A</v>
      </c>
      <c r="H421" s="25" t="e">
        <f>VLOOKUP(G421,'[1]CACFP FRL'!D:G,4,0)</f>
        <v>#N/A</v>
      </c>
      <c r="I421" s="25" t="e">
        <f>VLOOKUP(G421,[1]CHILDCARE_FACILITIES!AK:AL,2,0)</f>
        <v>#N/A</v>
      </c>
      <c r="J421" s="25" t="e">
        <f>VLOOKUP(I421,'[1]Head Start QF 1-5 Stars'!O:Q,3,0)</f>
        <v>#N/A</v>
      </c>
      <c r="K421" s="24" t="s">
        <v>19666</v>
      </c>
      <c r="L421" s="25" t="s">
        <v>19669</v>
      </c>
      <c r="M421" s="25" t="s">
        <v>1637</v>
      </c>
      <c r="N421" s="25" t="s">
        <v>387</v>
      </c>
      <c r="O421" s="24" t="s">
        <v>207</v>
      </c>
      <c r="P421" s="25" t="str">
        <f>"85634"</f>
        <v>85634</v>
      </c>
      <c r="Q421" s="25" t="str">
        <f>""</f>
        <v/>
      </c>
      <c r="R421" s="25" t="s">
        <v>996</v>
      </c>
      <c r="S421" s="24" t="s">
        <v>18737</v>
      </c>
      <c r="T421" s="25" t="s">
        <v>19670</v>
      </c>
      <c r="U421" s="25" t="s">
        <v>19241</v>
      </c>
      <c r="V421" s="25" t="s">
        <v>18714</v>
      </c>
      <c r="W421" s="25" t="s">
        <v>18714</v>
      </c>
      <c r="X421" s="25" t="s">
        <v>18714</v>
      </c>
      <c r="Y421" s="24">
        <v>21</v>
      </c>
      <c r="Z421" s="25" t="s">
        <v>18723</v>
      </c>
    </row>
    <row r="422" spans="1:26" s="25" customFormat="1" hidden="1" x14ac:dyDescent="0.2">
      <c r="A422" s="24" t="s">
        <v>19666</v>
      </c>
      <c r="B422" s="25" t="s">
        <v>19667</v>
      </c>
      <c r="C422" s="24" t="str">
        <f t="shared" si="15"/>
        <v>000</v>
      </c>
      <c r="D422" s="24" t="s">
        <v>19199</v>
      </c>
      <c r="E422" s="25" t="s">
        <v>19667</v>
      </c>
      <c r="F422" s="25" t="s">
        <v>19671</v>
      </c>
      <c r="G422" s="25" t="e">
        <f>VLOOKUP(F422,[1]CHILDCARE_FACILITIES!N:Q,4,0)</f>
        <v>#N/A</v>
      </c>
      <c r="H422" s="25" t="e">
        <f>VLOOKUP(G422,'[1]CACFP FRL'!D:G,4,0)</f>
        <v>#N/A</v>
      </c>
      <c r="I422" s="25" t="e">
        <f>VLOOKUP(G422,[1]CHILDCARE_FACILITIES!AK:AL,2,0)</f>
        <v>#N/A</v>
      </c>
      <c r="J422" s="25">
        <f>'[1]Head Start QF 1-5 Stars'!Q104</f>
        <v>1371</v>
      </c>
      <c r="K422" s="24" t="s">
        <v>19666</v>
      </c>
      <c r="L422" s="25" t="s">
        <v>19672</v>
      </c>
      <c r="M422" s="25" t="s">
        <v>19673</v>
      </c>
      <c r="N422" s="25" t="s">
        <v>387</v>
      </c>
      <c r="O422" s="24" t="s">
        <v>207</v>
      </c>
      <c r="P422" s="25" t="str">
        <f>"85634"</f>
        <v>85634</v>
      </c>
      <c r="Q422" s="25" t="str">
        <f>""</f>
        <v/>
      </c>
      <c r="R422" s="25" t="s">
        <v>996</v>
      </c>
      <c r="S422" s="24" t="s">
        <v>18737</v>
      </c>
      <c r="T422" s="25" t="s">
        <v>19674</v>
      </c>
      <c r="U422" s="25" t="s">
        <v>19241</v>
      </c>
      <c r="V422" s="25" t="s">
        <v>18714</v>
      </c>
      <c r="W422" s="25" t="s">
        <v>18714</v>
      </c>
      <c r="X422" s="25" t="s">
        <v>18731</v>
      </c>
      <c r="Y422" s="24">
        <v>19</v>
      </c>
      <c r="Z422" s="25" t="s">
        <v>18723</v>
      </c>
    </row>
    <row r="423" spans="1:26" s="25" customFormat="1" hidden="1" x14ac:dyDescent="0.2">
      <c r="A423" s="24" t="s">
        <v>19666</v>
      </c>
      <c r="B423" s="25" t="s">
        <v>19667</v>
      </c>
      <c r="C423" s="24" t="str">
        <f t="shared" si="15"/>
        <v>000</v>
      </c>
      <c r="D423" s="24" t="s">
        <v>19199</v>
      </c>
      <c r="E423" s="25" t="s">
        <v>19667</v>
      </c>
      <c r="F423" s="25" t="s">
        <v>19675</v>
      </c>
      <c r="G423" s="25" t="e">
        <f>VLOOKUP(F423,[1]CHILDCARE_FACILITIES!N:Q,4,0)</f>
        <v>#N/A</v>
      </c>
      <c r="H423" s="25" t="e">
        <f>VLOOKUP(G423,'[1]CACFP FRL'!D:G,4,0)</f>
        <v>#N/A</v>
      </c>
      <c r="I423" s="25" t="e">
        <f>VLOOKUP(G423,[1]CHILDCARE_FACILITIES!AK:AL,2,0)</f>
        <v>#N/A</v>
      </c>
      <c r="J423" s="25">
        <f>'[1]Head Start QF 1-5 Stars'!Q105</f>
        <v>1355</v>
      </c>
      <c r="K423" s="24" t="s">
        <v>19666</v>
      </c>
      <c r="L423" s="25" t="s">
        <v>19676</v>
      </c>
      <c r="M423" s="25" t="s">
        <v>19673</v>
      </c>
      <c r="N423" s="25" t="s">
        <v>387</v>
      </c>
      <c r="O423" s="24" t="s">
        <v>207</v>
      </c>
      <c r="P423" s="25" t="str">
        <f>"85634"</f>
        <v>85634</v>
      </c>
      <c r="Q423" s="25" t="str">
        <f>""</f>
        <v/>
      </c>
      <c r="R423" s="25" t="s">
        <v>996</v>
      </c>
      <c r="S423" s="24" t="s">
        <v>18737</v>
      </c>
      <c r="T423" s="25" t="s">
        <v>19677</v>
      </c>
      <c r="U423" s="25" t="s">
        <v>19241</v>
      </c>
      <c r="V423" s="25" t="s">
        <v>18714</v>
      </c>
      <c r="W423" s="25" t="s">
        <v>18714</v>
      </c>
      <c r="X423" s="25" t="s">
        <v>18714</v>
      </c>
      <c r="Y423" s="24">
        <v>20</v>
      </c>
      <c r="Z423" s="25" t="s">
        <v>18723</v>
      </c>
    </row>
    <row r="424" spans="1:26" hidden="1" x14ac:dyDescent="0.2">
      <c r="A424" s="24" t="s">
        <v>19666</v>
      </c>
      <c r="B424" s="25" t="s">
        <v>19667</v>
      </c>
      <c r="C424" s="24" t="str">
        <f t="shared" si="15"/>
        <v>000</v>
      </c>
      <c r="D424" s="24" t="s">
        <v>19199</v>
      </c>
      <c r="E424" s="25" t="s">
        <v>19667</v>
      </c>
      <c r="F424" s="25" t="s">
        <v>19678</v>
      </c>
      <c r="G424" s="25" t="e">
        <f>VLOOKUP(F424,[1]CHILDCARE_FACILITIES!N:Q,4,0)</f>
        <v>#N/A</v>
      </c>
      <c r="H424" s="25" t="e">
        <f>VLOOKUP(G424,'[1]CACFP FRL'!D:G,4,0)</f>
        <v>#N/A</v>
      </c>
      <c r="I424" s="25" t="e">
        <f>VLOOKUP(G424,[1]CHILDCARE_FACILITIES!AK:AL,2,0)</f>
        <v>#N/A</v>
      </c>
      <c r="J424" s="25" t="e">
        <f>VLOOKUP(I424,'[1]Head Start QF 1-5 Stars'!O:Q,3,0)</f>
        <v>#N/A</v>
      </c>
      <c r="K424" s="24" t="s">
        <v>19666</v>
      </c>
      <c r="L424" s="25" t="s">
        <v>19679</v>
      </c>
      <c r="M424" s="25" t="s">
        <v>1637</v>
      </c>
      <c r="N424" s="25" t="s">
        <v>526</v>
      </c>
      <c r="O424" s="24" t="s">
        <v>207</v>
      </c>
      <c r="P424" s="25" t="str">
        <f>"85337"</f>
        <v>85337</v>
      </c>
      <c r="Q424" s="25" t="str">
        <f>""</f>
        <v/>
      </c>
      <c r="R424" s="25" t="s">
        <v>18710</v>
      </c>
      <c r="S424" s="24" t="s">
        <v>18721</v>
      </c>
      <c r="T424" s="25" t="s">
        <v>19680</v>
      </c>
      <c r="U424" s="25" t="s">
        <v>19241</v>
      </c>
      <c r="V424" s="25" t="s">
        <v>18714</v>
      </c>
      <c r="W424" s="25" t="s">
        <v>18714</v>
      </c>
      <c r="X424" s="25" t="s">
        <v>18714</v>
      </c>
      <c r="Y424" s="24">
        <v>10</v>
      </c>
      <c r="Z424" s="25" t="s">
        <v>18723</v>
      </c>
    </row>
    <row r="425" spans="1:26" hidden="1" x14ac:dyDescent="0.2">
      <c r="A425" s="24" t="s">
        <v>19666</v>
      </c>
      <c r="B425" s="25" t="s">
        <v>19667</v>
      </c>
      <c r="C425" s="24" t="str">
        <f t="shared" si="15"/>
        <v>000</v>
      </c>
      <c r="D425" s="24" t="s">
        <v>19199</v>
      </c>
      <c r="E425" s="25" t="s">
        <v>19667</v>
      </c>
      <c r="F425" s="25" t="s">
        <v>19681</v>
      </c>
      <c r="G425" s="25" t="e">
        <f>VLOOKUP(F425,[1]CHILDCARE_FACILITIES!N:Q,4,0)</f>
        <v>#N/A</v>
      </c>
      <c r="H425" s="25" t="e">
        <f>VLOOKUP(G425,'[1]CACFP FRL'!D:G,4,0)</f>
        <v>#N/A</v>
      </c>
      <c r="I425" s="25" t="e">
        <f>VLOOKUP(G425,[1]CHILDCARE_FACILITIES!AK:AL,2,0)</f>
        <v>#N/A</v>
      </c>
      <c r="J425" s="25">
        <f>'[1]Head Start QF 1-5 Stars'!Q123</f>
        <v>540</v>
      </c>
      <c r="K425" s="24" t="s">
        <v>19666</v>
      </c>
      <c r="L425" s="25" t="s">
        <v>19682</v>
      </c>
      <c r="M425" s="25" t="s">
        <v>19683</v>
      </c>
      <c r="N425" s="25" t="s">
        <v>764</v>
      </c>
      <c r="O425" s="24" t="s">
        <v>207</v>
      </c>
      <c r="P425" s="25" t="str">
        <f>"85746"</f>
        <v>85746</v>
      </c>
      <c r="Q425" s="25" t="str">
        <f>""</f>
        <v/>
      </c>
      <c r="R425" s="25" t="s">
        <v>996</v>
      </c>
      <c r="S425" s="24" t="s">
        <v>18737</v>
      </c>
      <c r="T425" s="25" t="s">
        <v>19684</v>
      </c>
      <c r="U425" s="25" t="s">
        <v>19241</v>
      </c>
      <c r="V425" s="25" t="s">
        <v>18714</v>
      </c>
      <c r="W425" s="25" t="s">
        <v>18714</v>
      </c>
      <c r="X425" s="25" t="s">
        <v>18714</v>
      </c>
      <c r="Y425" s="24">
        <v>40</v>
      </c>
      <c r="Z425" s="25" t="s">
        <v>18723</v>
      </c>
    </row>
    <row r="426" spans="1:26" hidden="1" x14ac:dyDescent="0.2">
      <c r="A426" s="23" t="s">
        <v>18724</v>
      </c>
      <c r="B426" s="22" t="s">
        <v>18705</v>
      </c>
      <c r="C426" s="23" t="str">
        <f>"200"</f>
        <v>200</v>
      </c>
      <c r="D426" s="23" t="s">
        <v>18706</v>
      </c>
      <c r="E426" s="22" t="s">
        <v>18705</v>
      </c>
      <c r="F426" s="22" t="s">
        <v>19685</v>
      </c>
      <c r="G426" s="22" t="s">
        <v>19686</v>
      </c>
      <c r="H426" s="22" t="e">
        <f>VLOOKUP(G426,'[1]CACFP FRL'!D:G,4,0)</f>
        <v>#N/A</v>
      </c>
      <c r="I426" s="22" t="str">
        <f>VLOOKUP(G426,[1]CHILDCARE_FACILITIES!AK:AL,2,0)</f>
        <v>CDC13847</v>
      </c>
      <c r="J426" s="22" t="e">
        <f>VLOOKUP(I426,'[1]Head Start QF 1-5 Stars'!O:Q,3,0)</f>
        <v>#N/A</v>
      </c>
      <c r="K426" s="23" t="s">
        <v>18724</v>
      </c>
      <c r="L426" s="22" t="s">
        <v>19687</v>
      </c>
      <c r="M426" s="22" t="s">
        <v>1637</v>
      </c>
      <c r="N426" s="22" t="s">
        <v>1593</v>
      </c>
      <c r="O426" s="23" t="s">
        <v>207</v>
      </c>
      <c r="P426" s="22" t="str">
        <f>"85233"</f>
        <v>85233</v>
      </c>
      <c r="Q426" s="22" t="str">
        <f>"7238"</f>
        <v>7238</v>
      </c>
      <c r="R426" s="22" t="s">
        <v>18710</v>
      </c>
      <c r="S426" s="23" t="s">
        <v>18832</v>
      </c>
      <c r="T426" s="22" t="s">
        <v>19688</v>
      </c>
      <c r="U426" s="22" t="s">
        <v>18713</v>
      </c>
      <c r="V426" s="22" t="s">
        <v>18714</v>
      </c>
      <c r="W426" s="22" t="s">
        <v>18714</v>
      </c>
      <c r="X426" s="22" t="s">
        <v>18714</v>
      </c>
      <c r="Y426" s="23">
        <v>24</v>
      </c>
      <c r="Z426" s="22" t="s">
        <v>18715</v>
      </c>
    </row>
    <row r="427" spans="1:26" ht="15" hidden="1" x14ac:dyDescent="0.25">
      <c r="A427" s="23" t="s">
        <v>18724</v>
      </c>
      <c r="B427" s="22" t="s">
        <v>18705</v>
      </c>
      <c r="C427" s="23" t="str">
        <f>"200"</f>
        <v>200</v>
      </c>
      <c r="D427" s="23" t="s">
        <v>18706</v>
      </c>
      <c r="E427" s="22" t="s">
        <v>18705</v>
      </c>
      <c r="F427" s="22" t="s">
        <v>19689</v>
      </c>
      <c r="G427" s="26" t="s">
        <v>19690</v>
      </c>
      <c r="H427" s="22">
        <f>VLOOKUP(G427,'[1]CACFP FRL'!D:G,4,0)</f>
        <v>89888</v>
      </c>
      <c r="I427" s="22" t="str">
        <f>VLOOKUP(G427,[1]CHILDCARE_FACILITIES!AK:AL,2,0)</f>
        <v>CDC13846</v>
      </c>
      <c r="J427" s="22" t="e">
        <f>VLOOKUP(I427,'[1]Head Start QF 1-5 Stars'!O:Q,3,0)</f>
        <v>#N/A</v>
      </c>
      <c r="K427" s="23" t="s">
        <v>18724</v>
      </c>
      <c r="L427" s="22" t="s">
        <v>19691</v>
      </c>
      <c r="M427" s="22" t="s">
        <v>1637</v>
      </c>
      <c r="N427" s="22" t="s">
        <v>379</v>
      </c>
      <c r="O427" s="23" t="s">
        <v>207</v>
      </c>
      <c r="P427" s="22" t="str">
        <f>"85306"</f>
        <v>85306</v>
      </c>
      <c r="Q427" s="22" t="str">
        <f>"4139"</f>
        <v>4139</v>
      </c>
      <c r="R427" s="22" t="s">
        <v>18710</v>
      </c>
      <c r="S427" s="23" t="s">
        <v>18751</v>
      </c>
      <c r="T427" s="22" t="s">
        <v>19688</v>
      </c>
      <c r="U427" s="22" t="s">
        <v>18713</v>
      </c>
      <c r="V427" s="22" t="s">
        <v>18714</v>
      </c>
      <c r="W427" s="22" t="s">
        <v>18714</v>
      </c>
      <c r="X427" s="22" t="s">
        <v>18714</v>
      </c>
      <c r="Y427" s="23">
        <v>24</v>
      </c>
      <c r="Z427" s="22" t="s">
        <v>18715</v>
      </c>
    </row>
    <row r="428" spans="1:26" hidden="1" x14ac:dyDescent="0.2">
      <c r="A428" s="24" t="s">
        <v>19666</v>
      </c>
      <c r="B428" s="25" t="s">
        <v>19667</v>
      </c>
      <c r="C428" s="24" t="str">
        <f>"000"</f>
        <v>000</v>
      </c>
      <c r="D428" s="24" t="s">
        <v>19199</v>
      </c>
      <c r="E428" s="25" t="s">
        <v>19667</v>
      </c>
      <c r="F428" s="25" t="s">
        <v>19692</v>
      </c>
      <c r="G428" s="25" t="e">
        <f>VLOOKUP(F428,[1]CHILDCARE_FACILITIES!N:Q,4,0)</f>
        <v>#N/A</v>
      </c>
      <c r="H428" s="25" t="e">
        <f>VLOOKUP(G428,'[1]CACFP FRL'!D:G,4,0)</f>
        <v>#N/A</v>
      </c>
      <c r="I428" s="25" t="e">
        <f>VLOOKUP(G428,[1]CHILDCARE_FACILITIES!AK:AL,2,0)</f>
        <v>#N/A</v>
      </c>
      <c r="J428" s="25" t="e">
        <f>VLOOKUP(I428,'[1]Head Start QF 1-5 Stars'!O:Q,3,0)</f>
        <v>#N/A</v>
      </c>
      <c r="K428" s="24" t="s">
        <v>19666</v>
      </c>
      <c r="L428" s="25" t="s">
        <v>19693</v>
      </c>
      <c r="M428" s="25" t="s">
        <v>1637</v>
      </c>
      <c r="N428" s="25" t="s">
        <v>387</v>
      </c>
      <c r="O428" s="24" t="s">
        <v>207</v>
      </c>
      <c r="P428" s="25" t="str">
        <f>"85634"</f>
        <v>85634</v>
      </c>
      <c r="Q428" s="25" t="str">
        <f>""</f>
        <v/>
      </c>
      <c r="R428" s="25" t="s">
        <v>996</v>
      </c>
      <c r="S428" s="24" t="s">
        <v>18737</v>
      </c>
      <c r="T428" s="25" t="s">
        <v>19694</v>
      </c>
      <c r="U428" s="25" t="s">
        <v>19241</v>
      </c>
      <c r="V428" s="25" t="s">
        <v>18714</v>
      </c>
      <c r="W428" s="25" t="s">
        <v>18714</v>
      </c>
      <c r="X428" s="25" t="s">
        <v>18714</v>
      </c>
      <c r="Y428" s="24">
        <v>18</v>
      </c>
      <c r="Z428" s="25" t="s">
        <v>18723</v>
      </c>
    </row>
    <row r="429" spans="1:26" hidden="1" x14ac:dyDescent="0.2">
      <c r="A429" s="23" t="s">
        <v>18704</v>
      </c>
      <c r="B429" s="22" t="s">
        <v>18705</v>
      </c>
      <c r="C429" s="23" t="str">
        <f>"200"</f>
        <v>200</v>
      </c>
      <c r="D429" s="23" t="s">
        <v>18706</v>
      </c>
      <c r="E429" s="22" t="s">
        <v>18705</v>
      </c>
      <c r="F429" s="22" t="s">
        <v>19354</v>
      </c>
      <c r="G429" s="22" t="s">
        <v>19355</v>
      </c>
      <c r="H429" s="22">
        <f>VLOOKUP(G429,'[1]CACFP FRL'!D:G,4,0)</f>
        <v>89880</v>
      </c>
      <c r="I429" s="22" t="str">
        <f>VLOOKUP(G429,[1]CHILDCARE_FACILITIES!AK:AL,2,0)</f>
        <v>CDC13863</v>
      </c>
      <c r="J429" s="22" t="e">
        <f>VLOOKUP(I429,'[1]Head Start QF 1-5 Stars'!O:Q,3,0)</f>
        <v>#N/A</v>
      </c>
      <c r="K429" s="23" t="s">
        <v>18704</v>
      </c>
      <c r="L429" s="22" t="s">
        <v>19356</v>
      </c>
      <c r="M429" s="22" t="s">
        <v>1637</v>
      </c>
      <c r="N429" s="22" t="s">
        <v>1593</v>
      </c>
      <c r="O429" s="23" t="s">
        <v>207</v>
      </c>
      <c r="P429" s="22" t="str">
        <f>"85234"</f>
        <v>85234</v>
      </c>
      <c r="Q429" s="22" t="str">
        <f>"3265"</f>
        <v>3265</v>
      </c>
      <c r="R429" s="22" t="s">
        <v>18710</v>
      </c>
      <c r="S429" s="23" t="s">
        <v>18832</v>
      </c>
      <c r="T429" s="22" t="s">
        <v>19695</v>
      </c>
      <c r="U429" s="22" t="s">
        <v>18713</v>
      </c>
      <c r="V429" s="22" t="s">
        <v>18714</v>
      </c>
      <c r="W429" s="22" t="s">
        <v>18714</v>
      </c>
      <c r="X429" s="22" t="s">
        <v>18714</v>
      </c>
      <c r="Y429" s="23">
        <v>16</v>
      </c>
      <c r="Z429" s="22" t="s">
        <v>18715</v>
      </c>
    </row>
    <row r="430" spans="1:26" hidden="1" x14ac:dyDescent="0.2">
      <c r="A430" s="23" t="s">
        <v>18724</v>
      </c>
      <c r="B430" s="22" t="s">
        <v>18705</v>
      </c>
      <c r="C430" s="23" t="str">
        <f>"200"</f>
        <v>200</v>
      </c>
      <c r="D430" s="23" t="s">
        <v>18706</v>
      </c>
      <c r="E430" s="22" t="s">
        <v>18705</v>
      </c>
      <c r="F430" s="22" t="s">
        <v>19696</v>
      </c>
      <c r="G430" s="22" t="s">
        <v>19697</v>
      </c>
      <c r="H430" s="22">
        <f>VLOOKUP(G430,'[1]CACFP FRL'!D:G,4,0)</f>
        <v>89885</v>
      </c>
      <c r="I430" s="22" t="str">
        <f>VLOOKUP(G430,[1]CHILDCARE_FACILITIES!AK:AL,2,0)</f>
        <v>CDC13848</v>
      </c>
      <c r="J430" s="22" t="e">
        <f>VLOOKUP(I430,'[1]Head Start QF 1-5 Stars'!O:Q,3,0)</f>
        <v>#N/A</v>
      </c>
      <c r="K430" s="23" t="s">
        <v>18724</v>
      </c>
      <c r="L430" s="22" t="s">
        <v>19698</v>
      </c>
      <c r="M430" s="22" t="s">
        <v>1637</v>
      </c>
      <c r="N430" s="22" t="s">
        <v>724</v>
      </c>
      <c r="O430" s="23" t="s">
        <v>207</v>
      </c>
      <c r="P430" s="22" t="str">
        <f>"85224"</f>
        <v>85224</v>
      </c>
      <c r="Q430" s="22" t="str">
        <f>"4072"</f>
        <v>4072</v>
      </c>
      <c r="R430" s="22" t="s">
        <v>18710</v>
      </c>
      <c r="S430" s="23" t="s">
        <v>18711</v>
      </c>
      <c r="T430" s="22" t="s">
        <v>19699</v>
      </c>
      <c r="U430" s="22" t="s">
        <v>18713</v>
      </c>
      <c r="V430" s="22" t="s">
        <v>18714</v>
      </c>
      <c r="W430" s="22" t="s">
        <v>18714</v>
      </c>
      <c r="X430" s="22" t="s">
        <v>18714</v>
      </c>
      <c r="Y430" s="23">
        <v>16</v>
      </c>
      <c r="Z430" s="22" t="s">
        <v>18715</v>
      </c>
    </row>
    <row r="431" spans="1:26" hidden="1" x14ac:dyDescent="0.2">
      <c r="A431" s="23" t="s">
        <v>18704</v>
      </c>
      <c r="B431" s="22" t="s">
        <v>18705</v>
      </c>
      <c r="C431" s="23" t="str">
        <f>"200"</f>
        <v>200</v>
      </c>
      <c r="D431" s="23" t="s">
        <v>18706</v>
      </c>
      <c r="E431" s="22" t="s">
        <v>18705</v>
      </c>
      <c r="F431" s="22" t="s">
        <v>19700</v>
      </c>
      <c r="G431" s="22" t="s">
        <v>19701</v>
      </c>
      <c r="H431" s="22">
        <f>VLOOKUP(G431,'[1]CACFP FRL'!D:G,4,0)</f>
        <v>89886</v>
      </c>
      <c r="I431" s="22" t="str">
        <f>VLOOKUP(G431,[1]CHILDCARE_FACILITIES!AK:AL,2,0)</f>
        <v>CDC13849</v>
      </c>
      <c r="J431" s="22" t="e">
        <f>VLOOKUP(I431,'[1]Head Start QF 1-5 Stars'!O:Q,3,0)</f>
        <v>#N/A</v>
      </c>
      <c r="K431" s="23" t="s">
        <v>18704</v>
      </c>
      <c r="L431" s="22" t="s">
        <v>19702</v>
      </c>
      <c r="M431" s="22" t="s">
        <v>1637</v>
      </c>
      <c r="N431" s="22" t="s">
        <v>379</v>
      </c>
      <c r="O431" s="23" t="s">
        <v>207</v>
      </c>
      <c r="P431" s="22" t="str">
        <f>"85308"</f>
        <v>85308</v>
      </c>
      <c r="Q431" s="22" t="str">
        <f>"3866"</f>
        <v>3866</v>
      </c>
      <c r="R431" s="22" t="s">
        <v>18710</v>
      </c>
      <c r="S431" s="23" t="s">
        <v>18751</v>
      </c>
      <c r="T431" s="22" t="s">
        <v>19703</v>
      </c>
      <c r="U431" s="22" t="s">
        <v>18713</v>
      </c>
      <c r="V431" s="22" t="s">
        <v>18714</v>
      </c>
      <c r="W431" s="22" t="s">
        <v>18714</v>
      </c>
      <c r="X431" s="22" t="s">
        <v>18714</v>
      </c>
      <c r="Y431" s="23">
        <v>16</v>
      </c>
      <c r="Z431" s="22" t="s">
        <v>18715</v>
      </c>
    </row>
    <row r="432" spans="1:26" hidden="1" x14ac:dyDescent="0.2">
      <c r="A432" s="24" t="s">
        <v>19666</v>
      </c>
      <c r="B432" s="25" t="s">
        <v>19667</v>
      </c>
      <c r="C432" s="24" t="str">
        <f>"000"</f>
        <v>000</v>
      </c>
      <c r="D432" s="24" t="s">
        <v>19199</v>
      </c>
      <c r="E432" s="25" t="s">
        <v>19667</v>
      </c>
      <c r="F432" s="25" t="s">
        <v>387</v>
      </c>
      <c r="G432" s="25" t="e">
        <f>VLOOKUP(F432,[1]CHILDCARE_FACILITIES!N:Q,4,0)</f>
        <v>#N/A</v>
      </c>
      <c r="H432" s="25" t="e">
        <f>VLOOKUP(G432,'[1]CACFP FRL'!D:G,4,0)</f>
        <v>#N/A</v>
      </c>
      <c r="I432" s="25" t="e">
        <f>VLOOKUP(G432,[1]CHILDCARE_FACILITIES!AK:AL,2,0)</f>
        <v>#N/A</v>
      </c>
      <c r="J432" s="25">
        <f>'[1]Head Start QF 1-5 Stars'!Q125</f>
        <v>204</v>
      </c>
      <c r="K432" s="24" t="s">
        <v>19666</v>
      </c>
      <c r="L432" s="25" t="s">
        <v>19704</v>
      </c>
      <c r="M432" s="25" t="s">
        <v>1637</v>
      </c>
      <c r="N432" s="25" t="s">
        <v>387</v>
      </c>
      <c r="O432" s="24" t="s">
        <v>207</v>
      </c>
      <c r="P432" s="25" t="str">
        <f>"85634"</f>
        <v>85634</v>
      </c>
      <c r="Q432" s="25" t="str">
        <f>"0837"</f>
        <v>0837</v>
      </c>
      <c r="R432" s="25" t="s">
        <v>996</v>
      </c>
      <c r="S432" s="24" t="s">
        <v>18737</v>
      </c>
      <c r="T432" s="25" t="s">
        <v>19670</v>
      </c>
      <c r="U432" s="25" t="s">
        <v>19241</v>
      </c>
      <c r="V432" s="25" t="s">
        <v>18714</v>
      </c>
      <c r="W432" s="25" t="s">
        <v>18714</v>
      </c>
      <c r="X432" s="25" t="s">
        <v>18714</v>
      </c>
      <c r="Y432" s="24">
        <v>64</v>
      </c>
      <c r="Z432" s="25" t="s">
        <v>18723</v>
      </c>
    </row>
    <row r="433" spans="1:26" hidden="1" x14ac:dyDescent="0.2">
      <c r="A433" s="23" t="s">
        <v>18704</v>
      </c>
      <c r="B433" s="22" t="s">
        <v>18705</v>
      </c>
      <c r="C433" s="23" t="str">
        <f>"200"</f>
        <v>200</v>
      </c>
      <c r="D433" s="23" t="s">
        <v>18706</v>
      </c>
      <c r="E433" s="22" t="s">
        <v>18705</v>
      </c>
      <c r="F433" s="22" t="s">
        <v>19357</v>
      </c>
      <c r="G433" s="22" t="s">
        <v>19358</v>
      </c>
      <c r="H433" s="22" t="e">
        <f>VLOOKUP(G433,'[1]CACFP FRL'!D:G,4,0)</f>
        <v>#N/A</v>
      </c>
      <c r="I433" s="22" t="str">
        <f>VLOOKUP(G433,[1]CHILDCARE_FACILITIES!AK:AL,2,0)</f>
        <v>CDC13851</v>
      </c>
      <c r="J433" s="22" t="e">
        <f>VLOOKUP(I433,'[1]Head Start QF 1-5 Stars'!O:Q,3,0)</f>
        <v>#N/A</v>
      </c>
      <c r="K433" s="23" t="s">
        <v>18704</v>
      </c>
      <c r="L433" s="22" t="s">
        <v>19359</v>
      </c>
      <c r="M433" s="22" t="s">
        <v>1637</v>
      </c>
      <c r="N433" s="22" t="s">
        <v>724</v>
      </c>
      <c r="O433" s="23" t="s">
        <v>207</v>
      </c>
      <c r="P433" s="22" t="str">
        <f>"85226"</f>
        <v>85226</v>
      </c>
      <c r="Q433" s="22" t="str">
        <f>"2241"</f>
        <v>2241</v>
      </c>
      <c r="R433" s="22" t="s">
        <v>18710</v>
      </c>
      <c r="S433" s="23" t="s">
        <v>18711</v>
      </c>
      <c r="T433" s="22" t="s">
        <v>19705</v>
      </c>
      <c r="U433" s="22" t="s">
        <v>18713</v>
      </c>
      <c r="V433" s="22" t="s">
        <v>18714</v>
      </c>
      <c r="W433" s="22" t="s">
        <v>18714</v>
      </c>
      <c r="X433" s="22" t="s">
        <v>18714</v>
      </c>
      <c r="Y433" s="23">
        <v>8</v>
      </c>
      <c r="Z433" s="22" t="s">
        <v>18715</v>
      </c>
    </row>
    <row r="434" spans="1:26" hidden="1" x14ac:dyDescent="0.2">
      <c r="A434" s="23" t="s">
        <v>18724</v>
      </c>
      <c r="B434" s="22" t="s">
        <v>18705</v>
      </c>
      <c r="C434" s="23" t="str">
        <f>"200"</f>
        <v>200</v>
      </c>
      <c r="D434" s="23" t="s">
        <v>18706</v>
      </c>
      <c r="E434" s="22" t="s">
        <v>18705</v>
      </c>
      <c r="F434" s="22" t="s">
        <v>19357</v>
      </c>
      <c r="G434" s="22" t="s">
        <v>19358</v>
      </c>
      <c r="H434" s="22" t="e">
        <f>VLOOKUP(G434,'[1]CACFP FRL'!D:G,4,0)</f>
        <v>#N/A</v>
      </c>
      <c r="I434" s="22" t="str">
        <f>VLOOKUP(G434,[1]CHILDCARE_FACILITIES!AK:AL,2,0)</f>
        <v>CDC13851</v>
      </c>
      <c r="J434" s="22" t="e">
        <f>VLOOKUP(I434,'[1]Head Start QF 1-5 Stars'!O:Q,3,0)</f>
        <v>#N/A</v>
      </c>
      <c r="K434" s="23" t="s">
        <v>18724</v>
      </c>
      <c r="L434" s="22" t="s">
        <v>19359</v>
      </c>
      <c r="M434" s="22" t="s">
        <v>1637</v>
      </c>
      <c r="N434" s="22" t="s">
        <v>724</v>
      </c>
      <c r="O434" s="23" t="s">
        <v>207</v>
      </c>
      <c r="P434" s="22" t="str">
        <f>"85226"</f>
        <v>85226</v>
      </c>
      <c r="Q434" s="22" t="str">
        <f>"2241"</f>
        <v>2241</v>
      </c>
      <c r="R434" s="22" t="s">
        <v>18710</v>
      </c>
      <c r="S434" s="23" t="s">
        <v>18711</v>
      </c>
      <c r="T434" s="22" t="s">
        <v>19705</v>
      </c>
      <c r="U434" s="22" t="s">
        <v>18713</v>
      </c>
      <c r="V434" s="22" t="s">
        <v>18714</v>
      </c>
      <c r="W434" s="22" t="s">
        <v>18714</v>
      </c>
      <c r="X434" s="22" t="s">
        <v>18714</v>
      </c>
      <c r="Y434" s="23">
        <v>16</v>
      </c>
      <c r="Z434" s="22" t="s">
        <v>18715</v>
      </c>
    </row>
    <row r="435" spans="1:26" hidden="1" x14ac:dyDescent="0.2">
      <c r="A435" s="24" t="s">
        <v>19666</v>
      </c>
      <c r="B435" s="25" t="s">
        <v>19667</v>
      </c>
      <c r="C435" s="24" t="str">
        <f>"000"</f>
        <v>000</v>
      </c>
      <c r="D435" s="24" t="s">
        <v>19199</v>
      </c>
      <c r="E435" s="25" t="s">
        <v>19667</v>
      </c>
      <c r="F435" s="25" t="s">
        <v>19706</v>
      </c>
      <c r="G435" s="25" t="e">
        <f>VLOOKUP(F435,[1]CHILDCARE_FACILITIES!N:Q,4,0)</f>
        <v>#N/A</v>
      </c>
      <c r="H435" s="25" t="e">
        <f>VLOOKUP(G435,'[1]CACFP FRL'!D:G,4,0)</f>
        <v>#N/A</v>
      </c>
      <c r="I435" s="25" t="e">
        <f>VLOOKUP(G435,[1]CHILDCARE_FACILITIES!AK:AL,2,0)</f>
        <v>#N/A</v>
      </c>
      <c r="J435" s="25">
        <f>'[1]Head Start QF 1-5 Stars'!Q134</f>
        <v>2773</v>
      </c>
      <c r="K435" s="24" t="s">
        <v>19666</v>
      </c>
      <c r="L435" s="25" t="s">
        <v>19707</v>
      </c>
      <c r="M435" s="25" t="s">
        <v>1637</v>
      </c>
      <c r="N435" s="25" t="s">
        <v>18871</v>
      </c>
      <c r="O435" s="24" t="s">
        <v>207</v>
      </c>
      <c r="P435" s="25" t="str">
        <f>"85634"</f>
        <v>85634</v>
      </c>
      <c r="Q435" s="25" t="str">
        <f>""</f>
        <v/>
      </c>
      <c r="R435" s="25" t="s">
        <v>996</v>
      </c>
      <c r="S435" s="24" t="s">
        <v>18737</v>
      </c>
      <c r="T435" s="25" t="s">
        <v>19708</v>
      </c>
      <c r="U435" s="25" t="s">
        <v>19241</v>
      </c>
      <c r="V435" s="25" t="s">
        <v>18714</v>
      </c>
      <c r="W435" s="25" t="s">
        <v>18714</v>
      </c>
      <c r="X435" s="25" t="s">
        <v>18714</v>
      </c>
      <c r="Y435" s="24">
        <v>17</v>
      </c>
      <c r="Z435" s="25" t="s">
        <v>18723</v>
      </c>
    </row>
    <row r="436" spans="1:26" s="25" customFormat="1" hidden="1" x14ac:dyDescent="0.2">
      <c r="A436" s="24" t="s">
        <v>19709</v>
      </c>
      <c r="B436" s="25" t="s">
        <v>19710</v>
      </c>
      <c r="C436" s="24" t="str">
        <f>"200"</f>
        <v>200</v>
      </c>
      <c r="D436" s="24" t="s">
        <v>18706</v>
      </c>
      <c r="E436" s="25" t="s">
        <v>19711</v>
      </c>
      <c r="F436" s="25" t="s">
        <v>19712</v>
      </c>
      <c r="G436" s="25" t="e">
        <f>VLOOKUP(F436,[1]CHILDCARE_FACILITIES!N:Q,4,0)</f>
        <v>#N/A</v>
      </c>
      <c r="H436" s="25" t="e">
        <f>VLOOKUP(G436,'[1]CACFP FRL'!D:G,4,0)</f>
        <v>#N/A</v>
      </c>
      <c r="I436" s="25" t="e">
        <f>VLOOKUP(G436,[1]CHILDCARE_FACILITIES!AK:AL,2,0)</f>
        <v>#N/A</v>
      </c>
      <c r="J436" s="25" t="e">
        <f>VLOOKUP(I436,'[1]Head Start QF 1-5 Stars'!O:Q,3,0)</f>
        <v>#N/A</v>
      </c>
      <c r="K436" s="24" t="s">
        <v>19709</v>
      </c>
      <c r="L436" s="25" t="s">
        <v>19713</v>
      </c>
      <c r="M436" s="25" t="s">
        <v>19714</v>
      </c>
      <c r="N436" s="25" t="s">
        <v>495</v>
      </c>
      <c r="O436" s="24" t="s">
        <v>207</v>
      </c>
      <c r="P436" s="25" t="str">
        <f>"85009"</f>
        <v>85009</v>
      </c>
      <c r="Q436" s="25" t="str">
        <f>"3848"</f>
        <v>3848</v>
      </c>
      <c r="R436" s="25" t="s">
        <v>18710</v>
      </c>
      <c r="S436" s="24" t="s">
        <v>18737</v>
      </c>
      <c r="T436" s="25" t="s">
        <v>19715</v>
      </c>
      <c r="U436" s="25" t="s">
        <v>18964</v>
      </c>
      <c r="V436" s="25" t="s">
        <v>18714</v>
      </c>
      <c r="W436" s="25" t="s">
        <v>18714</v>
      </c>
      <c r="X436" s="25" t="s">
        <v>18714</v>
      </c>
      <c r="Y436" s="24">
        <v>80</v>
      </c>
      <c r="Z436" s="25" t="s">
        <v>18723</v>
      </c>
    </row>
    <row r="437" spans="1:26" s="25" customFormat="1" hidden="1" x14ac:dyDescent="0.2">
      <c r="A437" s="23" t="s">
        <v>18885</v>
      </c>
      <c r="B437" s="22" t="s">
        <v>18886</v>
      </c>
      <c r="C437" s="23" t="str">
        <f t="shared" ref="C437:C443" si="16">"000"</f>
        <v>000</v>
      </c>
      <c r="D437" s="23" t="s">
        <v>18718</v>
      </c>
      <c r="E437" s="22" t="s">
        <v>18886</v>
      </c>
      <c r="F437" s="22" t="s">
        <v>19716</v>
      </c>
      <c r="G437" s="22" t="str">
        <f>VLOOKUP(F437,[1]CHILDCARE_FACILITIES!N:Q,4,0)</f>
        <v>CDC-17274</v>
      </c>
      <c r="H437" s="22">
        <f>VLOOKUP(G437,'[1]CACFP FRL'!D:G,4,0)</f>
        <v>80572</v>
      </c>
      <c r="I437" s="22" t="str">
        <f>VLOOKUP(G437,[1]CHILDCARE_FACILITIES!AK:AL,2,0)</f>
        <v>CDC17274</v>
      </c>
      <c r="J437" s="22" t="e">
        <f>VLOOKUP(I437,'[1]Head Start QF 1-5 Stars'!O:Q,3,0)</f>
        <v>#N/A</v>
      </c>
      <c r="K437" s="23" t="s">
        <v>18885</v>
      </c>
      <c r="L437" s="22" t="s">
        <v>19717</v>
      </c>
      <c r="M437" s="22" t="s">
        <v>1637</v>
      </c>
      <c r="N437" s="22" t="s">
        <v>522</v>
      </c>
      <c r="O437" s="23" t="s">
        <v>207</v>
      </c>
      <c r="P437" s="22" t="str">
        <f>"86401"</f>
        <v>86401</v>
      </c>
      <c r="Q437" s="22" t="str">
        <f>"6411"</f>
        <v>6411</v>
      </c>
      <c r="R437" s="22" t="s">
        <v>18890</v>
      </c>
      <c r="S437" s="23" t="s">
        <v>18764</v>
      </c>
      <c r="T437" s="22" t="s">
        <v>19718</v>
      </c>
      <c r="U437" s="22" t="s">
        <v>18713</v>
      </c>
      <c r="V437" s="22" t="s">
        <v>18731</v>
      </c>
      <c r="W437" s="22" t="s">
        <v>18714</v>
      </c>
      <c r="X437" s="22" t="s">
        <v>18714</v>
      </c>
      <c r="Y437" s="23">
        <v>20</v>
      </c>
      <c r="Z437" s="22" t="s">
        <v>18723</v>
      </c>
    </row>
    <row r="438" spans="1:26" s="25" customFormat="1" hidden="1" x14ac:dyDescent="0.2">
      <c r="A438" s="23" t="s">
        <v>18885</v>
      </c>
      <c r="B438" s="22" t="s">
        <v>18886</v>
      </c>
      <c r="C438" s="23" t="str">
        <f t="shared" si="16"/>
        <v>000</v>
      </c>
      <c r="D438" s="23" t="s">
        <v>18718</v>
      </c>
      <c r="E438" s="22" t="s">
        <v>18886</v>
      </c>
      <c r="F438" s="22" t="s">
        <v>18887</v>
      </c>
      <c r="G438" s="22" t="str">
        <f>VLOOKUP(F438,[1]CHILDCARE_FACILITIES!N:Q,4,0)</f>
        <v>CDC-3662</v>
      </c>
      <c r="H438" s="22">
        <f>VLOOKUP(G438,'[1]CACFP FRL'!D:G,4,0)</f>
        <v>78777</v>
      </c>
      <c r="I438" s="22" t="str">
        <f>VLOOKUP(G438,[1]CHILDCARE_FACILITIES!AK:AL,2,0)</f>
        <v>CDC3662</v>
      </c>
      <c r="J438" s="22" t="e">
        <f>VLOOKUP(I438,'[1]Head Start QF 1-5 Stars'!O:Q,3,0)</f>
        <v>#N/A</v>
      </c>
      <c r="K438" s="23" t="s">
        <v>18885</v>
      </c>
      <c r="L438" s="22" t="s">
        <v>18888</v>
      </c>
      <c r="M438" s="22" t="s">
        <v>1637</v>
      </c>
      <c r="N438" s="22" t="s">
        <v>18889</v>
      </c>
      <c r="O438" s="23" t="s">
        <v>207</v>
      </c>
      <c r="P438" s="22" t="str">
        <f>"86442"</f>
        <v>86442</v>
      </c>
      <c r="Q438" s="22" t="str">
        <f>"5737"</f>
        <v>5737</v>
      </c>
      <c r="R438" s="22" t="s">
        <v>18890</v>
      </c>
      <c r="S438" s="23" t="s">
        <v>18764</v>
      </c>
      <c r="T438" s="22" t="s">
        <v>18891</v>
      </c>
      <c r="U438" s="22" t="s">
        <v>18713</v>
      </c>
      <c r="V438" s="22" t="s">
        <v>18731</v>
      </c>
      <c r="W438" s="22" t="s">
        <v>18714</v>
      </c>
      <c r="X438" s="22" t="s">
        <v>18714</v>
      </c>
      <c r="Y438" s="23">
        <v>60</v>
      </c>
      <c r="Z438" s="22" t="s">
        <v>18723</v>
      </c>
    </row>
    <row r="439" spans="1:26" s="25" customFormat="1" hidden="1" x14ac:dyDescent="0.2">
      <c r="A439" s="23" t="s">
        <v>18885</v>
      </c>
      <c r="B439" s="22" t="s">
        <v>18886</v>
      </c>
      <c r="C439" s="23" t="str">
        <f t="shared" si="16"/>
        <v>000</v>
      </c>
      <c r="D439" s="23" t="s">
        <v>18718</v>
      </c>
      <c r="E439" s="22" t="s">
        <v>18886</v>
      </c>
      <c r="F439" s="22" t="s">
        <v>19719</v>
      </c>
      <c r="G439" s="22" t="str">
        <f>VLOOKUP(F439,[1]CHILDCARE_FACILITIES!N:Q,4,0)</f>
        <v>CDC-5122</v>
      </c>
      <c r="H439" s="22">
        <f>VLOOKUP(G439,'[1]CACFP FRL'!D:G,4,0)</f>
        <v>91271</v>
      </c>
      <c r="I439" s="22" t="str">
        <f>VLOOKUP(G439,[1]CHILDCARE_FACILITIES!AK:AL,2,0)</f>
        <v>CDC5122</v>
      </c>
      <c r="J439" s="22" t="e">
        <f>VLOOKUP(I439,'[1]Head Start QF 1-5 Stars'!O:Q,3,0)</f>
        <v>#N/A</v>
      </c>
      <c r="K439" s="23" t="s">
        <v>18885</v>
      </c>
      <c r="L439" s="22" t="s">
        <v>19720</v>
      </c>
      <c r="M439" s="22" t="s">
        <v>1637</v>
      </c>
      <c r="N439" s="22" t="s">
        <v>508</v>
      </c>
      <c r="O439" s="23" t="s">
        <v>207</v>
      </c>
      <c r="P439" s="22" t="str">
        <f>"85350"</f>
        <v>85350</v>
      </c>
      <c r="Q439" s="22" t="str">
        <f>""</f>
        <v/>
      </c>
      <c r="R439" s="22" t="s">
        <v>18809</v>
      </c>
      <c r="S439" s="23" t="s">
        <v>18721</v>
      </c>
      <c r="T439" s="22" t="s">
        <v>19721</v>
      </c>
      <c r="U439" s="22" t="s">
        <v>18713</v>
      </c>
      <c r="V439" s="22" t="s">
        <v>18731</v>
      </c>
      <c r="W439" s="22" t="s">
        <v>18714</v>
      </c>
      <c r="X439" s="22" t="s">
        <v>18731</v>
      </c>
      <c r="Y439" s="23">
        <v>60</v>
      </c>
      <c r="Z439" s="22" t="s">
        <v>18723</v>
      </c>
    </row>
    <row r="440" spans="1:26" hidden="1" x14ac:dyDescent="0.2">
      <c r="A440" s="23" t="s">
        <v>18885</v>
      </c>
      <c r="B440" s="22" t="s">
        <v>18886</v>
      </c>
      <c r="C440" s="23" t="str">
        <f t="shared" si="16"/>
        <v>000</v>
      </c>
      <c r="D440" s="23" t="s">
        <v>18718</v>
      </c>
      <c r="E440" s="22" t="s">
        <v>18886</v>
      </c>
      <c r="F440" s="22" t="s">
        <v>19722</v>
      </c>
      <c r="G440" s="22" t="str">
        <f>VLOOKUP(F440,[1]CHILDCARE_FACILITIES!N:Q,4,0)</f>
        <v>CDC-14690</v>
      </c>
      <c r="H440" s="22">
        <f>VLOOKUP(G440,'[1]CACFP FRL'!D:G,4,0)</f>
        <v>90414</v>
      </c>
      <c r="I440" s="22" t="str">
        <f>VLOOKUP(G440,[1]CHILDCARE_FACILITIES!AK:AL,2,0)</f>
        <v>CDC14690</v>
      </c>
      <c r="J440" s="22" t="e">
        <f>VLOOKUP(I440,'[1]Head Start QF 1-5 Stars'!O:Q,3,0)</f>
        <v>#N/A</v>
      </c>
      <c r="K440" s="23" t="s">
        <v>18885</v>
      </c>
      <c r="L440" s="22" t="s">
        <v>517</v>
      </c>
      <c r="M440" s="22" t="s">
        <v>1637</v>
      </c>
      <c r="N440" s="22" t="s">
        <v>496</v>
      </c>
      <c r="O440" s="23" t="s">
        <v>207</v>
      </c>
      <c r="P440" s="22" t="str">
        <f>"85364"</f>
        <v>85364</v>
      </c>
      <c r="Q440" s="22" t="str">
        <f>"2856"</f>
        <v>2856</v>
      </c>
      <c r="R440" s="22" t="s">
        <v>18809</v>
      </c>
      <c r="S440" s="23" t="s">
        <v>18721</v>
      </c>
      <c r="T440" s="22" t="s">
        <v>19723</v>
      </c>
      <c r="U440" s="22" t="s">
        <v>18713</v>
      </c>
      <c r="V440" s="22" t="s">
        <v>18731</v>
      </c>
      <c r="W440" s="22" t="s">
        <v>18714</v>
      </c>
      <c r="X440" s="22" t="s">
        <v>18714</v>
      </c>
      <c r="Y440" s="23">
        <v>60</v>
      </c>
      <c r="Z440" s="22" t="s">
        <v>18723</v>
      </c>
    </row>
    <row r="441" spans="1:26" s="25" customFormat="1" hidden="1" x14ac:dyDescent="0.2">
      <c r="A441" s="23" t="s">
        <v>18885</v>
      </c>
      <c r="B441" s="22" t="s">
        <v>18886</v>
      </c>
      <c r="C441" s="23" t="str">
        <f t="shared" si="16"/>
        <v>000</v>
      </c>
      <c r="D441" s="23" t="s">
        <v>18718</v>
      </c>
      <c r="E441" s="22" t="s">
        <v>18886</v>
      </c>
      <c r="F441" s="22" t="s">
        <v>19724</v>
      </c>
      <c r="G441" s="22" t="str">
        <f>VLOOKUP(F441,[1]CHILDCARE_FACILITIES!N:Q,4,0)</f>
        <v>CDC-5352</v>
      </c>
      <c r="H441" s="22">
        <f>VLOOKUP(G441,'[1]CACFP FRL'!D:G,4,0)</f>
        <v>80571</v>
      </c>
      <c r="I441" s="22" t="str">
        <f>VLOOKUP(G441,[1]CHILDCARE_FACILITIES!AK:AL,2,0)</f>
        <v>CDC5352</v>
      </c>
      <c r="J441" s="22" t="e">
        <f>VLOOKUP(I441,'[1]Head Start QF 1-5 Stars'!O:Q,3,0)</f>
        <v>#N/A</v>
      </c>
      <c r="K441" s="23" t="s">
        <v>18885</v>
      </c>
      <c r="L441" s="22" t="s">
        <v>19725</v>
      </c>
      <c r="M441" s="22" t="s">
        <v>1637</v>
      </c>
      <c r="N441" s="22" t="s">
        <v>522</v>
      </c>
      <c r="O441" s="23" t="s">
        <v>207</v>
      </c>
      <c r="P441" s="22" t="str">
        <f>"86409"</f>
        <v>86409</v>
      </c>
      <c r="Q441" s="22" t="str">
        <f>"1440"</f>
        <v>1440</v>
      </c>
      <c r="R441" s="22" t="s">
        <v>18890</v>
      </c>
      <c r="S441" s="23" t="s">
        <v>18764</v>
      </c>
      <c r="T441" s="22" t="s">
        <v>19726</v>
      </c>
      <c r="U441" s="22" t="s">
        <v>18713</v>
      </c>
      <c r="V441" s="22" t="s">
        <v>18731</v>
      </c>
      <c r="W441" s="22" t="s">
        <v>18714</v>
      </c>
      <c r="X441" s="22" t="s">
        <v>18714</v>
      </c>
      <c r="Y441" s="23">
        <v>20</v>
      </c>
      <c r="Z441" s="22" t="s">
        <v>18723</v>
      </c>
    </row>
    <row r="442" spans="1:26" hidden="1" x14ac:dyDescent="0.2">
      <c r="A442" s="23" t="s">
        <v>18885</v>
      </c>
      <c r="B442" s="22" t="s">
        <v>18886</v>
      </c>
      <c r="C442" s="23" t="str">
        <f t="shared" si="16"/>
        <v>000</v>
      </c>
      <c r="D442" s="23" t="s">
        <v>18718</v>
      </c>
      <c r="E442" s="22" t="s">
        <v>18886</v>
      </c>
      <c r="F442" s="22" t="s">
        <v>19727</v>
      </c>
      <c r="G442" s="22" t="str">
        <f>VLOOKUP(F442,[1]CHILDCARE_FACILITIES!N:Q,4,0)</f>
        <v>CDC-3671</v>
      </c>
      <c r="H442" s="22" t="e">
        <f>VLOOKUP(G442,'[1]CACFP FRL'!D:G,4,0)</f>
        <v>#N/A</v>
      </c>
      <c r="I442" s="22" t="str">
        <f>VLOOKUP(G442,[1]CHILDCARE_FACILITIES!AK:AL,2,0)</f>
        <v>CDC3671</v>
      </c>
      <c r="J442" s="22">
        <f>VLOOKUP(I442,'[1]Head Start QF 1-5 Stars'!O:Q,3,0)</f>
        <v>2024</v>
      </c>
      <c r="K442" s="23" t="s">
        <v>18885</v>
      </c>
      <c r="L442" s="22" t="s">
        <v>19728</v>
      </c>
      <c r="M442" s="22" t="s">
        <v>15088</v>
      </c>
      <c r="N442" s="22" t="s">
        <v>19729</v>
      </c>
      <c r="O442" s="23" t="s">
        <v>207</v>
      </c>
      <c r="P442" s="22" t="str">
        <f>"85334"</f>
        <v>85334</v>
      </c>
      <c r="Q442" s="22" t="str">
        <f>""</f>
        <v/>
      </c>
      <c r="R442" s="22" t="s">
        <v>19209</v>
      </c>
      <c r="S442" s="23" t="s">
        <v>18764</v>
      </c>
      <c r="T442" s="22" t="s">
        <v>19730</v>
      </c>
      <c r="U442" s="22" t="s">
        <v>18713</v>
      </c>
      <c r="V442" s="22" t="s">
        <v>18731</v>
      </c>
      <c r="W442" s="22" t="s">
        <v>18714</v>
      </c>
      <c r="X442" s="22" t="s">
        <v>18714</v>
      </c>
      <c r="Y442" s="23">
        <v>20</v>
      </c>
      <c r="Z442" s="22" t="s">
        <v>18723</v>
      </c>
    </row>
    <row r="443" spans="1:26" hidden="1" x14ac:dyDescent="0.2">
      <c r="A443" s="23" t="s">
        <v>18885</v>
      </c>
      <c r="B443" s="22" t="s">
        <v>18886</v>
      </c>
      <c r="C443" s="23" t="str">
        <f t="shared" si="16"/>
        <v>000</v>
      </c>
      <c r="D443" s="23" t="s">
        <v>18718</v>
      </c>
      <c r="E443" s="22" t="s">
        <v>18886</v>
      </c>
      <c r="F443" s="22" t="s">
        <v>19099</v>
      </c>
      <c r="G443" s="22" t="str">
        <f>VLOOKUP(F443,[1]CHILDCARE_FACILITIES!N:Q,4,0)</f>
        <v>CDC-4753</v>
      </c>
      <c r="H443" s="22">
        <f>VLOOKUP(G443,'[1]CACFP FRL'!D:G,4,0)</f>
        <v>10191</v>
      </c>
      <c r="I443" s="22" t="str">
        <f>VLOOKUP(G443,[1]CHILDCARE_FACILITIES!AK:AL,2,0)</f>
        <v>CDC4753</v>
      </c>
      <c r="J443" s="22" t="e">
        <f>VLOOKUP(I443,'[1]Head Start QF 1-5 Stars'!O:Q,3,0)</f>
        <v>#N/A</v>
      </c>
      <c r="K443" s="23" t="s">
        <v>18885</v>
      </c>
      <c r="L443" s="22" t="s">
        <v>19100</v>
      </c>
      <c r="M443" s="22" t="s">
        <v>1637</v>
      </c>
      <c r="N443" s="22" t="s">
        <v>496</v>
      </c>
      <c r="O443" s="23" t="s">
        <v>207</v>
      </c>
      <c r="P443" s="22" t="str">
        <f>"85365"</f>
        <v>85365</v>
      </c>
      <c r="Q443" s="22" t="str">
        <f>"7115"</f>
        <v>7115</v>
      </c>
      <c r="R443" s="22" t="s">
        <v>18809</v>
      </c>
      <c r="S443" s="23" t="s">
        <v>18764</v>
      </c>
      <c r="T443" s="22" t="s">
        <v>19101</v>
      </c>
      <c r="U443" s="22" t="s">
        <v>18713</v>
      </c>
      <c r="V443" s="22" t="s">
        <v>18731</v>
      </c>
      <c r="W443" s="22" t="s">
        <v>18714</v>
      </c>
      <c r="X443" s="22" t="s">
        <v>18714</v>
      </c>
      <c r="Y443" s="23">
        <v>60</v>
      </c>
      <c r="Z443" s="22" t="s">
        <v>18723</v>
      </c>
    </row>
    <row r="444" spans="1:26" s="25" customFormat="1" x14ac:dyDescent="0.2">
      <c r="A444" s="24" t="s">
        <v>18741</v>
      </c>
      <c r="B444" s="25" t="s">
        <v>18742</v>
      </c>
      <c r="C444" s="24" t="str">
        <f>"200"</f>
        <v>200</v>
      </c>
      <c r="D444" s="24" t="s">
        <v>18706</v>
      </c>
      <c r="E444" s="25" t="s">
        <v>18743</v>
      </c>
      <c r="F444" s="25" t="s">
        <v>19731</v>
      </c>
      <c r="G444" s="25" t="e">
        <f>VLOOKUP(F444,[1]CHILDCARE_FACILITIES!N:Q,4,0)</f>
        <v>#N/A</v>
      </c>
      <c r="H444" s="25" t="e">
        <f>VLOOKUP(G444,'[1]CACFP FRL'!D:G,4,0)</f>
        <v>#N/A</v>
      </c>
      <c r="I444" s="25" t="e">
        <f>VLOOKUP(G444,[1]CHILDCARE_FACILITIES!AK:AL,2,0)</f>
        <v>#N/A</v>
      </c>
      <c r="J444" s="25" t="e">
        <f>VLOOKUP(I444,'[1]Head Start QF 1-5 Stars'!O:Q,3,0)</f>
        <v>#N/A</v>
      </c>
      <c r="K444" s="24" t="s">
        <v>18741</v>
      </c>
      <c r="L444" s="25" t="s">
        <v>19732</v>
      </c>
      <c r="M444" s="25" t="s">
        <v>1637</v>
      </c>
      <c r="N444" s="25" t="s">
        <v>495</v>
      </c>
      <c r="O444" s="24" t="s">
        <v>207</v>
      </c>
      <c r="P444" s="25" t="str">
        <f>"85021"</f>
        <v>85021</v>
      </c>
      <c r="Q444" s="25" t="str">
        <f>"2158"</f>
        <v>2158</v>
      </c>
      <c r="R444" s="25" t="s">
        <v>18710</v>
      </c>
      <c r="S444" s="24" t="s">
        <v>19033</v>
      </c>
      <c r="T444" s="25" t="s">
        <v>18746</v>
      </c>
      <c r="U444" s="25" t="s">
        <v>18713</v>
      </c>
      <c r="V444" s="25" t="s">
        <v>18714</v>
      </c>
      <c r="W444" s="25" t="s">
        <v>18714</v>
      </c>
      <c r="X444" s="25" t="s">
        <v>18714</v>
      </c>
      <c r="Y444" s="24">
        <v>20</v>
      </c>
      <c r="Z444" s="25" t="s">
        <v>18723</v>
      </c>
    </row>
    <row r="445" spans="1:26" hidden="1" x14ac:dyDescent="0.2">
      <c r="A445" s="23" t="s">
        <v>18885</v>
      </c>
      <c r="B445" s="22" t="s">
        <v>18886</v>
      </c>
      <c r="C445" s="23" t="str">
        <f>"000"</f>
        <v>000</v>
      </c>
      <c r="D445" s="23" t="s">
        <v>18718</v>
      </c>
      <c r="E445" s="22" t="s">
        <v>18886</v>
      </c>
      <c r="F445" s="22" t="s">
        <v>19733</v>
      </c>
      <c r="G445" s="22" t="str">
        <f>VLOOKUP(F445,[1]CHILDCARE_FACILITIES!N:Q,4,0)</f>
        <v>CDC-3859</v>
      </c>
      <c r="H445" s="22">
        <f>VLOOKUP(G445,'[1]CACFP FRL'!D:G,4,0)</f>
        <v>80573</v>
      </c>
      <c r="I445" s="22" t="str">
        <f>VLOOKUP(G445,[1]CHILDCARE_FACILITIES!AK:AL,2,0)</f>
        <v>CDC3859</v>
      </c>
      <c r="J445" s="22" t="e">
        <f>VLOOKUP(I445,'[1]Head Start QF 1-5 Stars'!O:Q,3,0)</f>
        <v>#N/A</v>
      </c>
      <c r="K445" s="23" t="s">
        <v>18885</v>
      </c>
      <c r="L445" s="22" t="s">
        <v>19734</v>
      </c>
      <c r="M445" s="22" t="s">
        <v>1637</v>
      </c>
      <c r="N445" s="22" t="s">
        <v>19735</v>
      </c>
      <c r="O445" s="23" t="s">
        <v>207</v>
      </c>
      <c r="P445" s="22" t="str">
        <f>"86413"</f>
        <v>86413</v>
      </c>
      <c r="Q445" s="22" t="str">
        <f>"9468"</f>
        <v>9468</v>
      </c>
      <c r="R445" s="22" t="s">
        <v>18890</v>
      </c>
      <c r="S445" s="23" t="s">
        <v>18764</v>
      </c>
      <c r="T445" s="22" t="s">
        <v>19736</v>
      </c>
      <c r="U445" s="22" t="s">
        <v>18713</v>
      </c>
      <c r="V445" s="22" t="s">
        <v>18731</v>
      </c>
      <c r="W445" s="22" t="s">
        <v>18714</v>
      </c>
      <c r="X445" s="22" t="s">
        <v>18714</v>
      </c>
      <c r="Y445" s="23">
        <v>19</v>
      </c>
      <c r="Z445" s="22" t="s">
        <v>18723</v>
      </c>
    </row>
    <row r="446" spans="1:26" hidden="1" x14ac:dyDescent="0.2">
      <c r="A446" s="23" t="s">
        <v>18885</v>
      </c>
      <c r="B446" s="22" t="s">
        <v>18886</v>
      </c>
      <c r="C446" s="23" t="str">
        <f>"000"</f>
        <v>000</v>
      </c>
      <c r="D446" s="23" t="s">
        <v>18718</v>
      </c>
      <c r="E446" s="22" t="s">
        <v>18886</v>
      </c>
      <c r="F446" s="22" t="s">
        <v>1093</v>
      </c>
      <c r="G446" s="22" t="str">
        <f>VLOOKUP(F446,[1]CHILDCARE_FACILITIES!N:Q,4,0)</f>
        <v>CDC-4596</v>
      </c>
      <c r="H446" s="22">
        <f>VLOOKUP(G446,'[1]CACFP FRL'!D:G,4,0)</f>
        <v>10196</v>
      </c>
      <c r="I446" s="22" t="str">
        <f>VLOOKUP(G446,[1]CHILDCARE_FACILITIES!AK:AL,2,0)</f>
        <v>CDC4596</v>
      </c>
      <c r="J446" s="22" t="e">
        <f>VLOOKUP(I446,'[1]Head Start QF 1-5 Stars'!O:Q,3,0)</f>
        <v>#N/A</v>
      </c>
      <c r="K446" s="23" t="s">
        <v>18885</v>
      </c>
      <c r="L446" s="22" t="s">
        <v>19143</v>
      </c>
      <c r="M446" s="22" t="s">
        <v>1637</v>
      </c>
      <c r="N446" s="22" t="s">
        <v>496</v>
      </c>
      <c r="O446" s="23" t="s">
        <v>207</v>
      </c>
      <c r="P446" s="22" t="str">
        <f>"85365"</f>
        <v>85365</v>
      </c>
      <c r="Q446" s="22" t="str">
        <f>"2425"</f>
        <v>2425</v>
      </c>
      <c r="R446" s="22" t="s">
        <v>18809</v>
      </c>
      <c r="S446" s="23" t="s">
        <v>18721</v>
      </c>
      <c r="T446" s="22" t="s">
        <v>19737</v>
      </c>
      <c r="U446" s="22" t="s">
        <v>18713</v>
      </c>
      <c r="V446" s="22" t="s">
        <v>18714</v>
      </c>
      <c r="W446" s="22" t="s">
        <v>18714</v>
      </c>
      <c r="X446" s="22" t="s">
        <v>18714</v>
      </c>
      <c r="Y446" s="23">
        <v>140</v>
      </c>
      <c r="Z446" s="22" t="s">
        <v>18723</v>
      </c>
    </row>
    <row r="447" spans="1:26" hidden="1" x14ac:dyDescent="0.2">
      <c r="A447" s="23" t="s">
        <v>18885</v>
      </c>
      <c r="B447" s="22" t="s">
        <v>18886</v>
      </c>
      <c r="C447" s="23" t="str">
        <f>"000"</f>
        <v>000</v>
      </c>
      <c r="D447" s="23" t="s">
        <v>18718</v>
      </c>
      <c r="E447" s="22" t="s">
        <v>18886</v>
      </c>
      <c r="F447" s="22" t="s">
        <v>19738</v>
      </c>
      <c r="G447" s="22" t="str">
        <f>VLOOKUP(F447,[1]CHILDCARE_FACILITIES!N:Q,4,0)</f>
        <v>CDC-18697</v>
      </c>
      <c r="H447" s="22">
        <f>VLOOKUP(G447,'[1]CACFP FRL'!D:G,4,0)</f>
        <v>1000316</v>
      </c>
      <c r="I447" s="22" t="str">
        <f>VLOOKUP(G447,[1]CHILDCARE_FACILITIES!AK:AL,2,0)</f>
        <v>CDC18697</v>
      </c>
      <c r="J447" s="22" t="e">
        <f>VLOOKUP(I447,'[1]Head Start QF 1-5 Stars'!O:Q,3,0)</f>
        <v>#N/A</v>
      </c>
      <c r="K447" s="23" t="s">
        <v>18885</v>
      </c>
      <c r="L447" s="22" t="s">
        <v>19739</v>
      </c>
      <c r="M447" s="22" t="s">
        <v>1637</v>
      </c>
      <c r="N447" s="22" t="s">
        <v>19740</v>
      </c>
      <c r="O447" s="23" t="s">
        <v>207</v>
      </c>
      <c r="P447" s="22" t="str">
        <f>"86404"</f>
        <v>86404</v>
      </c>
      <c r="Q447" s="22" t="str">
        <f>"2641"</f>
        <v>2641</v>
      </c>
      <c r="R447" s="22" t="s">
        <v>18890</v>
      </c>
      <c r="S447" s="23" t="s">
        <v>18764</v>
      </c>
      <c r="T447" s="22" t="s">
        <v>19741</v>
      </c>
      <c r="U447" s="22" t="s">
        <v>18713</v>
      </c>
      <c r="V447" s="22" t="s">
        <v>18714</v>
      </c>
      <c r="W447" s="22" t="s">
        <v>18714</v>
      </c>
      <c r="X447" s="22" t="s">
        <v>18714</v>
      </c>
      <c r="Y447" s="23">
        <v>20</v>
      </c>
      <c r="Z447" s="22" t="s">
        <v>18723</v>
      </c>
    </row>
    <row r="448" spans="1:26" hidden="1" x14ac:dyDescent="0.2">
      <c r="A448" s="23" t="s">
        <v>18796</v>
      </c>
      <c r="B448" s="22" t="s">
        <v>18705</v>
      </c>
      <c r="C448" s="23" t="str">
        <f>"200"</f>
        <v>200</v>
      </c>
      <c r="D448" s="23" t="s">
        <v>18706</v>
      </c>
      <c r="E448" s="22" t="s">
        <v>18797</v>
      </c>
      <c r="F448" s="22" t="s">
        <v>19367</v>
      </c>
      <c r="G448" s="22" t="str">
        <f>VLOOKUP(F448,[1]CHILDCARE_FACILITIES!N:Q,4,0)</f>
        <v>CDC-9571</v>
      </c>
      <c r="H448" s="22" t="e">
        <f>VLOOKUP(G448,'[1]CACFP FRL'!D:G,4,0)</f>
        <v>#N/A</v>
      </c>
      <c r="I448" s="22" t="str">
        <f>VLOOKUP(G448,[1]CHILDCARE_FACILITIES!AK:AL,2,0)</f>
        <v>CDC9571</v>
      </c>
      <c r="J448" s="22" t="e">
        <f>VLOOKUP(I448,'[1]Head Start QF 1-5 Stars'!O:Q,3,0)</f>
        <v>#N/A</v>
      </c>
      <c r="K448" s="23" t="s">
        <v>18796</v>
      </c>
      <c r="L448" s="22" t="s">
        <v>19368</v>
      </c>
      <c r="M448" s="22" t="s">
        <v>1637</v>
      </c>
      <c r="N448" s="22" t="s">
        <v>704</v>
      </c>
      <c r="O448" s="23" t="s">
        <v>207</v>
      </c>
      <c r="P448" s="22" t="str">
        <f>"85281"</f>
        <v>85281</v>
      </c>
      <c r="Q448" s="22" t="str">
        <f>"3503"</f>
        <v>3503</v>
      </c>
      <c r="R448" s="22" t="s">
        <v>18710</v>
      </c>
      <c r="S448" s="23" t="s">
        <v>18711</v>
      </c>
      <c r="T448" s="22" t="s">
        <v>19742</v>
      </c>
      <c r="U448" s="22" t="s">
        <v>18713</v>
      </c>
      <c r="V448" s="22" t="s">
        <v>18714</v>
      </c>
      <c r="W448" s="22" t="s">
        <v>18714</v>
      </c>
      <c r="X448" s="22" t="s">
        <v>18714</v>
      </c>
      <c r="Y448" s="23">
        <v>16</v>
      </c>
      <c r="Z448" s="22" t="s">
        <v>18723</v>
      </c>
    </row>
    <row r="449" spans="1:26" ht="12.75" hidden="1" customHeight="1" x14ac:dyDescent="0.25">
      <c r="A449" s="23" t="s">
        <v>18885</v>
      </c>
      <c r="B449" s="22" t="s">
        <v>18886</v>
      </c>
      <c r="C449" s="23" t="str">
        <f>"000"</f>
        <v>000</v>
      </c>
      <c r="D449" s="23" t="s">
        <v>18718</v>
      </c>
      <c r="E449" s="22" t="s">
        <v>18886</v>
      </c>
      <c r="F449" t="s">
        <v>19743</v>
      </c>
      <c r="G449" s="22" t="str">
        <f>VLOOKUP(F449,[1]CHILDCARE_FACILITIES!N:Q,4,0)</f>
        <v>CDC-2092</v>
      </c>
      <c r="H449" s="22">
        <f>VLOOKUP(G449,'[1]CACFP FRL'!D:G,4,0)</f>
        <v>10188</v>
      </c>
      <c r="I449" s="22" t="str">
        <f>VLOOKUP(G449,[1]CHILDCARE_FACILITIES!AK:AL,2,0)</f>
        <v>CDC2092</v>
      </c>
      <c r="J449" s="22" t="e">
        <f>VLOOKUP(I449,'[1]Head Start QF 1-5 Stars'!O:Q,3,0)</f>
        <v>#N/A</v>
      </c>
      <c r="K449" s="23" t="s">
        <v>18885</v>
      </c>
      <c r="L449" s="22" t="s">
        <v>19744</v>
      </c>
      <c r="M449" s="22" t="s">
        <v>19745</v>
      </c>
      <c r="N449" s="22" t="s">
        <v>496</v>
      </c>
      <c r="O449" s="23" t="s">
        <v>207</v>
      </c>
      <c r="P449" s="22" t="str">
        <f>"85364"</f>
        <v>85364</v>
      </c>
      <c r="Q449" s="22" t="str">
        <f>"1926"</f>
        <v>1926</v>
      </c>
      <c r="R449" s="22" t="s">
        <v>18809</v>
      </c>
      <c r="S449" s="23" t="s">
        <v>18721</v>
      </c>
      <c r="T449" s="22" t="s">
        <v>19746</v>
      </c>
      <c r="U449" s="22" t="s">
        <v>18713</v>
      </c>
      <c r="V449" s="22" t="s">
        <v>18714</v>
      </c>
      <c r="W449" s="22" t="s">
        <v>18714</v>
      </c>
      <c r="X449" s="22" t="s">
        <v>18714</v>
      </c>
      <c r="Y449" s="23">
        <v>60</v>
      </c>
      <c r="Z449" s="22" t="s">
        <v>18723</v>
      </c>
    </row>
    <row r="450" spans="1:26" hidden="1" x14ac:dyDescent="0.2">
      <c r="A450" s="23" t="s">
        <v>18822</v>
      </c>
      <c r="B450" s="22" t="s">
        <v>18823</v>
      </c>
      <c r="C450" s="23" t="str">
        <f>"200"</f>
        <v>200</v>
      </c>
      <c r="D450" s="23" t="s">
        <v>18706</v>
      </c>
      <c r="E450" s="22" t="s">
        <v>18823</v>
      </c>
      <c r="F450" s="22" t="s">
        <v>83</v>
      </c>
      <c r="G450" s="22" t="str">
        <f>VLOOKUP(F450,[1]CHILDCARE_FACILITIES!N:Q,4,0)</f>
        <v>CDC-5541</v>
      </c>
      <c r="H450" s="22">
        <f>VLOOKUP(G450,'[1]CACFP FRL'!D:G,4,0)</f>
        <v>9849</v>
      </c>
      <c r="I450" s="22" t="str">
        <f>VLOOKUP(G450,[1]CHILDCARE_FACILITIES!AK:AL,2,0)</f>
        <v>CDC5541</v>
      </c>
      <c r="J450" s="22" t="e">
        <f>VLOOKUP(I450,'[1]Head Start QF 1-5 Stars'!O:Q,3,0)</f>
        <v>#N/A</v>
      </c>
      <c r="K450" s="23" t="s">
        <v>18822</v>
      </c>
      <c r="L450" s="22" t="s">
        <v>19022</v>
      </c>
      <c r="M450" s="22" t="s">
        <v>1637</v>
      </c>
      <c r="N450" s="22" t="s">
        <v>413</v>
      </c>
      <c r="O450" s="23" t="s">
        <v>207</v>
      </c>
      <c r="P450" s="22" t="str">
        <f>"85621"</f>
        <v>85621</v>
      </c>
      <c r="Q450" s="22" t="str">
        <f>"2082"</f>
        <v>2082</v>
      </c>
      <c r="R450" s="22" t="s">
        <v>18901</v>
      </c>
      <c r="S450" s="23" t="s">
        <v>18721</v>
      </c>
      <c r="T450" s="22" t="s">
        <v>19023</v>
      </c>
      <c r="U450" s="22" t="s">
        <v>18713</v>
      </c>
      <c r="V450" s="22" t="s">
        <v>18731</v>
      </c>
      <c r="W450" s="22" t="s">
        <v>18731</v>
      </c>
      <c r="X450" s="22" t="s">
        <v>18731</v>
      </c>
      <c r="Y450" s="23">
        <v>20</v>
      </c>
      <c r="Z450" s="22" t="s">
        <v>18723</v>
      </c>
    </row>
    <row r="451" spans="1:26" hidden="1" x14ac:dyDescent="0.2">
      <c r="A451" s="23" t="s">
        <v>18885</v>
      </c>
      <c r="B451" s="22" t="s">
        <v>18886</v>
      </c>
      <c r="C451" s="23" t="str">
        <f t="shared" ref="C451:C459" si="17">"000"</f>
        <v>000</v>
      </c>
      <c r="D451" s="23" t="s">
        <v>18718</v>
      </c>
      <c r="E451" s="22" t="s">
        <v>18886</v>
      </c>
      <c r="F451" s="22" t="s">
        <v>19169</v>
      </c>
      <c r="G451" s="22" t="str">
        <f>VLOOKUP(F451,[1]CHILDCARE_FACILITIES!N:Q,4,0)</f>
        <v>CDC-17070</v>
      </c>
      <c r="H451" s="22">
        <f>VLOOKUP(G451,'[1]CACFP FRL'!D:G,4,0)</f>
        <v>80574</v>
      </c>
      <c r="I451" s="22" t="str">
        <f>VLOOKUP(G451,[1]CHILDCARE_FACILITIES!AK:AL,2,0)</f>
        <v>CDC17070</v>
      </c>
      <c r="J451" s="22" t="e">
        <f>VLOOKUP(I451,'[1]Head Start QF 1-5 Stars'!O:Q,3,0)</f>
        <v>#N/A</v>
      </c>
      <c r="K451" s="23" t="s">
        <v>18885</v>
      </c>
      <c r="L451" s="22" t="s">
        <v>19170</v>
      </c>
      <c r="M451" s="22" t="s">
        <v>1637</v>
      </c>
      <c r="N451" s="22" t="s">
        <v>522</v>
      </c>
      <c r="O451" s="23" t="s">
        <v>207</v>
      </c>
      <c r="P451" s="22" t="str">
        <f>"86401"</f>
        <v>86401</v>
      </c>
      <c r="Q451" s="22" t="str">
        <f>"6174"</f>
        <v>6174</v>
      </c>
      <c r="R451" s="22" t="s">
        <v>18890</v>
      </c>
      <c r="S451" s="23" t="s">
        <v>18764</v>
      </c>
      <c r="T451" s="22" t="s">
        <v>19171</v>
      </c>
      <c r="U451" s="22" t="s">
        <v>18713</v>
      </c>
      <c r="V451" s="22" t="s">
        <v>18714</v>
      </c>
      <c r="W451" s="22" t="s">
        <v>18714</v>
      </c>
      <c r="X451" s="22" t="s">
        <v>18714</v>
      </c>
      <c r="Y451" s="23">
        <v>10</v>
      </c>
      <c r="Z451" s="22" t="s">
        <v>18723</v>
      </c>
    </row>
    <row r="452" spans="1:26" hidden="1" x14ac:dyDescent="0.2">
      <c r="A452" s="23" t="s">
        <v>18885</v>
      </c>
      <c r="B452" s="22" t="s">
        <v>18886</v>
      </c>
      <c r="C452" s="23" t="str">
        <f t="shared" si="17"/>
        <v>000</v>
      </c>
      <c r="D452" s="23" t="s">
        <v>18718</v>
      </c>
      <c r="E452" s="22" t="s">
        <v>18886</v>
      </c>
      <c r="F452" s="22" t="s">
        <v>19747</v>
      </c>
      <c r="G452" s="22" t="str">
        <f>VLOOKUP(F452,[1]CHILDCARE_FACILITIES!N:Q,4,0)</f>
        <v>CDC-5351</v>
      </c>
      <c r="H452" s="22">
        <f>VLOOKUP(G452,'[1]CACFP FRL'!D:G,4,0)</f>
        <v>10194</v>
      </c>
      <c r="I452" s="22" t="str">
        <f>VLOOKUP(G452,[1]CHILDCARE_FACILITIES!AK:AL,2,0)</f>
        <v>CDC5351</v>
      </c>
      <c r="J452" s="22" t="e">
        <f>VLOOKUP(I452,'[1]Head Start QF 1-5 Stars'!O:Q,3,0)</f>
        <v>#N/A</v>
      </c>
      <c r="K452" s="23" t="s">
        <v>18885</v>
      </c>
      <c r="L452" s="22" t="s">
        <v>19748</v>
      </c>
      <c r="M452" s="22" t="s">
        <v>1637</v>
      </c>
      <c r="N452" s="22" t="s">
        <v>522</v>
      </c>
      <c r="O452" s="23" t="s">
        <v>207</v>
      </c>
      <c r="P452" s="22" t="str">
        <f>"86409"</f>
        <v>86409</v>
      </c>
      <c r="Q452" s="22" t="str">
        <f>"1238"</f>
        <v>1238</v>
      </c>
      <c r="R452" s="22" t="s">
        <v>18890</v>
      </c>
      <c r="S452" s="23" t="s">
        <v>18764</v>
      </c>
      <c r="T452" s="22" t="s">
        <v>19749</v>
      </c>
      <c r="U452" s="22" t="s">
        <v>18713</v>
      </c>
      <c r="V452" s="22" t="s">
        <v>18714</v>
      </c>
      <c r="W452" s="22" t="s">
        <v>18714</v>
      </c>
      <c r="X452" s="22" t="s">
        <v>18714</v>
      </c>
      <c r="Y452" s="23">
        <v>20</v>
      </c>
      <c r="Z452" s="22" t="s">
        <v>18723</v>
      </c>
    </row>
    <row r="453" spans="1:26" hidden="1" x14ac:dyDescent="0.2">
      <c r="A453" s="23" t="s">
        <v>18885</v>
      </c>
      <c r="B453" s="22" t="s">
        <v>18886</v>
      </c>
      <c r="C453" s="23" t="str">
        <f t="shared" si="17"/>
        <v>000</v>
      </c>
      <c r="D453" s="23" t="s">
        <v>18718</v>
      </c>
      <c r="E453" s="22" t="s">
        <v>18886</v>
      </c>
      <c r="F453" s="22" t="s">
        <v>19750</v>
      </c>
      <c r="G453" s="22" t="str">
        <f>VLOOKUP(F453,[1]CHILDCARE_FACILITIES!N:Q,4,0)</f>
        <v>CDC-17785</v>
      </c>
      <c r="H453" s="22">
        <f>VLOOKUP(G453,'[1]CACFP FRL'!D:G,4,0)</f>
        <v>10192</v>
      </c>
      <c r="I453" s="22" t="str">
        <f>VLOOKUP(G453,[1]CHILDCARE_FACILITIES!AK:AL,2,0)</f>
        <v>CDC17785</v>
      </c>
      <c r="J453" s="22" t="e">
        <f>VLOOKUP(I453,'[1]Head Start QF 1-5 Stars'!O:Q,3,0)</f>
        <v>#N/A</v>
      </c>
      <c r="K453" s="23" t="s">
        <v>18885</v>
      </c>
      <c r="L453" s="22" t="s">
        <v>19751</v>
      </c>
      <c r="M453" s="22" t="s">
        <v>1637</v>
      </c>
      <c r="N453" s="22" t="s">
        <v>19740</v>
      </c>
      <c r="O453" s="23" t="s">
        <v>207</v>
      </c>
      <c r="P453" s="22" t="str">
        <f>"86403"</f>
        <v>86403</v>
      </c>
      <c r="Q453" s="22" t="str">
        <f>"5052"</f>
        <v>5052</v>
      </c>
      <c r="R453" s="22" t="s">
        <v>18890</v>
      </c>
      <c r="S453" s="23" t="s">
        <v>18764</v>
      </c>
      <c r="T453" s="22" t="s">
        <v>19752</v>
      </c>
      <c r="U453" s="22" t="s">
        <v>18713</v>
      </c>
      <c r="V453" s="22" t="s">
        <v>18714</v>
      </c>
      <c r="W453" s="22" t="s">
        <v>18714</v>
      </c>
      <c r="X453" s="22" t="s">
        <v>18714</v>
      </c>
      <c r="Y453" s="23">
        <v>20</v>
      </c>
      <c r="Z453" s="22" t="s">
        <v>18723</v>
      </c>
    </row>
    <row r="454" spans="1:26" s="25" customFormat="1" hidden="1" x14ac:dyDescent="0.2">
      <c r="A454" s="23" t="s">
        <v>18885</v>
      </c>
      <c r="B454" s="22" t="s">
        <v>18886</v>
      </c>
      <c r="C454" s="23" t="str">
        <f t="shared" si="17"/>
        <v>000</v>
      </c>
      <c r="D454" s="23" t="s">
        <v>18718</v>
      </c>
      <c r="E454" s="22" t="s">
        <v>18886</v>
      </c>
      <c r="F454" s="22" t="s">
        <v>19753</v>
      </c>
      <c r="G454" s="22" t="str">
        <f>VLOOKUP(F454,[1]CHILDCARE_FACILITIES!N:Q,4,0)</f>
        <v>CDC-4672</v>
      </c>
      <c r="H454" s="22">
        <f>VLOOKUP(G454,'[1]CACFP FRL'!D:G,4,0)</f>
        <v>90106</v>
      </c>
      <c r="I454" s="22" t="str">
        <f>VLOOKUP(G454,[1]CHILDCARE_FACILITIES!AK:AL,2,0)</f>
        <v>CDC4672</v>
      </c>
      <c r="J454" s="22" t="e">
        <f>VLOOKUP(I454,'[1]Head Start QF 1-5 Stars'!O:Q,3,0)</f>
        <v>#N/A</v>
      </c>
      <c r="K454" s="23" t="s">
        <v>18885</v>
      </c>
      <c r="L454" s="22" t="s">
        <v>19754</v>
      </c>
      <c r="M454" s="22" t="s">
        <v>1637</v>
      </c>
      <c r="N454" s="22" t="s">
        <v>19755</v>
      </c>
      <c r="O454" s="23" t="s">
        <v>207</v>
      </c>
      <c r="P454" s="22" t="str">
        <f>"86440"</f>
        <v>86440</v>
      </c>
      <c r="Q454" s="22" t="str">
        <f>"8542"</f>
        <v>8542</v>
      </c>
      <c r="R454" s="22" t="s">
        <v>18890</v>
      </c>
      <c r="S454" s="23" t="s">
        <v>18764</v>
      </c>
      <c r="T454" s="22" t="s">
        <v>19756</v>
      </c>
      <c r="U454" s="22" t="s">
        <v>18713</v>
      </c>
      <c r="V454" s="22" t="s">
        <v>18731</v>
      </c>
      <c r="W454" s="22" t="s">
        <v>18714</v>
      </c>
      <c r="X454" s="22" t="s">
        <v>18714</v>
      </c>
      <c r="Y454" s="23">
        <v>35</v>
      </c>
      <c r="Z454" s="22" t="s">
        <v>18723</v>
      </c>
    </row>
    <row r="455" spans="1:26" hidden="1" x14ac:dyDescent="0.2">
      <c r="A455" s="23" t="s">
        <v>18885</v>
      </c>
      <c r="B455" s="22" t="s">
        <v>18886</v>
      </c>
      <c r="C455" s="23" t="str">
        <f t="shared" si="17"/>
        <v>000</v>
      </c>
      <c r="D455" s="23" t="s">
        <v>18718</v>
      </c>
      <c r="E455" s="22" t="s">
        <v>18886</v>
      </c>
      <c r="F455" s="22" t="s">
        <v>19757</v>
      </c>
      <c r="G455" s="22" t="str">
        <f>VLOOKUP(F455,[1]CHILDCARE_FACILITIES!N:Q,4,0)</f>
        <v>CDC-15533</v>
      </c>
      <c r="H455" s="22">
        <f>VLOOKUP(G455,'[1]CACFP FRL'!D:G,4,0)</f>
        <v>90809</v>
      </c>
      <c r="I455" s="22" t="str">
        <f>VLOOKUP(G455,[1]CHILDCARE_FACILITIES!AK:AL,2,0)</f>
        <v>CDC15533</v>
      </c>
      <c r="J455" s="22" t="e">
        <f>VLOOKUP(I455,'[1]Head Start QF 1-5 Stars'!O:Q,3,0)</f>
        <v>#N/A</v>
      </c>
      <c r="K455" s="23" t="s">
        <v>18885</v>
      </c>
      <c r="L455" s="22" t="s">
        <v>19758</v>
      </c>
      <c r="M455" s="22" t="s">
        <v>1637</v>
      </c>
      <c r="N455" s="22" t="s">
        <v>19740</v>
      </c>
      <c r="O455" s="23" t="s">
        <v>207</v>
      </c>
      <c r="P455" s="22" t="str">
        <f>"86404"</f>
        <v>86404</v>
      </c>
      <c r="Q455" s="22" t="str">
        <f>"1917"</f>
        <v>1917</v>
      </c>
      <c r="R455" s="22" t="s">
        <v>18890</v>
      </c>
      <c r="S455" s="23" t="s">
        <v>18764</v>
      </c>
      <c r="T455" s="22" t="s">
        <v>19759</v>
      </c>
      <c r="U455" s="22" t="s">
        <v>18713</v>
      </c>
      <c r="V455" s="22" t="s">
        <v>18714</v>
      </c>
      <c r="W455" s="22" t="s">
        <v>18714</v>
      </c>
      <c r="X455" s="22" t="s">
        <v>18714</v>
      </c>
      <c r="Y455" s="23">
        <v>20</v>
      </c>
      <c r="Z455" s="22" t="s">
        <v>18723</v>
      </c>
    </row>
    <row r="456" spans="1:26" s="25" customFormat="1" hidden="1" x14ac:dyDescent="0.2">
      <c r="A456" s="23" t="s">
        <v>18885</v>
      </c>
      <c r="B456" s="22" t="s">
        <v>18886</v>
      </c>
      <c r="C456" s="23" t="str">
        <f t="shared" si="17"/>
        <v>000</v>
      </c>
      <c r="D456" s="23" t="s">
        <v>18718</v>
      </c>
      <c r="E456" s="22" t="s">
        <v>18886</v>
      </c>
      <c r="F456" s="22" t="s">
        <v>19760</v>
      </c>
      <c r="G456" s="22" t="str">
        <f>VLOOKUP(F456,[1]CHILDCARE_FACILITIES!N:Q,4,0)</f>
        <v>CDC-3834</v>
      </c>
      <c r="H456" s="22">
        <f>VLOOKUP(G456,'[1]CACFP FRL'!D:G,4,0)</f>
        <v>91272</v>
      </c>
      <c r="I456" s="22" t="str">
        <f>VLOOKUP(G456,[1]CHILDCARE_FACILITIES!AK:AL,2,0)</f>
        <v>CDC3834</v>
      </c>
      <c r="J456" s="22" t="e">
        <f>VLOOKUP(I456,'[1]Head Start QF 1-5 Stars'!O:Q,3,0)</f>
        <v>#N/A</v>
      </c>
      <c r="K456" s="23" t="s">
        <v>18885</v>
      </c>
      <c r="L456" s="22" t="s">
        <v>19761</v>
      </c>
      <c r="M456" s="22" t="s">
        <v>1637</v>
      </c>
      <c r="N456" s="22" t="s">
        <v>508</v>
      </c>
      <c r="O456" s="23" t="s">
        <v>207</v>
      </c>
      <c r="P456" s="22" t="str">
        <f>"85350"</f>
        <v>85350</v>
      </c>
      <c r="Q456" s="22" t="str">
        <f>"7523"</f>
        <v>7523</v>
      </c>
      <c r="R456" s="22" t="s">
        <v>18809</v>
      </c>
      <c r="S456" s="23" t="s">
        <v>18721</v>
      </c>
      <c r="T456" s="22" t="s">
        <v>19762</v>
      </c>
      <c r="U456" s="22" t="s">
        <v>18713</v>
      </c>
      <c r="V456" s="22" t="s">
        <v>18731</v>
      </c>
      <c r="W456" s="22" t="s">
        <v>18714</v>
      </c>
      <c r="X456" s="22" t="s">
        <v>18714</v>
      </c>
      <c r="Y456" s="23">
        <v>20</v>
      </c>
      <c r="Z456" s="22" t="s">
        <v>18723</v>
      </c>
    </row>
    <row r="457" spans="1:26" s="25" customFormat="1" hidden="1" x14ac:dyDescent="0.2">
      <c r="A457" s="23" t="s">
        <v>18885</v>
      </c>
      <c r="B457" s="22" t="s">
        <v>18886</v>
      </c>
      <c r="C457" s="23" t="str">
        <f t="shared" si="17"/>
        <v>000</v>
      </c>
      <c r="D457" s="23" t="s">
        <v>18718</v>
      </c>
      <c r="E457" s="22" t="s">
        <v>18886</v>
      </c>
      <c r="F457" s="22" t="s">
        <v>19763</v>
      </c>
      <c r="G457" s="22" t="str">
        <f>VLOOKUP(F457,[1]CHILDCARE_FACILITIES!N:Q,4,0)</f>
        <v>CDC-17123</v>
      </c>
      <c r="H457" s="22">
        <f>VLOOKUP(G457,'[1]CACFP FRL'!D:G,4,0)</f>
        <v>92668</v>
      </c>
      <c r="I457" s="22" t="str">
        <f>VLOOKUP(G457,[1]CHILDCARE_FACILITIES!AK:AL,2,0)</f>
        <v>CDC17123</v>
      </c>
      <c r="J457" s="22" t="e">
        <f>VLOOKUP(I457,'[1]Head Start QF 1-5 Stars'!O:Q,3,0)</f>
        <v>#N/A</v>
      </c>
      <c r="K457" s="23" t="s">
        <v>18885</v>
      </c>
      <c r="L457" s="22" t="s">
        <v>19764</v>
      </c>
      <c r="M457" s="22" t="s">
        <v>1637</v>
      </c>
      <c r="N457" s="22" t="s">
        <v>19740</v>
      </c>
      <c r="O457" s="23" t="s">
        <v>207</v>
      </c>
      <c r="P457" s="22" t="str">
        <f>"86406"</f>
        <v>86406</v>
      </c>
      <c r="Q457" s="22" t="str">
        <f>"8764"</f>
        <v>8764</v>
      </c>
      <c r="R457" s="22" t="s">
        <v>18890</v>
      </c>
      <c r="S457" s="23" t="s">
        <v>18764</v>
      </c>
      <c r="T457" s="22" t="s">
        <v>19765</v>
      </c>
      <c r="U457" s="22" t="s">
        <v>18713</v>
      </c>
      <c r="V457" s="22" t="s">
        <v>18714</v>
      </c>
      <c r="W457" s="22" t="s">
        <v>18714</v>
      </c>
      <c r="X457" s="22" t="s">
        <v>18714</v>
      </c>
      <c r="Y457" s="23">
        <v>19</v>
      </c>
      <c r="Z457" s="22" t="s">
        <v>18723</v>
      </c>
    </row>
    <row r="458" spans="1:26" hidden="1" x14ac:dyDescent="0.2">
      <c r="A458" s="23" t="s">
        <v>18885</v>
      </c>
      <c r="B458" s="22" t="s">
        <v>18886</v>
      </c>
      <c r="C458" s="23" t="str">
        <f t="shared" si="17"/>
        <v>000</v>
      </c>
      <c r="D458" s="23" t="s">
        <v>18718</v>
      </c>
      <c r="E458" s="22" t="s">
        <v>18886</v>
      </c>
      <c r="F458" s="22" t="s">
        <v>19454</v>
      </c>
      <c r="G458" s="22" t="str">
        <f>VLOOKUP(F458,[1]CHILDCARE_FACILITIES!N:Q,4,0)</f>
        <v>CDC-17734</v>
      </c>
      <c r="H458" s="22">
        <f>VLOOKUP(G458,'[1]CACFP FRL'!D:G,4,0)</f>
        <v>647485</v>
      </c>
      <c r="I458" s="22" t="str">
        <f>VLOOKUP(G458,[1]CHILDCARE_FACILITIES!AK:AL,2,0)</f>
        <v>CDC17734</v>
      </c>
      <c r="J458" s="22" t="e">
        <f>VLOOKUP(I458,'[1]Head Start QF 1-5 Stars'!O:Q,3,0)</f>
        <v>#N/A</v>
      </c>
      <c r="K458" s="23" t="s">
        <v>18885</v>
      </c>
      <c r="L458" s="22" t="s">
        <v>515</v>
      </c>
      <c r="M458" s="22" t="s">
        <v>1637</v>
      </c>
      <c r="N458" s="22" t="s">
        <v>496</v>
      </c>
      <c r="O458" s="23" t="s">
        <v>207</v>
      </c>
      <c r="P458" s="22" t="str">
        <f>"85364"</f>
        <v>85364</v>
      </c>
      <c r="Q458" s="22" t="str">
        <f>"2727"</f>
        <v>2727</v>
      </c>
      <c r="R458" s="22" t="s">
        <v>18809</v>
      </c>
      <c r="S458" s="23" t="s">
        <v>18721</v>
      </c>
      <c r="T458" s="22" t="s">
        <v>19455</v>
      </c>
      <c r="U458" s="22" t="s">
        <v>18713</v>
      </c>
      <c r="V458" s="22" t="s">
        <v>18714</v>
      </c>
      <c r="W458" s="22" t="s">
        <v>18714</v>
      </c>
      <c r="X458" s="22" t="s">
        <v>18714</v>
      </c>
      <c r="Y458" s="23">
        <v>20</v>
      </c>
      <c r="Z458" s="22" t="s">
        <v>18723</v>
      </c>
    </row>
    <row r="459" spans="1:26" hidden="1" x14ac:dyDescent="0.2">
      <c r="A459" s="23" t="s">
        <v>18885</v>
      </c>
      <c r="B459" s="22" t="s">
        <v>18886</v>
      </c>
      <c r="C459" s="23" t="str">
        <f t="shared" si="17"/>
        <v>000</v>
      </c>
      <c r="D459" s="23" t="s">
        <v>18718</v>
      </c>
      <c r="E459" s="22" t="s">
        <v>18886</v>
      </c>
      <c r="F459" s="22" t="s">
        <v>19506</v>
      </c>
      <c r="G459" s="22" t="str">
        <f>VLOOKUP(F459,[1]CHILDCARE_FACILITIES!N:Q,4,0)</f>
        <v>CDC-3736</v>
      </c>
      <c r="H459" s="22">
        <f>VLOOKUP(G459,'[1]CACFP FRL'!D:G,4,0)</f>
        <v>10195</v>
      </c>
      <c r="I459" s="22" t="str">
        <f>VLOOKUP(G459,[1]CHILDCARE_FACILITIES!AK:AL,2,0)</f>
        <v>CDC3736</v>
      </c>
      <c r="J459" s="22" t="e">
        <f>VLOOKUP(I459,'[1]Head Start QF 1-5 Stars'!O:Q,3,0)</f>
        <v>#N/A</v>
      </c>
      <c r="K459" s="23" t="s">
        <v>18885</v>
      </c>
      <c r="L459" s="22" t="s">
        <v>18812</v>
      </c>
      <c r="M459" s="22" t="s">
        <v>1637</v>
      </c>
      <c r="N459" s="22" t="s">
        <v>496</v>
      </c>
      <c r="O459" s="23" t="s">
        <v>207</v>
      </c>
      <c r="P459" s="22" t="str">
        <f>"85364"</f>
        <v>85364</v>
      </c>
      <c r="Q459" s="22" t="str">
        <f>"3237"</f>
        <v>3237</v>
      </c>
      <c r="R459" s="22" t="s">
        <v>18809</v>
      </c>
      <c r="S459" s="23" t="s">
        <v>18721</v>
      </c>
      <c r="T459" s="22" t="s">
        <v>19507</v>
      </c>
      <c r="U459" s="22" t="s">
        <v>18713</v>
      </c>
      <c r="V459" s="22" t="s">
        <v>18714</v>
      </c>
      <c r="W459" s="22" t="s">
        <v>18714</v>
      </c>
      <c r="X459" s="22" t="s">
        <v>18714</v>
      </c>
      <c r="Y459" s="23">
        <v>114</v>
      </c>
      <c r="Z459" s="22" t="s">
        <v>18723</v>
      </c>
    </row>
    <row r="460" spans="1:26" hidden="1" x14ac:dyDescent="0.2">
      <c r="A460" s="23" t="s">
        <v>18912</v>
      </c>
      <c r="B460" s="22" t="s">
        <v>18913</v>
      </c>
      <c r="C460" s="23" t="str">
        <f>"200"</f>
        <v>200</v>
      </c>
      <c r="D460" s="23" t="s">
        <v>18706</v>
      </c>
      <c r="E460" s="22" t="s">
        <v>18913</v>
      </c>
      <c r="F460" s="22" t="s">
        <v>19766</v>
      </c>
      <c r="G460" s="22" t="str">
        <f>VLOOKUP(F460,[1]CHILDCARE_FACILITIES!N:Q,4,0)</f>
        <v>CDC-2056</v>
      </c>
      <c r="H460" s="22" t="e">
        <f>VLOOKUP(G460,'[1]CACFP FRL'!D:G,4,0)</f>
        <v>#N/A</v>
      </c>
      <c r="I460" s="22" t="str">
        <f>VLOOKUP(G460,[1]CHILDCARE_FACILITIES!AK:AL,2,0)</f>
        <v>CDC2056</v>
      </c>
      <c r="J460" s="22" t="e">
        <f>VLOOKUP(I460,'[1]Head Start QF 1-5 Stars'!O:Q,3,0)</f>
        <v>#N/A</v>
      </c>
      <c r="K460" s="23" t="s">
        <v>18912</v>
      </c>
      <c r="L460" s="22" t="s">
        <v>19767</v>
      </c>
      <c r="M460" s="22" t="s">
        <v>1637</v>
      </c>
      <c r="N460" s="22" t="s">
        <v>2927</v>
      </c>
      <c r="O460" s="23" t="s">
        <v>207</v>
      </c>
      <c r="P460" s="22" t="str">
        <f>"86046"</f>
        <v>86046</v>
      </c>
      <c r="Q460" s="22" t="str">
        <f>"2444"</f>
        <v>2444</v>
      </c>
      <c r="R460" s="22" t="s">
        <v>19091</v>
      </c>
      <c r="S460" s="23" t="s">
        <v>18818</v>
      </c>
      <c r="T460" s="22" t="s">
        <v>19768</v>
      </c>
      <c r="U460" s="22" t="s">
        <v>18713</v>
      </c>
      <c r="V460" s="22" t="s">
        <v>18731</v>
      </c>
      <c r="W460" s="22" t="s">
        <v>18731</v>
      </c>
      <c r="X460" s="22" t="s">
        <v>18731</v>
      </c>
      <c r="Y460" s="23">
        <v>17</v>
      </c>
      <c r="Z460" s="22" t="s">
        <v>18723</v>
      </c>
    </row>
    <row r="461" spans="1:26" hidden="1" x14ac:dyDescent="0.2">
      <c r="A461" s="23" t="s">
        <v>18885</v>
      </c>
      <c r="B461" s="22" t="s">
        <v>18886</v>
      </c>
      <c r="C461" s="23" t="str">
        <f>"000"</f>
        <v>000</v>
      </c>
      <c r="D461" s="23" t="s">
        <v>18718</v>
      </c>
      <c r="E461" s="22" t="s">
        <v>18886</v>
      </c>
      <c r="F461" s="22" t="s">
        <v>1095</v>
      </c>
      <c r="G461" s="22" t="str">
        <f>VLOOKUP(F461,[1]CHILDCARE_FACILITIES!N:Q,4,0)</f>
        <v>CDC-2008</v>
      </c>
      <c r="H461" s="22">
        <f>VLOOKUP(G461,'[1]CACFP FRL'!D:G,4,0)</f>
        <v>10189</v>
      </c>
      <c r="I461" s="22" t="str">
        <f>VLOOKUP(G461,[1]CHILDCARE_FACILITIES!AK:AL,2,0)</f>
        <v>CDC2008</v>
      </c>
      <c r="J461" s="22" t="e">
        <f>VLOOKUP(I461,'[1]Head Start QF 1-5 Stars'!O:Q,3,0)</f>
        <v>#N/A</v>
      </c>
      <c r="K461" s="23" t="s">
        <v>18885</v>
      </c>
      <c r="L461" s="22" t="s">
        <v>19534</v>
      </c>
      <c r="M461" s="22" t="s">
        <v>1637</v>
      </c>
      <c r="N461" s="22" t="s">
        <v>499</v>
      </c>
      <c r="O461" s="23" t="s">
        <v>207</v>
      </c>
      <c r="P461" s="22" t="str">
        <f>"85349"</f>
        <v>85349</v>
      </c>
      <c r="Q461" s="22" t="str">
        <f>"6775"</f>
        <v>6775</v>
      </c>
      <c r="R461" s="22" t="s">
        <v>18809</v>
      </c>
      <c r="S461" s="23" t="s">
        <v>18721</v>
      </c>
      <c r="T461" s="22" t="s">
        <v>19535</v>
      </c>
      <c r="U461" s="22" t="s">
        <v>18713</v>
      </c>
      <c r="V461" s="22" t="s">
        <v>18731</v>
      </c>
      <c r="W461" s="22" t="s">
        <v>18714</v>
      </c>
      <c r="X461" s="22" t="s">
        <v>18714</v>
      </c>
      <c r="Y461" s="23">
        <v>77</v>
      </c>
      <c r="Z461" s="22" t="s">
        <v>18723</v>
      </c>
    </row>
    <row r="462" spans="1:26" s="25" customFormat="1" hidden="1" x14ac:dyDescent="0.2">
      <c r="A462" s="23" t="s">
        <v>18885</v>
      </c>
      <c r="B462" s="22" t="s">
        <v>18886</v>
      </c>
      <c r="C462" s="23" t="str">
        <f>"000"</f>
        <v>000</v>
      </c>
      <c r="D462" s="23" t="s">
        <v>18718</v>
      </c>
      <c r="E462" s="22" t="s">
        <v>18886</v>
      </c>
      <c r="F462" s="22" t="s">
        <v>19769</v>
      </c>
      <c r="G462" s="22" t="str">
        <f>VLOOKUP(F462,[1]CHILDCARE_FACILITIES!N:Q,4,0)</f>
        <v>CDC-3804</v>
      </c>
      <c r="H462" s="22" t="e">
        <f>VLOOKUP(G462,'[1]CACFP FRL'!D:G,4,0)</f>
        <v>#N/A</v>
      </c>
      <c r="I462" s="22" t="str">
        <f>VLOOKUP(G462,[1]CHILDCARE_FACILITIES!AK:AL,2,0)</f>
        <v>CDC3804</v>
      </c>
      <c r="J462" s="22" t="e">
        <f>VLOOKUP(I462,'[1]Head Start QF 1-5 Stars'!O:Q,3,0)</f>
        <v>#N/A</v>
      </c>
      <c r="K462" s="23" t="s">
        <v>18885</v>
      </c>
      <c r="L462" s="22" t="s">
        <v>19770</v>
      </c>
      <c r="M462" s="22" t="s">
        <v>1637</v>
      </c>
      <c r="N462" s="22" t="s">
        <v>19771</v>
      </c>
      <c r="O462" s="23" t="s">
        <v>207</v>
      </c>
      <c r="P462" s="22" t="str">
        <f>"85356"</f>
        <v>85356</v>
      </c>
      <c r="Q462" s="22" t="str">
        <f>""</f>
        <v/>
      </c>
      <c r="R462" s="22" t="s">
        <v>18809</v>
      </c>
      <c r="S462" s="23" t="s">
        <v>18764</v>
      </c>
      <c r="T462" s="22" t="s">
        <v>19772</v>
      </c>
      <c r="U462" s="22" t="s">
        <v>18713</v>
      </c>
      <c r="V462" s="22" t="s">
        <v>18731</v>
      </c>
      <c r="W462" s="22" t="s">
        <v>18714</v>
      </c>
      <c r="X462" s="22" t="s">
        <v>18714</v>
      </c>
      <c r="Y462" s="23">
        <v>20</v>
      </c>
      <c r="Z462" s="22" t="s">
        <v>18723</v>
      </c>
    </row>
    <row r="463" spans="1:26" hidden="1" x14ac:dyDescent="0.2">
      <c r="A463" s="23" t="s">
        <v>18759</v>
      </c>
      <c r="B463" s="22" t="s">
        <v>18760</v>
      </c>
      <c r="C463" s="23" t="str">
        <f>"200"</f>
        <v>200</v>
      </c>
      <c r="D463" s="23" t="s">
        <v>18706</v>
      </c>
      <c r="E463" s="22" t="s">
        <v>18761</v>
      </c>
      <c r="F463" s="22" t="s">
        <v>19773</v>
      </c>
      <c r="G463" s="22" t="e">
        <f>VLOOKUP(F463,[1]CHILDCARE_FACILITIES!N:Q,4,0)</f>
        <v>#N/A</v>
      </c>
      <c r="H463" s="22" t="e">
        <f>VLOOKUP(G463,'[1]CACFP FRL'!D:G,4,0)</f>
        <v>#N/A</v>
      </c>
      <c r="I463" s="22" t="e">
        <f>VLOOKUP(G463,[1]CHILDCARE_FACILITIES!AK:AL,2,0)</f>
        <v>#N/A</v>
      </c>
      <c r="J463" s="22" t="e">
        <f>VLOOKUP(I463,'[1]Head Start QF 1-5 Stars'!O:Q,3,0)</f>
        <v>#N/A</v>
      </c>
      <c r="K463" s="23" t="s">
        <v>18759</v>
      </c>
      <c r="L463" s="22" t="s">
        <v>19774</v>
      </c>
      <c r="M463" s="22" t="s">
        <v>1637</v>
      </c>
      <c r="N463" s="22" t="s">
        <v>19775</v>
      </c>
      <c r="O463" s="23" t="s">
        <v>207</v>
      </c>
      <c r="P463" s="22" t="str">
        <f>"85192"</f>
        <v>85192</v>
      </c>
      <c r="Q463" s="22" t="str">
        <f>""</f>
        <v/>
      </c>
      <c r="R463" s="22" t="s">
        <v>19335</v>
      </c>
      <c r="S463" s="23" t="s">
        <v>18818</v>
      </c>
      <c r="T463" s="22" t="s">
        <v>19776</v>
      </c>
      <c r="U463" s="22" t="s">
        <v>18713</v>
      </c>
      <c r="V463" s="22" t="s">
        <v>18714</v>
      </c>
      <c r="W463" s="22" t="s">
        <v>18714</v>
      </c>
      <c r="X463" s="22" t="s">
        <v>18714</v>
      </c>
      <c r="Y463" s="23">
        <v>10</v>
      </c>
      <c r="Z463" s="22" t="s">
        <v>18723</v>
      </c>
    </row>
    <row r="464" spans="1:26" hidden="1" x14ac:dyDescent="0.2">
      <c r="A464" s="23" t="s">
        <v>18885</v>
      </c>
      <c r="B464" s="22" t="s">
        <v>18886</v>
      </c>
      <c r="C464" s="23" t="str">
        <f>"000"</f>
        <v>000</v>
      </c>
      <c r="D464" s="23" t="s">
        <v>18718</v>
      </c>
      <c r="E464" s="22" t="s">
        <v>18886</v>
      </c>
      <c r="F464" s="22" t="s">
        <v>19777</v>
      </c>
      <c r="G464" s="22" t="str">
        <f>VLOOKUP(F464,[1]CHILDCARE_FACILITIES!N:Q,4,0)</f>
        <v>CDC-5123</v>
      </c>
      <c r="H464" s="22">
        <f>VLOOKUP(G464,'[1]CACFP FRL'!D:G,4,0)</f>
        <v>10190</v>
      </c>
      <c r="I464" s="22" t="str">
        <f>VLOOKUP(G464,[1]CHILDCARE_FACILITIES!AK:AL,2,0)</f>
        <v>CDC5123</v>
      </c>
      <c r="J464" s="22" t="e">
        <f>VLOOKUP(I464,'[1]Head Start QF 1-5 Stars'!O:Q,3,0)</f>
        <v>#N/A</v>
      </c>
      <c r="K464" s="23" t="s">
        <v>18885</v>
      </c>
      <c r="L464" s="22" t="s">
        <v>19778</v>
      </c>
      <c r="M464" s="22" t="s">
        <v>1637</v>
      </c>
      <c r="N464" s="22" t="s">
        <v>496</v>
      </c>
      <c r="O464" s="23" t="s">
        <v>207</v>
      </c>
      <c r="P464" s="22" t="str">
        <f>"85364"</f>
        <v>85364</v>
      </c>
      <c r="Q464" s="22" t="str">
        <f>"5001"</f>
        <v>5001</v>
      </c>
      <c r="R464" s="22" t="s">
        <v>18809</v>
      </c>
      <c r="S464" s="23" t="s">
        <v>18721</v>
      </c>
      <c r="T464" s="22" t="s">
        <v>19779</v>
      </c>
      <c r="U464" s="22" t="s">
        <v>18713</v>
      </c>
      <c r="V464" s="22" t="s">
        <v>18731</v>
      </c>
      <c r="W464" s="22" t="s">
        <v>18714</v>
      </c>
      <c r="X464" s="22" t="s">
        <v>18731</v>
      </c>
      <c r="Y464" s="23">
        <v>40</v>
      </c>
      <c r="Z464" s="22" t="s">
        <v>18723</v>
      </c>
    </row>
    <row r="465" spans="1:26" hidden="1" x14ac:dyDescent="0.2">
      <c r="A465" s="23" t="s">
        <v>18912</v>
      </c>
      <c r="B465" s="22" t="s">
        <v>18913</v>
      </c>
      <c r="C465" s="23" t="str">
        <f>"200"</f>
        <v>200</v>
      </c>
      <c r="D465" s="23" t="s">
        <v>18706</v>
      </c>
      <c r="E465" s="22" t="s">
        <v>18913</v>
      </c>
      <c r="F465" s="22" t="s">
        <v>1200</v>
      </c>
      <c r="G465" s="22" t="str">
        <f>VLOOKUP(F465,[1]CHILDCARE_FACILITIES!N:Q,4,0)</f>
        <v>CDC-15449</v>
      </c>
      <c r="H465" s="22" t="e">
        <f>VLOOKUP(G465,'[1]CACFP FRL'!D:G,4,0)</f>
        <v>#N/A</v>
      </c>
      <c r="I465" s="22" t="str">
        <f>VLOOKUP(G465,[1]CHILDCARE_FACILITIES!AK:AL,2,0)</f>
        <v>CDC15449</v>
      </c>
      <c r="J465" s="22" t="e">
        <f>VLOOKUP(I465,'[1]Head Start QF 1-5 Stars'!O:Q,3,0)</f>
        <v>#N/A</v>
      </c>
      <c r="K465" s="23" t="s">
        <v>18912</v>
      </c>
      <c r="L465" s="22" t="s">
        <v>19780</v>
      </c>
      <c r="M465" s="22" t="s">
        <v>1637</v>
      </c>
      <c r="N465" s="22" t="s">
        <v>19399</v>
      </c>
      <c r="O465" s="23" t="s">
        <v>207</v>
      </c>
      <c r="P465" s="22" t="str">
        <f>"86047"</f>
        <v>86047</v>
      </c>
      <c r="Q465" s="22" t="str">
        <f>""</f>
        <v/>
      </c>
      <c r="R465" s="22" t="s">
        <v>19156</v>
      </c>
      <c r="S465" s="23" t="s">
        <v>18818</v>
      </c>
      <c r="T465" s="22" t="s">
        <v>19781</v>
      </c>
      <c r="U465" s="22" t="s">
        <v>18713</v>
      </c>
      <c r="V465" s="22" t="s">
        <v>18714</v>
      </c>
      <c r="W465" s="22" t="s">
        <v>18714</v>
      </c>
      <c r="X465" s="22" t="s">
        <v>18714</v>
      </c>
      <c r="Y465" s="23">
        <v>28</v>
      </c>
      <c r="Z465" s="22" t="s">
        <v>18723</v>
      </c>
    </row>
    <row r="466" spans="1:26" hidden="1" x14ac:dyDescent="0.2">
      <c r="A466" s="24" t="s">
        <v>19782</v>
      </c>
      <c r="B466" s="25" t="s">
        <v>19783</v>
      </c>
      <c r="C466" s="24" t="str">
        <f>"000"</f>
        <v>000</v>
      </c>
      <c r="D466" s="24" t="s">
        <v>19199</v>
      </c>
      <c r="E466" s="25" t="s">
        <v>19783</v>
      </c>
      <c r="F466" s="25" t="s">
        <v>19784</v>
      </c>
      <c r="G466" s="25" t="e">
        <f>VLOOKUP(F466,[1]CHILDCARE_FACILITIES!N:Q,4,0)</f>
        <v>#N/A</v>
      </c>
      <c r="H466" s="25" t="e">
        <f>VLOOKUP(G466,'[1]CACFP FRL'!D:G,4,0)</f>
        <v>#N/A</v>
      </c>
      <c r="I466" s="25" t="e">
        <f>VLOOKUP(G466,[1]CHILDCARE_FACILITIES!AK:AL,2,0)</f>
        <v>#N/A</v>
      </c>
      <c r="J466" s="25">
        <f>'[1]Head Start QF 1-5 Stars'!Q85</f>
        <v>1953</v>
      </c>
      <c r="K466" s="24" t="s">
        <v>19782</v>
      </c>
      <c r="L466" s="25" t="s">
        <v>19785</v>
      </c>
      <c r="M466" s="25" t="s">
        <v>1637</v>
      </c>
      <c r="N466" s="25" t="s">
        <v>19786</v>
      </c>
      <c r="O466" s="24" t="s">
        <v>207</v>
      </c>
      <c r="P466" s="25" t="str">
        <f>"85911"</f>
        <v>85911</v>
      </c>
      <c r="Q466" s="25" t="str">
        <f>""</f>
        <v/>
      </c>
      <c r="R466" s="25" t="s">
        <v>19156</v>
      </c>
      <c r="S466" s="24" t="s">
        <v>18818</v>
      </c>
      <c r="T466" s="25" t="s">
        <v>19787</v>
      </c>
      <c r="U466" s="25" t="s">
        <v>18713</v>
      </c>
      <c r="V466" s="25" t="s">
        <v>18731</v>
      </c>
      <c r="W466" s="25" t="s">
        <v>18731</v>
      </c>
      <c r="X466" s="25" t="s">
        <v>18714</v>
      </c>
      <c r="Y466" s="24">
        <v>31</v>
      </c>
      <c r="Z466" s="25" t="s">
        <v>18723</v>
      </c>
    </row>
    <row r="467" spans="1:26" hidden="1" x14ac:dyDescent="0.2">
      <c r="A467" s="23" t="s">
        <v>18822</v>
      </c>
      <c r="B467" s="22" t="s">
        <v>18823</v>
      </c>
      <c r="C467" s="23" t="str">
        <f>"200"</f>
        <v>200</v>
      </c>
      <c r="D467" s="23" t="s">
        <v>18706</v>
      </c>
      <c r="E467" s="22" t="s">
        <v>18823</v>
      </c>
      <c r="F467" s="22" t="s">
        <v>19027</v>
      </c>
      <c r="G467" s="22" t="str">
        <f>VLOOKUP(F467,[1]CHILDCARE_FACILITIES!N:Q,4,0)</f>
        <v>CDC-5586</v>
      </c>
      <c r="H467" s="22">
        <f>VLOOKUP(G467,'[1]CACFP FRL'!D:G,4,0)</f>
        <v>9848</v>
      </c>
      <c r="I467" s="22" t="str">
        <f>VLOOKUP(G467,[1]CHILDCARE_FACILITIES!AK:AL,2,0)</f>
        <v>CDC5586</v>
      </c>
      <c r="J467" s="22" t="e">
        <f>VLOOKUP(I467,'[1]Head Start QF 1-5 Stars'!O:Q,3,0)</f>
        <v>#N/A</v>
      </c>
      <c r="K467" s="23" t="s">
        <v>18822</v>
      </c>
      <c r="L467" s="22" t="s">
        <v>19028</v>
      </c>
      <c r="M467" s="22" t="s">
        <v>19029</v>
      </c>
      <c r="N467" s="22" t="s">
        <v>764</v>
      </c>
      <c r="O467" s="23" t="s">
        <v>207</v>
      </c>
      <c r="P467" s="22" t="str">
        <f>"85712"</f>
        <v>85712</v>
      </c>
      <c r="Q467" s="22" t="str">
        <f>"3363"</f>
        <v>3363</v>
      </c>
      <c r="R467" s="22" t="s">
        <v>996</v>
      </c>
      <c r="S467" s="23" t="s">
        <v>18842</v>
      </c>
      <c r="T467" s="22" t="s">
        <v>19030</v>
      </c>
      <c r="U467" s="22" t="s">
        <v>18713</v>
      </c>
      <c r="V467" s="22" t="s">
        <v>18731</v>
      </c>
      <c r="W467" s="22" t="s">
        <v>18731</v>
      </c>
      <c r="X467" s="22" t="s">
        <v>18731</v>
      </c>
      <c r="Y467" s="23">
        <v>10</v>
      </c>
      <c r="Z467" s="22" t="s">
        <v>18723</v>
      </c>
    </row>
    <row r="468" spans="1:26" hidden="1" x14ac:dyDescent="0.2">
      <c r="A468" s="23" t="s">
        <v>18912</v>
      </c>
      <c r="B468" s="22" t="s">
        <v>18913</v>
      </c>
      <c r="C468" s="23" t="str">
        <f>"200"</f>
        <v>200</v>
      </c>
      <c r="D468" s="23" t="s">
        <v>18706</v>
      </c>
      <c r="E468" s="22" t="s">
        <v>18913</v>
      </c>
      <c r="F468" s="22" t="s">
        <v>19788</v>
      </c>
      <c r="G468" s="22" t="str">
        <f>VLOOKUP(F468,[1]CHILDCARE_FACILITIES!N:Q,4,0)</f>
        <v>CDC-6622</v>
      </c>
      <c r="H468" s="22" t="e">
        <f>VLOOKUP(G468,'[1]CACFP FRL'!D:G,4,0)</f>
        <v>#N/A</v>
      </c>
      <c r="I468" s="22" t="str">
        <f>VLOOKUP(G468,[1]CHILDCARE_FACILITIES!AK:AL,2,0)</f>
        <v>CDC6622</v>
      </c>
      <c r="J468" s="22" t="e">
        <f>VLOOKUP(I468,'[1]Head Start QF 1-5 Stars'!O:Q,3,0)</f>
        <v>#N/A</v>
      </c>
      <c r="K468" s="23" t="s">
        <v>18912</v>
      </c>
      <c r="L468" s="22" t="s">
        <v>19789</v>
      </c>
      <c r="M468" s="22" t="s">
        <v>1637</v>
      </c>
      <c r="N468" s="22" t="s">
        <v>19790</v>
      </c>
      <c r="O468" s="23" t="s">
        <v>207</v>
      </c>
      <c r="P468" s="22" t="str">
        <f>"86324"</f>
        <v>86324</v>
      </c>
      <c r="Q468" s="22" t="str">
        <f>"3736"</f>
        <v>3736</v>
      </c>
      <c r="R468" s="22" t="s">
        <v>18915</v>
      </c>
      <c r="S468" s="23" t="s">
        <v>18764</v>
      </c>
      <c r="T468" s="22" t="s">
        <v>19791</v>
      </c>
      <c r="U468" s="22" t="s">
        <v>18713</v>
      </c>
      <c r="V468" s="22" t="s">
        <v>18731</v>
      </c>
      <c r="W468" s="22" t="s">
        <v>18731</v>
      </c>
      <c r="X468" s="22" t="s">
        <v>18731</v>
      </c>
      <c r="Y468" s="23">
        <v>36</v>
      </c>
      <c r="Z468" s="22" t="s">
        <v>18723</v>
      </c>
    </row>
    <row r="469" spans="1:26" hidden="1" x14ac:dyDescent="0.2">
      <c r="A469" s="24" t="s">
        <v>19782</v>
      </c>
      <c r="B469" s="25" t="s">
        <v>19783</v>
      </c>
      <c r="C469" s="24" t="str">
        <f>"000"</f>
        <v>000</v>
      </c>
      <c r="D469" s="24" t="s">
        <v>19199</v>
      </c>
      <c r="E469" s="25" t="s">
        <v>19783</v>
      </c>
      <c r="F469" s="25" t="s">
        <v>19792</v>
      </c>
      <c r="G469" s="25" t="e">
        <f>VLOOKUP(F469,[1]CHILDCARE_FACILITIES!N:Q,4,0)</f>
        <v>#N/A</v>
      </c>
      <c r="H469" s="25" t="e">
        <f>VLOOKUP(G469,'[1]CACFP FRL'!D:G,4,0)</f>
        <v>#N/A</v>
      </c>
      <c r="I469" s="25" t="e">
        <f>VLOOKUP(G469,[1]CHILDCARE_FACILITIES!AK:AL,2,0)</f>
        <v>#N/A</v>
      </c>
      <c r="J469" s="25" t="e">
        <f>VLOOKUP(I469,'[1]Head Start QF 1-5 Stars'!O:Q,3,0)</f>
        <v>#N/A</v>
      </c>
      <c r="K469" s="24" t="s">
        <v>19782</v>
      </c>
      <c r="L469" s="25" t="s">
        <v>19793</v>
      </c>
      <c r="M469" s="25" t="s">
        <v>1637</v>
      </c>
      <c r="N469" s="25" t="s">
        <v>852</v>
      </c>
      <c r="O469" s="24" t="s">
        <v>207</v>
      </c>
      <c r="P469" s="25" t="str">
        <f>"85930"</f>
        <v>85930</v>
      </c>
      <c r="Q469" s="25" t="str">
        <f>""</f>
        <v/>
      </c>
      <c r="R469" s="25" t="s">
        <v>19156</v>
      </c>
      <c r="S469" s="24" t="s">
        <v>18818</v>
      </c>
      <c r="T469" s="25" t="s">
        <v>19794</v>
      </c>
      <c r="U469" s="25" t="s">
        <v>18713</v>
      </c>
      <c r="V469" s="25" t="s">
        <v>18731</v>
      </c>
      <c r="W469" s="25" t="s">
        <v>18731</v>
      </c>
      <c r="X469" s="25" t="s">
        <v>18731</v>
      </c>
      <c r="Y469" s="24">
        <v>19</v>
      </c>
      <c r="Z469" s="25" t="s">
        <v>18723</v>
      </c>
    </row>
    <row r="470" spans="1:26" hidden="1" x14ac:dyDescent="0.2">
      <c r="A470" s="24" t="s">
        <v>19782</v>
      </c>
      <c r="B470" s="25" t="s">
        <v>19783</v>
      </c>
      <c r="C470" s="24" t="str">
        <f>"000"</f>
        <v>000</v>
      </c>
      <c r="D470" s="24" t="s">
        <v>19199</v>
      </c>
      <c r="E470" s="25" t="s">
        <v>19783</v>
      </c>
      <c r="F470" s="25" t="s">
        <v>19795</v>
      </c>
      <c r="G470" s="25" t="e">
        <f>VLOOKUP(F470,[1]CHILDCARE_FACILITIES!N:Q,4,0)</f>
        <v>#N/A</v>
      </c>
      <c r="H470" s="25" t="e">
        <f>VLOOKUP(G470,'[1]CACFP FRL'!D:G,4,0)</f>
        <v>#N/A</v>
      </c>
      <c r="I470" s="25" t="e">
        <f>VLOOKUP(G470,[1]CHILDCARE_FACILITIES!AK:AL,2,0)</f>
        <v>#N/A</v>
      </c>
      <c r="J470" s="25" t="e">
        <f>VLOOKUP(I470,'[1]Head Start QF 1-5 Stars'!O:Q,3,0)</f>
        <v>#N/A</v>
      </c>
      <c r="K470" s="24" t="s">
        <v>19782</v>
      </c>
      <c r="L470" s="25" t="s">
        <v>19796</v>
      </c>
      <c r="M470" s="25" t="s">
        <v>1637</v>
      </c>
      <c r="N470" s="25" t="s">
        <v>442</v>
      </c>
      <c r="O470" s="24" t="s">
        <v>207</v>
      </c>
      <c r="P470" s="25" t="str">
        <f>"85941"</f>
        <v>85941</v>
      </c>
      <c r="Q470" s="25" t="str">
        <f>""</f>
        <v/>
      </c>
      <c r="R470" s="25" t="s">
        <v>19156</v>
      </c>
      <c r="S470" s="24" t="s">
        <v>18818</v>
      </c>
      <c r="T470" s="25" t="s">
        <v>19797</v>
      </c>
      <c r="U470" s="25" t="s">
        <v>18713</v>
      </c>
      <c r="V470" s="25" t="s">
        <v>18714</v>
      </c>
      <c r="W470" s="25" t="s">
        <v>18714</v>
      </c>
      <c r="X470" s="25" t="s">
        <v>18714</v>
      </c>
      <c r="Y470" s="24">
        <v>202</v>
      </c>
      <c r="Z470" s="25" t="s">
        <v>18715</v>
      </c>
    </row>
  </sheetData>
  <autoFilter ref="A1:Z470" xr:uid="{7D375563-C9C7-4BB3-8790-4CBE4B87FE50}">
    <filterColumn colId="1">
      <filters>
        <filter val="Chicanos por la Causa, Inc."/>
        <filter val="City of Phoenix"/>
      </filters>
    </filterColumn>
    <sortState xmlns:xlrd2="http://schemas.microsoft.com/office/spreadsheetml/2017/richdata2" ref="A3:Z470">
      <sortCondition ref="E1:E470"/>
    </sortState>
  </autoFilter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B370A-4925-471E-A292-47C4C4197B57}">
  <sheetPr>
    <tabColor rgb="FF00B0F0"/>
  </sheetPr>
  <dimension ref="A1:BC209"/>
  <sheetViews>
    <sheetView topLeftCell="E1" workbookViewId="0">
      <selection activeCell="AJ4" sqref="AJ4"/>
    </sheetView>
  </sheetViews>
  <sheetFormatPr defaultRowHeight="12.75" x14ac:dyDescent="0.2"/>
  <cols>
    <col min="1" max="1" width="8.140625" style="49" bestFit="1" customWidth="1"/>
    <col min="2" max="2" width="18.28515625" style="49" bestFit="1" customWidth="1"/>
    <col min="3" max="3" width="10.140625" style="49" bestFit="1" customWidth="1"/>
    <col min="4" max="4" width="27" style="49" bestFit="1" customWidth="1"/>
    <col min="5" max="5" width="9.140625" style="49"/>
    <col min="6" max="6" width="7.7109375" style="49" bestFit="1" customWidth="1"/>
    <col min="7" max="7" width="8" style="49" bestFit="1" customWidth="1"/>
    <col min="8" max="8" width="9.7109375" style="49" bestFit="1" customWidth="1"/>
    <col min="9" max="9" width="15.85546875" style="49" bestFit="1" customWidth="1"/>
    <col min="10" max="10" width="17.5703125" style="49" bestFit="1" customWidth="1"/>
    <col min="11" max="11" width="64" style="49" bestFit="1" customWidth="1"/>
    <col min="12" max="12" width="34" style="49" bestFit="1" customWidth="1"/>
    <col min="13" max="13" width="15.28515625" style="49" bestFit="1" customWidth="1"/>
    <col min="14" max="14" width="6.5703125" style="49" bestFit="1" customWidth="1"/>
    <col min="15" max="15" width="6" style="49" bestFit="1" customWidth="1"/>
    <col min="16" max="16" width="10.28515625" style="49" bestFit="1" customWidth="1"/>
    <col min="17" max="17" width="52" style="49" bestFit="1" customWidth="1"/>
    <col min="18" max="19" width="12.7109375" style="49" bestFit="1" customWidth="1"/>
    <col min="20" max="20" width="8.5703125" style="49" bestFit="1" customWidth="1"/>
    <col min="21" max="23" width="8.140625" style="49" bestFit="1" customWidth="1"/>
    <col min="24" max="24" width="12.85546875" style="49" bestFit="1" customWidth="1"/>
    <col min="25" max="25" width="11.42578125" style="49" bestFit="1" customWidth="1"/>
    <col min="26" max="26" width="10.28515625" style="49" bestFit="1" customWidth="1"/>
    <col min="27" max="27" width="12.7109375" style="49" bestFit="1" customWidth="1"/>
    <col min="28" max="28" width="33.85546875" style="49" bestFit="1" customWidth="1"/>
    <col min="29" max="29" width="9.7109375" style="49" bestFit="1" customWidth="1"/>
    <col min="30" max="30" width="12" style="49" bestFit="1" customWidth="1"/>
    <col min="31" max="31" width="13.140625" style="49" bestFit="1" customWidth="1"/>
    <col min="32" max="32" width="6" style="49" bestFit="1" customWidth="1"/>
    <col min="33" max="33" width="17.42578125" style="49" bestFit="1" customWidth="1"/>
    <col min="34" max="34" width="30.140625" style="49" bestFit="1" customWidth="1"/>
    <col min="35" max="35" width="14.7109375" style="49" bestFit="1" customWidth="1"/>
    <col min="36" max="36" width="10.5703125" style="49" bestFit="1" customWidth="1"/>
    <col min="37" max="37" width="9" style="49" bestFit="1" customWidth="1"/>
    <col min="38" max="38" width="9.5703125" style="49" bestFit="1" customWidth="1"/>
    <col min="39" max="39" width="18.28515625" style="49" bestFit="1" customWidth="1"/>
    <col min="40" max="41" width="21.85546875" style="49" bestFit="1" customWidth="1"/>
    <col min="42" max="42" width="16.5703125" style="49" bestFit="1" customWidth="1"/>
    <col min="43" max="43" width="12.5703125" style="49" bestFit="1" customWidth="1"/>
    <col min="44" max="44" width="12.28515625" style="49" bestFit="1" customWidth="1"/>
    <col min="45" max="45" width="15.85546875" style="49" bestFit="1" customWidth="1"/>
    <col min="46" max="46" width="10.42578125" style="49" bestFit="1" customWidth="1"/>
    <col min="47" max="47" width="14.85546875" style="49" bestFit="1" customWidth="1"/>
    <col min="48" max="48" width="23.5703125" style="49" bestFit="1" customWidth="1"/>
    <col min="49" max="49" width="23.28515625" style="49" bestFit="1" customWidth="1"/>
    <col min="50" max="50" width="22" style="49" bestFit="1" customWidth="1"/>
    <col min="51" max="51" width="17.5703125" style="49" bestFit="1" customWidth="1"/>
    <col min="52" max="52" width="26.28515625" style="49" bestFit="1" customWidth="1"/>
    <col min="53" max="53" width="26" style="49" bestFit="1" customWidth="1"/>
    <col min="54" max="54" width="10.5703125" style="49" bestFit="1" customWidth="1"/>
    <col min="55" max="55" width="9.85546875" style="49" bestFit="1" customWidth="1"/>
    <col min="56" max="16384" width="9.140625" style="49"/>
  </cols>
  <sheetData>
    <row r="1" spans="1:55" s="42" customFormat="1" x14ac:dyDescent="0.2">
      <c r="A1" s="40" t="s">
        <v>20013</v>
      </c>
      <c r="B1" s="40" t="s">
        <v>20014</v>
      </c>
      <c r="C1" s="40" t="s">
        <v>20015</v>
      </c>
      <c r="D1" s="40" t="s">
        <v>20016</v>
      </c>
      <c r="E1" s="40" t="s">
        <v>20017</v>
      </c>
      <c r="F1" s="40" t="s">
        <v>20018</v>
      </c>
      <c r="G1" s="40" t="s">
        <v>0</v>
      </c>
      <c r="H1" s="40" t="s">
        <v>20019</v>
      </c>
      <c r="I1" s="40" t="s">
        <v>20020</v>
      </c>
      <c r="J1" s="40" t="s">
        <v>20021</v>
      </c>
      <c r="K1" s="40" t="s">
        <v>1</v>
      </c>
      <c r="L1" s="40" t="s">
        <v>103</v>
      </c>
      <c r="M1" s="40" t="s">
        <v>202</v>
      </c>
      <c r="N1" s="40" t="s">
        <v>203</v>
      </c>
      <c r="O1" s="40" t="s">
        <v>204</v>
      </c>
      <c r="P1" s="40" t="s">
        <v>205</v>
      </c>
      <c r="Q1" s="40" t="s">
        <v>20022</v>
      </c>
      <c r="R1" s="40" t="s">
        <v>20023</v>
      </c>
      <c r="S1" s="40" t="s">
        <v>20024</v>
      </c>
      <c r="T1" s="40" t="s">
        <v>20025</v>
      </c>
      <c r="U1" s="40" t="s">
        <v>20026</v>
      </c>
      <c r="V1" s="40" t="s">
        <v>20027</v>
      </c>
      <c r="W1" s="40" t="s">
        <v>20028</v>
      </c>
      <c r="X1" s="40" t="s">
        <v>20029</v>
      </c>
      <c r="Y1" s="40" t="s">
        <v>20030</v>
      </c>
      <c r="Z1" s="40" t="s">
        <v>20031</v>
      </c>
      <c r="AA1" s="40" t="s">
        <v>355</v>
      </c>
      <c r="AB1" s="40" t="s">
        <v>310</v>
      </c>
      <c r="AC1" s="40" t="s">
        <v>20032</v>
      </c>
      <c r="AD1" s="40" t="s">
        <v>20033</v>
      </c>
      <c r="AE1" s="40" t="s">
        <v>20034</v>
      </c>
      <c r="AF1" s="40" t="s">
        <v>20035</v>
      </c>
      <c r="AG1" s="40" t="s">
        <v>20036</v>
      </c>
      <c r="AH1" s="40" t="s">
        <v>20037</v>
      </c>
      <c r="AI1" s="40" t="s">
        <v>20038</v>
      </c>
      <c r="AJ1" s="40" t="s">
        <v>20039</v>
      </c>
      <c r="AK1" s="40" t="s">
        <v>20040</v>
      </c>
      <c r="AL1" s="40" t="s">
        <v>20041</v>
      </c>
      <c r="AM1" s="40" t="s">
        <v>20042</v>
      </c>
      <c r="AN1" s="40" t="s">
        <v>20043</v>
      </c>
      <c r="AO1" s="40" t="s">
        <v>20044</v>
      </c>
      <c r="AP1" s="40" t="s">
        <v>20045</v>
      </c>
      <c r="AQ1" s="41" t="s">
        <v>20046</v>
      </c>
      <c r="AR1" s="41" t="s">
        <v>20047</v>
      </c>
      <c r="AS1" s="41" t="s">
        <v>20048</v>
      </c>
      <c r="AT1" s="41" t="s">
        <v>20049</v>
      </c>
      <c r="AU1" s="40" t="s">
        <v>20050</v>
      </c>
      <c r="AV1" s="40" t="s">
        <v>20051</v>
      </c>
      <c r="AW1" s="40" t="s">
        <v>20052</v>
      </c>
      <c r="AX1" s="41" t="s">
        <v>20053</v>
      </c>
      <c r="AY1" s="41" t="s">
        <v>20054</v>
      </c>
      <c r="AZ1" s="41" t="s">
        <v>20055</v>
      </c>
      <c r="BA1" s="41" t="s">
        <v>20056</v>
      </c>
      <c r="BB1" s="40" t="s">
        <v>20057</v>
      </c>
      <c r="BC1" s="40" t="s">
        <v>20058</v>
      </c>
    </row>
    <row r="2" spans="1:55" s="42" customFormat="1" x14ac:dyDescent="0.2">
      <c r="A2" s="43">
        <v>252</v>
      </c>
      <c r="B2" s="44" t="s">
        <v>20059</v>
      </c>
      <c r="C2" s="45">
        <v>44082</v>
      </c>
      <c r="D2" s="44" t="s">
        <v>20060</v>
      </c>
      <c r="E2" s="44" t="s">
        <v>20061</v>
      </c>
      <c r="F2" s="44" t="s">
        <v>20062</v>
      </c>
      <c r="G2" s="44">
        <v>8070</v>
      </c>
      <c r="H2" s="44" t="s">
        <v>20063</v>
      </c>
      <c r="I2" s="45">
        <v>43252</v>
      </c>
      <c r="J2" s="45">
        <v>44347</v>
      </c>
      <c r="K2" s="44" t="s">
        <v>6</v>
      </c>
      <c r="L2" s="44" t="s">
        <v>108</v>
      </c>
      <c r="M2" s="44" t="s">
        <v>219</v>
      </c>
      <c r="N2" s="44" t="s">
        <v>207</v>
      </c>
      <c r="O2" s="44" t="s">
        <v>220</v>
      </c>
      <c r="P2" s="44" t="s">
        <v>221</v>
      </c>
      <c r="Q2" s="44" t="s">
        <v>20064</v>
      </c>
      <c r="R2" s="44" t="s">
        <v>20065</v>
      </c>
      <c r="S2" s="44" t="s">
        <v>20066</v>
      </c>
      <c r="T2" s="44">
        <v>75</v>
      </c>
      <c r="U2" s="44" t="s">
        <v>20067</v>
      </c>
      <c r="V2" s="44" t="s">
        <v>20067</v>
      </c>
      <c r="W2" s="44" t="s">
        <v>20067</v>
      </c>
      <c r="X2" s="44" t="s">
        <v>20068</v>
      </c>
      <c r="Y2" s="44" t="s">
        <v>20067</v>
      </c>
      <c r="Z2" s="44" t="s">
        <v>20069</v>
      </c>
      <c r="AA2" s="44">
        <v>4442</v>
      </c>
      <c r="AB2" s="44" t="s">
        <v>315</v>
      </c>
      <c r="AC2" s="44" t="s">
        <v>19745</v>
      </c>
      <c r="AD2" s="44" t="s">
        <v>20070</v>
      </c>
      <c r="AE2" s="44" t="s">
        <v>20071</v>
      </c>
      <c r="AF2" s="44" t="s">
        <v>255</v>
      </c>
      <c r="AG2" s="44" t="s">
        <v>7934</v>
      </c>
      <c r="AH2" s="44" t="s">
        <v>751</v>
      </c>
      <c r="AI2" s="44" t="s">
        <v>18715</v>
      </c>
      <c r="AJ2" s="44" t="s">
        <v>20072</v>
      </c>
      <c r="AK2" s="43">
        <v>0</v>
      </c>
      <c r="AL2" s="44">
        <v>68</v>
      </c>
      <c r="AM2" s="44">
        <v>69</v>
      </c>
      <c r="AN2" s="44">
        <v>57.065827903841836</v>
      </c>
      <c r="AO2" s="44">
        <v>60.793357933579301</v>
      </c>
      <c r="AP2" s="46">
        <v>47.9</v>
      </c>
      <c r="AQ2" s="47">
        <v>3</v>
      </c>
      <c r="AR2" s="47">
        <v>5</v>
      </c>
      <c r="AS2" s="47">
        <v>0</v>
      </c>
      <c r="AT2" s="47">
        <v>0</v>
      </c>
      <c r="AU2" s="46">
        <v>5</v>
      </c>
      <c r="AV2" s="46">
        <v>10</v>
      </c>
      <c r="AW2" s="46">
        <v>5</v>
      </c>
      <c r="AX2" s="47">
        <v>5</v>
      </c>
      <c r="AY2" s="47">
        <v>10</v>
      </c>
      <c r="AZ2" s="47">
        <v>20</v>
      </c>
      <c r="BA2" s="47">
        <v>10</v>
      </c>
      <c r="BB2" s="46">
        <v>53</v>
      </c>
      <c r="BC2" s="48">
        <v>1</v>
      </c>
    </row>
    <row r="3" spans="1:55" s="42" customFormat="1" x14ac:dyDescent="0.2">
      <c r="A3" s="43">
        <v>1799</v>
      </c>
      <c r="B3" s="44" t="s">
        <v>20059</v>
      </c>
      <c r="C3" s="45">
        <v>44082</v>
      </c>
      <c r="D3" s="44" t="s">
        <v>20073</v>
      </c>
      <c r="E3" s="44" t="s">
        <v>20074</v>
      </c>
      <c r="F3" s="44" t="s">
        <v>20075</v>
      </c>
      <c r="G3" s="44">
        <v>0</v>
      </c>
      <c r="H3" s="44" t="s">
        <v>20076</v>
      </c>
      <c r="I3" s="45">
        <v>43313</v>
      </c>
      <c r="J3" s="45">
        <v>44408</v>
      </c>
      <c r="K3" s="44" t="s">
        <v>12</v>
      </c>
      <c r="L3" s="44" t="s">
        <v>113</v>
      </c>
      <c r="M3" s="44" t="s">
        <v>231</v>
      </c>
      <c r="N3" s="44" t="s">
        <v>207</v>
      </c>
      <c r="O3" s="44" t="s">
        <v>232</v>
      </c>
      <c r="P3" s="44" t="s">
        <v>212</v>
      </c>
      <c r="Q3" s="44" t="s">
        <v>20077</v>
      </c>
      <c r="R3" s="44" t="s">
        <v>20078</v>
      </c>
      <c r="S3" s="44" t="s">
        <v>20079</v>
      </c>
      <c r="T3" s="44">
        <v>148</v>
      </c>
      <c r="U3" s="44" t="s">
        <v>20067</v>
      </c>
      <c r="V3" s="44" t="s">
        <v>20067</v>
      </c>
      <c r="W3" s="44" t="s">
        <v>20067</v>
      </c>
      <c r="X3" s="44" t="s">
        <v>20068</v>
      </c>
      <c r="Y3" s="44" t="s">
        <v>20067</v>
      </c>
      <c r="Z3" s="44" t="s">
        <v>20069</v>
      </c>
      <c r="AA3" s="44">
        <v>4396</v>
      </c>
      <c r="AB3" s="44" t="s">
        <v>320</v>
      </c>
      <c r="AC3" s="44"/>
      <c r="AD3" s="44" t="s">
        <v>20080</v>
      </c>
      <c r="AE3" s="44" t="s">
        <v>20081</v>
      </c>
      <c r="AF3" s="44" t="s">
        <v>232</v>
      </c>
      <c r="AG3" s="44" t="s">
        <v>20082</v>
      </c>
      <c r="AH3" s="44" t="s">
        <v>20082</v>
      </c>
      <c r="AI3" s="44" t="s">
        <v>18723</v>
      </c>
      <c r="AJ3" s="44" t="s">
        <v>20083</v>
      </c>
      <c r="AK3" s="43">
        <v>1</v>
      </c>
      <c r="AL3" s="44">
        <v>48</v>
      </c>
      <c r="AM3" s="44">
        <v>64</v>
      </c>
      <c r="AN3" s="44">
        <v>55.871692642261692</v>
      </c>
      <c r="AO3" s="44">
        <v>47.928331466965297</v>
      </c>
      <c r="AP3" s="46">
        <v>55.6</v>
      </c>
      <c r="AQ3" s="47">
        <v>5</v>
      </c>
      <c r="AR3" s="47">
        <v>0</v>
      </c>
      <c r="AS3" s="47">
        <v>1</v>
      </c>
      <c r="AT3" s="47">
        <v>5</v>
      </c>
      <c r="AU3" s="46">
        <v>3</v>
      </c>
      <c r="AV3" s="46">
        <v>10</v>
      </c>
      <c r="AW3" s="46">
        <v>5</v>
      </c>
      <c r="AX3" s="47">
        <v>5</v>
      </c>
      <c r="AY3" s="47">
        <v>6</v>
      </c>
      <c r="AZ3" s="47">
        <v>20</v>
      </c>
      <c r="BA3" s="47">
        <v>10</v>
      </c>
      <c r="BB3" s="46">
        <v>52</v>
      </c>
      <c r="BC3" s="48">
        <v>1</v>
      </c>
    </row>
    <row r="4" spans="1:55" s="42" customFormat="1" x14ac:dyDescent="0.2">
      <c r="A4" s="43">
        <v>1838</v>
      </c>
      <c r="B4" s="44" t="s">
        <v>20059</v>
      </c>
      <c r="C4" s="45">
        <v>44082</v>
      </c>
      <c r="D4" s="44" t="s">
        <v>20073</v>
      </c>
      <c r="E4" s="44" t="s">
        <v>20084</v>
      </c>
      <c r="F4" s="44" t="s">
        <v>20075</v>
      </c>
      <c r="G4" s="44">
        <v>0</v>
      </c>
      <c r="H4" s="44" t="s">
        <v>20085</v>
      </c>
      <c r="I4" s="45">
        <v>43221</v>
      </c>
      <c r="J4" s="45">
        <v>44316</v>
      </c>
      <c r="K4" s="44" t="s">
        <v>14</v>
      </c>
      <c r="L4" s="44" t="s">
        <v>115</v>
      </c>
      <c r="M4" s="44" t="s">
        <v>222</v>
      </c>
      <c r="N4" s="44" t="s">
        <v>207</v>
      </c>
      <c r="O4" s="44" t="s">
        <v>235</v>
      </c>
      <c r="P4" s="44" t="s">
        <v>224</v>
      </c>
      <c r="Q4" s="44" t="s">
        <v>20086</v>
      </c>
      <c r="R4" s="44" t="s">
        <v>20087</v>
      </c>
      <c r="S4" s="44" t="s">
        <v>20088</v>
      </c>
      <c r="T4" s="44">
        <v>40</v>
      </c>
      <c r="U4" s="44" t="s">
        <v>20067</v>
      </c>
      <c r="V4" s="44" t="s">
        <v>20067</v>
      </c>
      <c r="W4" s="44" t="s">
        <v>20067</v>
      </c>
      <c r="X4" s="44" t="s">
        <v>20068</v>
      </c>
      <c r="Y4" s="44" t="s">
        <v>20067</v>
      </c>
      <c r="Z4" s="44" t="s">
        <v>20089</v>
      </c>
      <c r="AA4" s="44">
        <v>4265</v>
      </c>
      <c r="AB4" s="44" t="s">
        <v>322</v>
      </c>
      <c r="AC4" s="44" t="s">
        <v>19745</v>
      </c>
      <c r="AD4" s="44" t="s">
        <v>20090</v>
      </c>
      <c r="AE4" s="44" t="s">
        <v>20091</v>
      </c>
      <c r="AF4" s="44" t="s">
        <v>235</v>
      </c>
      <c r="AG4" s="44" t="s">
        <v>20092</v>
      </c>
      <c r="AH4" s="44" t="s">
        <v>20093</v>
      </c>
      <c r="AI4" s="44" t="s">
        <v>18715</v>
      </c>
      <c r="AJ4" s="44" t="s">
        <v>20072</v>
      </c>
      <c r="AK4" s="43">
        <v>0</v>
      </c>
      <c r="AL4" s="44">
        <v>76</v>
      </c>
      <c r="AM4" s="44">
        <v>65.333333333333329</v>
      </c>
      <c r="AN4" s="44">
        <v>53.944223107569719</v>
      </c>
      <c r="AO4" s="44">
        <v>77.419354838709694</v>
      </c>
      <c r="AP4" s="46">
        <v>19.100000000000001</v>
      </c>
      <c r="AQ4" s="47">
        <v>3</v>
      </c>
      <c r="AR4" s="47">
        <v>5</v>
      </c>
      <c r="AS4" s="47">
        <v>0</v>
      </c>
      <c r="AT4" s="47">
        <v>0</v>
      </c>
      <c r="AU4" s="46">
        <v>5</v>
      </c>
      <c r="AV4" s="46">
        <v>10</v>
      </c>
      <c r="AW4" s="46">
        <v>5</v>
      </c>
      <c r="AX4" s="47">
        <v>3</v>
      </c>
      <c r="AY4" s="47">
        <v>10</v>
      </c>
      <c r="AZ4" s="47">
        <v>20</v>
      </c>
      <c r="BA4" s="47">
        <v>10</v>
      </c>
      <c r="BB4" s="46">
        <v>51</v>
      </c>
      <c r="BC4" s="48">
        <v>1</v>
      </c>
    </row>
    <row r="5" spans="1:55" s="42" customFormat="1" x14ac:dyDescent="0.2">
      <c r="A5" s="43">
        <v>1124</v>
      </c>
      <c r="B5" s="44" t="s">
        <v>20059</v>
      </c>
      <c r="C5" s="45">
        <v>44082</v>
      </c>
      <c r="D5" s="44" t="s">
        <v>20073</v>
      </c>
      <c r="E5" s="44" t="s">
        <v>20094</v>
      </c>
      <c r="F5" s="44" t="s">
        <v>20075</v>
      </c>
      <c r="G5" s="44">
        <v>0</v>
      </c>
      <c r="H5" s="44" t="s">
        <v>20095</v>
      </c>
      <c r="I5" s="45">
        <v>43678</v>
      </c>
      <c r="J5" s="45">
        <v>44773</v>
      </c>
      <c r="K5" s="44" t="s">
        <v>5</v>
      </c>
      <c r="L5" s="44" t="s">
        <v>107</v>
      </c>
      <c r="M5" s="44" t="s">
        <v>216</v>
      </c>
      <c r="N5" s="44" t="s">
        <v>207</v>
      </c>
      <c r="O5" s="44" t="s">
        <v>217</v>
      </c>
      <c r="P5" s="44" t="s">
        <v>218</v>
      </c>
      <c r="Q5" s="44" t="s">
        <v>20096</v>
      </c>
      <c r="R5" s="44" t="s">
        <v>20097</v>
      </c>
      <c r="S5" s="44" t="s">
        <v>20098</v>
      </c>
      <c r="T5" s="44">
        <v>58</v>
      </c>
      <c r="U5" s="44" t="s">
        <v>20067</v>
      </c>
      <c r="V5" s="44" t="s">
        <v>20067</v>
      </c>
      <c r="W5" s="44" t="s">
        <v>20067</v>
      </c>
      <c r="X5" s="44" t="s">
        <v>20068</v>
      </c>
      <c r="Y5" s="44" t="s">
        <v>20067</v>
      </c>
      <c r="Z5" s="44" t="s">
        <v>20069</v>
      </c>
      <c r="AA5" s="44">
        <v>4156</v>
      </c>
      <c r="AB5" s="44" t="s">
        <v>314</v>
      </c>
      <c r="AC5" s="44"/>
      <c r="AD5" s="44" t="s">
        <v>20099</v>
      </c>
      <c r="AE5" s="44" t="s">
        <v>20100</v>
      </c>
      <c r="AF5" s="44" t="s">
        <v>217</v>
      </c>
      <c r="AG5" s="44" t="s">
        <v>20101</v>
      </c>
      <c r="AH5" s="44" t="s">
        <v>20082</v>
      </c>
      <c r="AI5" s="44" t="s">
        <v>18715</v>
      </c>
      <c r="AJ5" s="44" t="s">
        <v>20083</v>
      </c>
      <c r="AK5" s="43">
        <v>0</v>
      </c>
      <c r="AL5" s="44">
        <v>36.85</v>
      </c>
      <c r="AM5" s="44">
        <v>71</v>
      </c>
      <c r="AN5" s="44">
        <v>54.075691411935956</v>
      </c>
      <c r="AO5" s="44">
        <v>53.927813163482</v>
      </c>
      <c r="AP5" s="46">
        <v>49.1</v>
      </c>
      <c r="AQ5" s="47">
        <v>3</v>
      </c>
      <c r="AR5" s="47">
        <v>5</v>
      </c>
      <c r="AS5" s="47">
        <v>1</v>
      </c>
      <c r="AT5" s="47">
        <v>0</v>
      </c>
      <c r="AU5" s="46">
        <v>3</v>
      </c>
      <c r="AV5" s="46">
        <v>10</v>
      </c>
      <c r="AW5" s="46">
        <v>5</v>
      </c>
      <c r="AX5" s="47">
        <v>5</v>
      </c>
      <c r="AY5" s="47">
        <v>6</v>
      </c>
      <c r="AZ5" s="47">
        <v>20</v>
      </c>
      <c r="BA5" s="47">
        <v>10</v>
      </c>
      <c r="BB5" s="46">
        <v>50</v>
      </c>
      <c r="BC5" s="48">
        <v>1</v>
      </c>
    </row>
    <row r="6" spans="1:55" s="42" customFormat="1" x14ac:dyDescent="0.2">
      <c r="A6" s="43">
        <v>1800</v>
      </c>
      <c r="B6" s="44" t="s">
        <v>20059</v>
      </c>
      <c r="C6" s="45">
        <v>44082</v>
      </c>
      <c r="D6" s="44" t="s">
        <v>20073</v>
      </c>
      <c r="E6" s="44" t="s">
        <v>20102</v>
      </c>
      <c r="F6" s="44" t="s">
        <v>20075</v>
      </c>
      <c r="G6" s="44">
        <v>0</v>
      </c>
      <c r="H6" s="44" t="s">
        <v>20103</v>
      </c>
      <c r="I6" s="45">
        <v>43586</v>
      </c>
      <c r="J6" s="45">
        <v>44681</v>
      </c>
      <c r="K6" s="44" t="s">
        <v>17</v>
      </c>
      <c r="L6" s="44" t="s">
        <v>118</v>
      </c>
      <c r="M6" s="44" t="s">
        <v>231</v>
      </c>
      <c r="N6" s="44" t="s">
        <v>207</v>
      </c>
      <c r="O6" s="44" t="s">
        <v>232</v>
      </c>
      <c r="P6" s="44" t="s">
        <v>212</v>
      </c>
      <c r="Q6" s="44" t="s">
        <v>20104</v>
      </c>
      <c r="R6" s="44" t="s">
        <v>20105</v>
      </c>
      <c r="S6" s="44" t="s">
        <v>20106</v>
      </c>
      <c r="T6" s="44">
        <v>21</v>
      </c>
      <c r="U6" s="44" t="s">
        <v>20107</v>
      </c>
      <c r="V6" s="44" t="s">
        <v>20108</v>
      </c>
      <c r="W6" s="44" t="s">
        <v>20068</v>
      </c>
      <c r="X6" s="44" t="s">
        <v>20068</v>
      </c>
      <c r="Y6" s="44" t="s">
        <v>20068</v>
      </c>
      <c r="Z6" s="44" t="s">
        <v>20069</v>
      </c>
      <c r="AA6" s="44">
        <v>4396</v>
      </c>
      <c r="AB6" s="44" t="s">
        <v>320</v>
      </c>
      <c r="AC6" s="44"/>
      <c r="AD6" s="44" t="s">
        <v>20080</v>
      </c>
      <c r="AE6" s="44" t="s">
        <v>20081</v>
      </c>
      <c r="AF6" s="44" t="s">
        <v>232</v>
      </c>
      <c r="AG6" s="44" t="s">
        <v>20082</v>
      </c>
      <c r="AH6" s="44" t="s">
        <v>20082</v>
      </c>
      <c r="AI6" s="44" t="s">
        <v>18723</v>
      </c>
      <c r="AJ6" s="44" t="s">
        <v>20083</v>
      </c>
      <c r="AK6" s="43">
        <v>1</v>
      </c>
      <c r="AL6" s="44">
        <v>48</v>
      </c>
      <c r="AM6" s="44">
        <v>64</v>
      </c>
      <c r="AN6" s="44">
        <v>55.871692642261692</v>
      </c>
      <c r="AO6" s="44">
        <v>47.928331466965297</v>
      </c>
      <c r="AP6" s="46">
        <v>55.6</v>
      </c>
      <c r="AQ6" s="47">
        <v>3</v>
      </c>
      <c r="AR6" s="47">
        <v>0</v>
      </c>
      <c r="AS6" s="47">
        <v>1</v>
      </c>
      <c r="AT6" s="47">
        <v>5</v>
      </c>
      <c r="AU6" s="46">
        <v>3</v>
      </c>
      <c r="AV6" s="46">
        <v>10</v>
      </c>
      <c r="AW6" s="46">
        <v>5</v>
      </c>
      <c r="AX6" s="47">
        <v>5</v>
      </c>
      <c r="AY6" s="47">
        <v>6</v>
      </c>
      <c r="AZ6" s="47">
        <v>20</v>
      </c>
      <c r="BA6" s="47">
        <v>10</v>
      </c>
      <c r="BB6" s="46">
        <v>50</v>
      </c>
      <c r="BC6" s="48">
        <v>1</v>
      </c>
    </row>
    <row r="7" spans="1:55" s="42" customFormat="1" x14ac:dyDescent="0.2">
      <c r="A7" s="43">
        <v>1964</v>
      </c>
      <c r="B7" s="44" t="s">
        <v>20059</v>
      </c>
      <c r="C7" s="45">
        <v>44082</v>
      </c>
      <c r="D7" s="44" t="s">
        <v>20073</v>
      </c>
      <c r="E7" s="44" t="s">
        <v>20109</v>
      </c>
      <c r="F7" s="44" t="s">
        <v>20075</v>
      </c>
      <c r="G7" s="44">
        <v>0</v>
      </c>
      <c r="H7" s="44" t="s">
        <v>20110</v>
      </c>
      <c r="I7" s="45">
        <v>43374</v>
      </c>
      <c r="J7" s="45">
        <v>44469</v>
      </c>
      <c r="K7" s="44" t="s">
        <v>3</v>
      </c>
      <c r="L7" s="44" t="s">
        <v>105</v>
      </c>
      <c r="M7" s="44" t="s">
        <v>210</v>
      </c>
      <c r="N7" s="44" t="s">
        <v>207</v>
      </c>
      <c r="O7" s="44" t="s">
        <v>211</v>
      </c>
      <c r="P7" s="44" t="s">
        <v>212</v>
      </c>
      <c r="Q7" s="44" t="s">
        <v>20111</v>
      </c>
      <c r="R7" s="44" t="s">
        <v>20112</v>
      </c>
      <c r="S7" s="44" t="s">
        <v>20113</v>
      </c>
      <c r="T7" s="44">
        <v>55</v>
      </c>
      <c r="U7" s="44" t="s">
        <v>20067</v>
      </c>
      <c r="V7" s="44" t="s">
        <v>20067</v>
      </c>
      <c r="W7" s="44" t="s">
        <v>20068</v>
      </c>
      <c r="X7" s="44" t="s">
        <v>20068</v>
      </c>
      <c r="Y7" s="44" t="s">
        <v>20067</v>
      </c>
      <c r="Z7" s="44" t="s">
        <v>20069</v>
      </c>
      <c r="AA7" s="44">
        <v>4390</v>
      </c>
      <c r="AB7" s="44" t="s">
        <v>312</v>
      </c>
      <c r="AC7" s="44"/>
      <c r="AD7" s="44" t="s">
        <v>20114</v>
      </c>
      <c r="AE7" s="44" t="s">
        <v>20115</v>
      </c>
      <c r="AF7" s="44" t="s">
        <v>211</v>
      </c>
      <c r="AG7" s="44" t="s">
        <v>20082</v>
      </c>
      <c r="AH7" s="44" t="s">
        <v>20082</v>
      </c>
      <c r="AI7" s="44" t="s">
        <v>18723</v>
      </c>
      <c r="AJ7" s="44" t="s">
        <v>20083</v>
      </c>
      <c r="AK7" s="43">
        <v>1</v>
      </c>
      <c r="AL7" s="44">
        <v>49</v>
      </c>
      <c r="AM7" s="44">
        <v>72.333333333333329</v>
      </c>
      <c r="AN7" s="44">
        <v>52.852428099952853</v>
      </c>
      <c r="AO7" s="44">
        <v>49.6343692870201</v>
      </c>
      <c r="AP7" s="46">
        <v>55.6</v>
      </c>
      <c r="AQ7" s="47">
        <v>3</v>
      </c>
      <c r="AR7" s="47">
        <v>0</v>
      </c>
      <c r="AS7" s="47">
        <v>1</v>
      </c>
      <c r="AT7" s="47">
        <v>5</v>
      </c>
      <c r="AU7" s="46">
        <v>3</v>
      </c>
      <c r="AV7" s="46">
        <v>10</v>
      </c>
      <c r="AW7" s="46">
        <v>5</v>
      </c>
      <c r="AX7" s="47">
        <v>5</v>
      </c>
      <c r="AY7" s="47">
        <v>6</v>
      </c>
      <c r="AZ7" s="47">
        <v>20</v>
      </c>
      <c r="BA7" s="47">
        <v>10</v>
      </c>
      <c r="BB7" s="46">
        <v>50</v>
      </c>
      <c r="BC7" s="48">
        <v>1</v>
      </c>
    </row>
    <row r="8" spans="1:55" s="42" customFormat="1" x14ac:dyDescent="0.2">
      <c r="A8" s="43">
        <v>453</v>
      </c>
      <c r="B8" s="44" t="s">
        <v>20059</v>
      </c>
      <c r="C8" s="45">
        <v>44082</v>
      </c>
      <c r="D8" s="44" t="s">
        <v>20060</v>
      </c>
      <c r="E8" s="44" t="s">
        <v>20116</v>
      </c>
      <c r="F8" s="44" t="s">
        <v>20062</v>
      </c>
      <c r="G8" s="44">
        <v>784213</v>
      </c>
      <c r="H8" s="44" t="s">
        <v>20117</v>
      </c>
      <c r="I8" s="45">
        <v>43709</v>
      </c>
      <c r="J8" s="45">
        <v>44804</v>
      </c>
      <c r="K8" s="44" t="s">
        <v>7</v>
      </c>
      <c r="L8" s="44" t="s">
        <v>109</v>
      </c>
      <c r="M8" s="44" t="s">
        <v>222</v>
      </c>
      <c r="N8" s="44" t="s">
        <v>207</v>
      </c>
      <c r="O8" s="44" t="s">
        <v>223</v>
      </c>
      <c r="P8" s="44" t="s">
        <v>224</v>
      </c>
      <c r="Q8" s="44" t="s">
        <v>20118</v>
      </c>
      <c r="R8" s="44" t="s">
        <v>20119</v>
      </c>
      <c r="S8" s="44" t="s">
        <v>20120</v>
      </c>
      <c r="T8" s="44">
        <v>110</v>
      </c>
      <c r="U8" s="44" t="s">
        <v>20121</v>
      </c>
      <c r="V8" s="44" t="s">
        <v>20122</v>
      </c>
      <c r="W8" s="44" t="s">
        <v>20068</v>
      </c>
      <c r="X8" s="44" t="s">
        <v>20068</v>
      </c>
      <c r="Y8" s="44" t="s">
        <v>20068</v>
      </c>
      <c r="Z8" s="44" t="s">
        <v>20089</v>
      </c>
      <c r="AA8" s="44">
        <v>4259</v>
      </c>
      <c r="AB8" s="44" t="s">
        <v>316</v>
      </c>
      <c r="AC8" s="44"/>
      <c r="AD8" s="44" t="s">
        <v>20123</v>
      </c>
      <c r="AE8" s="44" t="s">
        <v>20124</v>
      </c>
      <c r="AF8" s="44" t="s">
        <v>594</v>
      </c>
      <c r="AG8" s="44" t="s">
        <v>20125</v>
      </c>
      <c r="AH8" s="44" t="s">
        <v>20126</v>
      </c>
      <c r="AI8" s="44" t="s">
        <v>18715</v>
      </c>
      <c r="AJ8" s="44" t="s">
        <v>20072</v>
      </c>
      <c r="AK8" s="43">
        <v>0</v>
      </c>
      <c r="AL8" s="44">
        <v>39</v>
      </c>
      <c r="AM8" s="44">
        <v>65.333333333333329</v>
      </c>
      <c r="AN8" s="44">
        <v>54.7374348866676</v>
      </c>
      <c r="AO8" s="44">
        <v>62.337662337662302</v>
      </c>
      <c r="AP8" s="46">
        <v>19.100000000000001</v>
      </c>
      <c r="AQ8" s="47">
        <v>5</v>
      </c>
      <c r="AR8" s="47">
        <v>5</v>
      </c>
      <c r="AS8" s="47">
        <v>0</v>
      </c>
      <c r="AT8" s="47">
        <v>0</v>
      </c>
      <c r="AU8" s="46">
        <v>3</v>
      </c>
      <c r="AV8" s="46">
        <v>10</v>
      </c>
      <c r="AW8" s="46">
        <v>5</v>
      </c>
      <c r="AX8" s="47">
        <v>3</v>
      </c>
      <c r="AY8" s="47">
        <v>6</v>
      </c>
      <c r="AZ8" s="47">
        <v>20</v>
      </c>
      <c r="BA8" s="47">
        <v>10</v>
      </c>
      <c r="BB8" s="46">
        <v>49</v>
      </c>
      <c r="BC8" s="48">
        <v>1</v>
      </c>
    </row>
    <row r="9" spans="1:55" s="42" customFormat="1" x14ac:dyDescent="0.2">
      <c r="A9" s="43">
        <v>2053</v>
      </c>
      <c r="B9" s="44" t="s">
        <v>20059</v>
      </c>
      <c r="C9" s="45">
        <v>44082</v>
      </c>
      <c r="D9" s="44" t="s">
        <v>20073</v>
      </c>
      <c r="E9" s="44" t="s">
        <v>20127</v>
      </c>
      <c r="F9" s="44" t="s">
        <v>20075</v>
      </c>
      <c r="G9" s="44">
        <v>0</v>
      </c>
      <c r="H9" s="44" t="s">
        <v>20128</v>
      </c>
      <c r="I9" s="45">
        <v>43706</v>
      </c>
      <c r="J9" s="45">
        <v>44773</v>
      </c>
      <c r="K9" s="44" t="s">
        <v>30</v>
      </c>
      <c r="L9" s="44" t="s">
        <v>131</v>
      </c>
      <c r="M9" s="44" t="s">
        <v>260</v>
      </c>
      <c r="N9" s="44" t="s">
        <v>207</v>
      </c>
      <c r="O9" s="44" t="s">
        <v>261</v>
      </c>
      <c r="P9" s="44" t="s">
        <v>209</v>
      </c>
      <c r="Q9" s="44" t="s">
        <v>20129</v>
      </c>
      <c r="R9" s="44" t="s">
        <v>20130</v>
      </c>
      <c r="S9" s="44" t="s">
        <v>20131</v>
      </c>
      <c r="T9" s="44">
        <v>45</v>
      </c>
      <c r="U9" s="44" t="s">
        <v>20067</v>
      </c>
      <c r="V9" s="44" t="s">
        <v>20067</v>
      </c>
      <c r="W9" s="44" t="s">
        <v>20067</v>
      </c>
      <c r="X9" s="44" t="s">
        <v>20068</v>
      </c>
      <c r="Y9" s="44" t="s">
        <v>20067</v>
      </c>
      <c r="Z9" s="44" t="s">
        <v>20069</v>
      </c>
      <c r="AA9" s="44">
        <v>4197</v>
      </c>
      <c r="AB9" s="44" t="s">
        <v>333</v>
      </c>
      <c r="AC9" s="44"/>
      <c r="AD9" s="44" t="s">
        <v>20132</v>
      </c>
      <c r="AE9" s="44" t="s">
        <v>20133</v>
      </c>
      <c r="AF9" s="44" t="s">
        <v>261</v>
      </c>
      <c r="AG9" s="44" t="s">
        <v>20082</v>
      </c>
      <c r="AH9" s="44" t="s">
        <v>20134</v>
      </c>
      <c r="AI9" s="44" t="s">
        <v>18723</v>
      </c>
      <c r="AJ9" s="44" t="s">
        <v>20072</v>
      </c>
      <c r="AK9" s="43">
        <v>1</v>
      </c>
      <c r="AL9" s="44">
        <v>79</v>
      </c>
      <c r="AM9" s="44">
        <v>68.666666666666671</v>
      </c>
      <c r="AN9" s="44">
        <v>42.33606557377049</v>
      </c>
      <c r="AO9" s="44">
        <v>37.884615384615401</v>
      </c>
      <c r="AP9" s="46">
        <v>41.1</v>
      </c>
      <c r="AQ9" s="47">
        <v>3</v>
      </c>
      <c r="AR9" s="47">
        <v>0</v>
      </c>
      <c r="AS9" s="47">
        <v>0</v>
      </c>
      <c r="AT9" s="47">
        <v>5</v>
      </c>
      <c r="AU9" s="46">
        <v>5</v>
      </c>
      <c r="AV9" s="46">
        <v>10</v>
      </c>
      <c r="AW9" s="46">
        <v>3</v>
      </c>
      <c r="AX9" s="47">
        <v>5</v>
      </c>
      <c r="AY9" s="47">
        <v>10</v>
      </c>
      <c r="AZ9" s="47">
        <v>20</v>
      </c>
      <c r="BA9" s="47">
        <v>6</v>
      </c>
      <c r="BB9" s="46">
        <v>49</v>
      </c>
      <c r="BC9" s="48">
        <v>1</v>
      </c>
    </row>
    <row r="10" spans="1:55" s="42" customFormat="1" x14ac:dyDescent="0.2">
      <c r="A10" s="43">
        <v>1708</v>
      </c>
      <c r="B10" s="44" t="s">
        <v>20059</v>
      </c>
      <c r="C10" s="45">
        <v>44082</v>
      </c>
      <c r="D10" s="44" t="s">
        <v>20073</v>
      </c>
      <c r="E10" s="44" t="s">
        <v>20135</v>
      </c>
      <c r="F10" s="44" t="s">
        <v>20075</v>
      </c>
      <c r="G10" s="44">
        <v>0</v>
      </c>
      <c r="H10" s="44" t="s">
        <v>20136</v>
      </c>
      <c r="I10" s="45">
        <v>43040</v>
      </c>
      <c r="J10" s="45">
        <v>44135</v>
      </c>
      <c r="K10" s="44" t="s">
        <v>11</v>
      </c>
      <c r="L10" s="44" t="s">
        <v>112</v>
      </c>
      <c r="M10" s="44" t="s">
        <v>229</v>
      </c>
      <c r="N10" s="44" t="s">
        <v>207</v>
      </c>
      <c r="O10" s="44" t="s">
        <v>230</v>
      </c>
      <c r="P10" s="44" t="s">
        <v>224</v>
      </c>
      <c r="Q10" s="44" t="s">
        <v>20137</v>
      </c>
      <c r="R10" s="44" t="s">
        <v>20138</v>
      </c>
      <c r="S10" s="44" t="s">
        <v>20131</v>
      </c>
      <c r="T10" s="44">
        <v>48</v>
      </c>
      <c r="U10" s="44" t="s">
        <v>20067</v>
      </c>
      <c r="V10" s="44" t="s">
        <v>20067</v>
      </c>
      <c r="W10" s="44" t="s">
        <v>20067</v>
      </c>
      <c r="X10" s="44" t="s">
        <v>20068</v>
      </c>
      <c r="Y10" s="44" t="s">
        <v>20067</v>
      </c>
      <c r="Z10" s="44" t="s">
        <v>20069</v>
      </c>
      <c r="AA10" s="44">
        <v>4238</v>
      </c>
      <c r="AB10" s="44" t="s">
        <v>319</v>
      </c>
      <c r="AC10" s="44"/>
      <c r="AD10" s="44" t="s">
        <v>20139</v>
      </c>
      <c r="AE10" s="44" t="s">
        <v>20140</v>
      </c>
      <c r="AF10" s="44" t="s">
        <v>230</v>
      </c>
      <c r="AG10" s="44" t="s">
        <v>20141</v>
      </c>
      <c r="AH10" s="44" t="s">
        <v>527</v>
      </c>
      <c r="AI10" s="44" t="s">
        <v>18715</v>
      </c>
      <c r="AJ10" s="44" t="s">
        <v>20083</v>
      </c>
      <c r="AK10" s="43">
        <v>0</v>
      </c>
      <c r="AL10" s="44">
        <v>38</v>
      </c>
      <c r="AM10" s="44">
        <v>73</v>
      </c>
      <c r="AN10" s="44">
        <v>56.156501726121974</v>
      </c>
      <c r="AO10" s="44">
        <v>54.597701149425298</v>
      </c>
      <c r="AP10" s="46">
        <v>19.100000000000001</v>
      </c>
      <c r="AQ10" s="47">
        <v>3</v>
      </c>
      <c r="AR10" s="47">
        <v>5</v>
      </c>
      <c r="AS10" s="47">
        <v>1</v>
      </c>
      <c r="AT10" s="47">
        <v>0</v>
      </c>
      <c r="AU10" s="46">
        <v>3</v>
      </c>
      <c r="AV10" s="46">
        <v>10</v>
      </c>
      <c r="AW10" s="46">
        <v>5</v>
      </c>
      <c r="AX10" s="47">
        <v>3</v>
      </c>
      <c r="AY10" s="47">
        <v>6</v>
      </c>
      <c r="AZ10" s="47">
        <v>20</v>
      </c>
      <c r="BA10" s="47">
        <v>10</v>
      </c>
      <c r="BB10" s="46">
        <v>48</v>
      </c>
      <c r="BC10" s="48">
        <v>1</v>
      </c>
    </row>
    <row r="11" spans="1:55" s="42" customFormat="1" x14ac:dyDescent="0.2">
      <c r="A11" s="43">
        <v>2320</v>
      </c>
      <c r="B11" s="44" t="s">
        <v>20059</v>
      </c>
      <c r="C11" s="45">
        <v>44082</v>
      </c>
      <c r="D11" s="44" t="s">
        <v>20142</v>
      </c>
      <c r="E11" s="44" t="s">
        <v>20143</v>
      </c>
      <c r="F11" s="44" t="s">
        <v>20144</v>
      </c>
      <c r="G11" s="44">
        <v>0</v>
      </c>
      <c r="H11" s="44" t="s">
        <v>20145</v>
      </c>
      <c r="I11" s="45">
        <v>43556</v>
      </c>
      <c r="J11" s="45">
        <v>44651</v>
      </c>
      <c r="K11" s="44" t="s">
        <v>4</v>
      </c>
      <c r="L11" s="44" t="s">
        <v>106</v>
      </c>
      <c r="M11" s="44" t="s">
        <v>213</v>
      </c>
      <c r="N11" s="44" t="s">
        <v>207</v>
      </c>
      <c r="O11" s="44" t="s">
        <v>214</v>
      </c>
      <c r="P11" s="44" t="s">
        <v>215</v>
      </c>
      <c r="Q11" s="44" t="s">
        <v>20146</v>
      </c>
      <c r="R11" s="44" t="s">
        <v>20147</v>
      </c>
      <c r="S11" s="44" t="s">
        <v>20131</v>
      </c>
      <c r="T11" s="44">
        <v>10</v>
      </c>
      <c r="U11" s="44" t="s">
        <v>20068</v>
      </c>
      <c r="V11" s="44" t="s">
        <v>20068</v>
      </c>
      <c r="W11" s="44" t="s">
        <v>20068</v>
      </c>
      <c r="X11" s="44" t="s">
        <v>20068</v>
      </c>
      <c r="Y11" s="44" t="s">
        <v>20068</v>
      </c>
      <c r="Z11" s="44" t="s">
        <v>20089</v>
      </c>
      <c r="AA11" s="44">
        <v>4176</v>
      </c>
      <c r="AB11" s="44" t="s">
        <v>313</v>
      </c>
      <c r="AC11" s="44"/>
      <c r="AD11" s="44" t="s">
        <v>20148</v>
      </c>
      <c r="AE11" s="44" t="s">
        <v>20149</v>
      </c>
      <c r="AF11" s="44" t="s">
        <v>214</v>
      </c>
      <c r="AG11" s="44" t="s">
        <v>2078</v>
      </c>
      <c r="AH11" s="44" t="s">
        <v>836</v>
      </c>
      <c r="AI11" s="44" t="s">
        <v>18715</v>
      </c>
      <c r="AJ11" s="44" t="s">
        <v>20083</v>
      </c>
      <c r="AK11" s="43">
        <v>0</v>
      </c>
      <c r="AL11" s="44">
        <v>36.85</v>
      </c>
      <c r="AM11" s="44">
        <v>69.666666666666671</v>
      </c>
      <c r="AN11" s="44">
        <v>41.622955877815485</v>
      </c>
      <c r="AO11" s="44">
        <v>44.360902255639097</v>
      </c>
      <c r="AP11" s="46">
        <v>37.200000000000003</v>
      </c>
      <c r="AQ11" s="47">
        <v>1</v>
      </c>
      <c r="AR11" s="47">
        <v>5</v>
      </c>
      <c r="AS11" s="47">
        <v>1</v>
      </c>
      <c r="AT11" s="47">
        <v>0</v>
      </c>
      <c r="AU11" s="46">
        <v>3</v>
      </c>
      <c r="AV11" s="46">
        <v>10</v>
      </c>
      <c r="AW11" s="46">
        <v>5</v>
      </c>
      <c r="AX11" s="47">
        <v>5</v>
      </c>
      <c r="AY11" s="47">
        <v>6</v>
      </c>
      <c r="AZ11" s="47">
        <v>20</v>
      </c>
      <c r="BA11" s="47">
        <v>10</v>
      </c>
      <c r="BB11" s="46">
        <v>48</v>
      </c>
      <c r="BC11" s="48">
        <v>1</v>
      </c>
    </row>
    <row r="12" spans="1:55" s="42" customFormat="1" x14ac:dyDescent="0.2">
      <c r="A12" s="43">
        <v>1697</v>
      </c>
      <c r="B12" s="44" t="s">
        <v>20059</v>
      </c>
      <c r="C12" s="45">
        <v>44082</v>
      </c>
      <c r="D12" s="44" t="s">
        <v>20073</v>
      </c>
      <c r="E12" s="44" t="s">
        <v>20150</v>
      </c>
      <c r="F12" s="44" t="s">
        <v>20075</v>
      </c>
      <c r="G12" s="44">
        <v>0</v>
      </c>
      <c r="H12" s="44" t="s">
        <v>20151</v>
      </c>
      <c r="I12" s="45">
        <v>43252</v>
      </c>
      <c r="J12" s="45">
        <v>44347</v>
      </c>
      <c r="K12" s="44" t="s">
        <v>2</v>
      </c>
      <c r="L12" s="44" t="s">
        <v>104</v>
      </c>
      <c r="M12" s="44" t="s">
        <v>206</v>
      </c>
      <c r="N12" s="44" t="s">
        <v>207</v>
      </c>
      <c r="O12" s="44" t="s">
        <v>208</v>
      </c>
      <c r="P12" s="44" t="s">
        <v>209</v>
      </c>
      <c r="Q12" s="44" t="s">
        <v>20152</v>
      </c>
      <c r="R12" s="44" t="s">
        <v>20153</v>
      </c>
      <c r="S12" s="44" t="s">
        <v>20154</v>
      </c>
      <c r="T12" s="44">
        <v>59</v>
      </c>
      <c r="U12" s="44" t="s">
        <v>20067</v>
      </c>
      <c r="V12" s="44" t="s">
        <v>20067</v>
      </c>
      <c r="W12" s="44" t="s">
        <v>20067</v>
      </c>
      <c r="X12" s="44" t="s">
        <v>20068</v>
      </c>
      <c r="Y12" s="44" t="s">
        <v>20068</v>
      </c>
      <c r="Z12" s="44" t="s">
        <v>20069</v>
      </c>
      <c r="AA12" s="44">
        <v>4192</v>
      </c>
      <c r="AB12" s="44" t="s">
        <v>311</v>
      </c>
      <c r="AC12" s="44"/>
      <c r="AD12" s="44" t="s">
        <v>20155</v>
      </c>
      <c r="AE12" s="44" t="s">
        <v>20156</v>
      </c>
      <c r="AF12" s="44" t="s">
        <v>208</v>
      </c>
      <c r="AG12" s="44" t="s">
        <v>20082</v>
      </c>
      <c r="AH12" s="44" t="s">
        <v>20082</v>
      </c>
      <c r="AI12" s="44" t="s">
        <v>18715</v>
      </c>
      <c r="AJ12" s="44" t="s">
        <v>20083</v>
      </c>
      <c r="AK12" s="43">
        <v>1</v>
      </c>
      <c r="AL12" s="44">
        <v>36</v>
      </c>
      <c r="AM12" s="44">
        <v>45</v>
      </c>
      <c r="AN12" s="44">
        <v>47.359285891395984</v>
      </c>
      <c r="AO12" s="44">
        <v>48.296593186372696</v>
      </c>
      <c r="AP12" s="46">
        <v>41.1</v>
      </c>
      <c r="AQ12" s="47">
        <v>3</v>
      </c>
      <c r="AR12" s="47">
        <v>5</v>
      </c>
      <c r="AS12" s="47">
        <v>1</v>
      </c>
      <c r="AT12" s="47">
        <v>5</v>
      </c>
      <c r="AU12" s="46">
        <v>3</v>
      </c>
      <c r="AV12" s="46">
        <v>6</v>
      </c>
      <c r="AW12" s="46">
        <v>5</v>
      </c>
      <c r="AX12" s="47">
        <v>5</v>
      </c>
      <c r="AY12" s="47">
        <v>6</v>
      </c>
      <c r="AZ12" s="47">
        <v>12</v>
      </c>
      <c r="BA12" s="47">
        <v>10</v>
      </c>
      <c r="BB12" s="46">
        <v>47</v>
      </c>
      <c r="BC12" s="48">
        <v>1</v>
      </c>
    </row>
    <row r="13" spans="1:55" s="42" customFormat="1" x14ac:dyDescent="0.2">
      <c r="A13" s="43">
        <v>1752</v>
      </c>
      <c r="B13" s="44" t="s">
        <v>20059</v>
      </c>
      <c r="C13" s="45">
        <v>44082</v>
      </c>
      <c r="D13" s="44" t="s">
        <v>20073</v>
      </c>
      <c r="E13" s="44" t="s">
        <v>20157</v>
      </c>
      <c r="F13" s="44" t="s">
        <v>20075</v>
      </c>
      <c r="G13" s="44">
        <v>0</v>
      </c>
      <c r="H13" s="44" t="s">
        <v>20158</v>
      </c>
      <c r="I13" s="45">
        <v>44013</v>
      </c>
      <c r="J13" s="45">
        <v>45107</v>
      </c>
      <c r="K13" s="44" t="s">
        <v>16</v>
      </c>
      <c r="L13" s="44" t="s">
        <v>117</v>
      </c>
      <c r="M13" s="44" t="s">
        <v>237</v>
      </c>
      <c r="N13" s="44" t="s">
        <v>207</v>
      </c>
      <c r="O13" s="44" t="s">
        <v>238</v>
      </c>
      <c r="P13" s="44" t="s">
        <v>218</v>
      </c>
      <c r="Q13" s="44" t="s">
        <v>1847</v>
      </c>
      <c r="R13" s="44" t="s">
        <v>20159</v>
      </c>
      <c r="S13" s="44" t="s">
        <v>20160</v>
      </c>
      <c r="T13" s="44">
        <v>51</v>
      </c>
      <c r="U13" s="44" t="s">
        <v>20067</v>
      </c>
      <c r="V13" s="44" t="s">
        <v>20067</v>
      </c>
      <c r="W13" s="44" t="s">
        <v>20067</v>
      </c>
      <c r="X13" s="44" t="s">
        <v>20068</v>
      </c>
      <c r="Y13" s="44" t="s">
        <v>20067</v>
      </c>
      <c r="Z13" s="44" t="s">
        <v>20069</v>
      </c>
      <c r="AA13" s="44">
        <v>4157</v>
      </c>
      <c r="AB13" s="44" t="s">
        <v>323</v>
      </c>
      <c r="AC13" s="44"/>
      <c r="AD13" s="44" t="s">
        <v>20161</v>
      </c>
      <c r="AE13" s="44" t="s">
        <v>20162</v>
      </c>
      <c r="AF13" s="44" t="s">
        <v>238</v>
      </c>
      <c r="AG13" s="44" t="s">
        <v>20082</v>
      </c>
      <c r="AH13" s="44" t="s">
        <v>20082</v>
      </c>
      <c r="AI13" s="44" t="s">
        <v>18723</v>
      </c>
      <c r="AJ13" s="44" t="s">
        <v>20083</v>
      </c>
      <c r="AK13" s="43">
        <v>1</v>
      </c>
      <c r="AL13" s="44">
        <v>29</v>
      </c>
      <c r="AM13" s="44">
        <v>70</v>
      </c>
      <c r="AN13" s="44">
        <v>58.339584896224061</v>
      </c>
      <c r="AO13" s="44">
        <v>36.166924265842297</v>
      </c>
      <c r="AP13" s="46">
        <v>49.1</v>
      </c>
      <c r="AQ13" s="47">
        <v>3</v>
      </c>
      <c r="AR13" s="47">
        <v>0</v>
      </c>
      <c r="AS13" s="47">
        <v>1</v>
      </c>
      <c r="AT13" s="47">
        <v>5</v>
      </c>
      <c r="AU13" s="46">
        <v>3</v>
      </c>
      <c r="AV13" s="46">
        <v>10</v>
      </c>
      <c r="AW13" s="46">
        <v>3</v>
      </c>
      <c r="AX13" s="47">
        <v>5</v>
      </c>
      <c r="AY13" s="47">
        <v>6</v>
      </c>
      <c r="AZ13" s="47">
        <v>20</v>
      </c>
      <c r="BA13" s="47">
        <v>6</v>
      </c>
      <c r="BB13" s="46">
        <v>46</v>
      </c>
      <c r="BC13" s="48">
        <v>1</v>
      </c>
    </row>
    <row r="14" spans="1:55" s="42" customFormat="1" x14ac:dyDescent="0.2">
      <c r="A14" s="43">
        <v>1839</v>
      </c>
      <c r="B14" s="44" t="s">
        <v>20059</v>
      </c>
      <c r="C14" s="45">
        <v>44082</v>
      </c>
      <c r="D14" s="44" t="s">
        <v>20073</v>
      </c>
      <c r="E14" s="44" t="s">
        <v>20163</v>
      </c>
      <c r="F14" s="44" t="s">
        <v>20075</v>
      </c>
      <c r="G14" s="44">
        <v>0</v>
      </c>
      <c r="H14" s="44" t="s">
        <v>20164</v>
      </c>
      <c r="I14" s="45">
        <v>43101</v>
      </c>
      <c r="J14" s="45">
        <v>44196</v>
      </c>
      <c r="K14" s="44" t="s">
        <v>59</v>
      </c>
      <c r="L14" s="44" t="s">
        <v>158</v>
      </c>
      <c r="M14" s="44" t="s">
        <v>222</v>
      </c>
      <c r="N14" s="44" t="s">
        <v>207</v>
      </c>
      <c r="O14" s="44" t="s">
        <v>235</v>
      </c>
      <c r="P14" s="44" t="s">
        <v>224</v>
      </c>
      <c r="Q14" s="44" t="s">
        <v>20165</v>
      </c>
      <c r="R14" s="44" t="s">
        <v>20166</v>
      </c>
      <c r="S14" s="44" t="s">
        <v>20167</v>
      </c>
      <c r="T14" s="44">
        <v>36</v>
      </c>
      <c r="U14" s="44" t="s">
        <v>20067</v>
      </c>
      <c r="V14" s="44" t="s">
        <v>20067</v>
      </c>
      <c r="W14" s="44" t="s">
        <v>20067</v>
      </c>
      <c r="X14" s="44" t="s">
        <v>20068</v>
      </c>
      <c r="Y14" s="44" t="s">
        <v>20067</v>
      </c>
      <c r="Z14" s="44" t="s">
        <v>20089</v>
      </c>
      <c r="AA14" s="44">
        <v>4265</v>
      </c>
      <c r="AB14" s="44" t="s">
        <v>322</v>
      </c>
      <c r="AC14" s="44" t="s">
        <v>19745</v>
      </c>
      <c r="AD14" s="44" t="s">
        <v>20168</v>
      </c>
      <c r="AE14" s="44" t="s">
        <v>20169</v>
      </c>
      <c r="AF14" s="44" t="s">
        <v>235</v>
      </c>
      <c r="AG14" s="44" t="s">
        <v>20092</v>
      </c>
      <c r="AH14" s="44" t="s">
        <v>20170</v>
      </c>
      <c r="AI14" s="44" t="s">
        <v>18723</v>
      </c>
      <c r="AJ14" s="44" t="s">
        <v>20072</v>
      </c>
      <c r="AK14" s="43">
        <v>0</v>
      </c>
      <c r="AL14" s="44">
        <v>76</v>
      </c>
      <c r="AM14" s="44">
        <v>65.333333333333329</v>
      </c>
      <c r="AN14" s="44">
        <v>45.411589156926134</v>
      </c>
      <c r="AO14" s="44">
        <v>49.440559440559397</v>
      </c>
      <c r="AP14" s="46">
        <v>19.100000000000001</v>
      </c>
      <c r="AQ14" s="47">
        <v>3</v>
      </c>
      <c r="AR14" s="47">
        <v>0</v>
      </c>
      <c r="AS14" s="47">
        <v>0</v>
      </c>
      <c r="AT14" s="47">
        <v>0</v>
      </c>
      <c r="AU14" s="46">
        <v>5</v>
      </c>
      <c r="AV14" s="46">
        <v>10</v>
      </c>
      <c r="AW14" s="46">
        <v>5</v>
      </c>
      <c r="AX14" s="47">
        <v>3</v>
      </c>
      <c r="AY14" s="47">
        <v>10</v>
      </c>
      <c r="AZ14" s="47">
        <v>20</v>
      </c>
      <c r="BA14" s="47">
        <v>10</v>
      </c>
      <c r="BB14" s="46">
        <v>46</v>
      </c>
      <c r="BC14" s="48">
        <v>1</v>
      </c>
    </row>
    <row r="15" spans="1:55" s="42" customFormat="1" x14ac:dyDescent="0.2">
      <c r="A15" s="43">
        <v>1840</v>
      </c>
      <c r="B15" s="44" t="s">
        <v>20059</v>
      </c>
      <c r="C15" s="45">
        <v>44082</v>
      </c>
      <c r="D15" s="44" t="s">
        <v>20073</v>
      </c>
      <c r="E15" s="44" t="s">
        <v>20171</v>
      </c>
      <c r="F15" s="44" t="s">
        <v>20075</v>
      </c>
      <c r="G15" s="44">
        <v>0</v>
      </c>
      <c r="H15" s="44" t="s">
        <v>20172</v>
      </c>
      <c r="I15" s="45">
        <v>43678</v>
      </c>
      <c r="J15" s="45">
        <v>44773</v>
      </c>
      <c r="K15" s="44" t="s">
        <v>60</v>
      </c>
      <c r="L15" s="44" t="s">
        <v>159</v>
      </c>
      <c r="M15" s="44" t="s">
        <v>222</v>
      </c>
      <c r="N15" s="44" t="s">
        <v>207</v>
      </c>
      <c r="O15" s="44" t="s">
        <v>235</v>
      </c>
      <c r="P15" s="44" t="s">
        <v>224</v>
      </c>
      <c r="Q15" s="44" t="s">
        <v>20173</v>
      </c>
      <c r="R15" s="44" t="s">
        <v>20087</v>
      </c>
      <c r="S15" s="44" t="s">
        <v>20174</v>
      </c>
      <c r="T15" s="44">
        <v>59</v>
      </c>
      <c r="U15" s="44" t="s">
        <v>20067</v>
      </c>
      <c r="V15" s="44" t="s">
        <v>20067</v>
      </c>
      <c r="W15" s="44" t="s">
        <v>20067</v>
      </c>
      <c r="X15" s="44" t="s">
        <v>20068</v>
      </c>
      <c r="Y15" s="44" t="s">
        <v>20067</v>
      </c>
      <c r="Z15" s="44" t="s">
        <v>20089</v>
      </c>
      <c r="AA15" s="44">
        <v>4265</v>
      </c>
      <c r="AB15" s="44" t="s">
        <v>322</v>
      </c>
      <c r="AC15" s="44" t="s">
        <v>19745</v>
      </c>
      <c r="AD15" s="44" t="s">
        <v>20168</v>
      </c>
      <c r="AE15" s="44" t="s">
        <v>20175</v>
      </c>
      <c r="AF15" s="44" t="s">
        <v>235</v>
      </c>
      <c r="AG15" s="44" t="s">
        <v>20092</v>
      </c>
      <c r="AH15" s="44" t="s">
        <v>20170</v>
      </c>
      <c r="AI15" s="44" t="s">
        <v>18723</v>
      </c>
      <c r="AJ15" s="44" t="s">
        <v>20072</v>
      </c>
      <c r="AK15" s="43">
        <v>0</v>
      </c>
      <c r="AL15" s="44">
        <v>76</v>
      </c>
      <c r="AM15" s="44">
        <v>65.333333333333329</v>
      </c>
      <c r="AN15" s="44">
        <v>45.411589156926134</v>
      </c>
      <c r="AO15" s="44">
        <v>53.963414634146297</v>
      </c>
      <c r="AP15" s="46">
        <v>19.100000000000001</v>
      </c>
      <c r="AQ15" s="47">
        <v>3</v>
      </c>
      <c r="AR15" s="47">
        <v>0</v>
      </c>
      <c r="AS15" s="47">
        <v>0</v>
      </c>
      <c r="AT15" s="47">
        <v>0</v>
      </c>
      <c r="AU15" s="46">
        <v>5</v>
      </c>
      <c r="AV15" s="46">
        <v>10</v>
      </c>
      <c r="AW15" s="46">
        <v>5</v>
      </c>
      <c r="AX15" s="47">
        <v>3</v>
      </c>
      <c r="AY15" s="47">
        <v>10</v>
      </c>
      <c r="AZ15" s="47">
        <v>20</v>
      </c>
      <c r="BA15" s="47">
        <v>10</v>
      </c>
      <c r="BB15" s="46">
        <v>46</v>
      </c>
      <c r="BC15" s="48">
        <v>1</v>
      </c>
    </row>
    <row r="16" spans="1:55" s="42" customFormat="1" x14ac:dyDescent="0.2">
      <c r="A16" s="43">
        <v>1936</v>
      </c>
      <c r="B16" s="44" t="s">
        <v>20059</v>
      </c>
      <c r="C16" s="45">
        <v>44082</v>
      </c>
      <c r="D16" s="44" t="s">
        <v>20073</v>
      </c>
      <c r="E16" s="44" t="s">
        <v>20176</v>
      </c>
      <c r="F16" s="44" t="s">
        <v>20075</v>
      </c>
      <c r="G16" s="44">
        <v>0</v>
      </c>
      <c r="H16" s="44" t="s">
        <v>20177</v>
      </c>
      <c r="I16" s="45">
        <v>43891</v>
      </c>
      <c r="J16" s="45">
        <v>44985</v>
      </c>
      <c r="K16" s="44" t="s">
        <v>18</v>
      </c>
      <c r="L16" s="44" t="s">
        <v>119</v>
      </c>
      <c r="M16" s="44" t="s">
        <v>239</v>
      </c>
      <c r="N16" s="44" t="s">
        <v>207</v>
      </c>
      <c r="O16" s="44" t="s">
        <v>240</v>
      </c>
      <c r="P16" s="44" t="s">
        <v>209</v>
      </c>
      <c r="Q16" s="44" t="s">
        <v>20178</v>
      </c>
      <c r="R16" s="44" t="s">
        <v>20179</v>
      </c>
      <c r="S16" s="44" t="s">
        <v>20180</v>
      </c>
      <c r="T16" s="44">
        <v>125</v>
      </c>
      <c r="U16" s="44" t="s">
        <v>20067</v>
      </c>
      <c r="V16" s="44" t="s">
        <v>20067</v>
      </c>
      <c r="W16" s="44" t="s">
        <v>20067</v>
      </c>
      <c r="X16" s="44" t="s">
        <v>20068</v>
      </c>
      <c r="Y16" s="44" t="s">
        <v>20067</v>
      </c>
      <c r="Z16" s="44" t="s">
        <v>20069</v>
      </c>
      <c r="AA16" s="44">
        <v>4196</v>
      </c>
      <c r="AB16" s="44" t="s">
        <v>324</v>
      </c>
      <c r="AC16" s="44"/>
      <c r="AD16" s="44" t="s">
        <v>20181</v>
      </c>
      <c r="AE16" s="44" t="s">
        <v>20182</v>
      </c>
      <c r="AF16" s="44" t="s">
        <v>240</v>
      </c>
      <c r="AG16" s="44" t="s">
        <v>2654</v>
      </c>
      <c r="AH16" s="44" t="s">
        <v>19418</v>
      </c>
      <c r="AI16" s="44" t="s">
        <v>18723</v>
      </c>
      <c r="AJ16" s="44" t="s">
        <v>20072</v>
      </c>
      <c r="AK16" s="43">
        <v>0</v>
      </c>
      <c r="AL16" s="44">
        <v>56</v>
      </c>
      <c r="AM16" s="44">
        <v>61.333333333333336</v>
      </c>
      <c r="AN16" s="44">
        <v>22.254680653299694</v>
      </c>
      <c r="AO16" s="44">
        <v>68.349106203995802</v>
      </c>
      <c r="AP16" s="46">
        <v>41.1</v>
      </c>
      <c r="AQ16" s="47">
        <v>5</v>
      </c>
      <c r="AR16" s="47">
        <v>0</v>
      </c>
      <c r="AS16" s="47">
        <v>0</v>
      </c>
      <c r="AT16" s="47">
        <v>0</v>
      </c>
      <c r="AU16" s="46">
        <v>5</v>
      </c>
      <c r="AV16" s="46">
        <v>8</v>
      </c>
      <c r="AW16" s="46">
        <v>5</v>
      </c>
      <c r="AX16" s="47">
        <v>5</v>
      </c>
      <c r="AY16" s="47">
        <v>10</v>
      </c>
      <c r="AZ16" s="47">
        <v>16</v>
      </c>
      <c r="BA16" s="47">
        <v>10</v>
      </c>
      <c r="BB16" s="46">
        <v>46</v>
      </c>
      <c r="BC16" s="48">
        <v>1</v>
      </c>
    </row>
    <row r="17" spans="1:55" s="42" customFormat="1" x14ac:dyDescent="0.2">
      <c r="A17" s="43">
        <v>2012</v>
      </c>
      <c r="B17" s="44" t="s">
        <v>20059</v>
      </c>
      <c r="C17" s="45">
        <v>44082</v>
      </c>
      <c r="D17" s="44" t="s">
        <v>20073</v>
      </c>
      <c r="E17" s="44" t="s">
        <v>20183</v>
      </c>
      <c r="F17" s="44" t="s">
        <v>20075</v>
      </c>
      <c r="G17" s="44">
        <v>0</v>
      </c>
      <c r="H17" s="44" t="s">
        <v>20184</v>
      </c>
      <c r="I17" s="45">
        <v>43040</v>
      </c>
      <c r="J17" s="45">
        <v>44135</v>
      </c>
      <c r="K17" s="44" t="s">
        <v>19</v>
      </c>
      <c r="L17" s="44" t="s">
        <v>120</v>
      </c>
      <c r="M17" s="44" t="s">
        <v>241</v>
      </c>
      <c r="N17" s="44" t="s">
        <v>207</v>
      </c>
      <c r="O17" s="44" t="s">
        <v>242</v>
      </c>
      <c r="P17" s="44" t="s">
        <v>218</v>
      </c>
      <c r="Q17" s="44" t="s">
        <v>20185</v>
      </c>
      <c r="R17" s="44" t="s">
        <v>20186</v>
      </c>
      <c r="S17" s="44" t="s">
        <v>20187</v>
      </c>
      <c r="T17" s="44">
        <v>57</v>
      </c>
      <c r="U17" s="44" t="s">
        <v>20067</v>
      </c>
      <c r="V17" s="44" t="s">
        <v>20067</v>
      </c>
      <c r="W17" s="44" t="s">
        <v>20067</v>
      </c>
      <c r="X17" s="44" t="s">
        <v>20068</v>
      </c>
      <c r="Y17" s="44" t="s">
        <v>20067</v>
      </c>
      <c r="Z17" s="44" t="s">
        <v>20069</v>
      </c>
      <c r="AA17" s="44">
        <v>4159</v>
      </c>
      <c r="AB17" s="44" t="s">
        <v>325</v>
      </c>
      <c r="AC17" s="44"/>
      <c r="AD17" s="44" t="s">
        <v>20188</v>
      </c>
      <c r="AE17" s="44" t="s">
        <v>20189</v>
      </c>
      <c r="AF17" s="44" t="s">
        <v>242</v>
      </c>
      <c r="AG17" s="44" t="s">
        <v>20082</v>
      </c>
      <c r="AH17" s="44" t="s">
        <v>20082</v>
      </c>
      <c r="AI17" s="44" t="s">
        <v>18723</v>
      </c>
      <c r="AJ17" s="44" t="s">
        <v>20083</v>
      </c>
      <c r="AK17" s="43">
        <v>1</v>
      </c>
      <c r="AL17" s="44">
        <v>1</v>
      </c>
      <c r="AM17" s="44">
        <v>68.666666666666671</v>
      </c>
      <c r="AN17" s="44">
        <v>50.533208606173993</v>
      </c>
      <c r="AO17" s="44">
        <v>47.719594594594597</v>
      </c>
      <c r="AP17" s="46">
        <v>49.1</v>
      </c>
      <c r="AQ17" s="47">
        <v>3</v>
      </c>
      <c r="AR17" s="47">
        <v>0</v>
      </c>
      <c r="AS17" s="47">
        <v>1</v>
      </c>
      <c r="AT17" s="47">
        <v>5</v>
      </c>
      <c r="AU17" s="46">
        <v>1</v>
      </c>
      <c r="AV17" s="46">
        <v>10</v>
      </c>
      <c r="AW17" s="46">
        <v>5</v>
      </c>
      <c r="AX17" s="47">
        <v>5</v>
      </c>
      <c r="AY17" s="47">
        <v>2</v>
      </c>
      <c r="AZ17" s="47">
        <v>20</v>
      </c>
      <c r="BA17" s="47">
        <v>10</v>
      </c>
      <c r="BB17" s="46">
        <v>46</v>
      </c>
      <c r="BC17" s="48">
        <v>1</v>
      </c>
    </row>
    <row r="18" spans="1:55" s="42" customFormat="1" x14ac:dyDescent="0.2">
      <c r="A18" s="43">
        <v>2162</v>
      </c>
      <c r="B18" s="44" t="s">
        <v>20059</v>
      </c>
      <c r="C18" s="45">
        <v>44082</v>
      </c>
      <c r="D18" s="44" t="s">
        <v>20073</v>
      </c>
      <c r="E18" s="44" t="s">
        <v>20190</v>
      </c>
      <c r="F18" s="44" t="s">
        <v>20075</v>
      </c>
      <c r="G18" s="44">
        <v>0</v>
      </c>
      <c r="H18" s="44" t="s">
        <v>20191</v>
      </c>
      <c r="I18" s="45">
        <v>43647</v>
      </c>
      <c r="J18" s="45">
        <v>44742</v>
      </c>
      <c r="K18" s="44" t="s">
        <v>21</v>
      </c>
      <c r="L18" s="44" t="s">
        <v>122</v>
      </c>
      <c r="M18" s="44" t="s">
        <v>246</v>
      </c>
      <c r="N18" s="44" t="s">
        <v>207</v>
      </c>
      <c r="O18" s="44" t="s">
        <v>247</v>
      </c>
      <c r="P18" s="44" t="s">
        <v>218</v>
      </c>
      <c r="Q18" s="44" t="s">
        <v>20192</v>
      </c>
      <c r="R18" s="44" t="s">
        <v>20193</v>
      </c>
      <c r="S18" s="44" t="s">
        <v>20194</v>
      </c>
      <c r="T18" s="44">
        <v>59</v>
      </c>
      <c r="U18" s="44" t="s">
        <v>20067</v>
      </c>
      <c r="V18" s="44" t="s">
        <v>20067</v>
      </c>
      <c r="W18" s="44" t="s">
        <v>20067</v>
      </c>
      <c r="X18" s="44" t="s">
        <v>20068</v>
      </c>
      <c r="Y18" s="44" t="s">
        <v>20067</v>
      </c>
      <c r="Z18" s="44" t="s">
        <v>20069</v>
      </c>
      <c r="AA18" s="44">
        <v>4154</v>
      </c>
      <c r="AB18" s="44" t="s">
        <v>327</v>
      </c>
      <c r="AC18" s="44"/>
      <c r="AD18" s="44" t="s">
        <v>20195</v>
      </c>
      <c r="AE18" s="44" t="s">
        <v>20196</v>
      </c>
      <c r="AF18" s="44" t="s">
        <v>247</v>
      </c>
      <c r="AG18" s="44" t="s">
        <v>20082</v>
      </c>
      <c r="AH18" s="44" t="s">
        <v>20082</v>
      </c>
      <c r="AI18" s="44" t="s">
        <v>18723</v>
      </c>
      <c r="AJ18" s="44" t="s">
        <v>20083</v>
      </c>
      <c r="AK18" s="43">
        <v>1</v>
      </c>
      <c r="AL18" s="44">
        <v>32</v>
      </c>
      <c r="AM18" s="44">
        <v>61.666666666666664</v>
      </c>
      <c r="AN18" s="44">
        <v>51.918080391257838</v>
      </c>
      <c r="AO18" s="44">
        <v>43.700440528634402</v>
      </c>
      <c r="AP18" s="46">
        <v>49.1</v>
      </c>
      <c r="AQ18" s="47">
        <v>3</v>
      </c>
      <c r="AR18" s="47">
        <v>0</v>
      </c>
      <c r="AS18" s="47">
        <v>1</v>
      </c>
      <c r="AT18" s="47">
        <v>5</v>
      </c>
      <c r="AU18" s="46">
        <v>3</v>
      </c>
      <c r="AV18" s="46">
        <v>8</v>
      </c>
      <c r="AW18" s="46">
        <v>5</v>
      </c>
      <c r="AX18" s="47">
        <v>5</v>
      </c>
      <c r="AY18" s="47">
        <v>6</v>
      </c>
      <c r="AZ18" s="47">
        <v>16</v>
      </c>
      <c r="BA18" s="47">
        <v>10</v>
      </c>
      <c r="BB18" s="46">
        <v>46</v>
      </c>
      <c r="BC18" s="48">
        <v>1</v>
      </c>
    </row>
    <row r="19" spans="1:55" s="42" customFormat="1" x14ac:dyDescent="0.2">
      <c r="A19" s="43">
        <v>2</v>
      </c>
      <c r="B19" s="44" t="s">
        <v>20059</v>
      </c>
      <c r="C19" s="45">
        <v>44082</v>
      </c>
      <c r="D19" s="44" t="s">
        <v>20060</v>
      </c>
      <c r="E19" s="44" t="s">
        <v>20197</v>
      </c>
      <c r="F19" s="44" t="s">
        <v>20062</v>
      </c>
      <c r="G19" s="44">
        <v>0</v>
      </c>
      <c r="H19" s="44" t="s">
        <v>20198</v>
      </c>
      <c r="I19" s="45">
        <v>43090</v>
      </c>
      <c r="J19" s="45">
        <v>44165</v>
      </c>
      <c r="K19" s="44" t="s">
        <v>22</v>
      </c>
      <c r="L19" s="44" t="s">
        <v>123</v>
      </c>
      <c r="M19" s="44" t="s">
        <v>222</v>
      </c>
      <c r="N19" s="44" t="s">
        <v>207</v>
      </c>
      <c r="O19" s="44" t="s">
        <v>248</v>
      </c>
      <c r="P19" s="44" t="s">
        <v>224</v>
      </c>
      <c r="Q19" s="44" t="s">
        <v>20199</v>
      </c>
      <c r="R19" s="44" t="s">
        <v>20200</v>
      </c>
      <c r="S19" s="44" t="s">
        <v>20131</v>
      </c>
      <c r="T19" s="44">
        <v>103</v>
      </c>
      <c r="U19" s="44" t="s">
        <v>20201</v>
      </c>
      <c r="V19" s="44" t="s">
        <v>20202</v>
      </c>
      <c r="W19" s="44" t="s">
        <v>20068</v>
      </c>
      <c r="X19" s="44" t="s">
        <v>20068</v>
      </c>
      <c r="Y19" s="44" t="s">
        <v>20068</v>
      </c>
      <c r="Z19" s="44" t="s">
        <v>20089</v>
      </c>
      <c r="AA19" s="44">
        <v>4279</v>
      </c>
      <c r="AB19" s="44" t="s">
        <v>328</v>
      </c>
      <c r="AC19" s="44"/>
      <c r="AD19" s="44" t="s">
        <v>20203</v>
      </c>
      <c r="AE19" s="44" t="s">
        <v>20204</v>
      </c>
      <c r="AF19" s="44" t="s">
        <v>248</v>
      </c>
      <c r="AG19" s="44" t="s">
        <v>20092</v>
      </c>
      <c r="AH19" s="44" t="s">
        <v>20205</v>
      </c>
      <c r="AI19" s="44" t="s">
        <v>18715</v>
      </c>
      <c r="AJ19" s="44" t="s">
        <v>20072</v>
      </c>
      <c r="AK19" s="43">
        <v>0</v>
      </c>
      <c r="AL19" s="44">
        <v>36.85</v>
      </c>
      <c r="AM19" s="44">
        <v>59.333333333333336</v>
      </c>
      <c r="AN19" s="44">
        <v>51.257367387033405</v>
      </c>
      <c r="AO19" s="44">
        <v>54.194857916102798</v>
      </c>
      <c r="AP19" s="46">
        <v>19.100000000000001</v>
      </c>
      <c r="AQ19" s="47">
        <v>5</v>
      </c>
      <c r="AR19" s="47">
        <v>5</v>
      </c>
      <c r="AS19" s="47">
        <v>0</v>
      </c>
      <c r="AT19" s="47">
        <v>0</v>
      </c>
      <c r="AU19" s="46">
        <v>3</v>
      </c>
      <c r="AV19" s="46">
        <v>8</v>
      </c>
      <c r="AW19" s="46">
        <v>5</v>
      </c>
      <c r="AX19" s="47">
        <v>3</v>
      </c>
      <c r="AY19" s="47">
        <v>6</v>
      </c>
      <c r="AZ19" s="47">
        <v>16</v>
      </c>
      <c r="BA19" s="47">
        <v>10</v>
      </c>
      <c r="BB19" s="46">
        <v>45</v>
      </c>
      <c r="BC19" s="48">
        <v>1</v>
      </c>
    </row>
    <row r="20" spans="1:55" s="42" customFormat="1" x14ac:dyDescent="0.2">
      <c r="A20" s="43">
        <v>384</v>
      </c>
      <c r="B20" s="44" t="s">
        <v>20059</v>
      </c>
      <c r="C20" s="45">
        <v>44082</v>
      </c>
      <c r="D20" s="44" t="s">
        <v>20060</v>
      </c>
      <c r="E20" s="44" t="s">
        <v>20206</v>
      </c>
      <c r="F20" s="44" t="s">
        <v>20062</v>
      </c>
      <c r="G20" s="44">
        <v>0</v>
      </c>
      <c r="H20" s="44" t="s">
        <v>20207</v>
      </c>
      <c r="I20" s="45">
        <v>43556</v>
      </c>
      <c r="J20" s="45">
        <v>44651</v>
      </c>
      <c r="K20" s="44" t="s">
        <v>23</v>
      </c>
      <c r="L20" s="44" t="s">
        <v>124</v>
      </c>
      <c r="M20" s="44" t="s">
        <v>249</v>
      </c>
      <c r="N20" s="44" t="s">
        <v>207</v>
      </c>
      <c r="O20" s="44" t="s">
        <v>250</v>
      </c>
      <c r="P20" s="44" t="s">
        <v>221</v>
      </c>
      <c r="Q20" s="44" t="s">
        <v>20208</v>
      </c>
      <c r="R20" s="44" t="s">
        <v>20209</v>
      </c>
      <c r="S20" s="44" t="s">
        <v>20210</v>
      </c>
      <c r="T20" s="44">
        <v>25</v>
      </c>
      <c r="U20" s="44" t="s">
        <v>20067</v>
      </c>
      <c r="V20" s="44" t="s">
        <v>20211</v>
      </c>
      <c r="W20" s="44" t="s">
        <v>20068</v>
      </c>
      <c r="X20" s="44" t="s">
        <v>20067</v>
      </c>
      <c r="Y20" s="44" t="s">
        <v>20067</v>
      </c>
      <c r="Z20" s="44" t="s">
        <v>20089</v>
      </c>
      <c r="AA20" s="44">
        <v>4448</v>
      </c>
      <c r="AB20" s="44" t="s">
        <v>329</v>
      </c>
      <c r="AC20" s="44"/>
      <c r="AD20" s="44" t="s">
        <v>20212</v>
      </c>
      <c r="AE20" s="44" t="s">
        <v>20213</v>
      </c>
      <c r="AF20" s="44" t="s">
        <v>250</v>
      </c>
      <c r="AG20" s="44" t="s">
        <v>7934</v>
      </c>
      <c r="AH20" s="44" t="s">
        <v>760</v>
      </c>
      <c r="AI20" s="44" t="s">
        <v>18715</v>
      </c>
      <c r="AJ20" s="44" t="s">
        <v>20072</v>
      </c>
      <c r="AK20" s="43">
        <v>0</v>
      </c>
      <c r="AL20" s="44">
        <v>36.85</v>
      </c>
      <c r="AM20" s="44">
        <v>61.666666666666664</v>
      </c>
      <c r="AN20" s="44">
        <v>40.214477211796243</v>
      </c>
      <c r="AO20" s="44">
        <v>59.108378170637998</v>
      </c>
      <c r="AP20" s="46">
        <v>47.9</v>
      </c>
      <c r="AQ20" s="47">
        <v>3</v>
      </c>
      <c r="AR20" s="47">
        <v>5</v>
      </c>
      <c r="AS20" s="47">
        <v>0</v>
      </c>
      <c r="AT20" s="47">
        <v>0</v>
      </c>
      <c r="AU20" s="46">
        <v>3</v>
      </c>
      <c r="AV20" s="46">
        <v>8</v>
      </c>
      <c r="AW20" s="46">
        <v>5</v>
      </c>
      <c r="AX20" s="47">
        <v>5</v>
      </c>
      <c r="AY20" s="47">
        <v>6</v>
      </c>
      <c r="AZ20" s="47">
        <v>16</v>
      </c>
      <c r="BA20" s="47">
        <v>10</v>
      </c>
      <c r="BB20" s="46">
        <v>45</v>
      </c>
      <c r="BC20" s="48">
        <v>1</v>
      </c>
    </row>
    <row r="21" spans="1:55" s="42" customFormat="1" x14ac:dyDescent="0.2">
      <c r="A21" s="43">
        <v>793</v>
      </c>
      <c r="B21" s="44" t="s">
        <v>20059</v>
      </c>
      <c r="C21" s="45">
        <v>44082</v>
      </c>
      <c r="D21" s="44" t="s">
        <v>20060</v>
      </c>
      <c r="E21" s="44" t="s">
        <v>20214</v>
      </c>
      <c r="F21" s="44" t="s">
        <v>20062</v>
      </c>
      <c r="G21" s="44">
        <v>90463</v>
      </c>
      <c r="H21" s="44" t="s">
        <v>20215</v>
      </c>
      <c r="I21" s="45">
        <v>43070</v>
      </c>
      <c r="J21" s="45">
        <v>44165</v>
      </c>
      <c r="K21" s="44" t="s">
        <v>1030</v>
      </c>
      <c r="L21" s="44" t="s">
        <v>1031</v>
      </c>
      <c r="M21" s="44" t="s">
        <v>222</v>
      </c>
      <c r="N21" s="44" t="s">
        <v>207</v>
      </c>
      <c r="O21" s="44" t="s">
        <v>951</v>
      </c>
      <c r="P21" s="44" t="s">
        <v>224</v>
      </c>
      <c r="Q21" s="44" t="s">
        <v>20216</v>
      </c>
      <c r="R21" s="44" t="s">
        <v>20217</v>
      </c>
      <c r="S21" s="44" t="s">
        <v>20218</v>
      </c>
      <c r="T21" s="44">
        <v>170</v>
      </c>
      <c r="U21" s="44" t="s">
        <v>20067</v>
      </c>
      <c r="V21" s="44" t="s">
        <v>20219</v>
      </c>
      <c r="W21" s="44" t="s">
        <v>20068</v>
      </c>
      <c r="X21" s="44" t="s">
        <v>20068</v>
      </c>
      <c r="Y21" s="44" t="s">
        <v>20068</v>
      </c>
      <c r="Z21" s="44" t="s">
        <v>20089</v>
      </c>
      <c r="AA21" s="44">
        <v>4280</v>
      </c>
      <c r="AB21" s="44" t="s">
        <v>376</v>
      </c>
      <c r="AC21" s="44"/>
      <c r="AD21" s="44" t="s">
        <v>20220</v>
      </c>
      <c r="AE21" s="44" t="s">
        <v>20221</v>
      </c>
      <c r="AF21" s="44" t="s">
        <v>951</v>
      </c>
      <c r="AG21" s="44" t="s">
        <v>20125</v>
      </c>
      <c r="AH21" s="44" t="s">
        <v>20222</v>
      </c>
      <c r="AI21" s="44" t="s">
        <v>18715</v>
      </c>
      <c r="AJ21" s="44" t="s">
        <v>20072</v>
      </c>
      <c r="AK21" s="43">
        <v>0</v>
      </c>
      <c r="AL21" s="44">
        <v>35</v>
      </c>
      <c r="AM21" s="44">
        <v>55.333333333333336</v>
      </c>
      <c r="AN21" s="44">
        <v>60.299769408147576</v>
      </c>
      <c r="AO21" s="44">
        <v>60.299769408147597</v>
      </c>
      <c r="AP21" s="46">
        <v>19.100000000000001</v>
      </c>
      <c r="AQ21" s="47">
        <v>5</v>
      </c>
      <c r="AR21" s="47">
        <v>5</v>
      </c>
      <c r="AS21" s="47">
        <v>0</v>
      </c>
      <c r="AT21" s="47">
        <v>0</v>
      </c>
      <c r="AU21" s="46">
        <v>3</v>
      </c>
      <c r="AV21" s="46">
        <v>8</v>
      </c>
      <c r="AW21" s="46">
        <v>5</v>
      </c>
      <c r="AX21" s="47">
        <v>3</v>
      </c>
      <c r="AY21" s="47">
        <v>6</v>
      </c>
      <c r="AZ21" s="47">
        <v>16</v>
      </c>
      <c r="BA21" s="47">
        <v>10</v>
      </c>
      <c r="BB21" s="46">
        <v>45</v>
      </c>
      <c r="BC21" s="48">
        <v>1</v>
      </c>
    </row>
    <row r="22" spans="1:55" s="42" customFormat="1" x14ac:dyDescent="0.2">
      <c r="A22" s="43">
        <v>908</v>
      </c>
      <c r="B22" s="44" t="s">
        <v>20059</v>
      </c>
      <c r="C22" s="45">
        <v>44082</v>
      </c>
      <c r="D22" s="44" t="s">
        <v>20060</v>
      </c>
      <c r="E22" s="44" t="s">
        <v>20223</v>
      </c>
      <c r="F22" s="44" t="s">
        <v>20062</v>
      </c>
      <c r="G22" s="44">
        <v>0</v>
      </c>
      <c r="H22" s="44" t="s">
        <v>20224</v>
      </c>
      <c r="I22" s="45">
        <v>43617</v>
      </c>
      <c r="J22" s="45">
        <v>44712</v>
      </c>
      <c r="K22" s="44" t="s">
        <v>72</v>
      </c>
      <c r="L22" s="44" t="s">
        <v>171</v>
      </c>
      <c r="M22" s="44" t="s">
        <v>289</v>
      </c>
      <c r="N22" s="44" t="s">
        <v>207</v>
      </c>
      <c r="O22" s="44" t="s">
        <v>290</v>
      </c>
      <c r="P22" s="44" t="s">
        <v>212</v>
      </c>
      <c r="Q22" s="44"/>
      <c r="R22" s="44" t="s">
        <v>20225</v>
      </c>
      <c r="S22" s="44" t="s">
        <v>20226</v>
      </c>
      <c r="T22" s="44">
        <v>85</v>
      </c>
      <c r="U22" s="44" t="s">
        <v>20067</v>
      </c>
      <c r="V22" s="44" t="s">
        <v>20067</v>
      </c>
      <c r="W22" s="44" t="s">
        <v>20067</v>
      </c>
      <c r="X22" s="44" t="s">
        <v>20068</v>
      </c>
      <c r="Y22" s="44" t="s">
        <v>20067</v>
      </c>
      <c r="Z22" s="44" t="s">
        <v>20069</v>
      </c>
      <c r="AA22" s="44">
        <v>4387</v>
      </c>
      <c r="AB22" s="44" t="s">
        <v>345</v>
      </c>
      <c r="AC22" s="44" t="s">
        <v>19745</v>
      </c>
      <c r="AD22" s="44" t="s">
        <v>20227</v>
      </c>
      <c r="AE22" s="44" t="s">
        <v>20228</v>
      </c>
      <c r="AF22" s="44" t="s">
        <v>290</v>
      </c>
      <c r="AG22" s="44" t="s">
        <v>2654</v>
      </c>
      <c r="AH22" s="44" t="s">
        <v>19399</v>
      </c>
      <c r="AI22" s="44" t="s">
        <v>18715</v>
      </c>
      <c r="AJ22" s="44" t="s">
        <v>20072</v>
      </c>
      <c r="AK22" s="43">
        <v>0</v>
      </c>
      <c r="AL22" s="44">
        <v>33</v>
      </c>
      <c r="AM22" s="44">
        <v>53.333333333333336</v>
      </c>
      <c r="AN22" s="44">
        <v>32.994090610636903</v>
      </c>
      <c r="AO22" s="44">
        <v>45.204460966542797</v>
      </c>
      <c r="AP22" s="46">
        <v>55.6</v>
      </c>
      <c r="AQ22" s="47">
        <v>3</v>
      </c>
      <c r="AR22" s="47">
        <v>5</v>
      </c>
      <c r="AS22" s="47">
        <v>0</v>
      </c>
      <c r="AT22" s="47">
        <v>0</v>
      </c>
      <c r="AU22" s="46">
        <v>3</v>
      </c>
      <c r="AV22" s="46">
        <v>8</v>
      </c>
      <c r="AW22" s="46">
        <v>5</v>
      </c>
      <c r="AX22" s="47">
        <v>5</v>
      </c>
      <c r="AY22" s="47">
        <v>6</v>
      </c>
      <c r="AZ22" s="47">
        <v>16</v>
      </c>
      <c r="BA22" s="47">
        <v>10</v>
      </c>
      <c r="BB22" s="46">
        <v>45</v>
      </c>
      <c r="BC22" s="48">
        <v>1</v>
      </c>
    </row>
    <row r="23" spans="1:55" s="42" customFormat="1" x14ac:dyDescent="0.2">
      <c r="A23" s="43">
        <v>1099</v>
      </c>
      <c r="B23" s="44" t="s">
        <v>20059</v>
      </c>
      <c r="C23" s="45">
        <v>44082</v>
      </c>
      <c r="D23" s="44" t="s">
        <v>20060</v>
      </c>
      <c r="E23" s="44" t="s">
        <v>20229</v>
      </c>
      <c r="F23" s="44" t="s">
        <v>20062</v>
      </c>
      <c r="G23" s="44">
        <v>0</v>
      </c>
      <c r="H23" s="44" t="s">
        <v>20230</v>
      </c>
      <c r="I23" s="45">
        <v>43730</v>
      </c>
      <c r="J23" s="45">
        <v>44804</v>
      </c>
      <c r="K23" s="44" t="s">
        <v>26</v>
      </c>
      <c r="L23" s="44" t="s">
        <v>127</v>
      </c>
      <c r="M23" s="44" t="s">
        <v>222</v>
      </c>
      <c r="N23" s="44" t="s">
        <v>207</v>
      </c>
      <c r="O23" s="44" t="s">
        <v>248</v>
      </c>
      <c r="P23" s="44" t="s">
        <v>224</v>
      </c>
      <c r="Q23" s="44" t="s">
        <v>20231</v>
      </c>
      <c r="R23" s="44" t="s">
        <v>20232</v>
      </c>
      <c r="S23" s="44" t="s">
        <v>20131</v>
      </c>
      <c r="T23" s="44">
        <v>119</v>
      </c>
      <c r="U23" s="44" t="s">
        <v>20108</v>
      </c>
      <c r="V23" s="44" t="s">
        <v>20202</v>
      </c>
      <c r="W23" s="44" t="s">
        <v>20068</v>
      </c>
      <c r="X23" s="44" t="s">
        <v>20068</v>
      </c>
      <c r="Y23" s="44" t="s">
        <v>20068</v>
      </c>
      <c r="Z23" s="44" t="s">
        <v>20089</v>
      </c>
      <c r="AA23" s="44">
        <v>4279</v>
      </c>
      <c r="AB23" s="44" t="s">
        <v>328</v>
      </c>
      <c r="AC23" s="44"/>
      <c r="AD23" s="44" t="s">
        <v>20203</v>
      </c>
      <c r="AE23" s="44" t="s">
        <v>20204</v>
      </c>
      <c r="AF23" s="44" t="s">
        <v>248</v>
      </c>
      <c r="AG23" s="44" t="s">
        <v>20092</v>
      </c>
      <c r="AH23" s="44" t="s">
        <v>20205</v>
      </c>
      <c r="AI23" s="44" t="s">
        <v>18715</v>
      </c>
      <c r="AJ23" s="44" t="s">
        <v>20072</v>
      </c>
      <c r="AK23" s="43">
        <v>0</v>
      </c>
      <c r="AL23" s="44">
        <v>36.85</v>
      </c>
      <c r="AM23" s="44">
        <v>59.333333333333336</v>
      </c>
      <c r="AN23" s="44">
        <v>51.257367387033405</v>
      </c>
      <c r="AO23" s="44">
        <v>54.194857916102798</v>
      </c>
      <c r="AP23" s="46">
        <v>19.100000000000001</v>
      </c>
      <c r="AQ23" s="47">
        <v>5</v>
      </c>
      <c r="AR23" s="47">
        <v>5</v>
      </c>
      <c r="AS23" s="47">
        <v>0</v>
      </c>
      <c r="AT23" s="47">
        <v>0</v>
      </c>
      <c r="AU23" s="46">
        <v>3</v>
      </c>
      <c r="AV23" s="46">
        <v>8</v>
      </c>
      <c r="AW23" s="46">
        <v>5</v>
      </c>
      <c r="AX23" s="47">
        <v>3</v>
      </c>
      <c r="AY23" s="47">
        <v>6</v>
      </c>
      <c r="AZ23" s="47">
        <v>16</v>
      </c>
      <c r="BA23" s="47">
        <v>10</v>
      </c>
      <c r="BB23" s="46">
        <v>45</v>
      </c>
      <c r="BC23" s="48">
        <v>1</v>
      </c>
    </row>
    <row r="24" spans="1:55" s="42" customFormat="1" x14ac:dyDescent="0.2">
      <c r="A24" s="43">
        <v>1160</v>
      </c>
      <c r="B24" s="44" t="s">
        <v>20059</v>
      </c>
      <c r="C24" s="45">
        <v>44082</v>
      </c>
      <c r="D24" s="44" t="s">
        <v>20060</v>
      </c>
      <c r="E24" s="44" t="s">
        <v>20233</v>
      </c>
      <c r="F24" s="44" t="s">
        <v>20062</v>
      </c>
      <c r="G24" s="44">
        <v>0</v>
      </c>
      <c r="H24" s="44" t="s">
        <v>20234</v>
      </c>
      <c r="I24" s="45">
        <v>43313</v>
      </c>
      <c r="J24" s="45">
        <v>44408</v>
      </c>
      <c r="K24" s="44" t="s">
        <v>27</v>
      </c>
      <c r="L24" s="44" t="s">
        <v>128</v>
      </c>
      <c r="M24" s="44" t="s">
        <v>219</v>
      </c>
      <c r="N24" s="44" t="s">
        <v>207</v>
      </c>
      <c r="O24" s="44" t="s">
        <v>255</v>
      </c>
      <c r="P24" s="44" t="s">
        <v>221</v>
      </c>
      <c r="Q24" s="44" t="s">
        <v>20235</v>
      </c>
      <c r="R24" s="44" t="s">
        <v>20236</v>
      </c>
      <c r="S24" s="44" t="s">
        <v>20131</v>
      </c>
      <c r="T24" s="44">
        <v>48</v>
      </c>
      <c r="U24" s="44" t="s">
        <v>20067</v>
      </c>
      <c r="V24" s="44" t="s">
        <v>20237</v>
      </c>
      <c r="W24" s="44" t="s">
        <v>20068</v>
      </c>
      <c r="X24" s="44" t="s">
        <v>20068</v>
      </c>
      <c r="Y24" s="44" t="s">
        <v>20067</v>
      </c>
      <c r="Z24" s="44" t="s">
        <v>20069</v>
      </c>
      <c r="AA24" s="44">
        <v>4442</v>
      </c>
      <c r="AB24" s="44" t="s">
        <v>315</v>
      </c>
      <c r="AC24" s="44"/>
      <c r="AD24" s="44" t="s">
        <v>20238</v>
      </c>
      <c r="AE24" s="44" t="s">
        <v>20239</v>
      </c>
      <c r="AF24" s="44" t="s">
        <v>255</v>
      </c>
      <c r="AG24" s="44" t="s">
        <v>7934</v>
      </c>
      <c r="AH24" s="44" t="s">
        <v>751</v>
      </c>
      <c r="AI24" s="44" t="s">
        <v>18723</v>
      </c>
      <c r="AJ24" s="44" t="s">
        <v>20083</v>
      </c>
      <c r="AK24" s="43">
        <v>0</v>
      </c>
      <c r="AL24" s="44">
        <v>68</v>
      </c>
      <c r="AM24" s="44">
        <v>69</v>
      </c>
      <c r="AN24" s="44">
        <v>28.070934256055363</v>
      </c>
      <c r="AO24" s="44">
        <v>32.988871224165301</v>
      </c>
      <c r="AP24" s="46">
        <v>47.9</v>
      </c>
      <c r="AQ24" s="47">
        <v>3</v>
      </c>
      <c r="AR24" s="47">
        <v>0</v>
      </c>
      <c r="AS24" s="47">
        <v>1</v>
      </c>
      <c r="AT24" s="47">
        <v>0</v>
      </c>
      <c r="AU24" s="46">
        <v>5</v>
      </c>
      <c r="AV24" s="46">
        <v>10</v>
      </c>
      <c r="AW24" s="46">
        <v>3</v>
      </c>
      <c r="AX24" s="47">
        <v>5</v>
      </c>
      <c r="AY24" s="47">
        <v>10</v>
      </c>
      <c r="AZ24" s="47">
        <v>20</v>
      </c>
      <c r="BA24" s="47">
        <v>6</v>
      </c>
      <c r="BB24" s="46">
        <v>45</v>
      </c>
      <c r="BC24" s="48">
        <v>1</v>
      </c>
    </row>
    <row r="25" spans="1:55" s="42" customFormat="1" x14ac:dyDescent="0.2">
      <c r="A25" s="43">
        <v>1239</v>
      </c>
      <c r="B25" s="44" t="s">
        <v>20059</v>
      </c>
      <c r="C25" s="45">
        <v>44082</v>
      </c>
      <c r="D25" s="44" t="s">
        <v>20060</v>
      </c>
      <c r="E25" s="44" t="s">
        <v>20240</v>
      </c>
      <c r="F25" s="44" t="s">
        <v>20062</v>
      </c>
      <c r="G25" s="44">
        <v>8077</v>
      </c>
      <c r="H25" s="44" t="s">
        <v>20241</v>
      </c>
      <c r="I25" s="45">
        <v>43101</v>
      </c>
      <c r="J25" s="45">
        <v>44196</v>
      </c>
      <c r="K25" s="44" t="s">
        <v>8</v>
      </c>
      <c r="L25" s="44" t="s">
        <v>110</v>
      </c>
      <c r="M25" s="44" t="s">
        <v>225</v>
      </c>
      <c r="N25" s="44" t="s">
        <v>207</v>
      </c>
      <c r="O25" s="44" t="s">
        <v>226</v>
      </c>
      <c r="P25" s="44" t="s">
        <v>221</v>
      </c>
      <c r="Q25" s="44" t="s">
        <v>20242</v>
      </c>
      <c r="R25" s="44" t="s">
        <v>20243</v>
      </c>
      <c r="S25" s="44" t="s">
        <v>20244</v>
      </c>
      <c r="T25" s="44">
        <v>42</v>
      </c>
      <c r="U25" s="44" t="s">
        <v>20067</v>
      </c>
      <c r="V25" s="44" t="s">
        <v>20067</v>
      </c>
      <c r="W25" s="44" t="s">
        <v>20067</v>
      </c>
      <c r="X25" s="44" t="s">
        <v>20068</v>
      </c>
      <c r="Y25" s="44" t="s">
        <v>20067</v>
      </c>
      <c r="Z25" s="44" t="s">
        <v>20089</v>
      </c>
      <c r="AA25" s="44">
        <v>4451</v>
      </c>
      <c r="AB25" s="44" t="s">
        <v>317</v>
      </c>
      <c r="AC25" s="44" t="s">
        <v>19745</v>
      </c>
      <c r="AD25" s="44" t="s">
        <v>20245</v>
      </c>
      <c r="AE25" s="44" t="s">
        <v>20246</v>
      </c>
      <c r="AF25" s="44" t="s">
        <v>226</v>
      </c>
      <c r="AG25" s="44" t="s">
        <v>7934</v>
      </c>
      <c r="AH25" s="44" t="s">
        <v>1273</v>
      </c>
      <c r="AI25" s="44" t="s">
        <v>18723</v>
      </c>
      <c r="AJ25" s="44" t="s">
        <v>20083</v>
      </c>
      <c r="AK25" s="43">
        <v>0</v>
      </c>
      <c r="AL25" s="44">
        <v>56</v>
      </c>
      <c r="AM25" s="44">
        <v>74.666666666666671</v>
      </c>
      <c r="AN25" s="44">
        <v>41.455334704135254</v>
      </c>
      <c r="AO25" s="44">
        <v>36.2617498192336</v>
      </c>
      <c r="AP25" s="46">
        <v>47.9</v>
      </c>
      <c r="AQ25" s="47">
        <v>3</v>
      </c>
      <c r="AR25" s="47">
        <v>0</v>
      </c>
      <c r="AS25" s="47">
        <v>1</v>
      </c>
      <c r="AT25" s="47">
        <v>0</v>
      </c>
      <c r="AU25" s="46">
        <v>5</v>
      </c>
      <c r="AV25" s="46">
        <v>10</v>
      </c>
      <c r="AW25" s="46">
        <v>3</v>
      </c>
      <c r="AX25" s="47">
        <v>5</v>
      </c>
      <c r="AY25" s="47">
        <v>10</v>
      </c>
      <c r="AZ25" s="47">
        <v>20</v>
      </c>
      <c r="BA25" s="47">
        <v>6</v>
      </c>
      <c r="BB25" s="46">
        <v>45</v>
      </c>
      <c r="BC25" s="48">
        <v>1</v>
      </c>
    </row>
    <row r="26" spans="1:55" s="42" customFormat="1" x14ac:dyDescent="0.2">
      <c r="A26" s="43">
        <v>1252</v>
      </c>
      <c r="B26" s="44" t="s">
        <v>20059</v>
      </c>
      <c r="C26" s="45">
        <v>44082</v>
      </c>
      <c r="D26" s="44" t="s">
        <v>20060</v>
      </c>
      <c r="E26" s="44" t="s">
        <v>20247</v>
      </c>
      <c r="F26" s="44" t="s">
        <v>20062</v>
      </c>
      <c r="G26" s="44">
        <v>80622</v>
      </c>
      <c r="H26" s="44" t="s">
        <v>20248</v>
      </c>
      <c r="I26" s="45">
        <v>43132</v>
      </c>
      <c r="J26" s="45">
        <v>44227</v>
      </c>
      <c r="K26" s="44" t="s">
        <v>76</v>
      </c>
      <c r="L26" s="44" t="s">
        <v>175</v>
      </c>
      <c r="M26" s="44" t="s">
        <v>292</v>
      </c>
      <c r="N26" s="44" t="s">
        <v>207</v>
      </c>
      <c r="O26" s="44" t="s">
        <v>293</v>
      </c>
      <c r="P26" s="44" t="s">
        <v>224</v>
      </c>
      <c r="Q26" s="44" t="s">
        <v>20249</v>
      </c>
      <c r="R26" s="44" t="s">
        <v>20250</v>
      </c>
      <c r="S26" s="44" t="s">
        <v>20251</v>
      </c>
      <c r="T26" s="44">
        <v>185</v>
      </c>
      <c r="U26" s="44" t="s">
        <v>20252</v>
      </c>
      <c r="V26" s="44" t="s">
        <v>20252</v>
      </c>
      <c r="W26" s="44" t="s">
        <v>20068</v>
      </c>
      <c r="X26" s="44" t="s">
        <v>20068</v>
      </c>
      <c r="Y26" s="44" t="s">
        <v>20068</v>
      </c>
      <c r="Z26" s="44" t="s">
        <v>20089</v>
      </c>
      <c r="AA26" s="44">
        <v>4271</v>
      </c>
      <c r="AB26" s="44" t="s">
        <v>347</v>
      </c>
      <c r="AC26" s="44"/>
      <c r="AD26" s="44" t="s">
        <v>20253</v>
      </c>
      <c r="AE26" s="44" t="s">
        <v>20254</v>
      </c>
      <c r="AF26" s="44" t="s">
        <v>293</v>
      </c>
      <c r="AG26" s="44" t="s">
        <v>20255</v>
      </c>
      <c r="AH26" s="44" t="s">
        <v>20256</v>
      </c>
      <c r="AI26" s="44" t="s">
        <v>18715</v>
      </c>
      <c r="AJ26" s="44" t="s">
        <v>20072</v>
      </c>
      <c r="AK26" s="43">
        <v>0</v>
      </c>
      <c r="AL26" s="44">
        <v>40</v>
      </c>
      <c r="AM26" s="44">
        <v>53.333333333333336</v>
      </c>
      <c r="AN26" s="44">
        <v>37.72552199472937</v>
      </c>
      <c r="AO26" s="44">
        <v>51.462621885157098</v>
      </c>
      <c r="AP26" s="46">
        <v>19.100000000000001</v>
      </c>
      <c r="AQ26" s="47">
        <v>5</v>
      </c>
      <c r="AR26" s="47">
        <v>5</v>
      </c>
      <c r="AS26" s="47">
        <v>0</v>
      </c>
      <c r="AT26" s="47">
        <v>0</v>
      </c>
      <c r="AU26" s="46">
        <v>3</v>
      </c>
      <c r="AV26" s="46">
        <v>8</v>
      </c>
      <c r="AW26" s="46">
        <v>5</v>
      </c>
      <c r="AX26" s="47">
        <v>3</v>
      </c>
      <c r="AY26" s="47">
        <v>6</v>
      </c>
      <c r="AZ26" s="47">
        <v>16</v>
      </c>
      <c r="BA26" s="47">
        <v>10</v>
      </c>
      <c r="BB26" s="46">
        <v>45</v>
      </c>
      <c r="BC26" s="48">
        <v>1</v>
      </c>
    </row>
    <row r="27" spans="1:55" s="42" customFormat="1" x14ac:dyDescent="0.2">
      <c r="A27" s="43">
        <v>1275</v>
      </c>
      <c r="B27" s="44" t="s">
        <v>20059</v>
      </c>
      <c r="C27" s="45">
        <v>44082</v>
      </c>
      <c r="D27" s="44" t="s">
        <v>20060</v>
      </c>
      <c r="E27" s="44" t="s">
        <v>20257</v>
      </c>
      <c r="F27" s="44" t="s">
        <v>20062</v>
      </c>
      <c r="G27" s="44">
        <v>79765</v>
      </c>
      <c r="H27" s="44" t="s">
        <v>20258</v>
      </c>
      <c r="I27" s="45">
        <v>43617</v>
      </c>
      <c r="J27" s="45">
        <v>44712</v>
      </c>
      <c r="K27" s="44" t="s">
        <v>1032</v>
      </c>
      <c r="L27" s="44" t="s">
        <v>1033</v>
      </c>
      <c r="M27" s="44" t="s">
        <v>222</v>
      </c>
      <c r="N27" s="44" t="s">
        <v>207</v>
      </c>
      <c r="O27" s="44" t="s">
        <v>606</v>
      </c>
      <c r="P27" s="44" t="s">
        <v>224</v>
      </c>
      <c r="Q27" s="44" t="s">
        <v>20259</v>
      </c>
      <c r="R27" s="44" t="s">
        <v>20260</v>
      </c>
      <c r="S27" s="44" t="s">
        <v>20261</v>
      </c>
      <c r="T27" s="44">
        <v>248</v>
      </c>
      <c r="U27" s="44" t="s">
        <v>20262</v>
      </c>
      <c r="V27" s="44" t="s">
        <v>20263</v>
      </c>
      <c r="W27" s="44" t="s">
        <v>20068</v>
      </c>
      <c r="X27" s="44" t="s">
        <v>20068</v>
      </c>
      <c r="Y27" s="44" t="s">
        <v>20068</v>
      </c>
      <c r="Z27" s="44" t="s">
        <v>20089</v>
      </c>
      <c r="AA27" s="44">
        <v>4280</v>
      </c>
      <c r="AB27" s="44" t="s">
        <v>376</v>
      </c>
      <c r="AC27" s="44"/>
      <c r="AD27" s="44" t="s">
        <v>20264</v>
      </c>
      <c r="AE27" s="44" t="s">
        <v>20265</v>
      </c>
      <c r="AF27" s="44" t="s">
        <v>606</v>
      </c>
      <c r="AG27" s="44" t="s">
        <v>20125</v>
      </c>
      <c r="AH27" s="44" t="s">
        <v>20222</v>
      </c>
      <c r="AI27" s="44" t="s">
        <v>18715</v>
      </c>
      <c r="AJ27" s="44" t="s">
        <v>20072</v>
      </c>
      <c r="AK27" s="43">
        <v>0</v>
      </c>
      <c r="AL27" s="44">
        <v>35</v>
      </c>
      <c r="AM27" s="44">
        <v>55.333333333333336</v>
      </c>
      <c r="AN27" s="44">
        <v>60.160866710439919</v>
      </c>
      <c r="AO27" s="44">
        <v>67.2210300429185</v>
      </c>
      <c r="AP27" s="46">
        <v>19.100000000000001</v>
      </c>
      <c r="AQ27" s="47">
        <v>5</v>
      </c>
      <c r="AR27" s="47">
        <v>5</v>
      </c>
      <c r="AS27" s="47">
        <v>0</v>
      </c>
      <c r="AT27" s="47">
        <v>0</v>
      </c>
      <c r="AU27" s="46">
        <v>3</v>
      </c>
      <c r="AV27" s="46">
        <v>8</v>
      </c>
      <c r="AW27" s="46">
        <v>5</v>
      </c>
      <c r="AX27" s="47">
        <v>3</v>
      </c>
      <c r="AY27" s="47">
        <v>6</v>
      </c>
      <c r="AZ27" s="47">
        <v>16</v>
      </c>
      <c r="BA27" s="47">
        <v>10</v>
      </c>
      <c r="BB27" s="46">
        <v>45</v>
      </c>
      <c r="BC27" s="48">
        <v>1</v>
      </c>
    </row>
    <row r="28" spans="1:55" s="42" customFormat="1" x14ac:dyDescent="0.2">
      <c r="A28" s="43">
        <v>1346</v>
      </c>
      <c r="B28" s="44" t="s">
        <v>20059</v>
      </c>
      <c r="C28" s="45">
        <v>44082</v>
      </c>
      <c r="D28" s="44" t="s">
        <v>20060</v>
      </c>
      <c r="E28" s="44" t="s">
        <v>20266</v>
      </c>
      <c r="F28" s="44" t="s">
        <v>20062</v>
      </c>
      <c r="G28" s="44">
        <v>0</v>
      </c>
      <c r="H28" s="44" t="s">
        <v>20267</v>
      </c>
      <c r="I28" s="45">
        <v>43586</v>
      </c>
      <c r="J28" s="45">
        <v>44681</v>
      </c>
      <c r="K28" s="44" t="s">
        <v>78</v>
      </c>
      <c r="L28" s="44" t="s">
        <v>177</v>
      </c>
      <c r="M28" s="44" t="s">
        <v>295</v>
      </c>
      <c r="N28" s="44" t="s">
        <v>207</v>
      </c>
      <c r="O28" s="44" t="s">
        <v>296</v>
      </c>
      <c r="P28" s="44" t="s">
        <v>297</v>
      </c>
      <c r="Q28" s="44" t="s">
        <v>20268</v>
      </c>
      <c r="R28" s="44" t="s">
        <v>20269</v>
      </c>
      <c r="S28" s="44" t="s">
        <v>20270</v>
      </c>
      <c r="T28" s="44">
        <v>59</v>
      </c>
      <c r="U28" s="44" t="s">
        <v>20067</v>
      </c>
      <c r="V28" s="44" t="s">
        <v>20067</v>
      </c>
      <c r="W28" s="44" t="s">
        <v>20067</v>
      </c>
      <c r="X28" s="44" t="s">
        <v>20068</v>
      </c>
      <c r="Y28" s="44" t="s">
        <v>20068</v>
      </c>
      <c r="Z28" s="44" t="s">
        <v>20069</v>
      </c>
      <c r="AA28" s="44">
        <v>4208</v>
      </c>
      <c r="AB28" s="44" t="s">
        <v>348</v>
      </c>
      <c r="AC28" s="44"/>
      <c r="AD28" s="44" t="s">
        <v>20271</v>
      </c>
      <c r="AE28" s="44" t="s">
        <v>20272</v>
      </c>
      <c r="AF28" s="44" t="s">
        <v>296</v>
      </c>
      <c r="AG28" s="44" t="s">
        <v>3149</v>
      </c>
      <c r="AH28" s="44" t="s">
        <v>1014</v>
      </c>
      <c r="AI28" s="44" t="s">
        <v>18715</v>
      </c>
      <c r="AJ28" s="44" t="s">
        <v>20072</v>
      </c>
      <c r="AK28" s="43">
        <v>0</v>
      </c>
      <c r="AL28" s="44">
        <v>66</v>
      </c>
      <c r="AM28" s="44">
        <v>58.333333333333336</v>
      </c>
      <c r="AN28" s="44">
        <v>27.106227106227106</v>
      </c>
      <c r="AO28" s="44">
        <v>33.762057877813497</v>
      </c>
      <c r="AP28" s="46">
        <v>62.3</v>
      </c>
      <c r="AQ28" s="47">
        <v>3</v>
      </c>
      <c r="AR28" s="47">
        <v>5</v>
      </c>
      <c r="AS28" s="47">
        <v>0</v>
      </c>
      <c r="AT28" s="47">
        <v>0</v>
      </c>
      <c r="AU28" s="46">
        <v>5</v>
      </c>
      <c r="AV28" s="46">
        <v>8</v>
      </c>
      <c r="AW28" s="46">
        <v>3</v>
      </c>
      <c r="AX28" s="47">
        <v>5</v>
      </c>
      <c r="AY28" s="47">
        <v>10</v>
      </c>
      <c r="AZ28" s="47">
        <v>16</v>
      </c>
      <c r="BA28" s="47">
        <v>6</v>
      </c>
      <c r="BB28" s="46">
        <v>45</v>
      </c>
      <c r="BC28" s="48">
        <v>1</v>
      </c>
    </row>
    <row r="29" spans="1:55" s="42" customFormat="1" x14ac:dyDescent="0.2">
      <c r="A29" s="43">
        <v>1377</v>
      </c>
      <c r="B29" s="44" t="s">
        <v>20059</v>
      </c>
      <c r="C29" s="45">
        <v>44082</v>
      </c>
      <c r="D29" s="44" t="s">
        <v>20060</v>
      </c>
      <c r="E29" s="44" t="s">
        <v>20273</v>
      </c>
      <c r="F29" s="44" t="s">
        <v>20062</v>
      </c>
      <c r="G29" s="44">
        <v>0</v>
      </c>
      <c r="H29" s="44" t="s">
        <v>20274</v>
      </c>
      <c r="I29" s="45">
        <v>44044</v>
      </c>
      <c r="J29" s="45">
        <v>45138</v>
      </c>
      <c r="K29" s="44" t="s">
        <v>81</v>
      </c>
      <c r="L29" s="44" t="s">
        <v>180</v>
      </c>
      <c r="M29" s="44" t="s">
        <v>298</v>
      </c>
      <c r="N29" s="44" t="s">
        <v>207</v>
      </c>
      <c r="O29" s="44" t="s">
        <v>299</v>
      </c>
      <c r="P29" s="44" t="s">
        <v>215</v>
      </c>
      <c r="Q29" s="44" t="s">
        <v>20275</v>
      </c>
      <c r="R29" s="44" t="s">
        <v>20276</v>
      </c>
      <c r="S29" s="44" t="s">
        <v>20131</v>
      </c>
      <c r="T29" s="44">
        <v>38</v>
      </c>
      <c r="U29" s="44" t="s">
        <v>20067</v>
      </c>
      <c r="V29" s="44" t="s">
        <v>20067</v>
      </c>
      <c r="W29" s="44" t="s">
        <v>20068</v>
      </c>
      <c r="X29" s="44" t="s">
        <v>20068</v>
      </c>
      <c r="Y29" s="44" t="s">
        <v>20067</v>
      </c>
      <c r="Z29" s="44" t="s">
        <v>20069</v>
      </c>
      <c r="AA29" s="44">
        <v>4169</v>
      </c>
      <c r="AB29" s="44" t="s">
        <v>350</v>
      </c>
      <c r="AC29" s="44"/>
      <c r="AD29" s="44" t="s">
        <v>20148</v>
      </c>
      <c r="AE29" s="44" t="s">
        <v>20149</v>
      </c>
      <c r="AF29" s="44" t="s">
        <v>299</v>
      </c>
      <c r="AG29" s="44" t="s">
        <v>2078</v>
      </c>
      <c r="AH29" s="44" t="s">
        <v>836</v>
      </c>
      <c r="AI29" s="44" t="s">
        <v>18715</v>
      </c>
      <c r="AJ29" s="44" t="s">
        <v>20072</v>
      </c>
      <c r="AK29" s="43">
        <v>0</v>
      </c>
      <c r="AL29" s="44">
        <v>36.85</v>
      </c>
      <c r="AM29" s="44">
        <v>55.333333333333336</v>
      </c>
      <c r="AN29" s="44">
        <v>41.622955877815485</v>
      </c>
      <c r="AO29" s="44">
        <v>44.360902255639097</v>
      </c>
      <c r="AP29" s="46">
        <v>37.200000000000003</v>
      </c>
      <c r="AQ29" s="47">
        <v>3</v>
      </c>
      <c r="AR29" s="47">
        <v>5</v>
      </c>
      <c r="AS29" s="47">
        <v>0</v>
      </c>
      <c r="AT29" s="47">
        <v>0</v>
      </c>
      <c r="AU29" s="46">
        <v>3</v>
      </c>
      <c r="AV29" s="46">
        <v>8</v>
      </c>
      <c r="AW29" s="46">
        <v>5</v>
      </c>
      <c r="AX29" s="47">
        <v>5</v>
      </c>
      <c r="AY29" s="47">
        <v>6</v>
      </c>
      <c r="AZ29" s="47">
        <v>16</v>
      </c>
      <c r="BA29" s="47">
        <v>10</v>
      </c>
      <c r="BB29" s="46">
        <v>45</v>
      </c>
      <c r="BC29" s="48">
        <v>1</v>
      </c>
    </row>
    <row r="30" spans="1:55" s="42" customFormat="1" x14ac:dyDescent="0.2">
      <c r="A30" s="43">
        <v>1533</v>
      </c>
      <c r="B30" s="44" t="s">
        <v>20059</v>
      </c>
      <c r="C30" s="45">
        <v>44082</v>
      </c>
      <c r="D30" s="44" t="s">
        <v>20073</v>
      </c>
      <c r="E30" s="44" t="s">
        <v>20277</v>
      </c>
      <c r="F30" s="44" t="s">
        <v>20075</v>
      </c>
      <c r="G30" s="44">
        <v>0</v>
      </c>
      <c r="H30" s="44" t="s">
        <v>20278</v>
      </c>
      <c r="I30" s="45">
        <v>43318</v>
      </c>
      <c r="J30" s="45">
        <v>44408</v>
      </c>
      <c r="K30" s="44" t="s">
        <v>1034</v>
      </c>
      <c r="L30" s="44" t="s">
        <v>1035</v>
      </c>
      <c r="M30" s="44" t="s">
        <v>222</v>
      </c>
      <c r="N30" s="44" t="s">
        <v>207</v>
      </c>
      <c r="O30" s="44" t="s">
        <v>951</v>
      </c>
      <c r="P30" s="44" t="s">
        <v>224</v>
      </c>
      <c r="Q30" s="44" t="s">
        <v>20279</v>
      </c>
      <c r="R30" s="44" t="s">
        <v>20280</v>
      </c>
      <c r="S30" s="44" t="s">
        <v>20281</v>
      </c>
      <c r="T30" s="44">
        <v>210</v>
      </c>
      <c r="U30" s="44" t="s">
        <v>20067</v>
      </c>
      <c r="V30" s="44" t="s">
        <v>20067</v>
      </c>
      <c r="W30" s="44" t="s">
        <v>20067</v>
      </c>
      <c r="X30" s="44" t="s">
        <v>20067</v>
      </c>
      <c r="Y30" s="44" t="s">
        <v>20068</v>
      </c>
      <c r="Z30" s="44" t="s">
        <v>20089</v>
      </c>
      <c r="AA30" s="44">
        <v>4280</v>
      </c>
      <c r="AB30" s="44" t="s">
        <v>376</v>
      </c>
      <c r="AC30" s="44"/>
      <c r="AD30" s="44" t="s">
        <v>20282</v>
      </c>
      <c r="AE30" s="44" t="s">
        <v>20283</v>
      </c>
      <c r="AF30" s="44" t="s">
        <v>951</v>
      </c>
      <c r="AG30" s="44" t="s">
        <v>20125</v>
      </c>
      <c r="AH30" s="44" t="s">
        <v>20222</v>
      </c>
      <c r="AI30" s="44" t="s">
        <v>18715</v>
      </c>
      <c r="AJ30" s="44" t="s">
        <v>20072</v>
      </c>
      <c r="AK30" s="43">
        <v>0</v>
      </c>
      <c r="AL30" s="44">
        <v>35</v>
      </c>
      <c r="AM30" s="44">
        <v>55.333333333333336</v>
      </c>
      <c r="AN30" s="44">
        <v>53.98643556895253</v>
      </c>
      <c r="AO30" s="44">
        <v>75.618374558303898</v>
      </c>
      <c r="AP30" s="46">
        <v>19.100000000000001</v>
      </c>
      <c r="AQ30" s="47">
        <v>5</v>
      </c>
      <c r="AR30" s="47">
        <v>5</v>
      </c>
      <c r="AS30" s="47">
        <v>0</v>
      </c>
      <c r="AT30" s="47">
        <v>0</v>
      </c>
      <c r="AU30" s="46">
        <v>3</v>
      </c>
      <c r="AV30" s="46">
        <v>8</v>
      </c>
      <c r="AW30" s="46">
        <v>5</v>
      </c>
      <c r="AX30" s="47">
        <v>3</v>
      </c>
      <c r="AY30" s="47">
        <v>6</v>
      </c>
      <c r="AZ30" s="47">
        <v>16</v>
      </c>
      <c r="BA30" s="47">
        <v>10</v>
      </c>
      <c r="BB30" s="46">
        <v>45</v>
      </c>
      <c r="BC30" s="48">
        <v>1</v>
      </c>
    </row>
    <row r="31" spans="1:55" s="42" customFormat="1" x14ac:dyDescent="0.2">
      <c r="A31" s="43">
        <v>1751</v>
      </c>
      <c r="B31" s="44" t="s">
        <v>20059</v>
      </c>
      <c r="C31" s="45">
        <v>44082</v>
      </c>
      <c r="D31" s="44" t="s">
        <v>20073</v>
      </c>
      <c r="E31" s="44" t="s">
        <v>20284</v>
      </c>
      <c r="F31" s="44" t="s">
        <v>20075</v>
      </c>
      <c r="G31" s="44">
        <v>0</v>
      </c>
      <c r="H31" s="44" t="s">
        <v>20285</v>
      </c>
      <c r="I31" s="45">
        <v>44013</v>
      </c>
      <c r="J31" s="45">
        <v>45107</v>
      </c>
      <c r="K31" s="44" t="s">
        <v>86</v>
      </c>
      <c r="L31" s="44" t="s">
        <v>185</v>
      </c>
      <c r="M31" s="44" t="s">
        <v>295</v>
      </c>
      <c r="N31" s="44" t="s">
        <v>207</v>
      </c>
      <c r="O31" s="44" t="s">
        <v>296</v>
      </c>
      <c r="P31" s="44" t="s">
        <v>297</v>
      </c>
      <c r="Q31" s="44" t="s">
        <v>20286</v>
      </c>
      <c r="R31" s="44" t="s">
        <v>20287</v>
      </c>
      <c r="S31" s="44" t="s">
        <v>20288</v>
      </c>
      <c r="T31" s="44">
        <v>85</v>
      </c>
      <c r="U31" s="44" t="s">
        <v>20067</v>
      </c>
      <c r="V31" s="44" t="s">
        <v>20067</v>
      </c>
      <c r="W31" s="44" t="s">
        <v>20067</v>
      </c>
      <c r="X31" s="44" t="s">
        <v>20068</v>
      </c>
      <c r="Y31" s="44" t="s">
        <v>20067</v>
      </c>
      <c r="Z31" s="44" t="s">
        <v>20069</v>
      </c>
      <c r="AA31" s="44">
        <v>4208</v>
      </c>
      <c r="AB31" s="44" t="s">
        <v>348</v>
      </c>
      <c r="AC31" s="44"/>
      <c r="AD31" s="44" t="s">
        <v>20271</v>
      </c>
      <c r="AE31" s="44" t="s">
        <v>20289</v>
      </c>
      <c r="AF31" s="44" t="s">
        <v>296</v>
      </c>
      <c r="AG31" s="44" t="s">
        <v>3149</v>
      </c>
      <c r="AH31" s="44" t="s">
        <v>1014</v>
      </c>
      <c r="AI31" s="44" t="s">
        <v>18715</v>
      </c>
      <c r="AJ31" s="44" t="s">
        <v>20072</v>
      </c>
      <c r="AK31" s="43">
        <v>0</v>
      </c>
      <c r="AL31" s="44">
        <v>66</v>
      </c>
      <c r="AM31" s="44">
        <v>58.333333333333336</v>
      </c>
      <c r="AN31" s="44">
        <v>27.106227106227106</v>
      </c>
      <c r="AO31" s="44">
        <v>7.1253071253071303</v>
      </c>
      <c r="AP31" s="46">
        <v>62.3</v>
      </c>
      <c r="AQ31" s="47">
        <v>3</v>
      </c>
      <c r="AR31" s="47">
        <v>5</v>
      </c>
      <c r="AS31" s="47">
        <v>0</v>
      </c>
      <c r="AT31" s="47">
        <v>0</v>
      </c>
      <c r="AU31" s="46">
        <v>5</v>
      </c>
      <c r="AV31" s="46">
        <v>8</v>
      </c>
      <c r="AW31" s="46">
        <v>3</v>
      </c>
      <c r="AX31" s="47">
        <v>5</v>
      </c>
      <c r="AY31" s="47">
        <v>10</v>
      </c>
      <c r="AZ31" s="47">
        <v>16</v>
      </c>
      <c r="BA31" s="47">
        <v>6</v>
      </c>
      <c r="BB31" s="46">
        <v>45</v>
      </c>
      <c r="BC31" s="48">
        <v>1</v>
      </c>
    </row>
    <row r="32" spans="1:55" s="42" customFormat="1" x14ac:dyDescent="0.2">
      <c r="A32" s="43">
        <v>2016</v>
      </c>
      <c r="B32" s="44" t="s">
        <v>20059</v>
      </c>
      <c r="C32" s="45">
        <v>44082</v>
      </c>
      <c r="D32" s="44" t="s">
        <v>20073</v>
      </c>
      <c r="E32" s="44" t="s">
        <v>20290</v>
      </c>
      <c r="F32" s="44" t="s">
        <v>20075</v>
      </c>
      <c r="G32" s="44">
        <v>0</v>
      </c>
      <c r="H32" s="44" t="s">
        <v>20291</v>
      </c>
      <c r="I32" s="45">
        <v>43160</v>
      </c>
      <c r="J32" s="45">
        <v>44255</v>
      </c>
      <c r="K32" s="44" t="s">
        <v>9</v>
      </c>
      <c r="L32" s="44" t="s">
        <v>110</v>
      </c>
      <c r="M32" s="44" t="s">
        <v>225</v>
      </c>
      <c r="N32" s="44" t="s">
        <v>207</v>
      </c>
      <c r="O32" s="44" t="s">
        <v>226</v>
      </c>
      <c r="P32" s="44" t="s">
        <v>221</v>
      </c>
      <c r="Q32" s="44" t="s">
        <v>20292</v>
      </c>
      <c r="R32" s="44" t="s">
        <v>20293</v>
      </c>
      <c r="S32" s="44" t="s">
        <v>20294</v>
      </c>
      <c r="T32" s="44">
        <v>40</v>
      </c>
      <c r="U32" s="44" t="s">
        <v>20067</v>
      </c>
      <c r="V32" s="44" t="s">
        <v>20067</v>
      </c>
      <c r="W32" s="44" t="s">
        <v>20067</v>
      </c>
      <c r="X32" s="44" t="s">
        <v>20068</v>
      </c>
      <c r="Y32" s="44" t="s">
        <v>20067</v>
      </c>
      <c r="Z32" s="44" t="s">
        <v>20089</v>
      </c>
      <c r="AA32" s="44">
        <v>4451</v>
      </c>
      <c r="AB32" s="44" t="s">
        <v>317</v>
      </c>
      <c r="AC32" s="44"/>
      <c r="AD32" s="44" t="s">
        <v>20245</v>
      </c>
      <c r="AE32" s="44" t="s">
        <v>20246</v>
      </c>
      <c r="AF32" s="44" t="s">
        <v>226</v>
      </c>
      <c r="AG32" s="44" t="s">
        <v>7934</v>
      </c>
      <c r="AH32" s="44" t="s">
        <v>1273</v>
      </c>
      <c r="AI32" s="44" t="s">
        <v>18723</v>
      </c>
      <c r="AJ32" s="44" t="s">
        <v>20083</v>
      </c>
      <c r="AK32" s="43">
        <v>0</v>
      </c>
      <c r="AL32" s="44">
        <v>56</v>
      </c>
      <c r="AM32" s="44">
        <v>74.666666666666671</v>
      </c>
      <c r="AN32" s="44">
        <v>41.455334704135254</v>
      </c>
      <c r="AO32" s="44">
        <v>36.2617498192336</v>
      </c>
      <c r="AP32" s="46">
        <v>47.9</v>
      </c>
      <c r="AQ32" s="47">
        <v>3</v>
      </c>
      <c r="AR32" s="47">
        <v>0</v>
      </c>
      <c r="AS32" s="47">
        <v>1</v>
      </c>
      <c r="AT32" s="47">
        <v>0</v>
      </c>
      <c r="AU32" s="46">
        <v>5</v>
      </c>
      <c r="AV32" s="46">
        <v>10</v>
      </c>
      <c r="AW32" s="46">
        <v>3</v>
      </c>
      <c r="AX32" s="47">
        <v>5</v>
      </c>
      <c r="AY32" s="47">
        <v>10</v>
      </c>
      <c r="AZ32" s="47">
        <v>20</v>
      </c>
      <c r="BA32" s="47">
        <v>6</v>
      </c>
      <c r="BB32" s="46">
        <v>45</v>
      </c>
      <c r="BC32" s="48">
        <v>1</v>
      </c>
    </row>
    <row r="33" spans="1:55" s="42" customFormat="1" x14ac:dyDescent="0.2">
      <c r="A33" s="43">
        <v>2027</v>
      </c>
      <c r="B33" s="44" t="s">
        <v>20059</v>
      </c>
      <c r="C33" s="45">
        <v>44082</v>
      </c>
      <c r="D33" s="44" t="s">
        <v>20073</v>
      </c>
      <c r="E33" s="44" t="s">
        <v>20295</v>
      </c>
      <c r="F33" s="44" t="s">
        <v>20075</v>
      </c>
      <c r="G33" s="44">
        <v>0</v>
      </c>
      <c r="H33" s="44" t="s">
        <v>20296</v>
      </c>
      <c r="I33" s="45">
        <v>43221</v>
      </c>
      <c r="J33" s="45">
        <v>44316</v>
      </c>
      <c r="K33" s="44" t="s">
        <v>29</v>
      </c>
      <c r="L33" s="44" t="s">
        <v>130</v>
      </c>
      <c r="M33" s="44" t="s">
        <v>251</v>
      </c>
      <c r="N33" s="44" t="s">
        <v>207</v>
      </c>
      <c r="O33" s="44" t="s">
        <v>257</v>
      </c>
      <c r="P33" s="44" t="s">
        <v>253</v>
      </c>
      <c r="Q33" s="44" t="s">
        <v>20297</v>
      </c>
      <c r="R33" s="44" t="s">
        <v>20298</v>
      </c>
      <c r="S33" s="44" t="s">
        <v>20131</v>
      </c>
      <c r="T33" s="44">
        <v>373</v>
      </c>
      <c r="U33" s="44" t="s">
        <v>20121</v>
      </c>
      <c r="V33" s="44" t="s">
        <v>20299</v>
      </c>
      <c r="W33" s="44" t="s">
        <v>20068</v>
      </c>
      <c r="X33" s="44" t="s">
        <v>20068</v>
      </c>
      <c r="Y33" s="44" t="s">
        <v>20068</v>
      </c>
      <c r="Z33" s="44" t="s">
        <v>20069</v>
      </c>
      <c r="AA33" s="44">
        <v>4407</v>
      </c>
      <c r="AB33" s="44" t="s">
        <v>331</v>
      </c>
      <c r="AC33" s="44"/>
      <c r="AD33" s="44" t="s">
        <v>20300</v>
      </c>
      <c r="AE33" s="44" t="s">
        <v>20301</v>
      </c>
      <c r="AF33" s="44" t="s">
        <v>257</v>
      </c>
      <c r="AG33" s="44" t="s">
        <v>20302</v>
      </c>
      <c r="AH33" s="44" t="s">
        <v>20303</v>
      </c>
      <c r="AI33" s="44" t="s">
        <v>18715</v>
      </c>
      <c r="AJ33" s="44" t="s">
        <v>20072</v>
      </c>
      <c r="AK33" s="43">
        <v>0</v>
      </c>
      <c r="AL33" s="44">
        <v>30</v>
      </c>
      <c r="AM33" s="44">
        <v>55.666666666666664</v>
      </c>
      <c r="AN33" s="44">
        <v>53.344982526210686</v>
      </c>
      <c r="AO33" s="44">
        <v>53.3449825262107</v>
      </c>
      <c r="AP33" s="46">
        <v>23.8</v>
      </c>
      <c r="AQ33" s="47">
        <v>5</v>
      </c>
      <c r="AR33" s="47">
        <v>5</v>
      </c>
      <c r="AS33" s="47">
        <v>0</v>
      </c>
      <c r="AT33" s="47">
        <v>0</v>
      </c>
      <c r="AU33" s="46">
        <v>3</v>
      </c>
      <c r="AV33" s="46">
        <v>8</v>
      </c>
      <c r="AW33" s="46">
        <v>5</v>
      </c>
      <c r="AX33" s="47">
        <v>3</v>
      </c>
      <c r="AY33" s="47">
        <v>6</v>
      </c>
      <c r="AZ33" s="47">
        <v>16</v>
      </c>
      <c r="BA33" s="47">
        <v>10</v>
      </c>
      <c r="BB33" s="46">
        <v>45</v>
      </c>
      <c r="BC33" s="48">
        <v>1</v>
      </c>
    </row>
    <row r="34" spans="1:55" s="42" customFormat="1" x14ac:dyDescent="0.2">
      <c r="A34" s="43">
        <v>2160</v>
      </c>
      <c r="B34" s="44" t="s">
        <v>20059</v>
      </c>
      <c r="C34" s="45">
        <v>44082</v>
      </c>
      <c r="D34" s="44" t="s">
        <v>20073</v>
      </c>
      <c r="E34" s="44" t="s">
        <v>20304</v>
      </c>
      <c r="F34" s="44" t="s">
        <v>20075</v>
      </c>
      <c r="G34" s="44">
        <v>0</v>
      </c>
      <c r="H34" s="44" t="s">
        <v>20305</v>
      </c>
      <c r="I34" s="45">
        <v>43435</v>
      </c>
      <c r="J34" s="45">
        <v>44530</v>
      </c>
      <c r="K34" s="44" t="s">
        <v>93</v>
      </c>
      <c r="L34" s="44" t="s">
        <v>192</v>
      </c>
      <c r="M34" s="44" t="s">
        <v>222</v>
      </c>
      <c r="N34" s="44" t="s">
        <v>207</v>
      </c>
      <c r="O34" s="44" t="s">
        <v>304</v>
      </c>
      <c r="P34" s="44" t="s">
        <v>224</v>
      </c>
      <c r="Q34" s="44" t="s">
        <v>20306</v>
      </c>
      <c r="R34" s="44" t="s">
        <v>20307</v>
      </c>
      <c r="S34" s="44" t="s">
        <v>20308</v>
      </c>
      <c r="T34" s="44">
        <v>205</v>
      </c>
      <c r="U34" s="44" t="s">
        <v>20067</v>
      </c>
      <c r="V34" s="44" t="s">
        <v>20067</v>
      </c>
      <c r="W34" s="44" t="s">
        <v>20067</v>
      </c>
      <c r="X34" s="44" t="s">
        <v>20068</v>
      </c>
      <c r="Y34" s="44" t="s">
        <v>20068</v>
      </c>
      <c r="Z34" s="44" t="s">
        <v>20089</v>
      </c>
      <c r="AA34" s="44">
        <v>4260</v>
      </c>
      <c r="AB34" s="44" t="s">
        <v>353</v>
      </c>
      <c r="AC34" s="44"/>
      <c r="AD34" s="44" t="s">
        <v>20309</v>
      </c>
      <c r="AE34" s="44" t="s">
        <v>20310</v>
      </c>
      <c r="AF34" s="44" t="s">
        <v>304</v>
      </c>
      <c r="AG34" s="44" t="s">
        <v>20125</v>
      </c>
      <c r="AH34" s="44" t="s">
        <v>20311</v>
      </c>
      <c r="AI34" s="44" t="s">
        <v>18715</v>
      </c>
      <c r="AJ34" s="44" t="s">
        <v>20072</v>
      </c>
      <c r="AK34" s="43">
        <v>0</v>
      </c>
      <c r="AL34" s="44">
        <v>61</v>
      </c>
      <c r="AM34" s="44">
        <v>44.333333333333336</v>
      </c>
      <c r="AN34" s="44">
        <v>48.639325412035262</v>
      </c>
      <c r="AO34" s="44">
        <v>51.157894736842103</v>
      </c>
      <c r="AP34" s="46">
        <v>19.100000000000001</v>
      </c>
      <c r="AQ34" s="47">
        <v>5</v>
      </c>
      <c r="AR34" s="47">
        <v>5</v>
      </c>
      <c r="AS34" s="47">
        <v>0</v>
      </c>
      <c r="AT34" s="47">
        <v>0</v>
      </c>
      <c r="AU34" s="46">
        <v>5</v>
      </c>
      <c r="AV34" s="46">
        <v>6</v>
      </c>
      <c r="AW34" s="46">
        <v>5</v>
      </c>
      <c r="AX34" s="47">
        <v>3</v>
      </c>
      <c r="AY34" s="47">
        <v>10</v>
      </c>
      <c r="AZ34" s="47">
        <v>12</v>
      </c>
      <c r="BA34" s="47">
        <v>10</v>
      </c>
      <c r="BB34" s="46">
        <v>45</v>
      </c>
      <c r="BC34" s="48">
        <v>1</v>
      </c>
    </row>
    <row r="35" spans="1:55" s="42" customFormat="1" x14ac:dyDescent="0.2">
      <c r="A35" s="43">
        <v>2436</v>
      </c>
      <c r="B35" s="44"/>
      <c r="C35" s="45">
        <v>44082</v>
      </c>
      <c r="D35" s="44" t="s">
        <v>20060</v>
      </c>
      <c r="E35" s="44" t="s">
        <v>20312</v>
      </c>
      <c r="F35" s="44" t="s">
        <v>20062</v>
      </c>
      <c r="G35" s="44">
        <v>92800</v>
      </c>
      <c r="H35" s="44" t="s">
        <v>20313</v>
      </c>
      <c r="I35" s="45">
        <v>44044</v>
      </c>
      <c r="J35" s="45">
        <v>45138</v>
      </c>
      <c r="K35" s="44" t="s">
        <v>101</v>
      </c>
      <c r="L35" s="44" t="s">
        <v>200</v>
      </c>
      <c r="M35" s="44" t="s">
        <v>307</v>
      </c>
      <c r="N35" s="44" t="s">
        <v>207</v>
      </c>
      <c r="O35" s="44" t="s">
        <v>308</v>
      </c>
      <c r="P35" s="44" t="s">
        <v>309</v>
      </c>
      <c r="Q35" s="44" t="s">
        <v>20314</v>
      </c>
      <c r="R35" s="44" t="s">
        <v>20315</v>
      </c>
      <c r="S35" s="44" t="s">
        <v>20131</v>
      </c>
      <c r="T35" s="44">
        <v>40</v>
      </c>
      <c r="U35" s="44" t="s">
        <v>20067</v>
      </c>
      <c r="V35" s="44" t="s">
        <v>20316</v>
      </c>
      <c r="W35" s="44" t="s">
        <v>20068</v>
      </c>
      <c r="X35" s="44" t="s">
        <v>20068</v>
      </c>
      <c r="Y35" s="44" t="s">
        <v>20068</v>
      </c>
      <c r="Z35" s="44" t="s">
        <v>20089</v>
      </c>
      <c r="AA35" s="44">
        <v>4505</v>
      </c>
      <c r="AB35" s="44" t="s">
        <v>354</v>
      </c>
      <c r="AC35" s="44"/>
      <c r="AD35" s="44" t="s">
        <v>20317</v>
      </c>
      <c r="AE35" s="44" t="s">
        <v>20318</v>
      </c>
      <c r="AF35" s="44" t="s">
        <v>308</v>
      </c>
      <c r="AG35" s="44" t="s">
        <v>496</v>
      </c>
      <c r="AH35" s="44" t="s">
        <v>499</v>
      </c>
      <c r="AI35" s="44" t="s">
        <v>18715</v>
      </c>
      <c r="AJ35" s="44" t="s">
        <v>20072</v>
      </c>
      <c r="AK35" s="43">
        <v>0</v>
      </c>
      <c r="AL35" s="44">
        <v>32</v>
      </c>
      <c r="AM35" s="44">
        <v>53</v>
      </c>
      <c r="AN35" s="44">
        <v>45.340624287992711</v>
      </c>
      <c r="AO35" s="44">
        <v>52.833572453371602</v>
      </c>
      <c r="AP35" s="46">
        <v>38</v>
      </c>
      <c r="AQ35" s="47">
        <v>3</v>
      </c>
      <c r="AR35" s="47">
        <v>5</v>
      </c>
      <c r="AS35" s="47">
        <v>0</v>
      </c>
      <c r="AT35" s="47">
        <v>0</v>
      </c>
      <c r="AU35" s="46">
        <v>3</v>
      </c>
      <c r="AV35" s="46">
        <v>8</v>
      </c>
      <c r="AW35" s="46">
        <v>5</v>
      </c>
      <c r="AX35" s="47">
        <v>5</v>
      </c>
      <c r="AY35" s="47">
        <v>6</v>
      </c>
      <c r="AZ35" s="47">
        <v>16</v>
      </c>
      <c r="BA35" s="47">
        <v>10</v>
      </c>
      <c r="BB35" s="46">
        <v>45</v>
      </c>
      <c r="BC35" s="48">
        <v>1</v>
      </c>
    </row>
    <row r="36" spans="1:55" s="42" customFormat="1" x14ac:dyDescent="0.2">
      <c r="A36" s="43">
        <v>16</v>
      </c>
      <c r="B36" s="44" t="s">
        <v>20059</v>
      </c>
      <c r="C36" s="45">
        <v>44082</v>
      </c>
      <c r="D36" s="44" t="s">
        <v>20060</v>
      </c>
      <c r="E36" s="44" t="s">
        <v>20319</v>
      </c>
      <c r="F36" s="44" t="s">
        <v>20062</v>
      </c>
      <c r="G36" s="44">
        <v>91322</v>
      </c>
      <c r="H36" s="44" t="s">
        <v>20320</v>
      </c>
      <c r="I36" s="45">
        <v>43101</v>
      </c>
      <c r="J36" s="45">
        <v>44196</v>
      </c>
      <c r="K36" s="44" t="s">
        <v>1036</v>
      </c>
      <c r="L36" s="44" t="s">
        <v>1037</v>
      </c>
      <c r="M36" s="44" t="s">
        <v>219</v>
      </c>
      <c r="N36" s="44" t="s">
        <v>207</v>
      </c>
      <c r="O36" s="44" t="s">
        <v>255</v>
      </c>
      <c r="P36" s="44" t="s">
        <v>221</v>
      </c>
      <c r="Q36" s="44" t="s">
        <v>20321</v>
      </c>
      <c r="R36" s="44" t="s">
        <v>20322</v>
      </c>
      <c r="S36" s="44" t="s">
        <v>20131</v>
      </c>
      <c r="T36" s="44">
        <v>89</v>
      </c>
      <c r="U36" s="44" t="s">
        <v>20121</v>
      </c>
      <c r="V36" s="44" t="s">
        <v>20121</v>
      </c>
      <c r="W36" s="44" t="s">
        <v>20068</v>
      </c>
      <c r="X36" s="44" t="s">
        <v>20068</v>
      </c>
      <c r="Y36" s="44" t="s">
        <v>20068</v>
      </c>
      <c r="Z36" s="44" t="s">
        <v>20069</v>
      </c>
      <c r="AA36" s="44">
        <v>4442</v>
      </c>
      <c r="AB36" s="44" t="s">
        <v>315</v>
      </c>
      <c r="AC36" s="44"/>
      <c r="AD36" s="44" t="s">
        <v>20323</v>
      </c>
      <c r="AE36" s="44" t="s">
        <v>20324</v>
      </c>
      <c r="AF36" s="44" t="s">
        <v>255</v>
      </c>
      <c r="AG36" s="44" t="s">
        <v>7934</v>
      </c>
      <c r="AH36" s="44" t="s">
        <v>751</v>
      </c>
      <c r="AI36" s="44" t="s">
        <v>18723</v>
      </c>
      <c r="AJ36" s="44" t="s">
        <v>20072</v>
      </c>
      <c r="AK36" s="43">
        <v>0</v>
      </c>
      <c r="AL36" s="44">
        <v>68</v>
      </c>
      <c r="AM36" s="44">
        <v>69</v>
      </c>
      <c r="AN36" s="44">
        <v>21.745806756437513</v>
      </c>
      <c r="AO36" s="44">
        <v>17.2984148862853</v>
      </c>
      <c r="AP36" s="46">
        <v>47.9</v>
      </c>
      <c r="AQ36" s="47">
        <v>3</v>
      </c>
      <c r="AR36" s="47">
        <v>0</v>
      </c>
      <c r="AS36" s="47">
        <v>0</v>
      </c>
      <c r="AT36" s="47">
        <v>0</v>
      </c>
      <c r="AU36" s="46">
        <v>5</v>
      </c>
      <c r="AV36" s="46">
        <v>10</v>
      </c>
      <c r="AW36" s="46">
        <v>3</v>
      </c>
      <c r="AX36" s="47">
        <v>5</v>
      </c>
      <c r="AY36" s="47">
        <v>10</v>
      </c>
      <c r="AZ36" s="47">
        <v>20</v>
      </c>
      <c r="BA36" s="47">
        <v>6</v>
      </c>
      <c r="BB36" s="46">
        <v>44</v>
      </c>
      <c r="BC36" s="48">
        <v>1</v>
      </c>
    </row>
    <row r="37" spans="1:55" s="42" customFormat="1" x14ac:dyDescent="0.2">
      <c r="A37" s="43">
        <v>23</v>
      </c>
      <c r="B37" s="44" t="s">
        <v>20059</v>
      </c>
      <c r="C37" s="45">
        <v>44082</v>
      </c>
      <c r="D37" s="44" t="s">
        <v>20060</v>
      </c>
      <c r="E37" s="44" t="s">
        <v>20325</v>
      </c>
      <c r="F37" s="44" t="s">
        <v>20062</v>
      </c>
      <c r="G37" s="44">
        <v>80922</v>
      </c>
      <c r="H37" s="44" t="s">
        <v>20326</v>
      </c>
      <c r="I37" s="45">
        <v>43101</v>
      </c>
      <c r="J37" s="45">
        <v>44196</v>
      </c>
      <c r="K37" s="44" t="s">
        <v>31</v>
      </c>
      <c r="L37" s="44" t="s">
        <v>132</v>
      </c>
      <c r="M37" s="44" t="s">
        <v>222</v>
      </c>
      <c r="N37" s="44" t="s">
        <v>207</v>
      </c>
      <c r="O37" s="44" t="s">
        <v>235</v>
      </c>
      <c r="P37" s="44" t="s">
        <v>224</v>
      </c>
      <c r="Q37" s="44" t="s">
        <v>20327</v>
      </c>
      <c r="R37" s="44" t="s">
        <v>20328</v>
      </c>
      <c r="S37" s="44" t="s">
        <v>20329</v>
      </c>
      <c r="T37" s="44">
        <v>188</v>
      </c>
      <c r="U37" s="44" t="s">
        <v>20330</v>
      </c>
      <c r="V37" s="44" t="s">
        <v>20262</v>
      </c>
      <c r="W37" s="44" t="s">
        <v>20068</v>
      </c>
      <c r="X37" s="44" t="s">
        <v>20068</v>
      </c>
      <c r="Y37" s="44" t="s">
        <v>20068</v>
      </c>
      <c r="Z37" s="44" t="s">
        <v>20089</v>
      </c>
      <c r="AA37" s="44">
        <v>4259</v>
      </c>
      <c r="AB37" s="44" t="s">
        <v>316</v>
      </c>
      <c r="AC37" s="44"/>
      <c r="AD37" s="44" t="s">
        <v>20331</v>
      </c>
      <c r="AE37" s="44" t="s">
        <v>20332</v>
      </c>
      <c r="AF37" s="44" t="s">
        <v>235</v>
      </c>
      <c r="AG37" s="44" t="s">
        <v>20092</v>
      </c>
      <c r="AH37" s="44" t="s">
        <v>20170</v>
      </c>
      <c r="AI37" s="44" t="s">
        <v>18723</v>
      </c>
      <c r="AJ37" s="44" t="s">
        <v>20072</v>
      </c>
      <c r="AK37" s="43">
        <v>0</v>
      </c>
      <c r="AL37" s="44">
        <v>39</v>
      </c>
      <c r="AM37" s="44">
        <v>65.333333333333329</v>
      </c>
      <c r="AN37" s="44">
        <v>56.210298689012028</v>
      </c>
      <c r="AO37" s="44">
        <v>48.4316185696361</v>
      </c>
      <c r="AP37" s="46">
        <v>19.100000000000001</v>
      </c>
      <c r="AQ37" s="47">
        <v>5</v>
      </c>
      <c r="AR37" s="47">
        <v>0</v>
      </c>
      <c r="AS37" s="47">
        <v>0</v>
      </c>
      <c r="AT37" s="47">
        <v>0</v>
      </c>
      <c r="AU37" s="46">
        <v>3</v>
      </c>
      <c r="AV37" s="46">
        <v>10</v>
      </c>
      <c r="AW37" s="46">
        <v>5</v>
      </c>
      <c r="AX37" s="47">
        <v>3</v>
      </c>
      <c r="AY37" s="47">
        <v>6</v>
      </c>
      <c r="AZ37" s="47">
        <v>20</v>
      </c>
      <c r="BA37" s="47">
        <v>10</v>
      </c>
      <c r="BB37" s="46">
        <v>44</v>
      </c>
      <c r="BC37" s="48">
        <v>1</v>
      </c>
    </row>
    <row r="38" spans="1:55" s="42" customFormat="1" x14ac:dyDescent="0.2">
      <c r="A38" s="43">
        <v>54</v>
      </c>
      <c r="B38" s="44" t="s">
        <v>20059</v>
      </c>
      <c r="C38" s="45">
        <v>44082</v>
      </c>
      <c r="D38" s="44" t="s">
        <v>20060</v>
      </c>
      <c r="E38" s="44" t="s">
        <v>20333</v>
      </c>
      <c r="F38" s="44" t="s">
        <v>20062</v>
      </c>
      <c r="G38" s="44">
        <v>9511</v>
      </c>
      <c r="H38" s="44" t="s">
        <v>20334</v>
      </c>
      <c r="I38" s="45">
        <v>43344</v>
      </c>
      <c r="J38" s="45">
        <v>44439</v>
      </c>
      <c r="K38" s="44" t="s">
        <v>32</v>
      </c>
      <c r="L38" s="44" t="s">
        <v>133</v>
      </c>
      <c r="M38" s="44" t="s">
        <v>222</v>
      </c>
      <c r="N38" s="44" t="s">
        <v>207</v>
      </c>
      <c r="O38" s="44" t="s">
        <v>262</v>
      </c>
      <c r="P38" s="44" t="s">
        <v>224</v>
      </c>
      <c r="Q38" s="44" t="s">
        <v>20335</v>
      </c>
      <c r="R38" s="44" t="s">
        <v>20336</v>
      </c>
      <c r="S38" s="44" t="s">
        <v>20131</v>
      </c>
      <c r="T38" s="44">
        <v>140</v>
      </c>
      <c r="U38" s="44" t="s">
        <v>20201</v>
      </c>
      <c r="V38" s="44" t="s">
        <v>20121</v>
      </c>
      <c r="W38" s="44" t="s">
        <v>20068</v>
      </c>
      <c r="X38" s="44" t="s">
        <v>20068</v>
      </c>
      <c r="Y38" s="44" t="s">
        <v>20068</v>
      </c>
      <c r="Z38" s="44" t="s">
        <v>20089</v>
      </c>
      <c r="AA38" s="44">
        <v>4282</v>
      </c>
      <c r="AB38" s="44" t="s">
        <v>334</v>
      </c>
      <c r="AC38" s="44"/>
      <c r="AD38" s="44" t="s">
        <v>20337</v>
      </c>
      <c r="AE38" s="44" t="s">
        <v>20338</v>
      </c>
      <c r="AF38" s="44" t="s">
        <v>262</v>
      </c>
      <c r="AG38" s="44" t="s">
        <v>20092</v>
      </c>
      <c r="AH38" s="44" t="s">
        <v>20126</v>
      </c>
      <c r="AI38" s="44" t="s">
        <v>18723</v>
      </c>
      <c r="AJ38" s="44" t="s">
        <v>20072</v>
      </c>
      <c r="AK38" s="43">
        <v>0</v>
      </c>
      <c r="AL38" s="44">
        <v>58</v>
      </c>
      <c r="AM38" s="44">
        <v>54.666666666666664</v>
      </c>
      <c r="AN38" s="44">
        <v>56.787564766839381</v>
      </c>
      <c r="AO38" s="44">
        <v>57.635048915355199</v>
      </c>
      <c r="AP38" s="46">
        <v>19.100000000000001</v>
      </c>
      <c r="AQ38" s="47">
        <v>5</v>
      </c>
      <c r="AR38" s="47">
        <v>0</v>
      </c>
      <c r="AS38" s="47">
        <v>0</v>
      </c>
      <c r="AT38" s="47">
        <v>0</v>
      </c>
      <c r="AU38" s="46">
        <v>5</v>
      </c>
      <c r="AV38" s="46">
        <v>8</v>
      </c>
      <c r="AW38" s="46">
        <v>5</v>
      </c>
      <c r="AX38" s="47">
        <v>3</v>
      </c>
      <c r="AY38" s="47">
        <v>10</v>
      </c>
      <c r="AZ38" s="47">
        <v>16</v>
      </c>
      <c r="BA38" s="47">
        <v>10</v>
      </c>
      <c r="BB38" s="46">
        <v>44</v>
      </c>
      <c r="BC38" s="48">
        <v>1</v>
      </c>
    </row>
    <row r="39" spans="1:55" s="42" customFormat="1" x14ac:dyDescent="0.2">
      <c r="A39" s="43">
        <v>144</v>
      </c>
      <c r="B39" s="44" t="s">
        <v>20059</v>
      </c>
      <c r="C39" s="45">
        <v>44082</v>
      </c>
      <c r="D39" s="44" t="s">
        <v>20060</v>
      </c>
      <c r="E39" s="44" t="s">
        <v>20339</v>
      </c>
      <c r="F39" s="44" t="s">
        <v>20062</v>
      </c>
      <c r="G39" s="44">
        <v>0</v>
      </c>
      <c r="H39" s="44" t="s">
        <v>20340</v>
      </c>
      <c r="I39" s="45">
        <v>43800</v>
      </c>
      <c r="J39" s="45">
        <v>44895</v>
      </c>
      <c r="K39" s="44" t="s">
        <v>33</v>
      </c>
      <c r="L39" s="44" t="s">
        <v>134</v>
      </c>
      <c r="M39" s="44" t="s">
        <v>222</v>
      </c>
      <c r="N39" s="44" t="s">
        <v>207</v>
      </c>
      <c r="O39" s="44" t="s">
        <v>262</v>
      </c>
      <c r="P39" s="44" t="s">
        <v>224</v>
      </c>
      <c r="Q39" s="44" t="s">
        <v>20341</v>
      </c>
      <c r="R39" s="44" t="s">
        <v>20342</v>
      </c>
      <c r="S39" s="44" t="s">
        <v>20343</v>
      </c>
      <c r="T39" s="44">
        <v>204</v>
      </c>
      <c r="U39" s="44" t="s">
        <v>20344</v>
      </c>
      <c r="V39" s="44" t="s">
        <v>20345</v>
      </c>
      <c r="W39" s="44" t="s">
        <v>20068</v>
      </c>
      <c r="X39" s="44" t="s">
        <v>20068</v>
      </c>
      <c r="Y39" s="44" t="s">
        <v>20068</v>
      </c>
      <c r="Z39" s="44" t="s">
        <v>20089</v>
      </c>
      <c r="AA39" s="44">
        <v>4282</v>
      </c>
      <c r="AB39" s="44" t="s">
        <v>334</v>
      </c>
      <c r="AC39" s="44"/>
      <c r="AD39" s="44" t="s">
        <v>20346</v>
      </c>
      <c r="AE39" s="44" t="s">
        <v>20347</v>
      </c>
      <c r="AF39" s="44" t="s">
        <v>262</v>
      </c>
      <c r="AG39" s="44" t="s">
        <v>20092</v>
      </c>
      <c r="AH39" s="44" t="s">
        <v>20126</v>
      </c>
      <c r="AI39" s="44" t="s">
        <v>18723</v>
      </c>
      <c r="AJ39" s="44" t="s">
        <v>20072</v>
      </c>
      <c r="AK39" s="43">
        <v>0</v>
      </c>
      <c r="AL39" s="44">
        <v>58</v>
      </c>
      <c r="AM39" s="44">
        <v>54.666666666666664</v>
      </c>
      <c r="AN39" s="44">
        <v>57.985967808501861</v>
      </c>
      <c r="AO39" s="44">
        <v>63.114459992823797</v>
      </c>
      <c r="AP39" s="46">
        <v>19.100000000000001</v>
      </c>
      <c r="AQ39" s="47">
        <v>5</v>
      </c>
      <c r="AR39" s="47">
        <v>0</v>
      </c>
      <c r="AS39" s="47">
        <v>0</v>
      </c>
      <c r="AT39" s="47">
        <v>0</v>
      </c>
      <c r="AU39" s="46">
        <v>5</v>
      </c>
      <c r="AV39" s="46">
        <v>8</v>
      </c>
      <c r="AW39" s="46">
        <v>5</v>
      </c>
      <c r="AX39" s="47">
        <v>3</v>
      </c>
      <c r="AY39" s="47">
        <v>10</v>
      </c>
      <c r="AZ39" s="47">
        <v>16</v>
      </c>
      <c r="BA39" s="47">
        <v>10</v>
      </c>
      <c r="BB39" s="46">
        <v>44</v>
      </c>
      <c r="BC39" s="48">
        <v>1</v>
      </c>
    </row>
    <row r="40" spans="1:55" s="42" customFormat="1" x14ac:dyDescent="0.2">
      <c r="A40" s="43">
        <v>189</v>
      </c>
      <c r="B40" s="44" t="s">
        <v>20059</v>
      </c>
      <c r="C40" s="45">
        <v>44082</v>
      </c>
      <c r="D40" s="44" t="s">
        <v>20060</v>
      </c>
      <c r="E40" s="44" t="s">
        <v>20348</v>
      </c>
      <c r="F40" s="44" t="s">
        <v>20062</v>
      </c>
      <c r="G40" s="44">
        <v>0</v>
      </c>
      <c r="H40" s="44" t="s">
        <v>20349</v>
      </c>
      <c r="I40" s="45">
        <v>43586</v>
      </c>
      <c r="J40" s="45">
        <v>44681</v>
      </c>
      <c r="K40" s="44" t="s">
        <v>1038</v>
      </c>
      <c r="L40" s="44" t="s">
        <v>1039</v>
      </c>
      <c r="M40" s="44" t="s">
        <v>222</v>
      </c>
      <c r="N40" s="44" t="s">
        <v>207</v>
      </c>
      <c r="O40" s="44" t="s">
        <v>235</v>
      </c>
      <c r="P40" s="44" t="s">
        <v>224</v>
      </c>
      <c r="Q40" s="44" t="s">
        <v>20350</v>
      </c>
      <c r="R40" s="44" t="s">
        <v>20351</v>
      </c>
      <c r="S40" s="44" t="s">
        <v>20352</v>
      </c>
      <c r="T40" s="44">
        <v>16</v>
      </c>
      <c r="U40" s="44" t="s">
        <v>20067</v>
      </c>
      <c r="V40" s="44" t="s">
        <v>20344</v>
      </c>
      <c r="W40" s="44" t="s">
        <v>20068</v>
      </c>
      <c r="X40" s="44" t="s">
        <v>20068</v>
      </c>
      <c r="Y40" s="44" t="s">
        <v>20067</v>
      </c>
      <c r="Z40" s="44" t="s">
        <v>20089</v>
      </c>
      <c r="AA40" s="44">
        <v>4265</v>
      </c>
      <c r="AB40" s="44" t="s">
        <v>322</v>
      </c>
      <c r="AC40" s="44"/>
      <c r="AD40" s="44" t="s">
        <v>20168</v>
      </c>
      <c r="AE40" s="44" t="s">
        <v>20169</v>
      </c>
      <c r="AF40" s="44" t="s">
        <v>235</v>
      </c>
      <c r="AG40" s="44" t="s">
        <v>20092</v>
      </c>
      <c r="AH40" s="44" t="s">
        <v>20170</v>
      </c>
      <c r="AI40" s="44" t="s">
        <v>18723</v>
      </c>
      <c r="AJ40" s="44" t="s">
        <v>20072</v>
      </c>
      <c r="AK40" s="43">
        <v>0</v>
      </c>
      <c r="AL40" s="44">
        <v>76</v>
      </c>
      <c r="AM40" s="44">
        <v>65.333333333333329</v>
      </c>
      <c r="AN40" s="44">
        <v>45.411589156926134</v>
      </c>
      <c r="AO40" s="44">
        <v>49.440559440559397</v>
      </c>
      <c r="AP40" s="46">
        <v>19.100000000000001</v>
      </c>
      <c r="AQ40" s="47">
        <v>1</v>
      </c>
      <c r="AR40" s="47">
        <v>0</v>
      </c>
      <c r="AS40" s="47">
        <v>0</v>
      </c>
      <c r="AT40" s="47">
        <v>0</v>
      </c>
      <c r="AU40" s="46">
        <v>5</v>
      </c>
      <c r="AV40" s="46">
        <v>10</v>
      </c>
      <c r="AW40" s="46">
        <v>5</v>
      </c>
      <c r="AX40" s="47">
        <v>3</v>
      </c>
      <c r="AY40" s="47">
        <v>10</v>
      </c>
      <c r="AZ40" s="47">
        <v>20</v>
      </c>
      <c r="BA40" s="47">
        <v>10</v>
      </c>
      <c r="BB40" s="46">
        <v>44</v>
      </c>
      <c r="BC40" s="48">
        <v>1</v>
      </c>
    </row>
    <row r="41" spans="1:55" s="42" customFormat="1" x14ac:dyDescent="0.2">
      <c r="A41" s="43">
        <v>197</v>
      </c>
      <c r="B41" s="44" t="s">
        <v>20059</v>
      </c>
      <c r="C41" s="45">
        <v>44082</v>
      </c>
      <c r="D41" s="44" t="s">
        <v>20060</v>
      </c>
      <c r="E41" s="44" t="s">
        <v>20353</v>
      </c>
      <c r="F41" s="44" t="s">
        <v>20062</v>
      </c>
      <c r="G41" s="44">
        <v>9174</v>
      </c>
      <c r="H41" s="44" t="s">
        <v>20354</v>
      </c>
      <c r="I41" s="45">
        <v>44013</v>
      </c>
      <c r="J41" s="45">
        <v>45107</v>
      </c>
      <c r="K41" s="44" t="s">
        <v>34</v>
      </c>
      <c r="L41" s="44" t="s">
        <v>135</v>
      </c>
      <c r="M41" s="44" t="s">
        <v>222</v>
      </c>
      <c r="N41" s="44" t="s">
        <v>207</v>
      </c>
      <c r="O41" s="44" t="s">
        <v>235</v>
      </c>
      <c r="P41" s="44" t="s">
        <v>224</v>
      </c>
      <c r="Q41" s="44" t="s">
        <v>20355</v>
      </c>
      <c r="R41" s="44" t="s">
        <v>20356</v>
      </c>
      <c r="S41" s="44" t="s">
        <v>20357</v>
      </c>
      <c r="T41" s="44">
        <v>116</v>
      </c>
      <c r="U41" s="44" t="s">
        <v>20067</v>
      </c>
      <c r="V41" s="44" t="s">
        <v>20202</v>
      </c>
      <c r="W41" s="44" t="s">
        <v>20068</v>
      </c>
      <c r="X41" s="44" t="s">
        <v>20068</v>
      </c>
      <c r="Y41" s="44" t="s">
        <v>20068</v>
      </c>
      <c r="Z41" s="44" t="s">
        <v>20089</v>
      </c>
      <c r="AA41" s="44">
        <v>4259</v>
      </c>
      <c r="AB41" s="44" t="s">
        <v>316</v>
      </c>
      <c r="AC41" s="44"/>
      <c r="AD41" s="44" t="s">
        <v>20358</v>
      </c>
      <c r="AE41" s="44" t="s">
        <v>20359</v>
      </c>
      <c r="AF41" s="44" t="s">
        <v>223</v>
      </c>
      <c r="AG41" s="44" t="s">
        <v>20092</v>
      </c>
      <c r="AH41" s="44" t="s">
        <v>20126</v>
      </c>
      <c r="AI41" s="44" t="s">
        <v>18723</v>
      </c>
      <c r="AJ41" s="44" t="s">
        <v>20072</v>
      </c>
      <c r="AK41" s="43">
        <v>0</v>
      </c>
      <c r="AL41" s="44">
        <v>39</v>
      </c>
      <c r="AM41" s="44">
        <v>65.333333333333329</v>
      </c>
      <c r="AN41" s="44">
        <v>46.014492753623188</v>
      </c>
      <c r="AO41" s="44">
        <v>66.472545757071501</v>
      </c>
      <c r="AP41" s="46">
        <v>19.100000000000001</v>
      </c>
      <c r="AQ41" s="47">
        <v>5</v>
      </c>
      <c r="AR41" s="47">
        <v>0</v>
      </c>
      <c r="AS41" s="47">
        <v>0</v>
      </c>
      <c r="AT41" s="47">
        <v>0</v>
      </c>
      <c r="AU41" s="46">
        <v>3</v>
      </c>
      <c r="AV41" s="46">
        <v>10</v>
      </c>
      <c r="AW41" s="46">
        <v>5</v>
      </c>
      <c r="AX41" s="47">
        <v>3</v>
      </c>
      <c r="AY41" s="47">
        <v>6</v>
      </c>
      <c r="AZ41" s="47">
        <v>20</v>
      </c>
      <c r="BA41" s="47">
        <v>10</v>
      </c>
      <c r="BB41" s="46">
        <v>44</v>
      </c>
      <c r="BC41" s="48">
        <v>1</v>
      </c>
    </row>
    <row r="42" spans="1:55" s="42" customFormat="1" x14ac:dyDescent="0.2">
      <c r="A42" s="43">
        <v>253</v>
      </c>
      <c r="B42" s="44" t="s">
        <v>20059</v>
      </c>
      <c r="C42" s="45">
        <v>44082</v>
      </c>
      <c r="D42" s="44" t="s">
        <v>20060</v>
      </c>
      <c r="E42" s="44" t="s">
        <v>20360</v>
      </c>
      <c r="F42" s="44" t="s">
        <v>20062</v>
      </c>
      <c r="G42" s="44">
        <v>0</v>
      </c>
      <c r="H42" s="44" t="s">
        <v>20361</v>
      </c>
      <c r="I42" s="45">
        <v>43706</v>
      </c>
      <c r="J42" s="45">
        <v>44773</v>
      </c>
      <c r="K42" s="44" t="s">
        <v>1040</v>
      </c>
      <c r="L42" s="44" t="s">
        <v>1041</v>
      </c>
      <c r="M42" s="44" t="s">
        <v>219</v>
      </c>
      <c r="N42" s="44" t="s">
        <v>207</v>
      </c>
      <c r="O42" s="44" t="s">
        <v>255</v>
      </c>
      <c r="P42" s="44" t="s">
        <v>221</v>
      </c>
      <c r="Q42" s="44" t="s">
        <v>20362</v>
      </c>
      <c r="R42" s="44" t="s">
        <v>20363</v>
      </c>
      <c r="S42" s="44" t="s">
        <v>20364</v>
      </c>
      <c r="T42" s="44">
        <v>59</v>
      </c>
      <c r="U42" s="44" t="s">
        <v>20067</v>
      </c>
      <c r="V42" s="44" t="s">
        <v>20067</v>
      </c>
      <c r="W42" s="44" t="s">
        <v>20067</v>
      </c>
      <c r="X42" s="44" t="s">
        <v>20068</v>
      </c>
      <c r="Y42" s="44" t="s">
        <v>20067</v>
      </c>
      <c r="Z42" s="44" t="s">
        <v>20069</v>
      </c>
      <c r="AA42" s="44">
        <v>4442</v>
      </c>
      <c r="AB42" s="44" t="s">
        <v>315</v>
      </c>
      <c r="AC42" s="44" t="s">
        <v>19745</v>
      </c>
      <c r="AD42" s="44" t="s">
        <v>20323</v>
      </c>
      <c r="AE42" s="44" t="s">
        <v>20365</v>
      </c>
      <c r="AF42" s="44" t="s">
        <v>255</v>
      </c>
      <c r="AG42" s="44" t="s">
        <v>7934</v>
      </c>
      <c r="AH42" s="44" t="s">
        <v>751</v>
      </c>
      <c r="AI42" s="44" t="s">
        <v>18723</v>
      </c>
      <c r="AJ42" s="44" t="s">
        <v>20072</v>
      </c>
      <c r="AK42" s="43">
        <v>0</v>
      </c>
      <c r="AL42" s="44">
        <v>68</v>
      </c>
      <c r="AM42" s="44">
        <v>69</v>
      </c>
      <c r="AN42" s="44">
        <v>21.745806756437513</v>
      </c>
      <c r="AO42" s="44">
        <v>19.900367068694301</v>
      </c>
      <c r="AP42" s="46">
        <v>47.9</v>
      </c>
      <c r="AQ42" s="47">
        <v>3</v>
      </c>
      <c r="AR42" s="47">
        <v>0</v>
      </c>
      <c r="AS42" s="47">
        <v>0</v>
      </c>
      <c r="AT42" s="47">
        <v>0</v>
      </c>
      <c r="AU42" s="46">
        <v>5</v>
      </c>
      <c r="AV42" s="46">
        <v>10</v>
      </c>
      <c r="AW42" s="46">
        <v>3</v>
      </c>
      <c r="AX42" s="47">
        <v>5</v>
      </c>
      <c r="AY42" s="47">
        <v>10</v>
      </c>
      <c r="AZ42" s="47">
        <v>20</v>
      </c>
      <c r="BA42" s="47">
        <v>6</v>
      </c>
      <c r="BB42" s="46">
        <v>44</v>
      </c>
      <c r="BC42" s="48">
        <v>1</v>
      </c>
    </row>
    <row r="43" spans="1:55" s="42" customFormat="1" x14ac:dyDescent="0.2">
      <c r="A43" s="43">
        <v>310</v>
      </c>
      <c r="B43" s="44" t="s">
        <v>20059</v>
      </c>
      <c r="C43" s="45">
        <v>44082</v>
      </c>
      <c r="D43" s="44" t="s">
        <v>20060</v>
      </c>
      <c r="E43" s="44" t="s">
        <v>20366</v>
      </c>
      <c r="F43" s="44" t="s">
        <v>20062</v>
      </c>
      <c r="G43" s="44">
        <v>0</v>
      </c>
      <c r="H43" s="44" t="s">
        <v>20367</v>
      </c>
      <c r="I43" s="45">
        <v>43206</v>
      </c>
      <c r="J43" s="45">
        <v>44286</v>
      </c>
      <c r="K43" s="44" t="s">
        <v>1042</v>
      </c>
      <c r="L43" s="44" t="s">
        <v>1043</v>
      </c>
      <c r="M43" s="44" t="s">
        <v>1044</v>
      </c>
      <c r="N43" s="44" t="s">
        <v>207</v>
      </c>
      <c r="O43" s="44" t="s">
        <v>1045</v>
      </c>
      <c r="P43" s="44" t="s">
        <v>221</v>
      </c>
      <c r="Q43" s="44" t="s">
        <v>20368</v>
      </c>
      <c r="R43" s="44" t="s">
        <v>20369</v>
      </c>
      <c r="S43" s="44" t="s">
        <v>20131</v>
      </c>
      <c r="T43" s="44">
        <v>59</v>
      </c>
      <c r="U43" s="44" t="s">
        <v>20067</v>
      </c>
      <c r="V43" s="44" t="s">
        <v>20370</v>
      </c>
      <c r="W43" s="44" t="s">
        <v>20068</v>
      </c>
      <c r="X43" s="44" t="s">
        <v>20068</v>
      </c>
      <c r="Y43" s="44" t="s">
        <v>20068</v>
      </c>
      <c r="Z43" s="44" t="s">
        <v>20069</v>
      </c>
      <c r="AA43" s="44">
        <v>4443</v>
      </c>
      <c r="AB43" s="44" t="s">
        <v>1046</v>
      </c>
      <c r="AC43" s="44"/>
      <c r="AD43" s="44" t="s">
        <v>20371</v>
      </c>
      <c r="AE43" s="44" t="s">
        <v>20372</v>
      </c>
      <c r="AF43" s="44" t="s">
        <v>1045</v>
      </c>
      <c r="AG43" s="44" t="s">
        <v>7934</v>
      </c>
      <c r="AH43" s="44" t="s">
        <v>1598</v>
      </c>
      <c r="AI43" s="44" t="s">
        <v>18723</v>
      </c>
      <c r="AJ43" s="44" t="s">
        <v>20072</v>
      </c>
      <c r="AK43" s="43">
        <v>0</v>
      </c>
      <c r="AL43" s="44">
        <v>64</v>
      </c>
      <c r="AM43" s="44">
        <v>53</v>
      </c>
      <c r="AN43" s="44">
        <v>21.43467122117848</v>
      </c>
      <c r="AO43" s="44">
        <v>49.174174174174198</v>
      </c>
      <c r="AP43" s="46">
        <v>47.9</v>
      </c>
      <c r="AQ43" s="47">
        <v>3</v>
      </c>
      <c r="AR43" s="47">
        <v>0</v>
      </c>
      <c r="AS43" s="47">
        <v>0</v>
      </c>
      <c r="AT43" s="47">
        <v>0</v>
      </c>
      <c r="AU43" s="46">
        <v>5</v>
      </c>
      <c r="AV43" s="46">
        <v>8</v>
      </c>
      <c r="AW43" s="46">
        <v>5</v>
      </c>
      <c r="AX43" s="47">
        <v>5</v>
      </c>
      <c r="AY43" s="47">
        <v>10</v>
      </c>
      <c r="AZ43" s="47">
        <v>16</v>
      </c>
      <c r="BA43" s="47">
        <v>10</v>
      </c>
      <c r="BB43" s="46">
        <v>44</v>
      </c>
      <c r="BC43" s="48">
        <v>1</v>
      </c>
    </row>
    <row r="44" spans="1:55" s="42" customFormat="1" x14ac:dyDescent="0.2">
      <c r="A44" s="43">
        <v>436</v>
      </c>
      <c r="B44" s="44" t="s">
        <v>20059</v>
      </c>
      <c r="C44" s="45">
        <v>44082</v>
      </c>
      <c r="D44" s="44" t="s">
        <v>20060</v>
      </c>
      <c r="E44" s="44" t="s">
        <v>20373</v>
      </c>
      <c r="F44" s="44" t="s">
        <v>20062</v>
      </c>
      <c r="G44" s="44">
        <v>0</v>
      </c>
      <c r="H44" s="44" t="s">
        <v>20374</v>
      </c>
      <c r="I44" s="45">
        <v>43678</v>
      </c>
      <c r="J44" s="45">
        <v>44773</v>
      </c>
      <c r="K44" s="44" t="s">
        <v>35</v>
      </c>
      <c r="L44" s="44" t="s">
        <v>136</v>
      </c>
      <c r="M44" s="44" t="s">
        <v>222</v>
      </c>
      <c r="N44" s="44" t="s">
        <v>207</v>
      </c>
      <c r="O44" s="44" t="s">
        <v>223</v>
      </c>
      <c r="P44" s="44" t="s">
        <v>224</v>
      </c>
      <c r="Q44" s="44" t="s">
        <v>20375</v>
      </c>
      <c r="R44" s="44" t="s">
        <v>20376</v>
      </c>
      <c r="S44" s="44" t="s">
        <v>20377</v>
      </c>
      <c r="T44" s="44">
        <v>185</v>
      </c>
      <c r="U44" s="44" t="s">
        <v>20067</v>
      </c>
      <c r="V44" s="44" t="s">
        <v>20067</v>
      </c>
      <c r="W44" s="44" t="s">
        <v>20067</v>
      </c>
      <c r="X44" s="44" t="s">
        <v>20068</v>
      </c>
      <c r="Y44" s="44" t="s">
        <v>20067</v>
      </c>
      <c r="Z44" s="44" t="s">
        <v>20089</v>
      </c>
      <c r="AA44" s="44">
        <v>4282</v>
      </c>
      <c r="AB44" s="44" t="s">
        <v>334</v>
      </c>
      <c r="AC44" s="44" t="s">
        <v>19745</v>
      </c>
      <c r="AD44" s="44" t="s">
        <v>20378</v>
      </c>
      <c r="AE44" s="44" t="s">
        <v>20379</v>
      </c>
      <c r="AF44" s="44" t="s">
        <v>223</v>
      </c>
      <c r="AG44" s="44" t="s">
        <v>20092</v>
      </c>
      <c r="AH44" s="44" t="s">
        <v>20126</v>
      </c>
      <c r="AI44" s="44" t="s">
        <v>18723</v>
      </c>
      <c r="AJ44" s="44" t="s">
        <v>20072</v>
      </c>
      <c r="AK44" s="43">
        <v>0</v>
      </c>
      <c r="AL44" s="44">
        <v>58</v>
      </c>
      <c r="AM44" s="44">
        <v>54.666666666666664</v>
      </c>
      <c r="AN44" s="44">
        <v>47.020739602765282</v>
      </c>
      <c r="AO44" s="44">
        <v>56.224161690399598</v>
      </c>
      <c r="AP44" s="46">
        <v>19.100000000000001</v>
      </c>
      <c r="AQ44" s="47">
        <v>5</v>
      </c>
      <c r="AR44" s="47">
        <v>0</v>
      </c>
      <c r="AS44" s="47">
        <v>0</v>
      </c>
      <c r="AT44" s="47">
        <v>0</v>
      </c>
      <c r="AU44" s="46">
        <v>5</v>
      </c>
      <c r="AV44" s="46">
        <v>8</v>
      </c>
      <c r="AW44" s="46">
        <v>5</v>
      </c>
      <c r="AX44" s="47">
        <v>3</v>
      </c>
      <c r="AY44" s="47">
        <v>10</v>
      </c>
      <c r="AZ44" s="47">
        <v>16</v>
      </c>
      <c r="BA44" s="47">
        <v>10</v>
      </c>
      <c r="BB44" s="46">
        <v>44</v>
      </c>
      <c r="BC44" s="48">
        <v>1</v>
      </c>
    </row>
    <row r="45" spans="1:55" s="42" customFormat="1" x14ac:dyDescent="0.2">
      <c r="A45" s="43">
        <v>478</v>
      </c>
      <c r="B45" s="44" t="s">
        <v>20059</v>
      </c>
      <c r="C45" s="45">
        <v>44082</v>
      </c>
      <c r="D45" s="44" t="s">
        <v>20060</v>
      </c>
      <c r="E45" s="44" t="s">
        <v>20380</v>
      </c>
      <c r="F45" s="44" t="s">
        <v>20062</v>
      </c>
      <c r="G45" s="44">
        <v>0</v>
      </c>
      <c r="H45" s="44" t="s">
        <v>20381</v>
      </c>
      <c r="I45" s="45">
        <v>43525</v>
      </c>
      <c r="J45" s="45">
        <v>44620</v>
      </c>
      <c r="K45" s="44" t="s">
        <v>1047</v>
      </c>
      <c r="L45" s="44" t="s">
        <v>1048</v>
      </c>
      <c r="M45" s="44" t="s">
        <v>219</v>
      </c>
      <c r="N45" s="44" t="s">
        <v>207</v>
      </c>
      <c r="O45" s="44" t="s">
        <v>255</v>
      </c>
      <c r="P45" s="44" t="s">
        <v>221</v>
      </c>
      <c r="Q45" s="44" t="s">
        <v>20382</v>
      </c>
      <c r="R45" s="44" t="s">
        <v>20383</v>
      </c>
      <c r="S45" s="44" t="s">
        <v>20131</v>
      </c>
      <c r="T45" s="44">
        <v>59</v>
      </c>
      <c r="U45" s="44" t="s">
        <v>20107</v>
      </c>
      <c r="V45" s="44" t="s">
        <v>20344</v>
      </c>
      <c r="W45" s="44" t="s">
        <v>20068</v>
      </c>
      <c r="X45" s="44" t="s">
        <v>20068</v>
      </c>
      <c r="Y45" s="44" t="s">
        <v>20068</v>
      </c>
      <c r="Z45" s="44" t="s">
        <v>20069</v>
      </c>
      <c r="AA45" s="44">
        <v>4442</v>
      </c>
      <c r="AB45" s="44" t="s">
        <v>315</v>
      </c>
      <c r="AC45" s="44"/>
      <c r="AD45" s="44" t="s">
        <v>20323</v>
      </c>
      <c r="AE45" s="44" t="s">
        <v>20324</v>
      </c>
      <c r="AF45" s="44" t="s">
        <v>255</v>
      </c>
      <c r="AG45" s="44" t="s">
        <v>7934</v>
      </c>
      <c r="AH45" s="44" t="s">
        <v>751</v>
      </c>
      <c r="AI45" s="44" t="s">
        <v>18723</v>
      </c>
      <c r="AJ45" s="44" t="s">
        <v>20072</v>
      </c>
      <c r="AK45" s="43">
        <v>0</v>
      </c>
      <c r="AL45" s="44">
        <v>68</v>
      </c>
      <c r="AM45" s="44">
        <v>69</v>
      </c>
      <c r="AN45" s="44">
        <v>21.745806756437513</v>
      </c>
      <c r="AO45" s="44">
        <v>17.2984148862853</v>
      </c>
      <c r="AP45" s="46">
        <v>47.9</v>
      </c>
      <c r="AQ45" s="47">
        <v>3</v>
      </c>
      <c r="AR45" s="47">
        <v>0</v>
      </c>
      <c r="AS45" s="47">
        <v>0</v>
      </c>
      <c r="AT45" s="47">
        <v>0</v>
      </c>
      <c r="AU45" s="46">
        <v>5</v>
      </c>
      <c r="AV45" s="46">
        <v>10</v>
      </c>
      <c r="AW45" s="46">
        <v>3</v>
      </c>
      <c r="AX45" s="47">
        <v>5</v>
      </c>
      <c r="AY45" s="47">
        <v>10</v>
      </c>
      <c r="AZ45" s="47">
        <v>20</v>
      </c>
      <c r="BA45" s="47">
        <v>6</v>
      </c>
      <c r="BB45" s="46">
        <v>44</v>
      </c>
      <c r="BC45" s="48">
        <v>1</v>
      </c>
    </row>
    <row r="46" spans="1:55" s="42" customFormat="1" x14ac:dyDescent="0.2">
      <c r="A46" s="43">
        <v>586</v>
      </c>
      <c r="B46" s="44" t="s">
        <v>20059</v>
      </c>
      <c r="C46" s="45">
        <v>44082</v>
      </c>
      <c r="D46" s="44" t="s">
        <v>20060</v>
      </c>
      <c r="E46" s="44" t="s">
        <v>20384</v>
      </c>
      <c r="F46" s="44" t="s">
        <v>20062</v>
      </c>
      <c r="G46" s="44">
        <v>0</v>
      </c>
      <c r="H46" s="44" t="s">
        <v>20385</v>
      </c>
      <c r="I46" s="45">
        <v>43435</v>
      </c>
      <c r="J46" s="45">
        <v>44530</v>
      </c>
      <c r="K46" s="44" t="s">
        <v>1049</v>
      </c>
      <c r="L46" s="44" t="s">
        <v>1050</v>
      </c>
      <c r="M46" s="44" t="s">
        <v>219</v>
      </c>
      <c r="N46" s="44" t="s">
        <v>207</v>
      </c>
      <c r="O46" s="44" t="s">
        <v>255</v>
      </c>
      <c r="P46" s="44" t="s">
        <v>221</v>
      </c>
      <c r="Q46" s="44" t="s">
        <v>20386</v>
      </c>
      <c r="R46" s="44" t="s">
        <v>20387</v>
      </c>
      <c r="S46" s="44" t="s">
        <v>20388</v>
      </c>
      <c r="T46" s="44">
        <v>49</v>
      </c>
      <c r="U46" s="44" t="s">
        <v>20201</v>
      </c>
      <c r="V46" s="44" t="s">
        <v>20389</v>
      </c>
      <c r="W46" s="44" t="s">
        <v>20068</v>
      </c>
      <c r="X46" s="44" t="s">
        <v>20068</v>
      </c>
      <c r="Y46" s="44" t="s">
        <v>20068</v>
      </c>
      <c r="Z46" s="44" t="s">
        <v>20069</v>
      </c>
      <c r="AA46" s="44">
        <v>4442</v>
      </c>
      <c r="AB46" s="44" t="s">
        <v>315</v>
      </c>
      <c r="AC46" s="44"/>
      <c r="AD46" s="44" t="s">
        <v>20323</v>
      </c>
      <c r="AE46" s="44" t="s">
        <v>20390</v>
      </c>
      <c r="AF46" s="44" t="s">
        <v>255</v>
      </c>
      <c r="AG46" s="44" t="s">
        <v>7934</v>
      </c>
      <c r="AH46" s="44" t="s">
        <v>751</v>
      </c>
      <c r="AI46" s="44" t="s">
        <v>18723</v>
      </c>
      <c r="AJ46" s="44" t="s">
        <v>20072</v>
      </c>
      <c r="AK46" s="43">
        <v>0</v>
      </c>
      <c r="AL46" s="44">
        <v>68</v>
      </c>
      <c r="AM46" s="44">
        <v>69</v>
      </c>
      <c r="AN46" s="44">
        <v>21.745806756437513</v>
      </c>
      <c r="AO46" s="44">
        <v>20.2725724020443</v>
      </c>
      <c r="AP46" s="46">
        <v>47.9</v>
      </c>
      <c r="AQ46" s="47">
        <v>3</v>
      </c>
      <c r="AR46" s="47">
        <v>0</v>
      </c>
      <c r="AS46" s="47">
        <v>0</v>
      </c>
      <c r="AT46" s="47">
        <v>0</v>
      </c>
      <c r="AU46" s="46">
        <v>5</v>
      </c>
      <c r="AV46" s="46">
        <v>10</v>
      </c>
      <c r="AW46" s="46">
        <v>3</v>
      </c>
      <c r="AX46" s="47">
        <v>5</v>
      </c>
      <c r="AY46" s="47">
        <v>10</v>
      </c>
      <c r="AZ46" s="47">
        <v>20</v>
      </c>
      <c r="BA46" s="47">
        <v>6</v>
      </c>
      <c r="BB46" s="46">
        <v>44</v>
      </c>
      <c r="BC46" s="48">
        <v>1</v>
      </c>
    </row>
    <row r="47" spans="1:55" s="42" customFormat="1" x14ac:dyDescent="0.2">
      <c r="A47" s="43">
        <v>707</v>
      </c>
      <c r="B47" s="44" t="s">
        <v>20059</v>
      </c>
      <c r="C47" s="45">
        <v>44082</v>
      </c>
      <c r="D47" s="44" t="s">
        <v>20060</v>
      </c>
      <c r="E47" s="44" t="s">
        <v>20391</v>
      </c>
      <c r="F47" s="44" t="s">
        <v>20062</v>
      </c>
      <c r="G47" s="44">
        <v>460999</v>
      </c>
      <c r="H47" s="44" t="s">
        <v>20392</v>
      </c>
      <c r="I47" s="45">
        <v>43525</v>
      </c>
      <c r="J47" s="45">
        <v>44620</v>
      </c>
      <c r="K47" s="44" t="s">
        <v>1051</v>
      </c>
      <c r="L47" s="44" t="s">
        <v>1052</v>
      </c>
      <c r="M47" s="44" t="s">
        <v>1053</v>
      </c>
      <c r="N47" s="44" t="s">
        <v>207</v>
      </c>
      <c r="O47" s="44" t="s">
        <v>1054</v>
      </c>
      <c r="P47" s="44" t="s">
        <v>224</v>
      </c>
      <c r="Q47" s="44" t="s">
        <v>20393</v>
      </c>
      <c r="R47" s="44" t="s">
        <v>20394</v>
      </c>
      <c r="S47" s="44" t="s">
        <v>20395</v>
      </c>
      <c r="T47" s="44">
        <v>151</v>
      </c>
      <c r="U47" s="44" t="s">
        <v>20067</v>
      </c>
      <c r="V47" s="44" t="s">
        <v>20299</v>
      </c>
      <c r="W47" s="44" t="s">
        <v>20068</v>
      </c>
      <c r="X47" s="44" t="s">
        <v>20068</v>
      </c>
      <c r="Y47" s="44" t="s">
        <v>20068</v>
      </c>
      <c r="Z47" s="44" t="s">
        <v>20069</v>
      </c>
      <c r="AA47" s="44">
        <v>4442</v>
      </c>
      <c r="AB47" s="44" t="s">
        <v>315</v>
      </c>
      <c r="AC47" s="44"/>
      <c r="AD47" s="44" t="s">
        <v>20396</v>
      </c>
      <c r="AE47" s="44" t="s">
        <v>20397</v>
      </c>
      <c r="AF47" s="44" t="s">
        <v>1054</v>
      </c>
      <c r="AG47" s="44" t="s">
        <v>7934</v>
      </c>
      <c r="AH47" s="44" t="s">
        <v>1308</v>
      </c>
      <c r="AI47" s="44" t="s">
        <v>18723</v>
      </c>
      <c r="AJ47" s="44" t="s">
        <v>20072</v>
      </c>
      <c r="AK47" s="43">
        <v>0</v>
      </c>
      <c r="AL47" s="44">
        <v>68</v>
      </c>
      <c r="AM47" s="44">
        <v>69</v>
      </c>
      <c r="AN47" s="44">
        <v>20.225617338781309</v>
      </c>
      <c r="AO47" s="44">
        <v>24.857900719969699</v>
      </c>
      <c r="AP47" s="46">
        <v>19.100000000000001</v>
      </c>
      <c r="AQ47" s="47">
        <v>5</v>
      </c>
      <c r="AR47" s="47">
        <v>0</v>
      </c>
      <c r="AS47" s="47">
        <v>0</v>
      </c>
      <c r="AT47" s="47">
        <v>0</v>
      </c>
      <c r="AU47" s="46">
        <v>5</v>
      </c>
      <c r="AV47" s="46">
        <v>10</v>
      </c>
      <c r="AW47" s="46">
        <v>3</v>
      </c>
      <c r="AX47" s="47">
        <v>3</v>
      </c>
      <c r="AY47" s="47">
        <v>10</v>
      </c>
      <c r="AZ47" s="47">
        <v>20</v>
      </c>
      <c r="BA47" s="47">
        <v>6</v>
      </c>
      <c r="BB47" s="46">
        <v>44</v>
      </c>
      <c r="BC47" s="48">
        <v>1</v>
      </c>
    </row>
    <row r="48" spans="1:55" s="42" customFormat="1" x14ac:dyDescent="0.2">
      <c r="A48" s="43">
        <v>709</v>
      </c>
      <c r="B48" s="44" t="s">
        <v>20059</v>
      </c>
      <c r="C48" s="45">
        <v>44082</v>
      </c>
      <c r="D48" s="44" t="s">
        <v>20060</v>
      </c>
      <c r="E48" s="44" t="s">
        <v>20398</v>
      </c>
      <c r="F48" s="44" t="s">
        <v>20062</v>
      </c>
      <c r="G48" s="44">
        <v>934629</v>
      </c>
      <c r="H48" s="44" t="s">
        <v>20399</v>
      </c>
      <c r="I48" s="45">
        <v>43862</v>
      </c>
      <c r="J48" s="45">
        <v>44957</v>
      </c>
      <c r="K48" s="44" t="s">
        <v>1055</v>
      </c>
      <c r="L48" s="44" t="s">
        <v>1056</v>
      </c>
      <c r="M48" s="44" t="s">
        <v>219</v>
      </c>
      <c r="N48" s="44" t="s">
        <v>207</v>
      </c>
      <c r="O48" s="44" t="s">
        <v>255</v>
      </c>
      <c r="P48" s="44" t="s">
        <v>221</v>
      </c>
      <c r="Q48" s="44" t="s">
        <v>20400</v>
      </c>
      <c r="R48" s="44" t="s">
        <v>20401</v>
      </c>
      <c r="S48" s="44" t="s">
        <v>20131</v>
      </c>
      <c r="T48" s="44">
        <v>59</v>
      </c>
      <c r="U48" s="44" t="s">
        <v>20262</v>
      </c>
      <c r="V48" s="44" t="s">
        <v>20211</v>
      </c>
      <c r="W48" s="44" t="s">
        <v>20068</v>
      </c>
      <c r="X48" s="44" t="s">
        <v>20068</v>
      </c>
      <c r="Y48" s="44" t="s">
        <v>20068</v>
      </c>
      <c r="Z48" s="44" t="s">
        <v>20069</v>
      </c>
      <c r="AA48" s="44">
        <v>4442</v>
      </c>
      <c r="AB48" s="44" t="s">
        <v>315</v>
      </c>
      <c r="AC48" s="44"/>
      <c r="AD48" s="44" t="s">
        <v>20323</v>
      </c>
      <c r="AE48" s="44" t="s">
        <v>20402</v>
      </c>
      <c r="AF48" s="44" t="s">
        <v>255</v>
      </c>
      <c r="AG48" s="44" t="s">
        <v>7934</v>
      </c>
      <c r="AH48" s="44" t="s">
        <v>751</v>
      </c>
      <c r="AI48" s="44" t="s">
        <v>18723</v>
      </c>
      <c r="AJ48" s="44" t="s">
        <v>20072</v>
      </c>
      <c r="AK48" s="43">
        <v>0</v>
      </c>
      <c r="AL48" s="44">
        <v>68</v>
      </c>
      <c r="AM48" s="44">
        <v>69</v>
      </c>
      <c r="AN48" s="44">
        <v>21.745806756437513</v>
      </c>
      <c r="AO48" s="44">
        <v>32.9166666666667</v>
      </c>
      <c r="AP48" s="46">
        <v>47.9</v>
      </c>
      <c r="AQ48" s="47">
        <v>3</v>
      </c>
      <c r="AR48" s="47">
        <v>0</v>
      </c>
      <c r="AS48" s="47">
        <v>0</v>
      </c>
      <c r="AT48" s="47">
        <v>0</v>
      </c>
      <c r="AU48" s="46">
        <v>5</v>
      </c>
      <c r="AV48" s="46">
        <v>10</v>
      </c>
      <c r="AW48" s="46">
        <v>3</v>
      </c>
      <c r="AX48" s="47">
        <v>5</v>
      </c>
      <c r="AY48" s="47">
        <v>10</v>
      </c>
      <c r="AZ48" s="47">
        <v>20</v>
      </c>
      <c r="BA48" s="47">
        <v>6</v>
      </c>
      <c r="BB48" s="46">
        <v>44</v>
      </c>
      <c r="BC48" s="48">
        <v>1</v>
      </c>
    </row>
    <row r="49" spans="1:55" s="42" customFormat="1" x14ac:dyDescent="0.2">
      <c r="A49" s="43">
        <v>794</v>
      </c>
      <c r="B49" s="44" t="s">
        <v>20059</v>
      </c>
      <c r="C49" s="45">
        <v>44082</v>
      </c>
      <c r="D49" s="44" t="s">
        <v>20060</v>
      </c>
      <c r="E49" s="44" t="s">
        <v>20403</v>
      </c>
      <c r="F49" s="44" t="s">
        <v>20062</v>
      </c>
      <c r="G49" s="44">
        <v>79828</v>
      </c>
      <c r="H49" s="44" t="s">
        <v>20404</v>
      </c>
      <c r="I49" s="45">
        <v>43739</v>
      </c>
      <c r="J49" s="45">
        <v>44834</v>
      </c>
      <c r="K49" s="44" t="s">
        <v>37</v>
      </c>
      <c r="L49" s="44" t="s">
        <v>138</v>
      </c>
      <c r="M49" s="44" t="s">
        <v>222</v>
      </c>
      <c r="N49" s="44" t="s">
        <v>207</v>
      </c>
      <c r="O49" s="44" t="s">
        <v>235</v>
      </c>
      <c r="P49" s="44" t="s">
        <v>224</v>
      </c>
      <c r="Q49" s="44" t="s">
        <v>20405</v>
      </c>
      <c r="R49" s="44" t="s">
        <v>20406</v>
      </c>
      <c r="S49" s="44" t="s">
        <v>20218</v>
      </c>
      <c r="T49" s="44">
        <v>140</v>
      </c>
      <c r="U49" s="44" t="s">
        <v>20344</v>
      </c>
      <c r="V49" s="44" t="s">
        <v>20108</v>
      </c>
      <c r="W49" s="44" t="s">
        <v>20068</v>
      </c>
      <c r="X49" s="44" t="s">
        <v>20068</v>
      </c>
      <c r="Y49" s="44" t="s">
        <v>20068</v>
      </c>
      <c r="Z49" s="44" t="s">
        <v>20089</v>
      </c>
      <c r="AA49" s="44">
        <v>4259</v>
      </c>
      <c r="AB49" s="44" t="s">
        <v>316</v>
      </c>
      <c r="AC49" s="44"/>
      <c r="AD49" s="44" t="s">
        <v>20407</v>
      </c>
      <c r="AE49" s="44" t="s">
        <v>20408</v>
      </c>
      <c r="AF49" s="44" t="s">
        <v>235</v>
      </c>
      <c r="AG49" s="44" t="s">
        <v>20092</v>
      </c>
      <c r="AH49" s="44" t="s">
        <v>20170</v>
      </c>
      <c r="AI49" s="44" t="s">
        <v>18723</v>
      </c>
      <c r="AJ49" s="44" t="s">
        <v>20072</v>
      </c>
      <c r="AK49" s="43">
        <v>0</v>
      </c>
      <c r="AL49" s="44">
        <v>39</v>
      </c>
      <c r="AM49" s="44">
        <v>65.333333333333329</v>
      </c>
      <c r="AN49" s="44">
        <v>57.609329446064137</v>
      </c>
      <c r="AO49" s="44">
        <v>67.685076380728603</v>
      </c>
      <c r="AP49" s="46">
        <v>19.100000000000001</v>
      </c>
      <c r="AQ49" s="47">
        <v>5</v>
      </c>
      <c r="AR49" s="47">
        <v>0</v>
      </c>
      <c r="AS49" s="47">
        <v>0</v>
      </c>
      <c r="AT49" s="47">
        <v>0</v>
      </c>
      <c r="AU49" s="46">
        <v>3</v>
      </c>
      <c r="AV49" s="46">
        <v>10</v>
      </c>
      <c r="AW49" s="46">
        <v>5</v>
      </c>
      <c r="AX49" s="47">
        <v>3</v>
      </c>
      <c r="AY49" s="47">
        <v>6</v>
      </c>
      <c r="AZ49" s="47">
        <v>20</v>
      </c>
      <c r="BA49" s="47">
        <v>10</v>
      </c>
      <c r="BB49" s="46">
        <v>44</v>
      </c>
      <c r="BC49" s="48">
        <v>1</v>
      </c>
    </row>
    <row r="50" spans="1:55" s="42" customFormat="1" x14ac:dyDescent="0.2">
      <c r="A50" s="43">
        <v>1094</v>
      </c>
      <c r="B50" s="44" t="s">
        <v>20059</v>
      </c>
      <c r="C50" s="45">
        <v>44082</v>
      </c>
      <c r="D50" s="44" t="s">
        <v>20060</v>
      </c>
      <c r="E50" s="44" t="s">
        <v>20409</v>
      </c>
      <c r="F50" s="44" t="s">
        <v>20062</v>
      </c>
      <c r="G50" s="44">
        <v>0</v>
      </c>
      <c r="H50" s="44" t="s">
        <v>20410</v>
      </c>
      <c r="I50" s="45">
        <v>43628</v>
      </c>
      <c r="J50" s="45">
        <v>44712</v>
      </c>
      <c r="K50" s="44" t="s">
        <v>1057</v>
      </c>
      <c r="L50" s="44" t="s">
        <v>1058</v>
      </c>
      <c r="M50" s="44" t="s">
        <v>1059</v>
      </c>
      <c r="N50" s="44" t="s">
        <v>207</v>
      </c>
      <c r="O50" s="44" t="s">
        <v>1054</v>
      </c>
      <c r="P50" s="44" t="s">
        <v>221</v>
      </c>
      <c r="Q50" s="44" t="s">
        <v>20411</v>
      </c>
      <c r="R50" s="44" t="s">
        <v>20412</v>
      </c>
      <c r="S50" s="44" t="s">
        <v>20131</v>
      </c>
      <c r="T50" s="44">
        <v>59</v>
      </c>
      <c r="U50" s="44" t="s">
        <v>20067</v>
      </c>
      <c r="V50" s="44" t="s">
        <v>20067</v>
      </c>
      <c r="W50" s="44" t="s">
        <v>20067</v>
      </c>
      <c r="X50" s="44" t="s">
        <v>20067</v>
      </c>
      <c r="Y50" s="44" t="s">
        <v>20068</v>
      </c>
      <c r="Z50" s="44" t="s">
        <v>20069</v>
      </c>
      <c r="AA50" s="44">
        <v>4442</v>
      </c>
      <c r="AB50" s="44" t="s">
        <v>315</v>
      </c>
      <c r="AC50" s="44"/>
      <c r="AD50" s="44" t="s">
        <v>20396</v>
      </c>
      <c r="AE50" s="44" t="s">
        <v>20397</v>
      </c>
      <c r="AF50" s="44" t="s">
        <v>1054</v>
      </c>
      <c r="AG50" s="44" t="s">
        <v>7934</v>
      </c>
      <c r="AH50" s="44" t="s">
        <v>1308</v>
      </c>
      <c r="AI50" s="44" t="s">
        <v>18723</v>
      </c>
      <c r="AJ50" s="44" t="s">
        <v>20072</v>
      </c>
      <c r="AK50" s="43">
        <v>0</v>
      </c>
      <c r="AL50" s="44">
        <v>68</v>
      </c>
      <c r="AM50" s="44">
        <v>69</v>
      </c>
      <c r="AN50" s="44">
        <v>20.225617338781309</v>
      </c>
      <c r="AO50" s="44">
        <v>24.857900719969699</v>
      </c>
      <c r="AP50" s="46">
        <v>47.9</v>
      </c>
      <c r="AQ50" s="47">
        <v>3</v>
      </c>
      <c r="AR50" s="47">
        <v>0</v>
      </c>
      <c r="AS50" s="47">
        <v>0</v>
      </c>
      <c r="AT50" s="47">
        <v>0</v>
      </c>
      <c r="AU50" s="46">
        <v>5</v>
      </c>
      <c r="AV50" s="46">
        <v>10</v>
      </c>
      <c r="AW50" s="46">
        <v>3</v>
      </c>
      <c r="AX50" s="47">
        <v>5</v>
      </c>
      <c r="AY50" s="47">
        <v>10</v>
      </c>
      <c r="AZ50" s="47">
        <v>20</v>
      </c>
      <c r="BA50" s="47">
        <v>6</v>
      </c>
      <c r="BB50" s="46">
        <v>44</v>
      </c>
      <c r="BC50" s="48">
        <v>1</v>
      </c>
    </row>
    <row r="51" spans="1:55" s="42" customFormat="1" x14ac:dyDescent="0.2">
      <c r="A51" s="43">
        <v>1486</v>
      </c>
      <c r="B51" s="44" t="s">
        <v>20059</v>
      </c>
      <c r="C51" s="45">
        <v>44082</v>
      </c>
      <c r="D51" s="44" t="s">
        <v>20060</v>
      </c>
      <c r="E51" s="44" t="s">
        <v>20413</v>
      </c>
      <c r="F51" s="44" t="s">
        <v>20062</v>
      </c>
      <c r="G51" s="44">
        <v>0</v>
      </c>
      <c r="H51" s="44" t="s">
        <v>20414</v>
      </c>
      <c r="I51" s="45">
        <v>43647</v>
      </c>
      <c r="J51" s="45">
        <v>44742</v>
      </c>
      <c r="K51" s="44" t="s">
        <v>1060</v>
      </c>
      <c r="L51" s="44" t="s">
        <v>1061</v>
      </c>
      <c r="M51" s="44" t="s">
        <v>1053</v>
      </c>
      <c r="N51" s="44" t="s">
        <v>207</v>
      </c>
      <c r="O51" s="44" t="s">
        <v>1054</v>
      </c>
      <c r="P51" s="44" t="s">
        <v>224</v>
      </c>
      <c r="Q51" s="44" t="s">
        <v>20415</v>
      </c>
      <c r="R51" s="44" t="s">
        <v>20416</v>
      </c>
      <c r="S51" s="44" t="s">
        <v>20417</v>
      </c>
      <c r="T51" s="44">
        <v>144</v>
      </c>
      <c r="U51" s="44" t="s">
        <v>20067</v>
      </c>
      <c r="V51" s="44" t="s">
        <v>20202</v>
      </c>
      <c r="W51" s="44" t="s">
        <v>20068</v>
      </c>
      <c r="X51" s="44" t="s">
        <v>20068</v>
      </c>
      <c r="Y51" s="44" t="s">
        <v>20068</v>
      </c>
      <c r="Z51" s="44" t="s">
        <v>20069</v>
      </c>
      <c r="AA51" s="44">
        <v>4442</v>
      </c>
      <c r="AB51" s="44" t="s">
        <v>315</v>
      </c>
      <c r="AC51" s="44"/>
      <c r="AD51" s="44" t="s">
        <v>20396</v>
      </c>
      <c r="AE51" s="44" t="s">
        <v>20418</v>
      </c>
      <c r="AF51" s="44" t="s">
        <v>1054</v>
      </c>
      <c r="AG51" s="44" t="s">
        <v>7934</v>
      </c>
      <c r="AH51" s="44" t="s">
        <v>1308</v>
      </c>
      <c r="AI51" s="44" t="s">
        <v>18723</v>
      </c>
      <c r="AJ51" s="44" t="s">
        <v>20072</v>
      </c>
      <c r="AK51" s="43">
        <v>0</v>
      </c>
      <c r="AL51" s="44">
        <v>68</v>
      </c>
      <c r="AM51" s="44">
        <v>69</v>
      </c>
      <c r="AN51" s="44">
        <v>20.225617338781309</v>
      </c>
      <c r="AO51" s="44">
        <v>11.6850730317064</v>
      </c>
      <c r="AP51" s="46">
        <v>19.100000000000001</v>
      </c>
      <c r="AQ51" s="47">
        <v>5</v>
      </c>
      <c r="AR51" s="47">
        <v>0</v>
      </c>
      <c r="AS51" s="47">
        <v>0</v>
      </c>
      <c r="AT51" s="47">
        <v>0</v>
      </c>
      <c r="AU51" s="46">
        <v>5</v>
      </c>
      <c r="AV51" s="46">
        <v>10</v>
      </c>
      <c r="AW51" s="46">
        <v>3</v>
      </c>
      <c r="AX51" s="47">
        <v>3</v>
      </c>
      <c r="AY51" s="47">
        <v>10</v>
      </c>
      <c r="AZ51" s="47">
        <v>20</v>
      </c>
      <c r="BA51" s="47">
        <v>6</v>
      </c>
      <c r="BB51" s="46">
        <v>44</v>
      </c>
      <c r="BC51" s="48">
        <v>1</v>
      </c>
    </row>
    <row r="52" spans="1:55" s="42" customFormat="1" x14ac:dyDescent="0.2">
      <c r="A52" s="43">
        <v>1577</v>
      </c>
      <c r="B52" s="44" t="s">
        <v>20059</v>
      </c>
      <c r="C52" s="45">
        <v>44082</v>
      </c>
      <c r="D52" s="44" t="s">
        <v>20073</v>
      </c>
      <c r="E52" s="44" t="s">
        <v>20419</v>
      </c>
      <c r="F52" s="44" t="s">
        <v>20075</v>
      </c>
      <c r="G52" s="44">
        <v>0</v>
      </c>
      <c r="H52" s="44" t="s">
        <v>20420</v>
      </c>
      <c r="I52" s="45">
        <v>43770</v>
      </c>
      <c r="J52" s="45">
        <v>44865</v>
      </c>
      <c r="K52" s="44" t="s">
        <v>1062</v>
      </c>
      <c r="L52" s="44" t="s">
        <v>1063</v>
      </c>
      <c r="M52" s="44" t="s">
        <v>219</v>
      </c>
      <c r="N52" s="44" t="s">
        <v>207</v>
      </c>
      <c r="O52" s="44" t="s">
        <v>220</v>
      </c>
      <c r="P52" s="44" t="s">
        <v>221</v>
      </c>
      <c r="Q52" s="44" t="s">
        <v>20421</v>
      </c>
      <c r="R52" s="44" t="s">
        <v>20422</v>
      </c>
      <c r="S52" s="44" t="s">
        <v>20423</v>
      </c>
      <c r="T52" s="44">
        <v>38</v>
      </c>
      <c r="U52" s="44" t="s">
        <v>20067</v>
      </c>
      <c r="V52" s="44" t="s">
        <v>20067</v>
      </c>
      <c r="W52" s="44" t="s">
        <v>20067</v>
      </c>
      <c r="X52" s="44" t="s">
        <v>20068</v>
      </c>
      <c r="Y52" s="44" t="s">
        <v>20067</v>
      </c>
      <c r="Z52" s="44" t="s">
        <v>20069</v>
      </c>
      <c r="AA52" s="44">
        <v>4442</v>
      </c>
      <c r="AB52" s="44" t="s">
        <v>315</v>
      </c>
      <c r="AC52" s="44"/>
      <c r="AD52" s="44" t="s">
        <v>20323</v>
      </c>
      <c r="AE52" s="44" t="s">
        <v>20324</v>
      </c>
      <c r="AF52" s="44" t="s">
        <v>255</v>
      </c>
      <c r="AG52" s="44" t="s">
        <v>7934</v>
      </c>
      <c r="AH52" s="44" t="s">
        <v>751</v>
      </c>
      <c r="AI52" s="44" t="s">
        <v>18723</v>
      </c>
      <c r="AJ52" s="44" t="s">
        <v>20072</v>
      </c>
      <c r="AK52" s="43">
        <v>0</v>
      </c>
      <c r="AL52" s="44">
        <v>68</v>
      </c>
      <c r="AM52" s="44">
        <v>69</v>
      </c>
      <c r="AN52" s="44">
        <v>21.745806756437513</v>
      </c>
      <c r="AO52" s="44">
        <v>17.2984148862853</v>
      </c>
      <c r="AP52" s="46">
        <v>47.9</v>
      </c>
      <c r="AQ52" s="47">
        <v>3</v>
      </c>
      <c r="AR52" s="47">
        <v>0</v>
      </c>
      <c r="AS52" s="47">
        <v>0</v>
      </c>
      <c r="AT52" s="47">
        <v>0</v>
      </c>
      <c r="AU52" s="46">
        <v>5</v>
      </c>
      <c r="AV52" s="46">
        <v>10</v>
      </c>
      <c r="AW52" s="46">
        <v>3</v>
      </c>
      <c r="AX52" s="47">
        <v>5</v>
      </c>
      <c r="AY52" s="47">
        <v>10</v>
      </c>
      <c r="AZ52" s="47">
        <v>20</v>
      </c>
      <c r="BA52" s="47">
        <v>6</v>
      </c>
      <c r="BB52" s="46">
        <v>44</v>
      </c>
      <c r="BC52" s="48">
        <v>1</v>
      </c>
    </row>
    <row r="53" spans="1:55" s="42" customFormat="1" x14ac:dyDescent="0.2">
      <c r="A53" s="43">
        <v>1579</v>
      </c>
      <c r="B53" s="44" t="s">
        <v>20059</v>
      </c>
      <c r="C53" s="45">
        <v>44082</v>
      </c>
      <c r="D53" s="44" t="s">
        <v>20073</v>
      </c>
      <c r="E53" s="44" t="s">
        <v>20424</v>
      </c>
      <c r="F53" s="44" t="s">
        <v>20075</v>
      </c>
      <c r="G53" s="44">
        <v>0</v>
      </c>
      <c r="H53" s="44" t="s">
        <v>20425</v>
      </c>
      <c r="I53" s="45">
        <v>43435</v>
      </c>
      <c r="J53" s="45">
        <v>44530</v>
      </c>
      <c r="K53" s="44" t="s">
        <v>10</v>
      </c>
      <c r="L53" s="44" t="s">
        <v>111</v>
      </c>
      <c r="M53" s="44" t="s">
        <v>227</v>
      </c>
      <c r="N53" s="44" t="s">
        <v>207</v>
      </c>
      <c r="O53" s="44" t="s">
        <v>228</v>
      </c>
      <c r="P53" s="44" t="s">
        <v>218</v>
      </c>
      <c r="Q53" s="44" t="s">
        <v>20426</v>
      </c>
      <c r="R53" s="44" t="s">
        <v>20427</v>
      </c>
      <c r="S53" s="44" t="s">
        <v>20428</v>
      </c>
      <c r="T53" s="44">
        <v>120</v>
      </c>
      <c r="U53" s="44" t="s">
        <v>20067</v>
      </c>
      <c r="V53" s="44" t="s">
        <v>20067</v>
      </c>
      <c r="W53" s="44" t="s">
        <v>20067</v>
      </c>
      <c r="X53" s="44" t="s">
        <v>20068</v>
      </c>
      <c r="Y53" s="44" t="s">
        <v>20067</v>
      </c>
      <c r="Z53" s="44" t="s">
        <v>20069</v>
      </c>
      <c r="AA53" s="44">
        <v>4158</v>
      </c>
      <c r="AB53" s="44" t="s">
        <v>318</v>
      </c>
      <c r="AC53" s="44"/>
      <c r="AD53" s="44" t="s">
        <v>20429</v>
      </c>
      <c r="AE53" s="44" t="s">
        <v>20430</v>
      </c>
      <c r="AF53" s="44" t="s">
        <v>228</v>
      </c>
      <c r="AG53" s="44" t="s">
        <v>20082</v>
      </c>
      <c r="AH53" s="44" t="s">
        <v>20082</v>
      </c>
      <c r="AI53" s="44" t="s">
        <v>18723</v>
      </c>
      <c r="AJ53" s="44" t="s">
        <v>20083</v>
      </c>
      <c r="AK53" s="43">
        <v>1</v>
      </c>
      <c r="AL53" s="44">
        <v>12</v>
      </c>
      <c r="AM53" s="44">
        <v>59.333333333333336</v>
      </c>
      <c r="AN53" s="44">
        <v>61.93181818181818</v>
      </c>
      <c r="AO53" s="44">
        <v>45.209176788124203</v>
      </c>
      <c r="AP53" s="46">
        <v>49.1</v>
      </c>
      <c r="AQ53" s="47">
        <v>5</v>
      </c>
      <c r="AR53" s="47">
        <v>0</v>
      </c>
      <c r="AS53" s="47">
        <v>1</v>
      </c>
      <c r="AT53" s="47">
        <v>5</v>
      </c>
      <c r="AU53" s="46">
        <v>1</v>
      </c>
      <c r="AV53" s="46">
        <v>8</v>
      </c>
      <c r="AW53" s="46">
        <v>5</v>
      </c>
      <c r="AX53" s="47">
        <v>5</v>
      </c>
      <c r="AY53" s="47">
        <v>2</v>
      </c>
      <c r="AZ53" s="47">
        <v>16</v>
      </c>
      <c r="BA53" s="47">
        <v>10</v>
      </c>
      <c r="BB53" s="46">
        <v>44</v>
      </c>
      <c r="BC53" s="48">
        <v>1</v>
      </c>
    </row>
    <row r="54" spans="1:55" s="42" customFormat="1" x14ac:dyDescent="0.2">
      <c r="A54" s="43">
        <v>1620</v>
      </c>
      <c r="B54" s="44" t="s">
        <v>20059</v>
      </c>
      <c r="C54" s="45">
        <v>44082</v>
      </c>
      <c r="D54" s="44" t="s">
        <v>20073</v>
      </c>
      <c r="E54" s="44" t="s">
        <v>20431</v>
      </c>
      <c r="F54" s="44" t="s">
        <v>20075</v>
      </c>
      <c r="G54" s="44">
        <v>0</v>
      </c>
      <c r="H54" s="44" t="s">
        <v>20432</v>
      </c>
      <c r="I54" s="45">
        <v>43678</v>
      </c>
      <c r="J54" s="45">
        <v>44773</v>
      </c>
      <c r="K54" s="44" t="s">
        <v>40</v>
      </c>
      <c r="L54" s="44" t="s">
        <v>136</v>
      </c>
      <c r="M54" s="44" t="s">
        <v>222</v>
      </c>
      <c r="N54" s="44" t="s">
        <v>207</v>
      </c>
      <c r="O54" s="44" t="s">
        <v>223</v>
      </c>
      <c r="P54" s="44" t="s">
        <v>224</v>
      </c>
      <c r="Q54" s="44"/>
      <c r="R54" s="44" t="s">
        <v>20433</v>
      </c>
      <c r="S54" s="44" t="s">
        <v>20434</v>
      </c>
      <c r="T54" s="44">
        <v>356</v>
      </c>
      <c r="U54" s="44" t="s">
        <v>20121</v>
      </c>
      <c r="V54" s="44" t="s">
        <v>20435</v>
      </c>
      <c r="W54" s="44" t="s">
        <v>20068</v>
      </c>
      <c r="X54" s="44" t="s">
        <v>20068</v>
      </c>
      <c r="Y54" s="44" t="s">
        <v>20067</v>
      </c>
      <c r="Z54" s="44" t="s">
        <v>20089</v>
      </c>
      <c r="AA54" s="44">
        <v>4282</v>
      </c>
      <c r="AB54" s="44" t="s">
        <v>334</v>
      </c>
      <c r="AC54" s="44"/>
      <c r="AD54" s="44" t="s">
        <v>20378</v>
      </c>
      <c r="AE54" s="44" t="s">
        <v>20379</v>
      </c>
      <c r="AF54" s="44" t="s">
        <v>223</v>
      </c>
      <c r="AG54" s="44" t="s">
        <v>20092</v>
      </c>
      <c r="AH54" s="44" t="s">
        <v>20126</v>
      </c>
      <c r="AI54" s="44" t="s">
        <v>18723</v>
      </c>
      <c r="AJ54" s="44" t="s">
        <v>20072</v>
      </c>
      <c r="AK54" s="43">
        <v>0</v>
      </c>
      <c r="AL54" s="44">
        <v>58</v>
      </c>
      <c r="AM54" s="44">
        <v>54.666666666666664</v>
      </c>
      <c r="AN54" s="44">
        <v>47.020739602765282</v>
      </c>
      <c r="AO54" s="44">
        <v>56.224161690399598</v>
      </c>
      <c r="AP54" s="46">
        <v>19.100000000000001</v>
      </c>
      <c r="AQ54" s="47">
        <v>5</v>
      </c>
      <c r="AR54" s="47">
        <v>0</v>
      </c>
      <c r="AS54" s="47">
        <v>0</v>
      </c>
      <c r="AT54" s="47">
        <v>0</v>
      </c>
      <c r="AU54" s="46">
        <v>5</v>
      </c>
      <c r="AV54" s="46">
        <v>8</v>
      </c>
      <c r="AW54" s="46">
        <v>5</v>
      </c>
      <c r="AX54" s="47">
        <v>3</v>
      </c>
      <c r="AY54" s="47">
        <v>10</v>
      </c>
      <c r="AZ54" s="47">
        <v>16</v>
      </c>
      <c r="BA54" s="47">
        <v>10</v>
      </c>
      <c r="BB54" s="46">
        <v>44</v>
      </c>
      <c r="BC54" s="48">
        <v>1</v>
      </c>
    </row>
    <row r="55" spans="1:55" s="42" customFormat="1" x14ac:dyDescent="0.2">
      <c r="A55" s="43">
        <v>1771</v>
      </c>
      <c r="B55" s="44" t="s">
        <v>20059</v>
      </c>
      <c r="C55" s="45">
        <v>44082</v>
      </c>
      <c r="D55" s="44" t="s">
        <v>20073</v>
      </c>
      <c r="E55" s="44" t="s">
        <v>20436</v>
      </c>
      <c r="F55" s="44" t="s">
        <v>20075</v>
      </c>
      <c r="G55" s="44">
        <v>0</v>
      </c>
      <c r="H55" s="44" t="s">
        <v>20437</v>
      </c>
      <c r="I55" s="45">
        <v>43132</v>
      </c>
      <c r="J55" s="45">
        <v>44227</v>
      </c>
      <c r="K55" s="44" t="s">
        <v>41</v>
      </c>
      <c r="L55" s="44" t="s">
        <v>140</v>
      </c>
      <c r="M55" s="44" t="s">
        <v>222</v>
      </c>
      <c r="N55" s="44" t="s">
        <v>207</v>
      </c>
      <c r="O55" s="44" t="s">
        <v>235</v>
      </c>
      <c r="P55" s="44" t="s">
        <v>224</v>
      </c>
      <c r="Q55" s="44" t="s">
        <v>20438</v>
      </c>
      <c r="R55" s="44" t="s">
        <v>20439</v>
      </c>
      <c r="S55" s="44" t="s">
        <v>20440</v>
      </c>
      <c r="T55" s="44">
        <v>255</v>
      </c>
      <c r="U55" s="44" t="s">
        <v>20067</v>
      </c>
      <c r="V55" s="44" t="s">
        <v>20067</v>
      </c>
      <c r="W55" s="44" t="s">
        <v>20067</v>
      </c>
      <c r="X55" s="44" t="s">
        <v>20068</v>
      </c>
      <c r="Y55" s="44" t="s">
        <v>20067</v>
      </c>
      <c r="Z55" s="44" t="s">
        <v>20089</v>
      </c>
      <c r="AA55" s="44">
        <v>4259</v>
      </c>
      <c r="AB55" s="44" t="s">
        <v>316</v>
      </c>
      <c r="AC55" s="44"/>
      <c r="AD55" s="44" t="s">
        <v>20331</v>
      </c>
      <c r="AE55" s="44" t="s">
        <v>20441</v>
      </c>
      <c r="AF55" s="44" t="s">
        <v>235</v>
      </c>
      <c r="AG55" s="44" t="s">
        <v>20092</v>
      </c>
      <c r="AH55" s="44" t="s">
        <v>20170</v>
      </c>
      <c r="AI55" s="44" t="s">
        <v>18723</v>
      </c>
      <c r="AJ55" s="44" t="s">
        <v>20072</v>
      </c>
      <c r="AK55" s="43">
        <v>0</v>
      </c>
      <c r="AL55" s="44">
        <v>39</v>
      </c>
      <c r="AM55" s="44">
        <v>65.333333333333329</v>
      </c>
      <c r="AN55" s="44">
        <v>56.210298689012028</v>
      </c>
      <c r="AO55" s="44">
        <v>55.696202531645604</v>
      </c>
      <c r="AP55" s="46">
        <v>19.100000000000001</v>
      </c>
      <c r="AQ55" s="47">
        <v>5</v>
      </c>
      <c r="AR55" s="47">
        <v>0</v>
      </c>
      <c r="AS55" s="47">
        <v>0</v>
      </c>
      <c r="AT55" s="47">
        <v>0</v>
      </c>
      <c r="AU55" s="46">
        <v>3</v>
      </c>
      <c r="AV55" s="46">
        <v>10</v>
      </c>
      <c r="AW55" s="46">
        <v>5</v>
      </c>
      <c r="AX55" s="47">
        <v>3</v>
      </c>
      <c r="AY55" s="47">
        <v>6</v>
      </c>
      <c r="AZ55" s="47">
        <v>20</v>
      </c>
      <c r="BA55" s="47">
        <v>10</v>
      </c>
      <c r="BB55" s="46">
        <v>44</v>
      </c>
      <c r="BC55" s="48">
        <v>1</v>
      </c>
    </row>
    <row r="56" spans="1:55" s="42" customFormat="1" x14ac:dyDescent="0.2">
      <c r="A56" s="43">
        <v>1912</v>
      </c>
      <c r="B56" s="44" t="s">
        <v>20059</v>
      </c>
      <c r="C56" s="45">
        <v>44082</v>
      </c>
      <c r="D56" s="44" t="s">
        <v>20073</v>
      </c>
      <c r="E56" s="44" t="s">
        <v>20442</v>
      </c>
      <c r="F56" s="44" t="s">
        <v>20075</v>
      </c>
      <c r="G56" s="44">
        <v>0</v>
      </c>
      <c r="H56" s="44" t="s">
        <v>20443</v>
      </c>
      <c r="I56" s="45">
        <v>43101</v>
      </c>
      <c r="J56" s="45">
        <v>44196</v>
      </c>
      <c r="K56" s="44" t="s">
        <v>42</v>
      </c>
      <c r="L56" s="44" t="s">
        <v>141</v>
      </c>
      <c r="M56" s="44" t="s">
        <v>229</v>
      </c>
      <c r="N56" s="44" t="s">
        <v>207</v>
      </c>
      <c r="O56" s="44" t="s">
        <v>230</v>
      </c>
      <c r="P56" s="44" t="s">
        <v>224</v>
      </c>
      <c r="Q56" s="44" t="s">
        <v>5763</v>
      </c>
      <c r="R56" s="44" t="s">
        <v>20444</v>
      </c>
      <c r="S56" s="44" t="s">
        <v>20445</v>
      </c>
      <c r="T56" s="44">
        <v>25</v>
      </c>
      <c r="U56" s="44" t="s">
        <v>20067</v>
      </c>
      <c r="V56" s="44" t="s">
        <v>20067</v>
      </c>
      <c r="W56" s="44" t="s">
        <v>20067</v>
      </c>
      <c r="X56" s="44" t="s">
        <v>20068</v>
      </c>
      <c r="Y56" s="44" t="s">
        <v>20067</v>
      </c>
      <c r="Z56" s="44" t="s">
        <v>20089</v>
      </c>
      <c r="AA56" s="44">
        <v>4255</v>
      </c>
      <c r="AB56" s="44" t="s">
        <v>336</v>
      </c>
      <c r="AC56" s="44"/>
      <c r="AD56" s="44" t="s">
        <v>20139</v>
      </c>
      <c r="AE56" s="44" t="s">
        <v>20446</v>
      </c>
      <c r="AF56" s="44" t="s">
        <v>230</v>
      </c>
      <c r="AG56" s="44" t="s">
        <v>20141</v>
      </c>
      <c r="AH56" s="44" t="s">
        <v>527</v>
      </c>
      <c r="AI56" s="44" t="s">
        <v>18715</v>
      </c>
      <c r="AJ56" s="44" t="s">
        <v>20083</v>
      </c>
      <c r="AK56" s="43">
        <v>0</v>
      </c>
      <c r="AL56" s="44">
        <v>36.85</v>
      </c>
      <c r="AM56" s="44">
        <v>54.666666666666664</v>
      </c>
      <c r="AN56" s="44">
        <v>56.156501726121974</v>
      </c>
      <c r="AO56" s="44">
        <v>59.284890426758899</v>
      </c>
      <c r="AP56" s="46">
        <v>19.100000000000001</v>
      </c>
      <c r="AQ56" s="47">
        <v>3</v>
      </c>
      <c r="AR56" s="47">
        <v>5</v>
      </c>
      <c r="AS56" s="47">
        <v>1</v>
      </c>
      <c r="AT56" s="47">
        <v>0</v>
      </c>
      <c r="AU56" s="46">
        <v>3</v>
      </c>
      <c r="AV56" s="46">
        <v>8</v>
      </c>
      <c r="AW56" s="46">
        <v>5</v>
      </c>
      <c r="AX56" s="47">
        <v>3</v>
      </c>
      <c r="AY56" s="47">
        <v>6</v>
      </c>
      <c r="AZ56" s="47">
        <v>16</v>
      </c>
      <c r="BA56" s="47">
        <v>10</v>
      </c>
      <c r="BB56" s="46">
        <v>44</v>
      </c>
      <c r="BC56" s="48">
        <v>1</v>
      </c>
    </row>
    <row r="57" spans="1:55" s="42" customFormat="1" x14ac:dyDescent="0.2">
      <c r="A57" s="43">
        <v>2169</v>
      </c>
      <c r="B57" s="44" t="s">
        <v>20059</v>
      </c>
      <c r="C57" s="45">
        <v>44082</v>
      </c>
      <c r="D57" s="44" t="s">
        <v>20060</v>
      </c>
      <c r="E57" s="44" t="s">
        <v>20447</v>
      </c>
      <c r="F57" s="44" t="s">
        <v>20062</v>
      </c>
      <c r="G57" s="44">
        <v>0</v>
      </c>
      <c r="H57" s="44" t="s">
        <v>20448</v>
      </c>
      <c r="I57" s="45">
        <v>43313</v>
      </c>
      <c r="J57" s="45">
        <v>44408</v>
      </c>
      <c r="K57" s="44" t="s">
        <v>1064</v>
      </c>
      <c r="L57" s="44" t="s">
        <v>1056</v>
      </c>
      <c r="M57" s="44" t="s">
        <v>219</v>
      </c>
      <c r="N57" s="44" t="s">
        <v>207</v>
      </c>
      <c r="O57" s="44" t="s">
        <v>255</v>
      </c>
      <c r="P57" s="44" t="s">
        <v>221</v>
      </c>
      <c r="Q57" s="44" t="s">
        <v>20449</v>
      </c>
      <c r="R57" s="44" t="s">
        <v>20450</v>
      </c>
      <c r="S57" s="44" t="s">
        <v>20451</v>
      </c>
      <c r="T57" s="44">
        <v>32</v>
      </c>
      <c r="U57" s="44" t="s">
        <v>20067</v>
      </c>
      <c r="V57" s="44" t="s">
        <v>20067</v>
      </c>
      <c r="W57" s="44" t="s">
        <v>20067</v>
      </c>
      <c r="X57" s="44" t="s">
        <v>20067</v>
      </c>
      <c r="Y57" s="44" t="s">
        <v>20068</v>
      </c>
      <c r="Z57" s="44" t="s">
        <v>20069</v>
      </c>
      <c r="AA57" s="44">
        <v>4442</v>
      </c>
      <c r="AB57" s="44" t="s">
        <v>315</v>
      </c>
      <c r="AC57" s="44"/>
      <c r="AD57" s="44" t="s">
        <v>20323</v>
      </c>
      <c r="AE57" s="44" t="s">
        <v>20402</v>
      </c>
      <c r="AF57" s="44" t="s">
        <v>255</v>
      </c>
      <c r="AG57" s="44" t="s">
        <v>7934</v>
      </c>
      <c r="AH57" s="44" t="s">
        <v>751</v>
      </c>
      <c r="AI57" s="44" t="s">
        <v>18723</v>
      </c>
      <c r="AJ57" s="44" t="s">
        <v>20072</v>
      </c>
      <c r="AK57" s="43">
        <v>0</v>
      </c>
      <c r="AL57" s="44">
        <v>68</v>
      </c>
      <c r="AM57" s="44">
        <v>69</v>
      </c>
      <c r="AN57" s="44">
        <v>21.745806756437513</v>
      </c>
      <c r="AO57" s="44">
        <v>32.9166666666667</v>
      </c>
      <c r="AP57" s="46">
        <v>47.9</v>
      </c>
      <c r="AQ57" s="47">
        <v>3</v>
      </c>
      <c r="AR57" s="47">
        <v>0</v>
      </c>
      <c r="AS57" s="47">
        <v>0</v>
      </c>
      <c r="AT57" s="47">
        <v>0</v>
      </c>
      <c r="AU57" s="46">
        <v>5</v>
      </c>
      <c r="AV57" s="46">
        <v>10</v>
      </c>
      <c r="AW57" s="46">
        <v>3</v>
      </c>
      <c r="AX57" s="47">
        <v>5</v>
      </c>
      <c r="AY57" s="47">
        <v>10</v>
      </c>
      <c r="AZ57" s="47">
        <v>20</v>
      </c>
      <c r="BA57" s="47">
        <v>6</v>
      </c>
      <c r="BB57" s="46">
        <v>44</v>
      </c>
      <c r="BC57" s="48">
        <v>1</v>
      </c>
    </row>
    <row r="58" spans="1:55" s="42" customFormat="1" x14ac:dyDescent="0.2">
      <c r="A58" s="43">
        <v>28</v>
      </c>
      <c r="B58" s="44" t="s">
        <v>20059</v>
      </c>
      <c r="C58" s="45">
        <v>44082</v>
      </c>
      <c r="D58" s="44" t="s">
        <v>20060</v>
      </c>
      <c r="E58" s="44" t="s">
        <v>20452</v>
      </c>
      <c r="F58" s="44" t="s">
        <v>20062</v>
      </c>
      <c r="G58" s="44">
        <v>0</v>
      </c>
      <c r="H58" s="44" t="s">
        <v>20453</v>
      </c>
      <c r="I58" s="45">
        <v>43678</v>
      </c>
      <c r="J58" s="45">
        <v>44773</v>
      </c>
      <c r="K58" s="44" t="s">
        <v>43</v>
      </c>
      <c r="L58" s="44" t="s">
        <v>142</v>
      </c>
      <c r="M58" s="44" t="s">
        <v>222</v>
      </c>
      <c r="N58" s="44" t="s">
        <v>207</v>
      </c>
      <c r="O58" s="44" t="s">
        <v>266</v>
      </c>
      <c r="P58" s="44" t="s">
        <v>224</v>
      </c>
      <c r="Q58" s="44" t="s">
        <v>20454</v>
      </c>
      <c r="R58" s="44" t="s">
        <v>20455</v>
      </c>
      <c r="S58" s="44" t="s">
        <v>20456</v>
      </c>
      <c r="T58" s="44">
        <v>59</v>
      </c>
      <c r="U58" s="44" t="s">
        <v>20067</v>
      </c>
      <c r="V58" s="44" t="s">
        <v>20067</v>
      </c>
      <c r="W58" s="44" t="s">
        <v>20067</v>
      </c>
      <c r="X58" s="44" t="s">
        <v>20068</v>
      </c>
      <c r="Y58" s="44" t="s">
        <v>20068</v>
      </c>
      <c r="Z58" s="44" t="s">
        <v>20089</v>
      </c>
      <c r="AA58" s="44">
        <v>4279</v>
      </c>
      <c r="AB58" s="44" t="s">
        <v>328</v>
      </c>
      <c r="AC58" s="44"/>
      <c r="AD58" s="44" t="s">
        <v>20203</v>
      </c>
      <c r="AE58" s="44" t="s">
        <v>20204</v>
      </c>
      <c r="AF58" s="44" t="s">
        <v>266</v>
      </c>
      <c r="AG58" s="44" t="s">
        <v>20092</v>
      </c>
      <c r="AH58" s="44" t="s">
        <v>20205</v>
      </c>
      <c r="AI58" s="44" t="s">
        <v>18715</v>
      </c>
      <c r="AJ58" s="44" t="s">
        <v>20072</v>
      </c>
      <c r="AK58" s="43">
        <v>0</v>
      </c>
      <c r="AL58" s="44">
        <v>36.85</v>
      </c>
      <c r="AM58" s="44">
        <v>59.333333333333336</v>
      </c>
      <c r="AN58" s="44">
        <v>51.257367387033405</v>
      </c>
      <c r="AO58" s="44">
        <v>54.194857916102798</v>
      </c>
      <c r="AP58" s="46">
        <v>19.100000000000001</v>
      </c>
      <c r="AQ58" s="47">
        <v>3</v>
      </c>
      <c r="AR58" s="47">
        <v>5</v>
      </c>
      <c r="AS58" s="47">
        <v>0</v>
      </c>
      <c r="AT58" s="47">
        <v>0</v>
      </c>
      <c r="AU58" s="46">
        <v>3</v>
      </c>
      <c r="AV58" s="46">
        <v>8</v>
      </c>
      <c r="AW58" s="46">
        <v>5</v>
      </c>
      <c r="AX58" s="47">
        <v>3</v>
      </c>
      <c r="AY58" s="47">
        <v>6</v>
      </c>
      <c r="AZ58" s="47">
        <v>16</v>
      </c>
      <c r="BA58" s="47">
        <v>10</v>
      </c>
      <c r="BB58" s="46">
        <v>43</v>
      </c>
      <c r="BC58" s="48">
        <v>1</v>
      </c>
    </row>
    <row r="59" spans="1:55" s="42" customFormat="1" x14ac:dyDescent="0.2">
      <c r="A59" s="43">
        <v>94</v>
      </c>
      <c r="B59" s="44" t="s">
        <v>20059</v>
      </c>
      <c r="C59" s="45">
        <v>44082</v>
      </c>
      <c r="D59" s="44" t="s">
        <v>20060</v>
      </c>
      <c r="E59" s="44" t="s">
        <v>20457</v>
      </c>
      <c r="F59" s="44" t="s">
        <v>20062</v>
      </c>
      <c r="G59" s="44">
        <v>0</v>
      </c>
      <c r="H59" s="44" t="s">
        <v>20458</v>
      </c>
      <c r="I59" s="45">
        <v>43497</v>
      </c>
      <c r="J59" s="45">
        <v>44592</v>
      </c>
      <c r="K59" s="44" t="s">
        <v>1065</v>
      </c>
      <c r="L59" s="44" t="s">
        <v>1066</v>
      </c>
      <c r="M59" s="44" t="s">
        <v>309</v>
      </c>
      <c r="N59" s="44" t="s">
        <v>207</v>
      </c>
      <c r="O59" s="44" t="s">
        <v>512</v>
      </c>
      <c r="P59" s="44" t="s">
        <v>309</v>
      </c>
      <c r="Q59" s="44" t="s">
        <v>20459</v>
      </c>
      <c r="R59" s="44" t="s">
        <v>20460</v>
      </c>
      <c r="S59" s="44" t="s">
        <v>20461</v>
      </c>
      <c r="T59" s="44">
        <v>138</v>
      </c>
      <c r="U59" s="44" t="s">
        <v>20067</v>
      </c>
      <c r="V59" s="44" t="s">
        <v>20389</v>
      </c>
      <c r="W59" s="44" t="s">
        <v>20068</v>
      </c>
      <c r="X59" s="44" t="s">
        <v>20068</v>
      </c>
      <c r="Y59" s="44" t="s">
        <v>20068</v>
      </c>
      <c r="Z59" s="44" t="s">
        <v>20089</v>
      </c>
      <c r="AA59" s="44">
        <v>4499</v>
      </c>
      <c r="AB59" s="44" t="s">
        <v>513</v>
      </c>
      <c r="AC59" s="44"/>
      <c r="AD59" s="44" t="s">
        <v>20462</v>
      </c>
      <c r="AE59" s="44" t="s">
        <v>20463</v>
      </c>
      <c r="AF59" s="44" t="s">
        <v>512</v>
      </c>
      <c r="AG59" s="44" t="s">
        <v>496</v>
      </c>
      <c r="AH59" s="44" t="s">
        <v>496</v>
      </c>
      <c r="AI59" s="44" t="s">
        <v>18715</v>
      </c>
      <c r="AJ59" s="44" t="s">
        <v>20072</v>
      </c>
      <c r="AK59" s="43">
        <v>0</v>
      </c>
      <c r="AL59" s="44">
        <v>38</v>
      </c>
      <c r="AM59" s="44">
        <v>45</v>
      </c>
      <c r="AN59" s="44">
        <v>47.123360984747123</v>
      </c>
      <c r="AO59" s="44">
        <v>47.793427230046902</v>
      </c>
      <c r="AP59" s="46">
        <v>38</v>
      </c>
      <c r="AQ59" s="47">
        <v>5</v>
      </c>
      <c r="AR59" s="47">
        <v>5</v>
      </c>
      <c r="AS59" s="47">
        <v>0</v>
      </c>
      <c r="AT59" s="47">
        <v>0</v>
      </c>
      <c r="AU59" s="46">
        <v>3</v>
      </c>
      <c r="AV59" s="46">
        <v>6</v>
      </c>
      <c r="AW59" s="46">
        <v>5</v>
      </c>
      <c r="AX59" s="47">
        <v>5</v>
      </c>
      <c r="AY59" s="47">
        <v>6</v>
      </c>
      <c r="AZ59" s="47">
        <v>12</v>
      </c>
      <c r="BA59" s="47">
        <v>10</v>
      </c>
      <c r="BB59" s="46">
        <v>43</v>
      </c>
      <c r="BC59" s="48">
        <v>1</v>
      </c>
    </row>
    <row r="60" spans="1:55" s="42" customFormat="1" x14ac:dyDescent="0.2">
      <c r="A60" s="43">
        <v>137</v>
      </c>
      <c r="B60" s="44" t="s">
        <v>20059</v>
      </c>
      <c r="C60" s="45">
        <v>44082</v>
      </c>
      <c r="D60" s="44" t="s">
        <v>20060</v>
      </c>
      <c r="E60" s="44" t="s">
        <v>20464</v>
      </c>
      <c r="F60" s="44" t="s">
        <v>20062</v>
      </c>
      <c r="G60" s="44">
        <v>0</v>
      </c>
      <c r="H60" s="44" t="s">
        <v>20465</v>
      </c>
      <c r="I60" s="45">
        <v>43617</v>
      </c>
      <c r="J60" s="45">
        <v>44712</v>
      </c>
      <c r="K60" s="44" t="s">
        <v>1067</v>
      </c>
      <c r="L60" s="44" t="s">
        <v>1068</v>
      </c>
      <c r="M60" s="44" t="s">
        <v>307</v>
      </c>
      <c r="N60" s="44" t="s">
        <v>207</v>
      </c>
      <c r="O60" s="44" t="s">
        <v>308</v>
      </c>
      <c r="P60" s="44" t="s">
        <v>309</v>
      </c>
      <c r="Q60" s="44" t="s">
        <v>20466</v>
      </c>
      <c r="R60" s="44" t="s">
        <v>20467</v>
      </c>
      <c r="S60" s="44" t="s">
        <v>20468</v>
      </c>
      <c r="T60" s="44">
        <v>16</v>
      </c>
      <c r="U60" s="44" t="s">
        <v>20067</v>
      </c>
      <c r="V60" s="44" t="s">
        <v>20202</v>
      </c>
      <c r="W60" s="44" t="s">
        <v>20068</v>
      </c>
      <c r="X60" s="44" t="s">
        <v>20068</v>
      </c>
      <c r="Y60" s="44" t="s">
        <v>20067</v>
      </c>
      <c r="Z60" s="44" t="s">
        <v>20089</v>
      </c>
      <c r="AA60" s="44">
        <v>4505</v>
      </c>
      <c r="AB60" s="44" t="s">
        <v>354</v>
      </c>
      <c r="AC60" s="44"/>
      <c r="AD60" s="44" t="s">
        <v>20317</v>
      </c>
      <c r="AE60" s="44" t="s">
        <v>20318</v>
      </c>
      <c r="AF60" s="44" t="s">
        <v>308</v>
      </c>
      <c r="AG60" s="44" t="s">
        <v>496</v>
      </c>
      <c r="AH60" s="44" t="s">
        <v>499</v>
      </c>
      <c r="AI60" s="44" t="s">
        <v>18715</v>
      </c>
      <c r="AJ60" s="44" t="s">
        <v>20072</v>
      </c>
      <c r="AK60" s="43">
        <v>0</v>
      </c>
      <c r="AL60" s="44">
        <v>32</v>
      </c>
      <c r="AM60" s="44">
        <v>53</v>
      </c>
      <c r="AN60" s="44">
        <v>45.340624287992711</v>
      </c>
      <c r="AO60" s="44">
        <v>52.833572453371602</v>
      </c>
      <c r="AP60" s="46">
        <v>38</v>
      </c>
      <c r="AQ60" s="47">
        <v>1</v>
      </c>
      <c r="AR60" s="47">
        <v>5</v>
      </c>
      <c r="AS60" s="47">
        <v>0</v>
      </c>
      <c r="AT60" s="47">
        <v>0</v>
      </c>
      <c r="AU60" s="46">
        <v>3</v>
      </c>
      <c r="AV60" s="46">
        <v>8</v>
      </c>
      <c r="AW60" s="46">
        <v>5</v>
      </c>
      <c r="AX60" s="47">
        <v>5</v>
      </c>
      <c r="AY60" s="47">
        <v>6</v>
      </c>
      <c r="AZ60" s="47">
        <v>16</v>
      </c>
      <c r="BA60" s="47">
        <v>10</v>
      </c>
      <c r="BB60" s="46">
        <v>43</v>
      </c>
      <c r="BC60" s="48">
        <v>1</v>
      </c>
    </row>
    <row r="61" spans="1:55" s="42" customFormat="1" x14ac:dyDescent="0.2">
      <c r="A61" s="43">
        <v>167</v>
      </c>
      <c r="B61" s="44" t="s">
        <v>20059</v>
      </c>
      <c r="C61" s="45">
        <v>44082</v>
      </c>
      <c r="D61" s="44" t="s">
        <v>20060</v>
      </c>
      <c r="E61" s="44" t="s">
        <v>20469</v>
      </c>
      <c r="F61" s="44" t="s">
        <v>20062</v>
      </c>
      <c r="G61" s="44">
        <v>10086</v>
      </c>
      <c r="H61" s="44" t="s">
        <v>20470</v>
      </c>
      <c r="I61" s="45">
        <v>43952</v>
      </c>
      <c r="J61" s="45">
        <v>45046</v>
      </c>
      <c r="K61" s="44" t="s">
        <v>13</v>
      </c>
      <c r="L61" s="44" t="s">
        <v>114</v>
      </c>
      <c r="M61" s="44" t="s">
        <v>233</v>
      </c>
      <c r="N61" s="44" t="s">
        <v>207</v>
      </c>
      <c r="O61" s="44" t="s">
        <v>234</v>
      </c>
      <c r="P61" s="44" t="s">
        <v>221</v>
      </c>
      <c r="Q61" s="44" t="s">
        <v>20362</v>
      </c>
      <c r="R61" s="44" t="s">
        <v>20471</v>
      </c>
      <c r="S61" s="44" t="s">
        <v>20472</v>
      </c>
      <c r="T61" s="44">
        <v>200</v>
      </c>
      <c r="U61" s="44" t="s">
        <v>20067</v>
      </c>
      <c r="V61" s="44" t="s">
        <v>20067</v>
      </c>
      <c r="W61" s="44" t="s">
        <v>20067</v>
      </c>
      <c r="X61" s="44" t="s">
        <v>20068</v>
      </c>
      <c r="Y61" s="44" t="s">
        <v>20067</v>
      </c>
      <c r="Z61" s="44" t="s">
        <v>20089</v>
      </c>
      <c r="AA61" s="44">
        <v>4446</v>
      </c>
      <c r="AB61" s="44" t="s">
        <v>321</v>
      </c>
      <c r="AC61" s="44" t="s">
        <v>19745</v>
      </c>
      <c r="AD61" s="44" t="s">
        <v>20473</v>
      </c>
      <c r="AE61" s="44" t="s">
        <v>20474</v>
      </c>
      <c r="AF61" s="44" t="s">
        <v>234</v>
      </c>
      <c r="AG61" s="44" t="s">
        <v>7934</v>
      </c>
      <c r="AH61" s="44" t="s">
        <v>1391</v>
      </c>
      <c r="AI61" s="44" t="s">
        <v>18715</v>
      </c>
      <c r="AJ61" s="44" t="s">
        <v>20072</v>
      </c>
      <c r="AK61" s="43">
        <v>0</v>
      </c>
      <c r="AL61" s="44">
        <v>44</v>
      </c>
      <c r="AM61" s="44">
        <v>49.333333333333336</v>
      </c>
      <c r="AN61" s="44">
        <v>58.519051042415526</v>
      </c>
      <c r="AO61" s="44">
        <v>60.174102285092502</v>
      </c>
      <c r="AP61" s="46">
        <v>47.9</v>
      </c>
      <c r="AQ61" s="47">
        <v>5</v>
      </c>
      <c r="AR61" s="47">
        <v>5</v>
      </c>
      <c r="AS61" s="47">
        <v>0</v>
      </c>
      <c r="AT61" s="47">
        <v>0</v>
      </c>
      <c r="AU61" s="46">
        <v>3</v>
      </c>
      <c r="AV61" s="46">
        <v>6</v>
      </c>
      <c r="AW61" s="46">
        <v>5</v>
      </c>
      <c r="AX61" s="47">
        <v>5</v>
      </c>
      <c r="AY61" s="47">
        <v>6</v>
      </c>
      <c r="AZ61" s="47">
        <v>12</v>
      </c>
      <c r="BA61" s="47">
        <v>10</v>
      </c>
      <c r="BB61" s="46">
        <v>43</v>
      </c>
      <c r="BC61" s="48">
        <v>1</v>
      </c>
    </row>
    <row r="62" spans="1:55" s="42" customFormat="1" x14ac:dyDescent="0.2">
      <c r="A62" s="43">
        <v>331</v>
      </c>
      <c r="B62" s="44" t="s">
        <v>20059</v>
      </c>
      <c r="C62" s="45">
        <v>44082</v>
      </c>
      <c r="D62" s="44" t="s">
        <v>20060</v>
      </c>
      <c r="E62" s="44" t="s">
        <v>20475</v>
      </c>
      <c r="F62" s="44" t="s">
        <v>20062</v>
      </c>
      <c r="G62" s="44">
        <v>0</v>
      </c>
      <c r="H62" s="44" t="s">
        <v>20476</v>
      </c>
      <c r="I62" s="45">
        <v>43344</v>
      </c>
      <c r="J62" s="45">
        <v>44439</v>
      </c>
      <c r="K62" s="44" t="s">
        <v>1069</v>
      </c>
      <c r="L62" s="44" t="s">
        <v>1070</v>
      </c>
      <c r="M62" s="44" t="s">
        <v>307</v>
      </c>
      <c r="N62" s="44" t="s">
        <v>207</v>
      </c>
      <c r="O62" s="44" t="s">
        <v>308</v>
      </c>
      <c r="P62" s="44" t="s">
        <v>309</v>
      </c>
      <c r="Q62" s="44" t="s">
        <v>20477</v>
      </c>
      <c r="R62" s="44" t="s">
        <v>20478</v>
      </c>
      <c r="S62" s="44" t="s">
        <v>20131</v>
      </c>
      <c r="T62" s="44">
        <v>16</v>
      </c>
      <c r="U62" s="44" t="s">
        <v>20067</v>
      </c>
      <c r="V62" s="44" t="s">
        <v>20067</v>
      </c>
      <c r="W62" s="44" t="s">
        <v>20068</v>
      </c>
      <c r="X62" s="44" t="s">
        <v>20068</v>
      </c>
      <c r="Y62" s="44" t="s">
        <v>20068</v>
      </c>
      <c r="Z62" s="44" t="s">
        <v>20089</v>
      </c>
      <c r="AA62" s="44">
        <v>4505</v>
      </c>
      <c r="AB62" s="44" t="s">
        <v>354</v>
      </c>
      <c r="AC62" s="44"/>
      <c r="AD62" s="44" t="s">
        <v>20479</v>
      </c>
      <c r="AE62" s="44" t="s">
        <v>20480</v>
      </c>
      <c r="AF62" s="44" t="s">
        <v>308</v>
      </c>
      <c r="AG62" s="44" t="s">
        <v>496</v>
      </c>
      <c r="AH62" s="44" t="s">
        <v>499</v>
      </c>
      <c r="AI62" s="44" t="s">
        <v>18715</v>
      </c>
      <c r="AJ62" s="44" t="s">
        <v>20072</v>
      </c>
      <c r="AK62" s="43">
        <v>0</v>
      </c>
      <c r="AL62" s="44">
        <v>32</v>
      </c>
      <c r="AM62" s="44">
        <v>53</v>
      </c>
      <c r="AN62" s="44">
        <v>62.62868565717141</v>
      </c>
      <c r="AO62" s="44">
        <v>75.020850708924101</v>
      </c>
      <c r="AP62" s="46">
        <v>38</v>
      </c>
      <c r="AQ62" s="47">
        <v>1</v>
      </c>
      <c r="AR62" s="47">
        <v>5</v>
      </c>
      <c r="AS62" s="47">
        <v>0</v>
      </c>
      <c r="AT62" s="47">
        <v>0</v>
      </c>
      <c r="AU62" s="46">
        <v>3</v>
      </c>
      <c r="AV62" s="46">
        <v>8</v>
      </c>
      <c r="AW62" s="46">
        <v>5</v>
      </c>
      <c r="AX62" s="47">
        <v>5</v>
      </c>
      <c r="AY62" s="47">
        <v>6</v>
      </c>
      <c r="AZ62" s="47">
        <v>16</v>
      </c>
      <c r="BA62" s="47">
        <v>10</v>
      </c>
      <c r="BB62" s="46">
        <v>43</v>
      </c>
      <c r="BC62" s="48">
        <v>1</v>
      </c>
    </row>
    <row r="63" spans="1:55" s="42" customFormat="1" x14ac:dyDescent="0.2">
      <c r="A63" s="43">
        <v>341</v>
      </c>
      <c r="B63" s="44" t="s">
        <v>20059</v>
      </c>
      <c r="C63" s="45">
        <v>44082</v>
      </c>
      <c r="D63" s="44" t="s">
        <v>20060</v>
      </c>
      <c r="E63" s="44" t="s">
        <v>20481</v>
      </c>
      <c r="F63" s="44" t="s">
        <v>20062</v>
      </c>
      <c r="G63" s="44">
        <v>0</v>
      </c>
      <c r="H63" s="44" t="s">
        <v>20482</v>
      </c>
      <c r="I63" s="45">
        <v>43282</v>
      </c>
      <c r="J63" s="45">
        <v>44377</v>
      </c>
      <c r="K63" s="44" t="s">
        <v>44</v>
      </c>
      <c r="L63" s="44" t="s">
        <v>143</v>
      </c>
      <c r="M63" s="44" t="s">
        <v>222</v>
      </c>
      <c r="N63" s="44" t="s">
        <v>207</v>
      </c>
      <c r="O63" s="44" t="s">
        <v>266</v>
      </c>
      <c r="P63" s="44" t="s">
        <v>224</v>
      </c>
      <c r="Q63" s="44" t="s">
        <v>20483</v>
      </c>
      <c r="R63" s="44" t="s">
        <v>20484</v>
      </c>
      <c r="S63" s="44" t="s">
        <v>20485</v>
      </c>
      <c r="T63" s="44">
        <v>25</v>
      </c>
      <c r="U63" s="44" t="s">
        <v>20067</v>
      </c>
      <c r="V63" s="44" t="s">
        <v>20067</v>
      </c>
      <c r="W63" s="44" t="s">
        <v>20067</v>
      </c>
      <c r="X63" s="44" t="s">
        <v>20068</v>
      </c>
      <c r="Y63" s="44" t="s">
        <v>20067</v>
      </c>
      <c r="Z63" s="44" t="s">
        <v>20089</v>
      </c>
      <c r="AA63" s="44">
        <v>4279</v>
      </c>
      <c r="AB63" s="44" t="s">
        <v>328</v>
      </c>
      <c r="AC63" s="44"/>
      <c r="AD63" s="44" t="s">
        <v>20486</v>
      </c>
      <c r="AE63" s="44" t="s">
        <v>20487</v>
      </c>
      <c r="AF63" s="44" t="s">
        <v>266</v>
      </c>
      <c r="AG63" s="44" t="s">
        <v>20092</v>
      </c>
      <c r="AH63" s="44" t="s">
        <v>20205</v>
      </c>
      <c r="AI63" s="44" t="s">
        <v>18715</v>
      </c>
      <c r="AJ63" s="44" t="s">
        <v>20072</v>
      </c>
      <c r="AK63" s="43">
        <v>0</v>
      </c>
      <c r="AL63" s="44">
        <v>36.85</v>
      </c>
      <c r="AM63" s="44">
        <v>59.333333333333336</v>
      </c>
      <c r="AN63" s="44">
        <v>50.464601769911496</v>
      </c>
      <c r="AO63" s="44">
        <v>46.9147894221352</v>
      </c>
      <c r="AP63" s="46">
        <v>19.100000000000001</v>
      </c>
      <c r="AQ63" s="47">
        <v>3</v>
      </c>
      <c r="AR63" s="47">
        <v>5</v>
      </c>
      <c r="AS63" s="47">
        <v>0</v>
      </c>
      <c r="AT63" s="47">
        <v>0</v>
      </c>
      <c r="AU63" s="46">
        <v>3</v>
      </c>
      <c r="AV63" s="46">
        <v>8</v>
      </c>
      <c r="AW63" s="46">
        <v>5</v>
      </c>
      <c r="AX63" s="47">
        <v>3</v>
      </c>
      <c r="AY63" s="47">
        <v>6</v>
      </c>
      <c r="AZ63" s="47">
        <v>16</v>
      </c>
      <c r="BA63" s="47">
        <v>10</v>
      </c>
      <c r="BB63" s="46">
        <v>43</v>
      </c>
      <c r="BC63" s="48">
        <v>1</v>
      </c>
    </row>
    <row r="64" spans="1:55" s="42" customFormat="1" x14ac:dyDescent="0.2">
      <c r="A64" s="43">
        <v>390</v>
      </c>
      <c r="B64" s="44" t="s">
        <v>20059</v>
      </c>
      <c r="C64" s="45">
        <v>44082</v>
      </c>
      <c r="D64" s="44" t="s">
        <v>20060</v>
      </c>
      <c r="E64" s="44" t="s">
        <v>20488</v>
      </c>
      <c r="F64" s="44" t="s">
        <v>20062</v>
      </c>
      <c r="G64" s="44">
        <v>0</v>
      </c>
      <c r="H64" s="44" t="s">
        <v>20489</v>
      </c>
      <c r="I64" s="45">
        <v>43374</v>
      </c>
      <c r="J64" s="45">
        <v>44469</v>
      </c>
      <c r="K64" s="44" t="s">
        <v>1071</v>
      </c>
      <c r="L64" s="44" t="s">
        <v>1072</v>
      </c>
      <c r="M64" s="44" t="s">
        <v>292</v>
      </c>
      <c r="N64" s="44" t="s">
        <v>207</v>
      </c>
      <c r="O64" s="44" t="s">
        <v>293</v>
      </c>
      <c r="P64" s="44" t="s">
        <v>224</v>
      </c>
      <c r="Q64" s="44" t="s">
        <v>20490</v>
      </c>
      <c r="R64" s="44" t="s">
        <v>20491</v>
      </c>
      <c r="S64" s="44" t="s">
        <v>20492</v>
      </c>
      <c r="T64" s="44">
        <v>41</v>
      </c>
      <c r="U64" s="44" t="s">
        <v>20067</v>
      </c>
      <c r="V64" s="44" t="s">
        <v>20493</v>
      </c>
      <c r="W64" s="44" t="s">
        <v>20068</v>
      </c>
      <c r="X64" s="44" t="s">
        <v>20068</v>
      </c>
      <c r="Y64" s="44" t="s">
        <v>20067</v>
      </c>
      <c r="Z64" s="44" t="s">
        <v>20089</v>
      </c>
      <c r="AA64" s="44">
        <v>4271</v>
      </c>
      <c r="AB64" s="44" t="s">
        <v>347</v>
      </c>
      <c r="AC64" s="44" t="s">
        <v>19745</v>
      </c>
      <c r="AD64" s="44" t="s">
        <v>20494</v>
      </c>
      <c r="AE64" s="44" t="s">
        <v>20495</v>
      </c>
      <c r="AF64" s="44" t="s">
        <v>293</v>
      </c>
      <c r="AG64" s="44" t="s">
        <v>20255</v>
      </c>
      <c r="AH64" s="44" t="s">
        <v>20256</v>
      </c>
      <c r="AI64" s="44" t="s">
        <v>18715</v>
      </c>
      <c r="AJ64" s="44" t="s">
        <v>20072</v>
      </c>
      <c r="AK64" s="43">
        <v>0</v>
      </c>
      <c r="AL64" s="44">
        <v>40</v>
      </c>
      <c r="AM64" s="44">
        <v>53.333333333333336</v>
      </c>
      <c r="AN64" s="44">
        <v>55.089638407778793</v>
      </c>
      <c r="AO64" s="44">
        <v>64.546016059295894</v>
      </c>
      <c r="AP64" s="46">
        <v>19.100000000000001</v>
      </c>
      <c r="AQ64" s="47">
        <v>3</v>
      </c>
      <c r="AR64" s="47">
        <v>5</v>
      </c>
      <c r="AS64" s="47">
        <v>0</v>
      </c>
      <c r="AT64" s="47">
        <v>0</v>
      </c>
      <c r="AU64" s="46">
        <v>3</v>
      </c>
      <c r="AV64" s="46">
        <v>8</v>
      </c>
      <c r="AW64" s="46">
        <v>5</v>
      </c>
      <c r="AX64" s="47">
        <v>3</v>
      </c>
      <c r="AY64" s="47">
        <v>6</v>
      </c>
      <c r="AZ64" s="47">
        <v>16</v>
      </c>
      <c r="BA64" s="47">
        <v>10</v>
      </c>
      <c r="BB64" s="46">
        <v>43</v>
      </c>
      <c r="BC64" s="48">
        <v>1</v>
      </c>
    </row>
    <row r="65" spans="1:55" s="42" customFormat="1" x14ac:dyDescent="0.2">
      <c r="A65" s="43">
        <v>672</v>
      </c>
      <c r="B65" s="44" t="s">
        <v>20059</v>
      </c>
      <c r="C65" s="45">
        <v>44082</v>
      </c>
      <c r="D65" s="44" t="s">
        <v>20060</v>
      </c>
      <c r="E65" s="44" t="s">
        <v>20496</v>
      </c>
      <c r="F65" s="44" t="s">
        <v>20062</v>
      </c>
      <c r="G65" s="44">
        <v>92701</v>
      </c>
      <c r="H65" s="44" t="s">
        <v>20497</v>
      </c>
      <c r="I65" s="45">
        <v>44044</v>
      </c>
      <c r="J65" s="45">
        <v>45138</v>
      </c>
      <c r="K65" s="44" t="s">
        <v>1073</v>
      </c>
      <c r="L65" s="44" t="s">
        <v>1074</v>
      </c>
      <c r="M65" s="44" t="s">
        <v>292</v>
      </c>
      <c r="N65" s="44" t="s">
        <v>207</v>
      </c>
      <c r="O65" s="44" t="s">
        <v>293</v>
      </c>
      <c r="P65" s="44" t="s">
        <v>224</v>
      </c>
      <c r="Q65" s="44" t="s">
        <v>20498</v>
      </c>
      <c r="R65" s="44" t="s">
        <v>20499</v>
      </c>
      <c r="S65" s="44" t="s">
        <v>20500</v>
      </c>
      <c r="T65" s="44">
        <v>86</v>
      </c>
      <c r="U65" s="44" t="s">
        <v>20493</v>
      </c>
      <c r="V65" s="44" t="s">
        <v>20501</v>
      </c>
      <c r="W65" s="44" t="s">
        <v>20068</v>
      </c>
      <c r="X65" s="44" t="s">
        <v>20068</v>
      </c>
      <c r="Y65" s="44" t="s">
        <v>20068</v>
      </c>
      <c r="Z65" s="44" t="s">
        <v>20089</v>
      </c>
      <c r="AA65" s="44">
        <v>4280</v>
      </c>
      <c r="AB65" s="44" t="s">
        <v>376</v>
      </c>
      <c r="AC65" s="44"/>
      <c r="AD65" s="44" t="s">
        <v>20502</v>
      </c>
      <c r="AE65" s="44" t="s">
        <v>20503</v>
      </c>
      <c r="AF65" s="44" t="s">
        <v>293</v>
      </c>
      <c r="AG65" s="44" t="s">
        <v>20255</v>
      </c>
      <c r="AH65" s="44" t="s">
        <v>20256</v>
      </c>
      <c r="AI65" s="44" t="s">
        <v>18715</v>
      </c>
      <c r="AJ65" s="44" t="s">
        <v>20072</v>
      </c>
      <c r="AK65" s="43">
        <v>0</v>
      </c>
      <c r="AL65" s="44">
        <v>35</v>
      </c>
      <c r="AM65" s="44">
        <v>55.333333333333336</v>
      </c>
      <c r="AN65" s="44">
        <v>62.55044390637611</v>
      </c>
      <c r="AO65" s="44">
        <v>69.236363636363606</v>
      </c>
      <c r="AP65" s="46">
        <v>19.100000000000001</v>
      </c>
      <c r="AQ65" s="47">
        <v>3</v>
      </c>
      <c r="AR65" s="47">
        <v>5</v>
      </c>
      <c r="AS65" s="47">
        <v>0</v>
      </c>
      <c r="AT65" s="47">
        <v>0</v>
      </c>
      <c r="AU65" s="46">
        <v>3</v>
      </c>
      <c r="AV65" s="46">
        <v>8</v>
      </c>
      <c r="AW65" s="46">
        <v>5</v>
      </c>
      <c r="AX65" s="47">
        <v>3</v>
      </c>
      <c r="AY65" s="47">
        <v>6</v>
      </c>
      <c r="AZ65" s="47">
        <v>16</v>
      </c>
      <c r="BA65" s="47">
        <v>10</v>
      </c>
      <c r="BB65" s="46">
        <v>43</v>
      </c>
      <c r="BC65" s="48">
        <v>1</v>
      </c>
    </row>
    <row r="66" spans="1:55" s="42" customFormat="1" x14ac:dyDescent="0.2">
      <c r="A66" s="43">
        <v>697</v>
      </c>
      <c r="B66" s="44" t="s">
        <v>20059</v>
      </c>
      <c r="C66" s="45">
        <v>44082</v>
      </c>
      <c r="D66" s="44" t="s">
        <v>20060</v>
      </c>
      <c r="E66" s="44" t="s">
        <v>20504</v>
      </c>
      <c r="F66" s="44" t="s">
        <v>20062</v>
      </c>
      <c r="G66" s="44">
        <v>7936</v>
      </c>
      <c r="H66" s="44" t="s">
        <v>20505</v>
      </c>
      <c r="I66" s="45">
        <v>43678</v>
      </c>
      <c r="J66" s="45">
        <v>44773</v>
      </c>
      <c r="K66" s="44" t="s">
        <v>45</v>
      </c>
      <c r="L66" s="44" t="s">
        <v>144</v>
      </c>
      <c r="M66" s="44" t="s">
        <v>251</v>
      </c>
      <c r="N66" s="44" t="s">
        <v>207</v>
      </c>
      <c r="O66" s="44" t="s">
        <v>257</v>
      </c>
      <c r="P66" s="44" t="s">
        <v>253</v>
      </c>
      <c r="Q66" s="44" t="s">
        <v>20506</v>
      </c>
      <c r="R66" s="44" t="s">
        <v>20507</v>
      </c>
      <c r="S66" s="44" t="s">
        <v>20508</v>
      </c>
      <c r="T66" s="44">
        <v>59</v>
      </c>
      <c r="U66" s="44" t="s">
        <v>20067</v>
      </c>
      <c r="V66" s="44" t="s">
        <v>20067</v>
      </c>
      <c r="W66" s="44" t="s">
        <v>20067</v>
      </c>
      <c r="X66" s="44" t="s">
        <v>20068</v>
      </c>
      <c r="Y66" s="44" t="s">
        <v>20067</v>
      </c>
      <c r="Z66" s="44" t="s">
        <v>20069</v>
      </c>
      <c r="AA66" s="44">
        <v>4407</v>
      </c>
      <c r="AB66" s="44" t="s">
        <v>331</v>
      </c>
      <c r="AC66" s="44" t="s">
        <v>19745</v>
      </c>
      <c r="AD66" s="44" t="s">
        <v>20509</v>
      </c>
      <c r="AE66" s="44" t="s">
        <v>20510</v>
      </c>
      <c r="AF66" s="44" t="s">
        <v>257</v>
      </c>
      <c r="AG66" s="44" t="s">
        <v>20302</v>
      </c>
      <c r="AH66" s="44" t="s">
        <v>20303</v>
      </c>
      <c r="AI66" s="44" t="s">
        <v>18715</v>
      </c>
      <c r="AJ66" s="44" t="s">
        <v>20072</v>
      </c>
      <c r="AK66" s="43">
        <v>0</v>
      </c>
      <c r="AL66" s="44">
        <v>30</v>
      </c>
      <c r="AM66" s="44">
        <v>55.666666666666664</v>
      </c>
      <c r="AN66" s="44">
        <v>41.896713615023472</v>
      </c>
      <c r="AO66" s="44">
        <v>51.701931922723098</v>
      </c>
      <c r="AP66" s="46">
        <v>23.8</v>
      </c>
      <c r="AQ66" s="47">
        <v>3</v>
      </c>
      <c r="AR66" s="47">
        <v>5</v>
      </c>
      <c r="AS66" s="47">
        <v>0</v>
      </c>
      <c r="AT66" s="47">
        <v>0</v>
      </c>
      <c r="AU66" s="46">
        <v>3</v>
      </c>
      <c r="AV66" s="46">
        <v>8</v>
      </c>
      <c r="AW66" s="46">
        <v>5</v>
      </c>
      <c r="AX66" s="47">
        <v>3</v>
      </c>
      <c r="AY66" s="47">
        <v>6</v>
      </c>
      <c r="AZ66" s="47">
        <v>16</v>
      </c>
      <c r="BA66" s="47">
        <v>10</v>
      </c>
      <c r="BB66" s="46">
        <v>43</v>
      </c>
      <c r="BC66" s="48">
        <v>1</v>
      </c>
    </row>
    <row r="67" spans="1:55" s="42" customFormat="1" x14ac:dyDescent="0.2">
      <c r="A67" s="43">
        <v>762</v>
      </c>
      <c r="B67" s="44" t="s">
        <v>20059</v>
      </c>
      <c r="C67" s="45">
        <v>44082</v>
      </c>
      <c r="D67" s="44" t="s">
        <v>20060</v>
      </c>
      <c r="E67" s="44" t="s">
        <v>20511</v>
      </c>
      <c r="F67" s="44" t="s">
        <v>20062</v>
      </c>
      <c r="G67" s="44">
        <v>0</v>
      </c>
      <c r="H67" s="44" t="s">
        <v>20512</v>
      </c>
      <c r="I67" s="45">
        <v>43466</v>
      </c>
      <c r="J67" s="45">
        <v>44561</v>
      </c>
      <c r="K67" s="44" t="s">
        <v>46</v>
      </c>
      <c r="L67" s="44" t="s">
        <v>145</v>
      </c>
      <c r="M67" s="44" t="s">
        <v>251</v>
      </c>
      <c r="N67" s="44" t="s">
        <v>207</v>
      </c>
      <c r="O67" s="44" t="s">
        <v>257</v>
      </c>
      <c r="P67" s="44" t="s">
        <v>253</v>
      </c>
      <c r="Q67" s="44" t="s">
        <v>20513</v>
      </c>
      <c r="R67" s="44" t="s">
        <v>20514</v>
      </c>
      <c r="S67" s="44" t="s">
        <v>20515</v>
      </c>
      <c r="T67" s="44">
        <v>41</v>
      </c>
      <c r="U67" s="44" t="s">
        <v>20067</v>
      </c>
      <c r="V67" s="44" t="s">
        <v>20202</v>
      </c>
      <c r="W67" s="44" t="s">
        <v>20068</v>
      </c>
      <c r="X67" s="44" t="s">
        <v>20068</v>
      </c>
      <c r="Y67" s="44" t="s">
        <v>20068</v>
      </c>
      <c r="Z67" s="44" t="s">
        <v>20069</v>
      </c>
      <c r="AA67" s="44">
        <v>4407</v>
      </c>
      <c r="AB67" s="44" t="s">
        <v>331</v>
      </c>
      <c r="AC67" s="44"/>
      <c r="AD67" s="44" t="s">
        <v>20516</v>
      </c>
      <c r="AE67" s="44" t="s">
        <v>20517</v>
      </c>
      <c r="AF67" s="44" t="s">
        <v>257</v>
      </c>
      <c r="AG67" s="44" t="s">
        <v>20302</v>
      </c>
      <c r="AH67" s="44" t="s">
        <v>20303</v>
      </c>
      <c r="AI67" s="44" t="s">
        <v>18715</v>
      </c>
      <c r="AJ67" s="44" t="s">
        <v>20072</v>
      </c>
      <c r="AK67" s="43">
        <v>0</v>
      </c>
      <c r="AL67" s="44">
        <v>30</v>
      </c>
      <c r="AM67" s="44">
        <v>55.666666666666664</v>
      </c>
      <c r="AN67" s="44">
        <v>39.808074123097285</v>
      </c>
      <c r="AO67" s="44">
        <v>57.5853852263701</v>
      </c>
      <c r="AP67" s="46">
        <v>23.8</v>
      </c>
      <c r="AQ67" s="47">
        <v>3</v>
      </c>
      <c r="AR67" s="47">
        <v>5</v>
      </c>
      <c r="AS67" s="47">
        <v>0</v>
      </c>
      <c r="AT67" s="47">
        <v>0</v>
      </c>
      <c r="AU67" s="46">
        <v>3</v>
      </c>
      <c r="AV67" s="46">
        <v>8</v>
      </c>
      <c r="AW67" s="46">
        <v>5</v>
      </c>
      <c r="AX67" s="47">
        <v>3</v>
      </c>
      <c r="AY67" s="47">
        <v>6</v>
      </c>
      <c r="AZ67" s="47">
        <v>16</v>
      </c>
      <c r="BA67" s="47">
        <v>10</v>
      </c>
      <c r="BB67" s="46">
        <v>43</v>
      </c>
      <c r="BC67" s="48">
        <v>1</v>
      </c>
    </row>
    <row r="68" spans="1:55" s="42" customFormat="1" x14ac:dyDescent="0.2">
      <c r="A68" s="43">
        <v>870</v>
      </c>
      <c r="B68" s="44" t="s">
        <v>20059</v>
      </c>
      <c r="C68" s="45">
        <v>44082</v>
      </c>
      <c r="D68" s="44" t="s">
        <v>20060</v>
      </c>
      <c r="E68" s="44" t="s">
        <v>20518</v>
      </c>
      <c r="F68" s="44" t="s">
        <v>20062</v>
      </c>
      <c r="G68" s="44">
        <v>0</v>
      </c>
      <c r="H68" s="44" t="s">
        <v>20519</v>
      </c>
      <c r="I68" s="45">
        <v>43862</v>
      </c>
      <c r="J68" s="45">
        <v>44957</v>
      </c>
      <c r="K68" s="44" t="s">
        <v>1075</v>
      </c>
      <c r="L68" s="44" t="s">
        <v>1076</v>
      </c>
      <c r="M68" s="44" t="s">
        <v>292</v>
      </c>
      <c r="N68" s="44" t="s">
        <v>207</v>
      </c>
      <c r="O68" s="44" t="s">
        <v>293</v>
      </c>
      <c r="P68" s="44" t="s">
        <v>224</v>
      </c>
      <c r="Q68" s="44" t="s">
        <v>20520</v>
      </c>
      <c r="R68" s="44" t="s">
        <v>20521</v>
      </c>
      <c r="S68" s="44" t="s">
        <v>20522</v>
      </c>
      <c r="T68" s="44">
        <v>55</v>
      </c>
      <c r="U68" s="44" t="s">
        <v>20067</v>
      </c>
      <c r="V68" s="44" t="s">
        <v>20344</v>
      </c>
      <c r="W68" s="44" t="s">
        <v>20068</v>
      </c>
      <c r="X68" s="44" t="s">
        <v>20068</v>
      </c>
      <c r="Y68" s="44" t="s">
        <v>20068</v>
      </c>
      <c r="Z68" s="44" t="s">
        <v>20089</v>
      </c>
      <c r="AA68" s="44">
        <v>4271</v>
      </c>
      <c r="AB68" s="44" t="s">
        <v>347</v>
      </c>
      <c r="AC68" s="44"/>
      <c r="AD68" s="44" t="s">
        <v>20523</v>
      </c>
      <c r="AE68" s="44" t="s">
        <v>20524</v>
      </c>
      <c r="AF68" s="44" t="s">
        <v>293</v>
      </c>
      <c r="AG68" s="44" t="s">
        <v>20255</v>
      </c>
      <c r="AH68" s="44" t="s">
        <v>20256</v>
      </c>
      <c r="AI68" s="44" t="s">
        <v>18715</v>
      </c>
      <c r="AJ68" s="44" t="s">
        <v>20072</v>
      </c>
      <c r="AK68" s="43">
        <v>0</v>
      </c>
      <c r="AL68" s="44">
        <v>40</v>
      </c>
      <c r="AM68" s="44">
        <v>53.333333333333336</v>
      </c>
      <c r="AN68" s="44">
        <v>28.375527426160335</v>
      </c>
      <c r="AO68" s="44">
        <v>46.740947075208901</v>
      </c>
      <c r="AP68" s="46">
        <v>19.100000000000001</v>
      </c>
      <c r="AQ68" s="47">
        <v>3</v>
      </c>
      <c r="AR68" s="47">
        <v>5</v>
      </c>
      <c r="AS68" s="47">
        <v>0</v>
      </c>
      <c r="AT68" s="47">
        <v>0</v>
      </c>
      <c r="AU68" s="46">
        <v>3</v>
      </c>
      <c r="AV68" s="46">
        <v>8</v>
      </c>
      <c r="AW68" s="46">
        <v>5</v>
      </c>
      <c r="AX68" s="47">
        <v>3</v>
      </c>
      <c r="AY68" s="47">
        <v>6</v>
      </c>
      <c r="AZ68" s="47">
        <v>16</v>
      </c>
      <c r="BA68" s="47">
        <v>10</v>
      </c>
      <c r="BB68" s="46">
        <v>43</v>
      </c>
      <c r="BC68" s="48">
        <v>1</v>
      </c>
    </row>
    <row r="69" spans="1:55" s="42" customFormat="1" x14ac:dyDescent="0.2">
      <c r="A69" s="43">
        <v>888</v>
      </c>
      <c r="B69" s="44" t="s">
        <v>20059</v>
      </c>
      <c r="C69" s="45">
        <v>44082</v>
      </c>
      <c r="D69" s="44" t="s">
        <v>20060</v>
      </c>
      <c r="E69" s="44" t="s">
        <v>20525</v>
      </c>
      <c r="F69" s="44" t="s">
        <v>20062</v>
      </c>
      <c r="G69" s="44">
        <v>0</v>
      </c>
      <c r="H69" s="44" t="s">
        <v>20526</v>
      </c>
      <c r="I69" s="45">
        <v>43374</v>
      </c>
      <c r="J69" s="45">
        <v>44469</v>
      </c>
      <c r="K69" s="44" t="s">
        <v>1077</v>
      </c>
      <c r="L69" s="44" t="s">
        <v>1078</v>
      </c>
      <c r="M69" s="44" t="s">
        <v>1079</v>
      </c>
      <c r="N69" s="44" t="s">
        <v>207</v>
      </c>
      <c r="O69" s="44" t="s">
        <v>392</v>
      </c>
      <c r="P69" s="44" t="s">
        <v>1080</v>
      </c>
      <c r="Q69" s="44" t="s">
        <v>20527</v>
      </c>
      <c r="R69" s="44" t="s">
        <v>20528</v>
      </c>
      <c r="S69" s="44" t="s">
        <v>20529</v>
      </c>
      <c r="T69" s="44">
        <v>72</v>
      </c>
      <c r="U69" s="44" t="s">
        <v>20067</v>
      </c>
      <c r="V69" s="44" t="s">
        <v>20067</v>
      </c>
      <c r="W69" s="44" t="s">
        <v>20067</v>
      </c>
      <c r="X69" s="44" t="s">
        <v>20068</v>
      </c>
      <c r="Y69" s="44" t="s">
        <v>20067</v>
      </c>
      <c r="Z69" s="44" t="s">
        <v>20069</v>
      </c>
      <c r="AA69" s="44">
        <v>4470</v>
      </c>
      <c r="AB69" s="44" t="s">
        <v>388</v>
      </c>
      <c r="AC69" s="44" t="s">
        <v>19745</v>
      </c>
      <c r="AD69" s="44" t="s">
        <v>20530</v>
      </c>
      <c r="AE69" s="44" t="s">
        <v>20531</v>
      </c>
      <c r="AF69" s="44" t="s">
        <v>392</v>
      </c>
      <c r="AG69" s="44" t="s">
        <v>8713</v>
      </c>
      <c r="AH69" s="44" t="s">
        <v>20532</v>
      </c>
      <c r="AI69" s="44" t="s">
        <v>18715</v>
      </c>
      <c r="AJ69" s="44" t="s">
        <v>20072</v>
      </c>
      <c r="AK69" s="43">
        <v>0</v>
      </c>
      <c r="AL69" s="44">
        <v>67</v>
      </c>
      <c r="AM69" s="44">
        <v>56</v>
      </c>
      <c r="AN69" s="44">
        <v>35.978480161398792</v>
      </c>
      <c r="AO69" s="44">
        <v>27.312992125984302</v>
      </c>
      <c r="AP69" s="46">
        <v>28.2</v>
      </c>
      <c r="AQ69" s="47">
        <v>3</v>
      </c>
      <c r="AR69" s="47">
        <v>5</v>
      </c>
      <c r="AS69" s="47">
        <v>0</v>
      </c>
      <c r="AT69" s="47">
        <v>0</v>
      </c>
      <c r="AU69" s="46">
        <v>5</v>
      </c>
      <c r="AV69" s="46">
        <v>8</v>
      </c>
      <c r="AW69" s="46">
        <v>3</v>
      </c>
      <c r="AX69" s="47">
        <v>3</v>
      </c>
      <c r="AY69" s="47">
        <v>10</v>
      </c>
      <c r="AZ69" s="47">
        <v>16</v>
      </c>
      <c r="BA69" s="47">
        <v>6</v>
      </c>
      <c r="BB69" s="46">
        <v>43</v>
      </c>
      <c r="BC69" s="48">
        <v>1</v>
      </c>
    </row>
    <row r="70" spans="1:55" s="42" customFormat="1" x14ac:dyDescent="0.2">
      <c r="A70" s="43">
        <v>966</v>
      </c>
      <c r="B70" s="44" t="s">
        <v>20059</v>
      </c>
      <c r="C70" s="45">
        <v>44082</v>
      </c>
      <c r="D70" s="44" t="s">
        <v>20060</v>
      </c>
      <c r="E70" s="44" t="s">
        <v>20533</v>
      </c>
      <c r="F70" s="44" t="s">
        <v>20062</v>
      </c>
      <c r="G70" s="44">
        <v>0</v>
      </c>
      <c r="H70" s="44" t="s">
        <v>20534</v>
      </c>
      <c r="I70" s="45">
        <v>43922</v>
      </c>
      <c r="J70" s="45">
        <v>45016</v>
      </c>
      <c r="K70" s="44" t="s">
        <v>1081</v>
      </c>
      <c r="L70" s="44" t="s">
        <v>1082</v>
      </c>
      <c r="M70" s="44" t="s">
        <v>222</v>
      </c>
      <c r="N70" s="44" t="s">
        <v>207</v>
      </c>
      <c r="O70" s="44" t="s">
        <v>606</v>
      </c>
      <c r="P70" s="44" t="s">
        <v>224</v>
      </c>
      <c r="Q70" s="44" t="s">
        <v>20535</v>
      </c>
      <c r="R70" s="44" t="s">
        <v>20536</v>
      </c>
      <c r="S70" s="44" t="s">
        <v>20537</v>
      </c>
      <c r="T70" s="44">
        <v>38</v>
      </c>
      <c r="U70" s="44" t="s">
        <v>20067</v>
      </c>
      <c r="V70" s="44" t="s">
        <v>20067</v>
      </c>
      <c r="W70" s="44" t="s">
        <v>20068</v>
      </c>
      <c r="X70" s="44" t="s">
        <v>20068</v>
      </c>
      <c r="Y70" s="44" t="s">
        <v>20068</v>
      </c>
      <c r="Z70" s="44" t="s">
        <v>20089</v>
      </c>
      <c r="AA70" s="44">
        <v>4280</v>
      </c>
      <c r="AB70" s="44" t="s">
        <v>376</v>
      </c>
      <c r="AC70" s="44"/>
      <c r="AD70" s="44" t="s">
        <v>20282</v>
      </c>
      <c r="AE70" s="44" t="s">
        <v>20538</v>
      </c>
      <c r="AF70" s="44" t="s">
        <v>606</v>
      </c>
      <c r="AG70" s="44" t="s">
        <v>20125</v>
      </c>
      <c r="AH70" s="44" t="s">
        <v>20222</v>
      </c>
      <c r="AI70" s="44" t="s">
        <v>18715</v>
      </c>
      <c r="AJ70" s="44" t="s">
        <v>20072</v>
      </c>
      <c r="AK70" s="43">
        <v>0</v>
      </c>
      <c r="AL70" s="44">
        <v>35</v>
      </c>
      <c r="AM70" s="44">
        <v>55.333333333333336</v>
      </c>
      <c r="AN70" s="44">
        <v>53.98643556895253</v>
      </c>
      <c r="AO70" s="44">
        <v>68.818380743982502</v>
      </c>
      <c r="AP70" s="46">
        <v>19.100000000000001</v>
      </c>
      <c r="AQ70" s="47">
        <v>3</v>
      </c>
      <c r="AR70" s="47">
        <v>5</v>
      </c>
      <c r="AS70" s="47">
        <v>0</v>
      </c>
      <c r="AT70" s="47">
        <v>0</v>
      </c>
      <c r="AU70" s="46">
        <v>3</v>
      </c>
      <c r="AV70" s="46">
        <v>8</v>
      </c>
      <c r="AW70" s="46">
        <v>5</v>
      </c>
      <c r="AX70" s="47">
        <v>3</v>
      </c>
      <c r="AY70" s="47">
        <v>6</v>
      </c>
      <c r="AZ70" s="47">
        <v>16</v>
      </c>
      <c r="BA70" s="47">
        <v>10</v>
      </c>
      <c r="BB70" s="46">
        <v>43</v>
      </c>
      <c r="BC70" s="48">
        <v>1</v>
      </c>
    </row>
    <row r="71" spans="1:55" s="42" customFormat="1" x14ac:dyDescent="0.2">
      <c r="A71" s="43">
        <v>974</v>
      </c>
      <c r="B71" s="44" t="s">
        <v>20059</v>
      </c>
      <c r="C71" s="45">
        <v>44082</v>
      </c>
      <c r="D71" s="44" t="s">
        <v>20060</v>
      </c>
      <c r="E71" s="44" t="s">
        <v>20539</v>
      </c>
      <c r="F71" s="44" t="s">
        <v>20062</v>
      </c>
      <c r="G71" s="44">
        <v>0</v>
      </c>
      <c r="H71" s="44" t="s">
        <v>20540</v>
      </c>
      <c r="I71" s="45">
        <v>43647</v>
      </c>
      <c r="J71" s="45">
        <v>44742</v>
      </c>
      <c r="K71" s="44" t="s">
        <v>1083</v>
      </c>
      <c r="L71" s="44" t="s">
        <v>1084</v>
      </c>
      <c r="M71" s="44" t="s">
        <v>1079</v>
      </c>
      <c r="N71" s="44" t="s">
        <v>207</v>
      </c>
      <c r="O71" s="44" t="s">
        <v>392</v>
      </c>
      <c r="P71" s="44" t="s">
        <v>1080</v>
      </c>
      <c r="Q71" s="44" t="s">
        <v>20541</v>
      </c>
      <c r="R71" s="44" t="s">
        <v>20542</v>
      </c>
      <c r="S71" s="44" t="s">
        <v>20543</v>
      </c>
      <c r="T71" s="44">
        <v>93</v>
      </c>
      <c r="U71" s="44" t="s">
        <v>20121</v>
      </c>
      <c r="V71" s="44" t="s">
        <v>20389</v>
      </c>
      <c r="W71" s="44" t="s">
        <v>20068</v>
      </c>
      <c r="X71" s="44" t="s">
        <v>20068</v>
      </c>
      <c r="Y71" s="44" t="s">
        <v>20068</v>
      </c>
      <c r="Z71" s="44" t="s">
        <v>20069</v>
      </c>
      <c r="AA71" s="44">
        <v>4470</v>
      </c>
      <c r="AB71" s="44" t="s">
        <v>388</v>
      </c>
      <c r="AC71" s="44"/>
      <c r="AD71" s="44" t="s">
        <v>20530</v>
      </c>
      <c r="AE71" s="44" t="s">
        <v>20531</v>
      </c>
      <c r="AF71" s="44" t="s">
        <v>392</v>
      </c>
      <c r="AG71" s="44" t="s">
        <v>8713</v>
      </c>
      <c r="AH71" s="44" t="s">
        <v>20532</v>
      </c>
      <c r="AI71" s="44" t="s">
        <v>18715</v>
      </c>
      <c r="AJ71" s="44" t="s">
        <v>20072</v>
      </c>
      <c r="AK71" s="43">
        <v>0</v>
      </c>
      <c r="AL71" s="44">
        <v>67</v>
      </c>
      <c r="AM71" s="44">
        <v>56</v>
      </c>
      <c r="AN71" s="44">
        <v>35.978480161398792</v>
      </c>
      <c r="AO71" s="44">
        <v>27.312992125984302</v>
      </c>
      <c r="AP71" s="46">
        <v>28.2</v>
      </c>
      <c r="AQ71" s="47">
        <v>3</v>
      </c>
      <c r="AR71" s="47">
        <v>5</v>
      </c>
      <c r="AS71" s="47">
        <v>0</v>
      </c>
      <c r="AT71" s="47">
        <v>0</v>
      </c>
      <c r="AU71" s="46">
        <v>5</v>
      </c>
      <c r="AV71" s="46">
        <v>8</v>
      </c>
      <c r="AW71" s="46">
        <v>3</v>
      </c>
      <c r="AX71" s="47">
        <v>3</v>
      </c>
      <c r="AY71" s="47">
        <v>10</v>
      </c>
      <c r="AZ71" s="47">
        <v>16</v>
      </c>
      <c r="BA71" s="47">
        <v>6</v>
      </c>
      <c r="BB71" s="46">
        <v>43</v>
      </c>
      <c r="BC71" s="48">
        <v>1</v>
      </c>
    </row>
    <row r="72" spans="1:55" s="42" customFormat="1" x14ac:dyDescent="0.2">
      <c r="A72" s="43">
        <v>1101</v>
      </c>
      <c r="B72" s="44" t="s">
        <v>20059</v>
      </c>
      <c r="C72" s="45">
        <v>44082</v>
      </c>
      <c r="D72" s="44" t="s">
        <v>20060</v>
      </c>
      <c r="E72" s="44" t="s">
        <v>20544</v>
      </c>
      <c r="F72" s="44" t="s">
        <v>20062</v>
      </c>
      <c r="G72" s="44">
        <v>0</v>
      </c>
      <c r="H72" s="44" t="s">
        <v>20545</v>
      </c>
      <c r="I72" s="45">
        <v>43785</v>
      </c>
      <c r="J72" s="45">
        <v>44865</v>
      </c>
      <c r="K72" s="44" t="s">
        <v>47</v>
      </c>
      <c r="L72" s="44" t="s">
        <v>146</v>
      </c>
      <c r="M72" s="44" t="s">
        <v>222</v>
      </c>
      <c r="N72" s="44" t="s">
        <v>207</v>
      </c>
      <c r="O72" s="44" t="s">
        <v>270</v>
      </c>
      <c r="P72" s="44" t="s">
        <v>224</v>
      </c>
      <c r="Q72" s="44"/>
      <c r="R72" s="44" t="s">
        <v>20546</v>
      </c>
      <c r="S72" s="44" t="s">
        <v>20131</v>
      </c>
      <c r="T72" s="44">
        <v>55</v>
      </c>
      <c r="U72" s="44" t="s">
        <v>20121</v>
      </c>
      <c r="V72" s="44" t="s">
        <v>20237</v>
      </c>
      <c r="W72" s="44" t="s">
        <v>20068</v>
      </c>
      <c r="X72" s="44" t="s">
        <v>20068</v>
      </c>
      <c r="Y72" s="44" t="s">
        <v>20068</v>
      </c>
      <c r="Z72" s="44" t="s">
        <v>20089</v>
      </c>
      <c r="AA72" s="44">
        <v>4259</v>
      </c>
      <c r="AB72" s="44" t="s">
        <v>316</v>
      </c>
      <c r="AC72" s="44"/>
      <c r="AD72" s="44" t="s">
        <v>20547</v>
      </c>
      <c r="AE72" s="44" t="s">
        <v>20548</v>
      </c>
      <c r="AF72" s="44" t="s">
        <v>270</v>
      </c>
      <c r="AG72" s="44" t="s">
        <v>20092</v>
      </c>
      <c r="AH72" s="44" t="s">
        <v>20170</v>
      </c>
      <c r="AI72" s="44" t="s">
        <v>18715</v>
      </c>
      <c r="AJ72" s="44" t="s">
        <v>20072</v>
      </c>
      <c r="AK72" s="43">
        <v>0</v>
      </c>
      <c r="AL72" s="44">
        <v>39</v>
      </c>
      <c r="AM72" s="44">
        <v>65.333333333333329</v>
      </c>
      <c r="AN72" s="44">
        <v>39.090909090909093</v>
      </c>
      <c r="AO72" s="44">
        <v>39.090909090909101</v>
      </c>
      <c r="AP72" s="46">
        <v>19.100000000000001</v>
      </c>
      <c r="AQ72" s="47">
        <v>3</v>
      </c>
      <c r="AR72" s="47">
        <v>5</v>
      </c>
      <c r="AS72" s="47">
        <v>0</v>
      </c>
      <c r="AT72" s="47">
        <v>0</v>
      </c>
      <c r="AU72" s="46">
        <v>3</v>
      </c>
      <c r="AV72" s="46">
        <v>10</v>
      </c>
      <c r="AW72" s="46">
        <v>3</v>
      </c>
      <c r="AX72" s="47">
        <v>3</v>
      </c>
      <c r="AY72" s="47">
        <v>6</v>
      </c>
      <c r="AZ72" s="47">
        <v>20</v>
      </c>
      <c r="BA72" s="47">
        <v>6</v>
      </c>
      <c r="BB72" s="46">
        <v>43</v>
      </c>
      <c r="BC72" s="48">
        <v>1</v>
      </c>
    </row>
    <row r="73" spans="1:55" s="42" customFormat="1" x14ac:dyDescent="0.2">
      <c r="A73" s="43">
        <v>1105</v>
      </c>
      <c r="B73" s="44" t="s">
        <v>20059</v>
      </c>
      <c r="C73" s="45">
        <v>44082</v>
      </c>
      <c r="D73" s="44" t="s">
        <v>20060</v>
      </c>
      <c r="E73" s="44" t="s">
        <v>20549</v>
      </c>
      <c r="F73" s="44" t="s">
        <v>20062</v>
      </c>
      <c r="G73" s="44">
        <v>9281</v>
      </c>
      <c r="H73" s="44" t="s">
        <v>20550</v>
      </c>
      <c r="I73" s="45">
        <v>43160</v>
      </c>
      <c r="J73" s="45">
        <v>44255</v>
      </c>
      <c r="K73" s="44" t="s">
        <v>1085</v>
      </c>
      <c r="L73" s="44" t="s">
        <v>1086</v>
      </c>
      <c r="M73" s="44" t="s">
        <v>222</v>
      </c>
      <c r="N73" s="44" t="s">
        <v>207</v>
      </c>
      <c r="O73" s="44" t="s">
        <v>951</v>
      </c>
      <c r="P73" s="44" t="s">
        <v>224</v>
      </c>
      <c r="Q73" s="44" t="s">
        <v>20551</v>
      </c>
      <c r="R73" s="44" t="s">
        <v>20552</v>
      </c>
      <c r="S73" s="44" t="s">
        <v>20553</v>
      </c>
      <c r="T73" s="44">
        <v>98</v>
      </c>
      <c r="U73" s="44" t="s">
        <v>20344</v>
      </c>
      <c r="V73" s="44" t="s">
        <v>20262</v>
      </c>
      <c r="W73" s="44" t="s">
        <v>20068</v>
      </c>
      <c r="X73" s="44" t="s">
        <v>20068</v>
      </c>
      <c r="Y73" s="44" t="s">
        <v>20068</v>
      </c>
      <c r="Z73" s="44" t="s">
        <v>20089</v>
      </c>
      <c r="AA73" s="44">
        <v>4280</v>
      </c>
      <c r="AB73" s="44" t="s">
        <v>376</v>
      </c>
      <c r="AC73" s="44"/>
      <c r="AD73" s="44" t="s">
        <v>20123</v>
      </c>
      <c r="AE73" s="44" t="s">
        <v>20124</v>
      </c>
      <c r="AF73" s="44" t="s">
        <v>594</v>
      </c>
      <c r="AG73" s="44" t="s">
        <v>20125</v>
      </c>
      <c r="AH73" s="44" t="s">
        <v>20126</v>
      </c>
      <c r="AI73" s="44" t="s">
        <v>18715</v>
      </c>
      <c r="AJ73" s="44" t="s">
        <v>20072</v>
      </c>
      <c r="AK73" s="43">
        <v>0</v>
      </c>
      <c r="AL73" s="44">
        <v>35</v>
      </c>
      <c r="AM73" s="44">
        <v>55.333333333333336</v>
      </c>
      <c r="AN73" s="44">
        <v>54.7374348866676</v>
      </c>
      <c r="AO73" s="44">
        <v>62.337662337662302</v>
      </c>
      <c r="AP73" s="46">
        <v>19.100000000000001</v>
      </c>
      <c r="AQ73" s="47">
        <v>3</v>
      </c>
      <c r="AR73" s="47">
        <v>5</v>
      </c>
      <c r="AS73" s="47">
        <v>0</v>
      </c>
      <c r="AT73" s="47">
        <v>0</v>
      </c>
      <c r="AU73" s="46">
        <v>3</v>
      </c>
      <c r="AV73" s="46">
        <v>8</v>
      </c>
      <c r="AW73" s="46">
        <v>5</v>
      </c>
      <c r="AX73" s="47">
        <v>3</v>
      </c>
      <c r="AY73" s="47">
        <v>6</v>
      </c>
      <c r="AZ73" s="47">
        <v>16</v>
      </c>
      <c r="BA73" s="47">
        <v>10</v>
      </c>
      <c r="BB73" s="46">
        <v>43</v>
      </c>
      <c r="BC73" s="48">
        <v>1</v>
      </c>
    </row>
    <row r="74" spans="1:55" s="42" customFormat="1" x14ac:dyDescent="0.2">
      <c r="A74" s="43">
        <v>1148</v>
      </c>
      <c r="B74" s="44" t="s">
        <v>20059</v>
      </c>
      <c r="C74" s="45">
        <v>44082</v>
      </c>
      <c r="D74" s="44" t="s">
        <v>20060</v>
      </c>
      <c r="E74" s="44" t="s">
        <v>20554</v>
      </c>
      <c r="F74" s="44" t="s">
        <v>20062</v>
      </c>
      <c r="G74" s="44">
        <v>0</v>
      </c>
      <c r="H74" s="44" t="s">
        <v>20555</v>
      </c>
      <c r="I74" s="45">
        <v>43344</v>
      </c>
      <c r="J74" s="45">
        <v>44439</v>
      </c>
      <c r="K74" s="44" t="s">
        <v>48</v>
      </c>
      <c r="L74" s="44" t="s">
        <v>147</v>
      </c>
      <c r="M74" s="44" t="s">
        <v>222</v>
      </c>
      <c r="N74" s="44" t="s">
        <v>207</v>
      </c>
      <c r="O74" s="44" t="s">
        <v>248</v>
      </c>
      <c r="P74" s="44" t="s">
        <v>224</v>
      </c>
      <c r="Q74" s="44" t="s">
        <v>20556</v>
      </c>
      <c r="R74" s="44" t="s">
        <v>20557</v>
      </c>
      <c r="S74" s="44" t="s">
        <v>20558</v>
      </c>
      <c r="T74" s="44">
        <v>54</v>
      </c>
      <c r="U74" s="44" t="s">
        <v>20121</v>
      </c>
      <c r="V74" s="44" t="s">
        <v>20299</v>
      </c>
      <c r="W74" s="44" t="s">
        <v>20068</v>
      </c>
      <c r="X74" s="44" t="s">
        <v>20068</v>
      </c>
      <c r="Y74" s="44" t="s">
        <v>20068</v>
      </c>
      <c r="Z74" s="44" t="s">
        <v>20089</v>
      </c>
      <c r="AA74" s="44">
        <v>4279</v>
      </c>
      <c r="AB74" s="44" t="s">
        <v>328</v>
      </c>
      <c r="AC74" s="44"/>
      <c r="AD74" s="44" t="s">
        <v>20203</v>
      </c>
      <c r="AE74" s="44" t="s">
        <v>20204</v>
      </c>
      <c r="AF74" s="44" t="s">
        <v>248</v>
      </c>
      <c r="AG74" s="44" t="s">
        <v>20092</v>
      </c>
      <c r="AH74" s="44" t="s">
        <v>20205</v>
      </c>
      <c r="AI74" s="44" t="s">
        <v>18715</v>
      </c>
      <c r="AJ74" s="44" t="s">
        <v>20072</v>
      </c>
      <c r="AK74" s="43">
        <v>0</v>
      </c>
      <c r="AL74" s="44">
        <v>36.85</v>
      </c>
      <c r="AM74" s="44">
        <v>59.333333333333336</v>
      </c>
      <c r="AN74" s="44">
        <v>51.257367387033405</v>
      </c>
      <c r="AO74" s="44">
        <v>54.194857916102798</v>
      </c>
      <c r="AP74" s="46">
        <v>19.100000000000001</v>
      </c>
      <c r="AQ74" s="47">
        <v>3</v>
      </c>
      <c r="AR74" s="47">
        <v>5</v>
      </c>
      <c r="AS74" s="47">
        <v>0</v>
      </c>
      <c r="AT74" s="47">
        <v>0</v>
      </c>
      <c r="AU74" s="46">
        <v>3</v>
      </c>
      <c r="AV74" s="46">
        <v>8</v>
      </c>
      <c r="AW74" s="46">
        <v>5</v>
      </c>
      <c r="AX74" s="47">
        <v>3</v>
      </c>
      <c r="AY74" s="47">
        <v>6</v>
      </c>
      <c r="AZ74" s="47">
        <v>16</v>
      </c>
      <c r="BA74" s="47">
        <v>10</v>
      </c>
      <c r="BB74" s="46">
        <v>43</v>
      </c>
      <c r="BC74" s="48">
        <v>1</v>
      </c>
    </row>
    <row r="75" spans="1:55" s="42" customFormat="1" x14ac:dyDescent="0.2">
      <c r="A75" s="43">
        <v>1161</v>
      </c>
      <c r="B75" s="44" t="s">
        <v>20059</v>
      </c>
      <c r="C75" s="45">
        <v>44082</v>
      </c>
      <c r="D75" s="44" t="s">
        <v>20060</v>
      </c>
      <c r="E75" s="44" t="s">
        <v>20559</v>
      </c>
      <c r="F75" s="44" t="s">
        <v>20062</v>
      </c>
      <c r="G75" s="44">
        <v>0</v>
      </c>
      <c r="H75" s="44" t="s">
        <v>20560</v>
      </c>
      <c r="I75" s="45">
        <v>43040</v>
      </c>
      <c r="J75" s="45">
        <v>44135</v>
      </c>
      <c r="K75" s="44" t="s">
        <v>1087</v>
      </c>
      <c r="L75" s="44" t="s">
        <v>1088</v>
      </c>
      <c r="M75" s="44" t="s">
        <v>292</v>
      </c>
      <c r="N75" s="44" t="s">
        <v>207</v>
      </c>
      <c r="O75" s="44" t="s">
        <v>293</v>
      </c>
      <c r="P75" s="44" t="s">
        <v>224</v>
      </c>
      <c r="Q75" s="44" t="s">
        <v>20490</v>
      </c>
      <c r="R75" s="44" t="s">
        <v>20561</v>
      </c>
      <c r="S75" s="44" t="s">
        <v>20562</v>
      </c>
      <c r="T75" s="44">
        <v>56</v>
      </c>
      <c r="U75" s="44" t="s">
        <v>20067</v>
      </c>
      <c r="V75" s="44" t="s">
        <v>20202</v>
      </c>
      <c r="W75" s="44" t="s">
        <v>20068</v>
      </c>
      <c r="X75" s="44" t="s">
        <v>20068</v>
      </c>
      <c r="Y75" s="44" t="s">
        <v>20067</v>
      </c>
      <c r="Z75" s="44" t="s">
        <v>20089</v>
      </c>
      <c r="AA75" s="44">
        <v>4271</v>
      </c>
      <c r="AB75" s="44" t="s">
        <v>347</v>
      </c>
      <c r="AC75" s="44" t="s">
        <v>19745</v>
      </c>
      <c r="AD75" s="44" t="s">
        <v>20253</v>
      </c>
      <c r="AE75" s="44" t="s">
        <v>20254</v>
      </c>
      <c r="AF75" s="44" t="s">
        <v>293</v>
      </c>
      <c r="AG75" s="44" t="s">
        <v>20255</v>
      </c>
      <c r="AH75" s="44" t="s">
        <v>20256</v>
      </c>
      <c r="AI75" s="44" t="s">
        <v>18715</v>
      </c>
      <c r="AJ75" s="44" t="s">
        <v>20072</v>
      </c>
      <c r="AK75" s="43">
        <v>0</v>
      </c>
      <c r="AL75" s="44">
        <v>40</v>
      </c>
      <c r="AM75" s="44">
        <v>53.333333333333336</v>
      </c>
      <c r="AN75" s="44">
        <v>37.72552199472937</v>
      </c>
      <c r="AO75" s="44">
        <v>51.462621885157098</v>
      </c>
      <c r="AP75" s="46">
        <v>19.100000000000001</v>
      </c>
      <c r="AQ75" s="47">
        <v>3</v>
      </c>
      <c r="AR75" s="47">
        <v>5</v>
      </c>
      <c r="AS75" s="47">
        <v>0</v>
      </c>
      <c r="AT75" s="47">
        <v>0</v>
      </c>
      <c r="AU75" s="46">
        <v>3</v>
      </c>
      <c r="AV75" s="46">
        <v>8</v>
      </c>
      <c r="AW75" s="46">
        <v>5</v>
      </c>
      <c r="AX75" s="47">
        <v>3</v>
      </c>
      <c r="AY75" s="47">
        <v>6</v>
      </c>
      <c r="AZ75" s="47">
        <v>16</v>
      </c>
      <c r="BA75" s="47">
        <v>10</v>
      </c>
      <c r="BB75" s="46">
        <v>43</v>
      </c>
      <c r="BC75" s="48">
        <v>1</v>
      </c>
    </row>
    <row r="76" spans="1:55" s="42" customFormat="1" x14ac:dyDescent="0.2">
      <c r="A76" s="43">
        <v>1213</v>
      </c>
      <c r="B76" s="44" t="s">
        <v>20059</v>
      </c>
      <c r="C76" s="45">
        <v>44082</v>
      </c>
      <c r="D76" s="44" t="s">
        <v>20060</v>
      </c>
      <c r="E76" s="44" t="s">
        <v>20563</v>
      </c>
      <c r="F76" s="44" t="s">
        <v>20062</v>
      </c>
      <c r="G76" s="44">
        <v>0</v>
      </c>
      <c r="H76" s="44" t="s">
        <v>20564</v>
      </c>
      <c r="I76" s="45">
        <v>43709</v>
      </c>
      <c r="J76" s="45">
        <v>44804</v>
      </c>
      <c r="K76" s="44" t="s">
        <v>49</v>
      </c>
      <c r="L76" s="44" t="s">
        <v>148</v>
      </c>
      <c r="M76" s="44" t="s">
        <v>222</v>
      </c>
      <c r="N76" s="44" t="s">
        <v>207</v>
      </c>
      <c r="O76" s="44" t="s">
        <v>248</v>
      </c>
      <c r="P76" s="44" t="s">
        <v>224</v>
      </c>
      <c r="Q76" s="44" t="s">
        <v>20565</v>
      </c>
      <c r="R76" s="44" t="s">
        <v>20566</v>
      </c>
      <c r="S76" s="44" t="s">
        <v>20567</v>
      </c>
      <c r="T76" s="44">
        <v>40</v>
      </c>
      <c r="U76" s="44" t="s">
        <v>20067</v>
      </c>
      <c r="V76" s="44" t="s">
        <v>20067</v>
      </c>
      <c r="W76" s="44" t="s">
        <v>20067</v>
      </c>
      <c r="X76" s="44" t="s">
        <v>20068</v>
      </c>
      <c r="Y76" s="44" t="s">
        <v>20067</v>
      </c>
      <c r="Z76" s="44" t="s">
        <v>20089</v>
      </c>
      <c r="AA76" s="44">
        <v>4279</v>
      </c>
      <c r="AB76" s="44" t="s">
        <v>328</v>
      </c>
      <c r="AC76" s="44"/>
      <c r="AD76" s="44" t="s">
        <v>20203</v>
      </c>
      <c r="AE76" s="44" t="s">
        <v>20204</v>
      </c>
      <c r="AF76" s="44" t="s">
        <v>248</v>
      </c>
      <c r="AG76" s="44" t="s">
        <v>20092</v>
      </c>
      <c r="AH76" s="44" t="s">
        <v>20205</v>
      </c>
      <c r="AI76" s="44" t="s">
        <v>18715</v>
      </c>
      <c r="AJ76" s="44" t="s">
        <v>20072</v>
      </c>
      <c r="AK76" s="43">
        <v>0</v>
      </c>
      <c r="AL76" s="44">
        <v>36.85</v>
      </c>
      <c r="AM76" s="44">
        <v>59.333333333333336</v>
      </c>
      <c r="AN76" s="44">
        <v>51.257367387033405</v>
      </c>
      <c r="AO76" s="44">
        <v>54.194857916102798</v>
      </c>
      <c r="AP76" s="46">
        <v>19.100000000000001</v>
      </c>
      <c r="AQ76" s="47">
        <v>3</v>
      </c>
      <c r="AR76" s="47">
        <v>5</v>
      </c>
      <c r="AS76" s="47">
        <v>0</v>
      </c>
      <c r="AT76" s="47">
        <v>0</v>
      </c>
      <c r="AU76" s="46">
        <v>3</v>
      </c>
      <c r="AV76" s="46">
        <v>8</v>
      </c>
      <c r="AW76" s="46">
        <v>5</v>
      </c>
      <c r="AX76" s="47">
        <v>3</v>
      </c>
      <c r="AY76" s="47">
        <v>6</v>
      </c>
      <c r="AZ76" s="47">
        <v>16</v>
      </c>
      <c r="BA76" s="47">
        <v>10</v>
      </c>
      <c r="BB76" s="46">
        <v>43</v>
      </c>
      <c r="BC76" s="48">
        <v>1</v>
      </c>
    </row>
    <row r="77" spans="1:55" s="42" customFormat="1" x14ac:dyDescent="0.2">
      <c r="A77" s="43">
        <v>1248</v>
      </c>
      <c r="B77" s="44" t="s">
        <v>20059</v>
      </c>
      <c r="C77" s="45">
        <v>44082</v>
      </c>
      <c r="D77" s="44" t="s">
        <v>20060</v>
      </c>
      <c r="E77" s="44" t="s">
        <v>20568</v>
      </c>
      <c r="F77" s="44" t="s">
        <v>20062</v>
      </c>
      <c r="G77" s="44">
        <v>88418</v>
      </c>
      <c r="H77" s="44" t="s">
        <v>20569</v>
      </c>
      <c r="I77" s="45">
        <v>43800</v>
      </c>
      <c r="J77" s="45">
        <v>44895</v>
      </c>
      <c r="K77" s="44" t="s">
        <v>1089</v>
      </c>
      <c r="L77" s="44" t="s">
        <v>1090</v>
      </c>
      <c r="M77" s="44" t="s">
        <v>222</v>
      </c>
      <c r="N77" s="44" t="s">
        <v>207</v>
      </c>
      <c r="O77" s="44" t="s">
        <v>606</v>
      </c>
      <c r="P77" s="44" t="s">
        <v>224</v>
      </c>
      <c r="Q77" s="44" t="s">
        <v>20570</v>
      </c>
      <c r="R77" s="44" t="s">
        <v>20571</v>
      </c>
      <c r="S77" s="44" t="s">
        <v>20572</v>
      </c>
      <c r="T77" s="44">
        <v>73</v>
      </c>
      <c r="U77" s="44" t="s">
        <v>20121</v>
      </c>
      <c r="V77" s="44" t="s">
        <v>20237</v>
      </c>
      <c r="W77" s="44" t="s">
        <v>20068</v>
      </c>
      <c r="X77" s="44" t="s">
        <v>20068</v>
      </c>
      <c r="Y77" s="44" t="s">
        <v>20068</v>
      </c>
      <c r="Z77" s="44" t="s">
        <v>20089</v>
      </c>
      <c r="AA77" s="44">
        <v>4280</v>
      </c>
      <c r="AB77" s="44" t="s">
        <v>376</v>
      </c>
      <c r="AC77" s="44"/>
      <c r="AD77" s="44" t="s">
        <v>20282</v>
      </c>
      <c r="AE77" s="44" t="s">
        <v>20538</v>
      </c>
      <c r="AF77" s="44" t="s">
        <v>606</v>
      </c>
      <c r="AG77" s="44" t="s">
        <v>20125</v>
      </c>
      <c r="AH77" s="44" t="s">
        <v>20222</v>
      </c>
      <c r="AI77" s="44" t="s">
        <v>18715</v>
      </c>
      <c r="AJ77" s="44" t="s">
        <v>20072</v>
      </c>
      <c r="AK77" s="43">
        <v>0</v>
      </c>
      <c r="AL77" s="44">
        <v>35</v>
      </c>
      <c r="AM77" s="44">
        <v>55.333333333333336</v>
      </c>
      <c r="AN77" s="44">
        <v>53.98643556895253</v>
      </c>
      <c r="AO77" s="44">
        <v>68.818380743982502</v>
      </c>
      <c r="AP77" s="46">
        <v>19.100000000000001</v>
      </c>
      <c r="AQ77" s="47">
        <v>3</v>
      </c>
      <c r="AR77" s="47">
        <v>5</v>
      </c>
      <c r="AS77" s="47">
        <v>0</v>
      </c>
      <c r="AT77" s="47">
        <v>0</v>
      </c>
      <c r="AU77" s="46">
        <v>3</v>
      </c>
      <c r="AV77" s="46">
        <v>8</v>
      </c>
      <c r="AW77" s="46">
        <v>5</v>
      </c>
      <c r="AX77" s="47">
        <v>3</v>
      </c>
      <c r="AY77" s="47">
        <v>6</v>
      </c>
      <c r="AZ77" s="47">
        <v>16</v>
      </c>
      <c r="BA77" s="47">
        <v>10</v>
      </c>
      <c r="BB77" s="46">
        <v>43</v>
      </c>
      <c r="BC77" s="48">
        <v>1</v>
      </c>
    </row>
    <row r="78" spans="1:55" s="42" customFormat="1" x14ac:dyDescent="0.2">
      <c r="A78" s="43">
        <v>1414</v>
      </c>
      <c r="B78" s="44" t="s">
        <v>20059</v>
      </c>
      <c r="C78" s="45">
        <v>44082</v>
      </c>
      <c r="D78" s="44" t="s">
        <v>20060</v>
      </c>
      <c r="E78" s="44" t="s">
        <v>20573</v>
      </c>
      <c r="F78" s="44" t="s">
        <v>20062</v>
      </c>
      <c r="G78" s="44">
        <v>0</v>
      </c>
      <c r="H78" s="44" t="s">
        <v>20574</v>
      </c>
      <c r="I78" s="45">
        <v>43101</v>
      </c>
      <c r="J78" s="45">
        <v>44196</v>
      </c>
      <c r="K78" s="44" t="s">
        <v>1091</v>
      </c>
      <c r="L78" s="44" t="s">
        <v>1092</v>
      </c>
      <c r="M78" s="44" t="s">
        <v>1079</v>
      </c>
      <c r="N78" s="44" t="s">
        <v>207</v>
      </c>
      <c r="O78" s="44" t="s">
        <v>392</v>
      </c>
      <c r="P78" s="44" t="s">
        <v>1080</v>
      </c>
      <c r="Q78" s="44" t="s">
        <v>20575</v>
      </c>
      <c r="R78" s="44" t="s">
        <v>20576</v>
      </c>
      <c r="S78" s="44" t="s">
        <v>20577</v>
      </c>
      <c r="T78" s="44">
        <v>59</v>
      </c>
      <c r="U78" s="44" t="s">
        <v>20067</v>
      </c>
      <c r="V78" s="44" t="s">
        <v>20067</v>
      </c>
      <c r="W78" s="44" t="s">
        <v>20067</v>
      </c>
      <c r="X78" s="44" t="s">
        <v>20068</v>
      </c>
      <c r="Y78" s="44" t="s">
        <v>20068</v>
      </c>
      <c r="Z78" s="44" t="s">
        <v>20069</v>
      </c>
      <c r="AA78" s="44">
        <v>4470</v>
      </c>
      <c r="AB78" s="44" t="s">
        <v>388</v>
      </c>
      <c r="AC78" s="44"/>
      <c r="AD78" s="44" t="s">
        <v>20530</v>
      </c>
      <c r="AE78" s="44" t="s">
        <v>20578</v>
      </c>
      <c r="AF78" s="44" t="s">
        <v>392</v>
      </c>
      <c r="AG78" s="44" t="s">
        <v>8713</v>
      </c>
      <c r="AH78" s="44" t="s">
        <v>20532</v>
      </c>
      <c r="AI78" s="44" t="s">
        <v>18715</v>
      </c>
      <c r="AJ78" s="44" t="s">
        <v>20072</v>
      </c>
      <c r="AK78" s="43">
        <v>0</v>
      </c>
      <c r="AL78" s="44">
        <v>67</v>
      </c>
      <c r="AM78" s="44">
        <v>56</v>
      </c>
      <c r="AN78" s="44">
        <v>35.978480161398792</v>
      </c>
      <c r="AO78" s="44">
        <v>30.186567164179099</v>
      </c>
      <c r="AP78" s="46">
        <v>28.2</v>
      </c>
      <c r="AQ78" s="47">
        <v>3</v>
      </c>
      <c r="AR78" s="47">
        <v>5</v>
      </c>
      <c r="AS78" s="47">
        <v>0</v>
      </c>
      <c r="AT78" s="47">
        <v>0</v>
      </c>
      <c r="AU78" s="46">
        <v>5</v>
      </c>
      <c r="AV78" s="46">
        <v>8</v>
      </c>
      <c r="AW78" s="46">
        <v>3</v>
      </c>
      <c r="AX78" s="47">
        <v>3</v>
      </c>
      <c r="AY78" s="47">
        <v>10</v>
      </c>
      <c r="AZ78" s="47">
        <v>16</v>
      </c>
      <c r="BA78" s="47">
        <v>6</v>
      </c>
      <c r="BB78" s="46">
        <v>43</v>
      </c>
      <c r="BC78" s="48">
        <v>1</v>
      </c>
    </row>
    <row r="79" spans="1:55" s="42" customFormat="1" x14ac:dyDescent="0.2">
      <c r="A79" s="43">
        <v>1446</v>
      </c>
      <c r="B79" s="44" t="s">
        <v>20059</v>
      </c>
      <c r="C79" s="45">
        <v>44082</v>
      </c>
      <c r="D79" s="44" t="s">
        <v>20060</v>
      </c>
      <c r="E79" s="44" t="s">
        <v>20579</v>
      </c>
      <c r="F79" s="44" t="s">
        <v>20062</v>
      </c>
      <c r="G79" s="44">
        <v>10196</v>
      </c>
      <c r="H79" s="44" t="s">
        <v>20580</v>
      </c>
      <c r="I79" s="45">
        <v>43132</v>
      </c>
      <c r="J79" s="45">
        <v>44227</v>
      </c>
      <c r="K79" s="44" t="s">
        <v>1093</v>
      </c>
      <c r="L79" s="44" t="s">
        <v>1094</v>
      </c>
      <c r="M79" s="44" t="s">
        <v>309</v>
      </c>
      <c r="N79" s="44" t="s">
        <v>207</v>
      </c>
      <c r="O79" s="44" t="s">
        <v>512</v>
      </c>
      <c r="P79" s="44" t="s">
        <v>309</v>
      </c>
      <c r="Q79" s="44" t="s">
        <v>20581</v>
      </c>
      <c r="R79" s="44" t="s">
        <v>20582</v>
      </c>
      <c r="S79" s="44" t="s">
        <v>20131</v>
      </c>
      <c r="T79" s="44">
        <v>252</v>
      </c>
      <c r="U79" s="44" t="s">
        <v>20344</v>
      </c>
      <c r="V79" s="44" t="s">
        <v>20583</v>
      </c>
      <c r="W79" s="44" t="s">
        <v>20068</v>
      </c>
      <c r="X79" s="44" t="s">
        <v>20068</v>
      </c>
      <c r="Y79" s="44" t="s">
        <v>20067</v>
      </c>
      <c r="Z79" s="44" t="s">
        <v>20089</v>
      </c>
      <c r="AA79" s="44">
        <v>4499</v>
      </c>
      <c r="AB79" s="44" t="s">
        <v>513</v>
      </c>
      <c r="AC79" s="44"/>
      <c r="AD79" s="44" t="s">
        <v>20462</v>
      </c>
      <c r="AE79" s="44" t="s">
        <v>20463</v>
      </c>
      <c r="AF79" s="44" t="s">
        <v>20584</v>
      </c>
      <c r="AG79" s="44" t="s">
        <v>496</v>
      </c>
      <c r="AH79" s="44" t="s">
        <v>496</v>
      </c>
      <c r="AI79" s="44" t="s">
        <v>18715</v>
      </c>
      <c r="AJ79" s="44" t="s">
        <v>20072</v>
      </c>
      <c r="AK79" s="43">
        <v>0</v>
      </c>
      <c r="AL79" s="44">
        <v>38</v>
      </c>
      <c r="AM79" s="44">
        <v>45</v>
      </c>
      <c r="AN79" s="44">
        <v>47.123360984747123</v>
      </c>
      <c r="AO79" s="44">
        <v>47.793427230046902</v>
      </c>
      <c r="AP79" s="46">
        <v>38</v>
      </c>
      <c r="AQ79" s="47">
        <v>5</v>
      </c>
      <c r="AR79" s="47">
        <v>5</v>
      </c>
      <c r="AS79" s="47">
        <v>0</v>
      </c>
      <c r="AT79" s="47">
        <v>0</v>
      </c>
      <c r="AU79" s="46">
        <v>3</v>
      </c>
      <c r="AV79" s="46">
        <v>6</v>
      </c>
      <c r="AW79" s="46">
        <v>5</v>
      </c>
      <c r="AX79" s="47">
        <v>5</v>
      </c>
      <c r="AY79" s="47">
        <v>6</v>
      </c>
      <c r="AZ79" s="47">
        <v>12</v>
      </c>
      <c r="BA79" s="47">
        <v>10</v>
      </c>
      <c r="BB79" s="46">
        <v>43</v>
      </c>
      <c r="BC79" s="48">
        <v>1</v>
      </c>
    </row>
    <row r="80" spans="1:55" s="42" customFormat="1" x14ac:dyDescent="0.2">
      <c r="A80" s="43">
        <v>1458</v>
      </c>
      <c r="B80" s="44" t="s">
        <v>20059</v>
      </c>
      <c r="C80" s="45">
        <v>44082</v>
      </c>
      <c r="D80" s="44" t="s">
        <v>20060</v>
      </c>
      <c r="E80" s="44" t="s">
        <v>20585</v>
      </c>
      <c r="F80" s="44" t="s">
        <v>20062</v>
      </c>
      <c r="G80" s="44">
        <v>10189</v>
      </c>
      <c r="H80" s="44" t="s">
        <v>20586</v>
      </c>
      <c r="I80" s="45">
        <v>43586</v>
      </c>
      <c r="J80" s="45">
        <v>44681</v>
      </c>
      <c r="K80" s="44" t="s">
        <v>1095</v>
      </c>
      <c r="L80" s="44" t="s">
        <v>1096</v>
      </c>
      <c r="M80" s="44" t="s">
        <v>307</v>
      </c>
      <c r="N80" s="44" t="s">
        <v>207</v>
      </c>
      <c r="O80" s="44" t="s">
        <v>308</v>
      </c>
      <c r="P80" s="44" t="s">
        <v>309</v>
      </c>
      <c r="Q80" s="44" t="s">
        <v>20587</v>
      </c>
      <c r="R80" s="44" t="s">
        <v>20588</v>
      </c>
      <c r="S80" s="44" t="s">
        <v>20589</v>
      </c>
      <c r="T80" s="44">
        <v>128</v>
      </c>
      <c r="U80" s="44" t="s">
        <v>20067</v>
      </c>
      <c r="V80" s="44" t="s">
        <v>20067</v>
      </c>
      <c r="W80" s="44" t="s">
        <v>20068</v>
      </c>
      <c r="X80" s="44" t="s">
        <v>20068</v>
      </c>
      <c r="Y80" s="44" t="s">
        <v>20067</v>
      </c>
      <c r="Z80" s="44" t="s">
        <v>20089</v>
      </c>
      <c r="AA80" s="44">
        <v>4505</v>
      </c>
      <c r="AB80" s="44" t="s">
        <v>354</v>
      </c>
      <c r="AC80" s="44" t="s">
        <v>19745</v>
      </c>
      <c r="AD80" s="44" t="s">
        <v>20317</v>
      </c>
      <c r="AE80" s="44" t="s">
        <v>20590</v>
      </c>
      <c r="AF80" s="44" t="s">
        <v>308</v>
      </c>
      <c r="AG80" s="44" t="s">
        <v>496</v>
      </c>
      <c r="AH80" s="44" t="s">
        <v>499</v>
      </c>
      <c r="AI80" s="44" t="s">
        <v>18715</v>
      </c>
      <c r="AJ80" s="44" t="s">
        <v>20072</v>
      </c>
      <c r="AK80" s="43">
        <v>0</v>
      </c>
      <c r="AL80" s="44">
        <v>32</v>
      </c>
      <c r="AM80" s="44">
        <v>53</v>
      </c>
      <c r="AN80" s="44">
        <v>45.340624287992711</v>
      </c>
      <c r="AO80" s="44">
        <v>32.292317301686403</v>
      </c>
      <c r="AP80" s="46">
        <v>38</v>
      </c>
      <c r="AQ80" s="47">
        <v>5</v>
      </c>
      <c r="AR80" s="47">
        <v>5</v>
      </c>
      <c r="AS80" s="47">
        <v>0</v>
      </c>
      <c r="AT80" s="47">
        <v>0</v>
      </c>
      <c r="AU80" s="46">
        <v>3</v>
      </c>
      <c r="AV80" s="46">
        <v>8</v>
      </c>
      <c r="AW80" s="46">
        <v>3</v>
      </c>
      <c r="AX80" s="47">
        <v>5</v>
      </c>
      <c r="AY80" s="47">
        <v>6</v>
      </c>
      <c r="AZ80" s="47">
        <v>16</v>
      </c>
      <c r="BA80" s="47">
        <v>6</v>
      </c>
      <c r="BB80" s="46">
        <v>43</v>
      </c>
      <c r="BC80" s="48">
        <v>1</v>
      </c>
    </row>
    <row r="81" spans="1:55" s="42" customFormat="1" x14ac:dyDescent="0.2">
      <c r="A81" s="43">
        <v>1531</v>
      </c>
      <c r="B81" s="44" t="s">
        <v>20059</v>
      </c>
      <c r="C81" s="45">
        <v>44082</v>
      </c>
      <c r="D81" s="44" t="s">
        <v>20073</v>
      </c>
      <c r="E81" s="44" t="s">
        <v>20591</v>
      </c>
      <c r="F81" s="44" t="s">
        <v>20075</v>
      </c>
      <c r="G81" s="44">
        <v>0</v>
      </c>
      <c r="H81" s="44" t="s">
        <v>20592</v>
      </c>
      <c r="I81" s="45">
        <v>43009</v>
      </c>
      <c r="J81" s="45">
        <v>44104</v>
      </c>
      <c r="K81" s="44" t="s">
        <v>1097</v>
      </c>
      <c r="L81" s="44" t="s">
        <v>1098</v>
      </c>
      <c r="M81" s="44" t="s">
        <v>222</v>
      </c>
      <c r="N81" s="44" t="s">
        <v>207</v>
      </c>
      <c r="O81" s="44" t="s">
        <v>606</v>
      </c>
      <c r="P81" s="44" t="s">
        <v>224</v>
      </c>
      <c r="Q81" s="44" t="s">
        <v>20593</v>
      </c>
      <c r="R81" s="44" t="s">
        <v>20594</v>
      </c>
      <c r="S81" s="44" t="s">
        <v>20595</v>
      </c>
      <c r="T81" s="44">
        <v>65</v>
      </c>
      <c r="U81" s="44" t="s">
        <v>20067</v>
      </c>
      <c r="V81" s="44" t="s">
        <v>20067</v>
      </c>
      <c r="W81" s="44" t="s">
        <v>20067</v>
      </c>
      <c r="X81" s="44" t="s">
        <v>20068</v>
      </c>
      <c r="Y81" s="44" t="s">
        <v>20067</v>
      </c>
      <c r="Z81" s="44" t="s">
        <v>20089</v>
      </c>
      <c r="AA81" s="44">
        <v>4280</v>
      </c>
      <c r="AB81" s="44" t="s">
        <v>376</v>
      </c>
      <c r="AC81" s="44" t="s">
        <v>19745</v>
      </c>
      <c r="AD81" s="44" t="s">
        <v>20596</v>
      </c>
      <c r="AE81" s="44" t="s">
        <v>20597</v>
      </c>
      <c r="AF81" s="44" t="s">
        <v>606</v>
      </c>
      <c r="AG81" s="44" t="s">
        <v>20125</v>
      </c>
      <c r="AH81" s="44" t="s">
        <v>20222</v>
      </c>
      <c r="AI81" s="44" t="s">
        <v>18715</v>
      </c>
      <c r="AJ81" s="44" t="s">
        <v>20072</v>
      </c>
      <c r="AK81" s="43">
        <v>0</v>
      </c>
      <c r="AL81" s="44">
        <v>35</v>
      </c>
      <c r="AM81" s="44">
        <v>55.333333333333336</v>
      </c>
      <c r="AN81" s="44">
        <v>59.413778348309798</v>
      </c>
      <c r="AO81" s="44">
        <v>66.25</v>
      </c>
      <c r="AP81" s="46">
        <v>19.100000000000001</v>
      </c>
      <c r="AQ81" s="47">
        <v>3</v>
      </c>
      <c r="AR81" s="47">
        <v>5</v>
      </c>
      <c r="AS81" s="47">
        <v>0</v>
      </c>
      <c r="AT81" s="47">
        <v>0</v>
      </c>
      <c r="AU81" s="46">
        <v>3</v>
      </c>
      <c r="AV81" s="46">
        <v>8</v>
      </c>
      <c r="AW81" s="46">
        <v>5</v>
      </c>
      <c r="AX81" s="47">
        <v>3</v>
      </c>
      <c r="AY81" s="47">
        <v>6</v>
      </c>
      <c r="AZ81" s="47">
        <v>16</v>
      </c>
      <c r="BA81" s="47">
        <v>10</v>
      </c>
      <c r="BB81" s="46">
        <v>43</v>
      </c>
      <c r="BC81" s="48">
        <v>1</v>
      </c>
    </row>
    <row r="82" spans="1:55" s="42" customFormat="1" x14ac:dyDescent="0.2">
      <c r="A82" s="43">
        <v>1709</v>
      </c>
      <c r="B82" s="44" t="s">
        <v>20059</v>
      </c>
      <c r="C82" s="45">
        <v>44082</v>
      </c>
      <c r="D82" s="44" t="s">
        <v>20073</v>
      </c>
      <c r="E82" s="44" t="s">
        <v>20598</v>
      </c>
      <c r="F82" s="44" t="s">
        <v>20075</v>
      </c>
      <c r="G82" s="44">
        <v>0</v>
      </c>
      <c r="H82" s="44" t="s">
        <v>20599</v>
      </c>
      <c r="I82" s="45">
        <v>43282</v>
      </c>
      <c r="J82" s="45">
        <v>44377</v>
      </c>
      <c r="K82" s="44" t="s">
        <v>1099</v>
      </c>
      <c r="L82" s="44" t="s">
        <v>1100</v>
      </c>
      <c r="M82" s="44" t="s">
        <v>307</v>
      </c>
      <c r="N82" s="44" t="s">
        <v>207</v>
      </c>
      <c r="O82" s="44" t="s">
        <v>308</v>
      </c>
      <c r="P82" s="44" t="s">
        <v>309</v>
      </c>
      <c r="Q82" s="44" t="s">
        <v>20600</v>
      </c>
      <c r="R82" s="44" t="s">
        <v>20601</v>
      </c>
      <c r="S82" s="44" t="s">
        <v>20131</v>
      </c>
      <c r="T82" s="44">
        <v>154</v>
      </c>
      <c r="U82" s="44" t="s">
        <v>20067</v>
      </c>
      <c r="V82" s="44" t="s">
        <v>20067</v>
      </c>
      <c r="W82" s="44" t="s">
        <v>20067</v>
      </c>
      <c r="X82" s="44" t="s">
        <v>20068</v>
      </c>
      <c r="Y82" s="44" t="s">
        <v>20067</v>
      </c>
      <c r="Z82" s="44" t="s">
        <v>20089</v>
      </c>
      <c r="AA82" s="44">
        <v>4505</v>
      </c>
      <c r="AB82" s="44" t="s">
        <v>354</v>
      </c>
      <c r="AC82" s="44"/>
      <c r="AD82" s="44" t="s">
        <v>20317</v>
      </c>
      <c r="AE82" s="44" t="s">
        <v>20590</v>
      </c>
      <c r="AF82" s="44" t="s">
        <v>308</v>
      </c>
      <c r="AG82" s="44" t="s">
        <v>496</v>
      </c>
      <c r="AH82" s="44" t="s">
        <v>499</v>
      </c>
      <c r="AI82" s="44" t="s">
        <v>18715</v>
      </c>
      <c r="AJ82" s="44" t="s">
        <v>20072</v>
      </c>
      <c r="AK82" s="43">
        <v>0</v>
      </c>
      <c r="AL82" s="44">
        <v>32</v>
      </c>
      <c r="AM82" s="44">
        <v>53</v>
      </c>
      <c r="AN82" s="44">
        <v>45.340624287992711</v>
      </c>
      <c r="AO82" s="44">
        <v>32.292317301686403</v>
      </c>
      <c r="AP82" s="46">
        <v>38</v>
      </c>
      <c r="AQ82" s="47">
        <v>5</v>
      </c>
      <c r="AR82" s="47">
        <v>5</v>
      </c>
      <c r="AS82" s="47">
        <v>0</v>
      </c>
      <c r="AT82" s="47">
        <v>0</v>
      </c>
      <c r="AU82" s="46">
        <v>3</v>
      </c>
      <c r="AV82" s="46">
        <v>8</v>
      </c>
      <c r="AW82" s="46">
        <v>3</v>
      </c>
      <c r="AX82" s="47">
        <v>5</v>
      </c>
      <c r="AY82" s="47">
        <v>6</v>
      </c>
      <c r="AZ82" s="47">
        <v>16</v>
      </c>
      <c r="BA82" s="47">
        <v>6</v>
      </c>
      <c r="BB82" s="46">
        <v>43</v>
      </c>
      <c r="BC82" s="48">
        <v>1</v>
      </c>
    </row>
    <row r="83" spans="1:55" s="42" customFormat="1" x14ac:dyDescent="0.2">
      <c r="A83" s="43">
        <v>1715</v>
      </c>
      <c r="B83" s="44" t="s">
        <v>20059</v>
      </c>
      <c r="C83" s="45">
        <v>44082</v>
      </c>
      <c r="D83" s="44" t="s">
        <v>20073</v>
      </c>
      <c r="E83" s="44" t="s">
        <v>20602</v>
      </c>
      <c r="F83" s="44" t="s">
        <v>20075</v>
      </c>
      <c r="G83" s="44">
        <v>0</v>
      </c>
      <c r="H83" s="44" t="s">
        <v>20603</v>
      </c>
      <c r="I83" s="45">
        <v>43497</v>
      </c>
      <c r="J83" s="45">
        <v>44592</v>
      </c>
      <c r="K83" s="44" t="s">
        <v>1101</v>
      </c>
      <c r="L83" s="44" t="s">
        <v>1102</v>
      </c>
      <c r="M83" s="44" t="s">
        <v>292</v>
      </c>
      <c r="N83" s="44" t="s">
        <v>207</v>
      </c>
      <c r="O83" s="44" t="s">
        <v>293</v>
      </c>
      <c r="P83" s="44" t="s">
        <v>224</v>
      </c>
      <c r="Q83" s="44" t="s">
        <v>20604</v>
      </c>
      <c r="R83" s="44" t="s">
        <v>20605</v>
      </c>
      <c r="S83" s="44" t="s">
        <v>20606</v>
      </c>
      <c r="T83" s="44">
        <v>59</v>
      </c>
      <c r="U83" s="44" t="s">
        <v>20067</v>
      </c>
      <c r="V83" s="44" t="s">
        <v>20067</v>
      </c>
      <c r="W83" s="44" t="s">
        <v>20067</v>
      </c>
      <c r="X83" s="44" t="s">
        <v>20068</v>
      </c>
      <c r="Y83" s="44" t="s">
        <v>20067</v>
      </c>
      <c r="Z83" s="44" t="s">
        <v>20089</v>
      </c>
      <c r="AA83" s="44">
        <v>4271</v>
      </c>
      <c r="AB83" s="44" t="s">
        <v>347</v>
      </c>
      <c r="AC83" s="44"/>
      <c r="AD83" s="44" t="s">
        <v>20494</v>
      </c>
      <c r="AE83" s="44" t="s">
        <v>20495</v>
      </c>
      <c r="AF83" s="44" t="s">
        <v>293</v>
      </c>
      <c r="AG83" s="44" t="s">
        <v>20255</v>
      </c>
      <c r="AH83" s="44" t="s">
        <v>20256</v>
      </c>
      <c r="AI83" s="44" t="s">
        <v>18715</v>
      </c>
      <c r="AJ83" s="44" t="s">
        <v>20072</v>
      </c>
      <c r="AK83" s="43">
        <v>0</v>
      </c>
      <c r="AL83" s="44">
        <v>40</v>
      </c>
      <c r="AM83" s="44">
        <v>53.333333333333336</v>
      </c>
      <c r="AN83" s="44">
        <v>55.089638407778793</v>
      </c>
      <c r="AO83" s="44">
        <v>64.546016059295894</v>
      </c>
      <c r="AP83" s="46">
        <v>19.100000000000001</v>
      </c>
      <c r="AQ83" s="47">
        <v>3</v>
      </c>
      <c r="AR83" s="47">
        <v>5</v>
      </c>
      <c r="AS83" s="47">
        <v>0</v>
      </c>
      <c r="AT83" s="47">
        <v>0</v>
      </c>
      <c r="AU83" s="46">
        <v>3</v>
      </c>
      <c r="AV83" s="46">
        <v>8</v>
      </c>
      <c r="AW83" s="46">
        <v>5</v>
      </c>
      <c r="AX83" s="47">
        <v>3</v>
      </c>
      <c r="AY83" s="47">
        <v>6</v>
      </c>
      <c r="AZ83" s="47">
        <v>16</v>
      </c>
      <c r="BA83" s="47">
        <v>10</v>
      </c>
      <c r="BB83" s="46">
        <v>43</v>
      </c>
      <c r="BC83" s="48">
        <v>1</v>
      </c>
    </row>
    <row r="84" spans="1:55" s="42" customFormat="1" x14ac:dyDescent="0.2">
      <c r="A84" s="43">
        <v>1716</v>
      </c>
      <c r="B84" s="44" t="s">
        <v>20059</v>
      </c>
      <c r="C84" s="45">
        <v>44082</v>
      </c>
      <c r="D84" s="44" t="s">
        <v>20073</v>
      </c>
      <c r="E84" s="44" t="s">
        <v>20607</v>
      </c>
      <c r="F84" s="44" t="s">
        <v>20075</v>
      </c>
      <c r="G84" s="44">
        <v>0</v>
      </c>
      <c r="H84" s="44" t="s">
        <v>20608</v>
      </c>
      <c r="I84" s="45">
        <v>43070</v>
      </c>
      <c r="J84" s="45">
        <v>44165</v>
      </c>
      <c r="K84" s="44" t="s">
        <v>1103</v>
      </c>
      <c r="L84" s="44" t="s">
        <v>1104</v>
      </c>
      <c r="M84" s="44" t="s">
        <v>292</v>
      </c>
      <c r="N84" s="44" t="s">
        <v>207</v>
      </c>
      <c r="O84" s="44" t="s">
        <v>293</v>
      </c>
      <c r="P84" s="44" t="s">
        <v>224</v>
      </c>
      <c r="Q84" s="44" t="s">
        <v>20609</v>
      </c>
      <c r="R84" s="44" t="s">
        <v>20610</v>
      </c>
      <c r="S84" s="44" t="s">
        <v>20611</v>
      </c>
      <c r="T84" s="44">
        <v>59</v>
      </c>
      <c r="U84" s="44" t="s">
        <v>20067</v>
      </c>
      <c r="V84" s="44" t="s">
        <v>20067</v>
      </c>
      <c r="W84" s="44" t="s">
        <v>20067</v>
      </c>
      <c r="X84" s="44" t="s">
        <v>20068</v>
      </c>
      <c r="Y84" s="44" t="s">
        <v>20067</v>
      </c>
      <c r="Z84" s="44" t="s">
        <v>20089</v>
      </c>
      <c r="AA84" s="44">
        <v>4271</v>
      </c>
      <c r="AB84" s="44" t="s">
        <v>347</v>
      </c>
      <c r="AC84" s="44"/>
      <c r="AD84" s="44" t="s">
        <v>20253</v>
      </c>
      <c r="AE84" s="44" t="s">
        <v>20254</v>
      </c>
      <c r="AF84" s="44" t="s">
        <v>293</v>
      </c>
      <c r="AG84" s="44" t="s">
        <v>20255</v>
      </c>
      <c r="AH84" s="44" t="s">
        <v>20256</v>
      </c>
      <c r="AI84" s="44" t="s">
        <v>18715</v>
      </c>
      <c r="AJ84" s="44" t="s">
        <v>20072</v>
      </c>
      <c r="AK84" s="43">
        <v>0</v>
      </c>
      <c r="AL84" s="44">
        <v>40</v>
      </c>
      <c r="AM84" s="44">
        <v>53.333333333333336</v>
      </c>
      <c r="AN84" s="44">
        <v>37.72552199472937</v>
      </c>
      <c r="AO84" s="44">
        <v>51.462621885157098</v>
      </c>
      <c r="AP84" s="46">
        <v>19.100000000000001</v>
      </c>
      <c r="AQ84" s="47">
        <v>3</v>
      </c>
      <c r="AR84" s="47">
        <v>5</v>
      </c>
      <c r="AS84" s="47">
        <v>0</v>
      </c>
      <c r="AT84" s="47">
        <v>0</v>
      </c>
      <c r="AU84" s="46">
        <v>3</v>
      </c>
      <c r="AV84" s="46">
        <v>8</v>
      </c>
      <c r="AW84" s="46">
        <v>5</v>
      </c>
      <c r="AX84" s="47">
        <v>3</v>
      </c>
      <c r="AY84" s="47">
        <v>6</v>
      </c>
      <c r="AZ84" s="47">
        <v>16</v>
      </c>
      <c r="BA84" s="47">
        <v>10</v>
      </c>
      <c r="BB84" s="46">
        <v>43</v>
      </c>
      <c r="BC84" s="48">
        <v>1</v>
      </c>
    </row>
    <row r="85" spans="1:55" s="42" customFormat="1" x14ac:dyDescent="0.2">
      <c r="A85" s="43">
        <v>2002</v>
      </c>
      <c r="B85" s="44" t="s">
        <v>20059</v>
      </c>
      <c r="C85" s="45">
        <v>44082</v>
      </c>
      <c r="D85" s="44" t="s">
        <v>20073</v>
      </c>
      <c r="E85" s="44" t="s">
        <v>20612</v>
      </c>
      <c r="F85" s="44" t="s">
        <v>20075</v>
      </c>
      <c r="G85" s="44">
        <v>0</v>
      </c>
      <c r="H85" s="44" t="s">
        <v>20613</v>
      </c>
      <c r="I85" s="45">
        <v>44075</v>
      </c>
      <c r="J85" s="45">
        <v>45169</v>
      </c>
      <c r="K85" s="44" t="s">
        <v>50</v>
      </c>
      <c r="L85" s="44" t="s">
        <v>149</v>
      </c>
      <c r="M85" s="44" t="s">
        <v>222</v>
      </c>
      <c r="N85" s="44" t="s">
        <v>207</v>
      </c>
      <c r="O85" s="44" t="s">
        <v>266</v>
      </c>
      <c r="P85" s="44" t="s">
        <v>224</v>
      </c>
      <c r="Q85" s="44" t="s">
        <v>20614</v>
      </c>
      <c r="R85" s="44" t="s">
        <v>20615</v>
      </c>
      <c r="S85" s="44" t="s">
        <v>20616</v>
      </c>
      <c r="T85" s="44">
        <v>59</v>
      </c>
      <c r="U85" s="44" t="s">
        <v>20067</v>
      </c>
      <c r="V85" s="44" t="s">
        <v>20067</v>
      </c>
      <c r="W85" s="44" t="s">
        <v>20067</v>
      </c>
      <c r="X85" s="44" t="s">
        <v>20068</v>
      </c>
      <c r="Y85" s="44" t="s">
        <v>20067</v>
      </c>
      <c r="Z85" s="44" t="s">
        <v>20089</v>
      </c>
      <c r="AA85" s="44">
        <v>4279</v>
      </c>
      <c r="AB85" s="44" t="s">
        <v>328</v>
      </c>
      <c r="AC85" s="44" t="s">
        <v>19745</v>
      </c>
      <c r="AD85" s="44" t="s">
        <v>20617</v>
      </c>
      <c r="AE85" s="44" t="s">
        <v>20618</v>
      </c>
      <c r="AF85" s="44" t="s">
        <v>266</v>
      </c>
      <c r="AG85" s="44" t="s">
        <v>20092</v>
      </c>
      <c r="AH85" s="44" t="s">
        <v>20205</v>
      </c>
      <c r="AI85" s="44" t="s">
        <v>18715</v>
      </c>
      <c r="AJ85" s="44" t="s">
        <v>20072</v>
      </c>
      <c r="AK85" s="43">
        <v>0</v>
      </c>
      <c r="AL85" s="44">
        <v>36.85</v>
      </c>
      <c r="AM85" s="44">
        <v>59.333333333333336</v>
      </c>
      <c r="AN85" s="44">
        <v>55.739299610894946</v>
      </c>
      <c r="AO85" s="44">
        <v>58.608058608058599</v>
      </c>
      <c r="AP85" s="46">
        <v>19.100000000000001</v>
      </c>
      <c r="AQ85" s="47">
        <v>3</v>
      </c>
      <c r="AR85" s="47">
        <v>5</v>
      </c>
      <c r="AS85" s="47">
        <v>0</v>
      </c>
      <c r="AT85" s="47">
        <v>0</v>
      </c>
      <c r="AU85" s="46">
        <v>3</v>
      </c>
      <c r="AV85" s="46">
        <v>8</v>
      </c>
      <c r="AW85" s="46">
        <v>5</v>
      </c>
      <c r="AX85" s="47">
        <v>3</v>
      </c>
      <c r="AY85" s="47">
        <v>6</v>
      </c>
      <c r="AZ85" s="47">
        <v>16</v>
      </c>
      <c r="BA85" s="47">
        <v>10</v>
      </c>
      <c r="BB85" s="46">
        <v>43</v>
      </c>
      <c r="BC85" s="48">
        <v>1</v>
      </c>
    </row>
    <row r="86" spans="1:55" s="42" customFormat="1" x14ac:dyDescent="0.2">
      <c r="A86" s="43">
        <v>329</v>
      </c>
      <c r="B86" s="44" t="s">
        <v>20059</v>
      </c>
      <c r="C86" s="45">
        <v>44082</v>
      </c>
      <c r="D86" s="44" t="s">
        <v>20060</v>
      </c>
      <c r="E86" s="44" t="s">
        <v>20619</v>
      </c>
      <c r="F86" s="44" t="s">
        <v>20062</v>
      </c>
      <c r="G86" s="44">
        <v>0</v>
      </c>
      <c r="H86" s="44" t="s">
        <v>20620</v>
      </c>
      <c r="I86" s="45">
        <v>43344</v>
      </c>
      <c r="J86" s="45">
        <v>44439</v>
      </c>
      <c r="K86" s="44" t="s">
        <v>1105</v>
      </c>
      <c r="L86" s="44" t="s">
        <v>1106</v>
      </c>
      <c r="M86" s="44" t="s">
        <v>1053</v>
      </c>
      <c r="N86" s="44" t="s">
        <v>207</v>
      </c>
      <c r="O86" s="44" t="s">
        <v>1054</v>
      </c>
      <c r="P86" s="44" t="s">
        <v>224</v>
      </c>
      <c r="Q86" s="44" t="s">
        <v>20621</v>
      </c>
      <c r="R86" s="44" t="s">
        <v>20622</v>
      </c>
      <c r="S86" s="44" t="s">
        <v>20623</v>
      </c>
      <c r="T86" s="44">
        <v>30</v>
      </c>
      <c r="U86" s="44" t="s">
        <v>20067</v>
      </c>
      <c r="V86" s="44" t="s">
        <v>20067</v>
      </c>
      <c r="W86" s="44" t="s">
        <v>20067</v>
      </c>
      <c r="X86" s="44" t="s">
        <v>20068</v>
      </c>
      <c r="Y86" s="44" t="s">
        <v>20067</v>
      </c>
      <c r="Z86" s="44" t="s">
        <v>20069</v>
      </c>
      <c r="AA86" s="44">
        <v>4442</v>
      </c>
      <c r="AB86" s="44" t="s">
        <v>315</v>
      </c>
      <c r="AC86" s="44"/>
      <c r="AD86" s="44" t="s">
        <v>20624</v>
      </c>
      <c r="AE86" s="44" t="s">
        <v>20625</v>
      </c>
      <c r="AF86" s="44" t="s">
        <v>1054</v>
      </c>
      <c r="AG86" s="44" t="s">
        <v>7934</v>
      </c>
      <c r="AH86" s="44" t="s">
        <v>18831</v>
      </c>
      <c r="AI86" s="44" t="s">
        <v>18723</v>
      </c>
      <c r="AJ86" s="44" t="s">
        <v>20072</v>
      </c>
      <c r="AK86" s="43">
        <v>0</v>
      </c>
      <c r="AL86" s="44">
        <v>68</v>
      </c>
      <c r="AM86" s="44">
        <v>69</v>
      </c>
      <c r="AN86" s="44">
        <v>8.8491517652452991</v>
      </c>
      <c r="AO86" s="44">
        <v>8.8491517652452991</v>
      </c>
      <c r="AP86" s="46">
        <v>19.100000000000001</v>
      </c>
      <c r="AQ86" s="47">
        <v>3</v>
      </c>
      <c r="AR86" s="47">
        <v>0</v>
      </c>
      <c r="AS86" s="47">
        <v>0</v>
      </c>
      <c r="AT86" s="47">
        <v>0</v>
      </c>
      <c r="AU86" s="46">
        <v>5</v>
      </c>
      <c r="AV86" s="46">
        <v>10</v>
      </c>
      <c r="AW86" s="46">
        <v>3</v>
      </c>
      <c r="AX86" s="47">
        <v>3</v>
      </c>
      <c r="AY86" s="47">
        <v>10</v>
      </c>
      <c r="AZ86" s="47">
        <v>20</v>
      </c>
      <c r="BA86" s="47">
        <v>6</v>
      </c>
      <c r="BB86" s="46">
        <v>42</v>
      </c>
      <c r="BC86" s="48">
        <v>1</v>
      </c>
    </row>
    <row r="87" spans="1:55" s="42" customFormat="1" x14ac:dyDescent="0.2">
      <c r="A87" s="43">
        <v>336</v>
      </c>
      <c r="B87" s="44" t="s">
        <v>20059</v>
      </c>
      <c r="C87" s="45">
        <v>44082</v>
      </c>
      <c r="D87" s="44" t="s">
        <v>20060</v>
      </c>
      <c r="E87" s="44" t="s">
        <v>20626</v>
      </c>
      <c r="F87" s="44" t="s">
        <v>20062</v>
      </c>
      <c r="G87" s="44">
        <v>8072</v>
      </c>
      <c r="H87" s="44" t="s">
        <v>20627</v>
      </c>
      <c r="I87" s="45">
        <v>43455</v>
      </c>
      <c r="J87" s="45">
        <v>44530</v>
      </c>
      <c r="K87" s="44" t="s">
        <v>51</v>
      </c>
      <c r="L87" s="44" t="s">
        <v>150</v>
      </c>
      <c r="M87" s="44" t="s">
        <v>249</v>
      </c>
      <c r="N87" s="44" t="s">
        <v>207</v>
      </c>
      <c r="O87" s="44" t="s">
        <v>250</v>
      </c>
      <c r="P87" s="44" t="s">
        <v>221</v>
      </c>
      <c r="Q87" s="44" t="s">
        <v>20628</v>
      </c>
      <c r="R87" s="44" t="s">
        <v>20629</v>
      </c>
      <c r="S87" s="44" t="s">
        <v>20630</v>
      </c>
      <c r="T87" s="44">
        <v>152</v>
      </c>
      <c r="U87" s="44" t="s">
        <v>20067</v>
      </c>
      <c r="V87" s="44" t="s">
        <v>20108</v>
      </c>
      <c r="W87" s="44" t="s">
        <v>20068</v>
      </c>
      <c r="X87" s="44" t="s">
        <v>20068</v>
      </c>
      <c r="Y87" s="44" t="s">
        <v>20067</v>
      </c>
      <c r="Z87" s="44" t="s">
        <v>20089</v>
      </c>
      <c r="AA87" s="44">
        <v>4448</v>
      </c>
      <c r="AB87" s="44" t="s">
        <v>329</v>
      </c>
      <c r="AC87" s="44" t="s">
        <v>19745</v>
      </c>
      <c r="AD87" s="44" t="s">
        <v>20631</v>
      </c>
      <c r="AE87" s="44" t="s">
        <v>20632</v>
      </c>
      <c r="AF87" s="44" t="s">
        <v>250</v>
      </c>
      <c r="AG87" s="44" t="s">
        <v>7934</v>
      </c>
      <c r="AH87" s="44" t="s">
        <v>760</v>
      </c>
      <c r="AI87" s="44" t="s">
        <v>18723</v>
      </c>
      <c r="AJ87" s="44" t="s">
        <v>20072</v>
      </c>
      <c r="AK87" s="43">
        <v>0</v>
      </c>
      <c r="AL87" s="44">
        <v>36.85</v>
      </c>
      <c r="AM87" s="44">
        <v>61.666666666666664</v>
      </c>
      <c r="AN87" s="44">
        <v>48.711273105961986</v>
      </c>
      <c r="AO87" s="44">
        <v>59.601259181532001</v>
      </c>
      <c r="AP87" s="46">
        <v>47.9</v>
      </c>
      <c r="AQ87" s="47">
        <v>5</v>
      </c>
      <c r="AR87" s="47">
        <v>0</v>
      </c>
      <c r="AS87" s="47">
        <v>0</v>
      </c>
      <c r="AT87" s="47">
        <v>0</v>
      </c>
      <c r="AU87" s="46">
        <v>3</v>
      </c>
      <c r="AV87" s="46">
        <v>8</v>
      </c>
      <c r="AW87" s="46">
        <v>5</v>
      </c>
      <c r="AX87" s="47">
        <v>5</v>
      </c>
      <c r="AY87" s="47">
        <v>6</v>
      </c>
      <c r="AZ87" s="47">
        <v>16</v>
      </c>
      <c r="BA87" s="47">
        <v>10</v>
      </c>
      <c r="BB87" s="46">
        <v>42</v>
      </c>
      <c r="BC87" s="48">
        <v>1</v>
      </c>
    </row>
    <row r="88" spans="1:55" s="42" customFormat="1" x14ac:dyDescent="0.2">
      <c r="A88" s="43">
        <v>424</v>
      </c>
      <c r="B88" s="44" t="s">
        <v>20059</v>
      </c>
      <c r="C88" s="45">
        <v>44082</v>
      </c>
      <c r="D88" s="44" t="s">
        <v>20060</v>
      </c>
      <c r="E88" s="44" t="s">
        <v>20633</v>
      </c>
      <c r="F88" s="44" t="s">
        <v>20062</v>
      </c>
      <c r="G88" s="44">
        <v>0</v>
      </c>
      <c r="H88" s="44" t="s">
        <v>20634</v>
      </c>
      <c r="I88" s="45">
        <v>44075</v>
      </c>
      <c r="J88" s="45">
        <v>45169</v>
      </c>
      <c r="K88" s="44" t="s">
        <v>52</v>
      </c>
      <c r="L88" s="44" t="s">
        <v>151</v>
      </c>
      <c r="M88" s="44" t="s">
        <v>222</v>
      </c>
      <c r="N88" s="44" t="s">
        <v>207</v>
      </c>
      <c r="O88" s="44" t="s">
        <v>235</v>
      </c>
      <c r="P88" s="44" t="s">
        <v>224</v>
      </c>
      <c r="Q88" s="44" t="s">
        <v>20635</v>
      </c>
      <c r="R88" s="44" t="s">
        <v>20636</v>
      </c>
      <c r="S88" s="44" t="s">
        <v>20377</v>
      </c>
      <c r="T88" s="44">
        <v>40</v>
      </c>
      <c r="U88" s="44" t="s">
        <v>20067</v>
      </c>
      <c r="V88" s="44" t="s">
        <v>20067</v>
      </c>
      <c r="W88" s="44" t="s">
        <v>20067</v>
      </c>
      <c r="X88" s="44" t="s">
        <v>20068</v>
      </c>
      <c r="Y88" s="44" t="s">
        <v>20067</v>
      </c>
      <c r="Z88" s="44" t="s">
        <v>20089</v>
      </c>
      <c r="AA88" s="44">
        <v>4259</v>
      </c>
      <c r="AB88" s="44" t="s">
        <v>316</v>
      </c>
      <c r="AC88" s="44"/>
      <c r="AD88" s="44" t="s">
        <v>20331</v>
      </c>
      <c r="AE88" s="44" t="s">
        <v>20332</v>
      </c>
      <c r="AF88" s="44" t="s">
        <v>235</v>
      </c>
      <c r="AG88" s="44" t="s">
        <v>20092</v>
      </c>
      <c r="AH88" s="44" t="s">
        <v>20170</v>
      </c>
      <c r="AI88" s="44" t="s">
        <v>18723</v>
      </c>
      <c r="AJ88" s="44" t="s">
        <v>20072</v>
      </c>
      <c r="AK88" s="43">
        <v>0</v>
      </c>
      <c r="AL88" s="44">
        <v>39</v>
      </c>
      <c r="AM88" s="44">
        <v>65.333333333333329</v>
      </c>
      <c r="AN88" s="44">
        <v>56.210298689012028</v>
      </c>
      <c r="AO88" s="44">
        <v>48.4316185696361</v>
      </c>
      <c r="AP88" s="46">
        <v>19.100000000000001</v>
      </c>
      <c r="AQ88" s="47">
        <v>3</v>
      </c>
      <c r="AR88" s="47">
        <v>0</v>
      </c>
      <c r="AS88" s="47">
        <v>0</v>
      </c>
      <c r="AT88" s="47">
        <v>0</v>
      </c>
      <c r="AU88" s="46">
        <v>3</v>
      </c>
      <c r="AV88" s="46">
        <v>10</v>
      </c>
      <c r="AW88" s="46">
        <v>5</v>
      </c>
      <c r="AX88" s="47">
        <v>3</v>
      </c>
      <c r="AY88" s="47">
        <v>6</v>
      </c>
      <c r="AZ88" s="47">
        <v>20</v>
      </c>
      <c r="BA88" s="47">
        <v>10</v>
      </c>
      <c r="BB88" s="46">
        <v>42</v>
      </c>
      <c r="BC88" s="48">
        <v>1</v>
      </c>
    </row>
    <row r="89" spans="1:55" s="42" customFormat="1" x14ac:dyDescent="0.2">
      <c r="A89" s="43">
        <v>426</v>
      </c>
      <c r="B89" s="44" t="s">
        <v>20059</v>
      </c>
      <c r="C89" s="45">
        <v>44082</v>
      </c>
      <c r="D89" s="44" t="s">
        <v>20060</v>
      </c>
      <c r="E89" s="44" t="s">
        <v>20637</v>
      </c>
      <c r="F89" s="44" t="s">
        <v>20062</v>
      </c>
      <c r="G89" s="44">
        <v>0</v>
      </c>
      <c r="H89" s="44" t="s">
        <v>20638</v>
      </c>
      <c r="I89" s="45">
        <v>43325</v>
      </c>
      <c r="J89" s="45">
        <v>44408</v>
      </c>
      <c r="K89" s="44" t="s">
        <v>53</v>
      </c>
      <c r="L89" s="44" t="s">
        <v>152</v>
      </c>
      <c r="M89" s="44" t="s">
        <v>222</v>
      </c>
      <c r="N89" s="44" t="s">
        <v>207</v>
      </c>
      <c r="O89" s="44" t="s">
        <v>235</v>
      </c>
      <c r="P89" s="44" t="s">
        <v>224</v>
      </c>
      <c r="Q89" s="44" t="s">
        <v>20639</v>
      </c>
      <c r="R89" s="44" t="s">
        <v>20376</v>
      </c>
      <c r="S89" s="44" t="s">
        <v>20377</v>
      </c>
      <c r="T89" s="44">
        <v>25</v>
      </c>
      <c r="U89" s="44" t="s">
        <v>20067</v>
      </c>
      <c r="V89" s="44" t="s">
        <v>20067</v>
      </c>
      <c r="W89" s="44" t="s">
        <v>20067</v>
      </c>
      <c r="X89" s="44" t="s">
        <v>20068</v>
      </c>
      <c r="Y89" s="44" t="s">
        <v>20067</v>
      </c>
      <c r="Z89" s="44" t="s">
        <v>20089</v>
      </c>
      <c r="AA89" s="44">
        <v>4259</v>
      </c>
      <c r="AB89" s="44" t="s">
        <v>316</v>
      </c>
      <c r="AC89" s="44" t="s">
        <v>19745</v>
      </c>
      <c r="AD89" s="44" t="s">
        <v>20407</v>
      </c>
      <c r="AE89" s="44" t="s">
        <v>20640</v>
      </c>
      <c r="AF89" s="44" t="s">
        <v>235</v>
      </c>
      <c r="AG89" s="44" t="s">
        <v>20092</v>
      </c>
      <c r="AH89" s="44" t="s">
        <v>20170</v>
      </c>
      <c r="AI89" s="44" t="s">
        <v>18723</v>
      </c>
      <c r="AJ89" s="44" t="s">
        <v>20072</v>
      </c>
      <c r="AK89" s="43">
        <v>0</v>
      </c>
      <c r="AL89" s="44">
        <v>39</v>
      </c>
      <c r="AM89" s="44">
        <v>65.333333333333329</v>
      </c>
      <c r="AN89" s="44">
        <v>57.609329446064137</v>
      </c>
      <c r="AO89" s="44">
        <v>51.552795031055901</v>
      </c>
      <c r="AP89" s="46">
        <v>19.100000000000001</v>
      </c>
      <c r="AQ89" s="47">
        <v>3</v>
      </c>
      <c r="AR89" s="47">
        <v>0</v>
      </c>
      <c r="AS89" s="47">
        <v>0</v>
      </c>
      <c r="AT89" s="47">
        <v>0</v>
      </c>
      <c r="AU89" s="46">
        <v>3</v>
      </c>
      <c r="AV89" s="46">
        <v>10</v>
      </c>
      <c r="AW89" s="46">
        <v>5</v>
      </c>
      <c r="AX89" s="47">
        <v>3</v>
      </c>
      <c r="AY89" s="47">
        <v>6</v>
      </c>
      <c r="AZ89" s="47">
        <v>20</v>
      </c>
      <c r="BA89" s="47">
        <v>10</v>
      </c>
      <c r="BB89" s="46">
        <v>42</v>
      </c>
      <c r="BC89" s="48">
        <v>1</v>
      </c>
    </row>
    <row r="90" spans="1:55" s="42" customFormat="1" x14ac:dyDescent="0.2">
      <c r="A90" s="43">
        <v>429</v>
      </c>
      <c r="B90" s="44" t="s">
        <v>20059</v>
      </c>
      <c r="C90" s="45">
        <v>44082</v>
      </c>
      <c r="D90" s="44" t="s">
        <v>20060</v>
      </c>
      <c r="E90" s="44" t="s">
        <v>20641</v>
      </c>
      <c r="F90" s="44" t="s">
        <v>20062</v>
      </c>
      <c r="G90" s="44">
        <v>0</v>
      </c>
      <c r="H90" s="44" t="s">
        <v>20642</v>
      </c>
      <c r="I90" s="45">
        <v>43686</v>
      </c>
      <c r="J90" s="45">
        <v>44773</v>
      </c>
      <c r="K90" s="44" t="s">
        <v>54</v>
      </c>
      <c r="L90" s="44" t="s">
        <v>153</v>
      </c>
      <c r="M90" s="44" t="s">
        <v>222</v>
      </c>
      <c r="N90" s="44" t="s">
        <v>207</v>
      </c>
      <c r="O90" s="44" t="s">
        <v>262</v>
      </c>
      <c r="P90" s="44" t="s">
        <v>224</v>
      </c>
      <c r="Q90" s="44" t="s">
        <v>20639</v>
      </c>
      <c r="R90" s="44" t="s">
        <v>20376</v>
      </c>
      <c r="S90" s="44" t="s">
        <v>20131</v>
      </c>
      <c r="T90" s="44">
        <v>36</v>
      </c>
      <c r="U90" s="44" t="s">
        <v>20067</v>
      </c>
      <c r="V90" s="44" t="s">
        <v>20067</v>
      </c>
      <c r="W90" s="44" t="s">
        <v>20067</v>
      </c>
      <c r="X90" s="44" t="s">
        <v>20068</v>
      </c>
      <c r="Y90" s="44" t="s">
        <v>20067</v>
      </c>
      <c r="Z90" s="44" t="s">
        <v>20089</v>
      </c>
      <c r="AA90" s="44">
        <v>4282</v>
      </c>
      <c r="AB90" s="44" t="s">
        <v>334</v>
      </c>
      <c r="AC90" s="44" t="s">
        <v>19745</v>
      </c>
      <c r="AD90" s="44" t="s">
        <v>20337</v>
      </c>
      <c r="AE90" s="44" t="s">
        <v>20643</v>
      </c>
      <c r="AF90" s="44" t="s">
        <v>262</v>
      </c>
      <c r="AG90" s="44" t="s">
        <v>20092</v>
      </c>
      <c r="AH90" s="44" t="s">
        <v>20126</v>
      </c>
      <c r="AI90" s="44" t="s">
        <v>18723</v>
      </c>
      <c r="AJ90" s="44" t="s">
        <v>20072</v>
      </c>
      <c r="AK90" s="43">
        <v>0</v>
      </c>
      <c r="AL90" s="44">
        <v>58</v>
      </c>
      <c r="AM90" s="44">
        <v>54.666666666666664</v>
      </c>
      <c r="AN90" s="44">
        <v>56.787564766839381</v>
      </c>
      <c r="AO90" s="44">
        <v>55.827702702702702</v>
      </c>
      <c r="AP90" s="46">
        <v>19.100000000000001</v>
      </c>
      <c r="AQ90" s="47">
        <v>3</v>
      </c>
      <c r="AR90" s="47">
        <v>0</v>
      </c>
      <c r="AS90" s="47">
        <v>0</v>
      </c>
      <c r="AT90" s="47">
        <v>0</v>
      </c>
      <c r="AU90" s="46">
        <v>5</v>
      </c>
      <c r="AV90" s="46">
        <v>8</v>
      </c>
      <c r="AW90" s="46">
        <v>5</v>
      </c>
      <c r="AX90" s="47">
        <v>3</v>
      </c>
      <c r="AY90" s="47">
        <v>10</v>
      </c>
      <c r="AZ90" s="47">
        <v>16</v>
      </c>
      <c r="BA90" s="47">
        <v>10</v>
      </c>
      <c r="BB90" s="46">
        <v>42</v>
      </c>
      <c r="BC90" s="48">
        <v>1</v>
      </c>
    </row>
    <row r="91" spans="1:55" s="42" customFormat="1" x14ac:dyDescent="0.2">
      <c r="A91" s="43">
        <v>431</v>
      </c>
      <c r="B91" s="44" t="s">
        <v>20059</v>
      </c>
      <c r="C91" s="45">
        <v>44082</v>
      </c>
      <c r="D91" s="44" t="s">
        <v>20060</v>
      </c>
      <c r="E91" s="44" t="s">
        <v>20644</v>
      </c>
      <c r="F91" s="44" t="s">
        <v>20062</v>
      </c>
      <c r="G91" s="44">
        <v>0</v>
      </c>
      <c r="H91" s="44" t="s">
        <v>20645</v>
      </c>
      <c r="I91" s="45">
        <v>43678</v>
      </c>
      <c r="J91" s="45">
        <v>44773</v>
      </c>
      <c r="K91" s="44" t="s">
        <v>55</v>
      </c>
      <c r="L91" s="44" t="s">
        <v>154</v>
      </c>
      <c r="M91" s="44" t="s">
        <v>222</v>
      </c>
      <c r="N91" s="44" t="s">
        <v>207</v>
      </c>
      <c r="O91" s="44" t="s">
        <v>235</v>
      </c>
      <c r="P91" s="44" t="s">
        <v>224</v>
      </c>
      <c r="Q91" s="44" t="s">
        <v>20639</v>
      </c>
      <c r="R91" s="44" t="s">
        <v>20376</v>
      </c>
      <c r="S91" s="44" t="s">
        <v>20377</v>
      </c>
      <c r="T91" s="44">
        <v>55</v>
      </c>
      <c r="U91" s="44" t="s">
        <v>20067</v>
      </c>
      <c r="V91" s="44" t="s">
        <v>20067</v>
      </c>
      <c r="W91" s="44" t="s">
        <v>20067</v>
      </c>
      <c r="X91" s="44" t="s">
        <v>20068</v>
      </c>
      <c r="Y91" s="44" t="s">
        <v>20067</v>
      </c>
      <c r="Z91" s="44" t="s">
        <v>20089</v>
      </c>
      <c r="AA91" s="44">
        <v>4259</v>
      </c>
      <c r="AB91" s="44" t="s">
        <v>316</v>
      </c>
      <c r="AC91" s="44" t="s">
        <v>19745</v>
      </c>
      <c r="AD91" s="44" t="s">
        <v>20646</v>
      </c>
      <c r="AE91" s="44" t="s">
        <v>20647</v>
      </c>
      <c r="AF91" s="44" t="s">
        <v>235</v>
      </c>
      <c r="AG91" s="44" t="s">
        <v>20092</v>
      </c>
      <c r="AH91" s="44" t="s">
        <v>20126</v>
      </c>
      <c r="AI91" s="44" t="s">
        <v>18723</v>
      </c>
      <c r="AJ91" s="44" t="s">
        <v>20072</v>
      </c>
      <c r="AK91" s="43">
        <v>0</v>
      </c>
      <c r="AL91" s="44">
        <v>39</v>
      </c>
      <c r="AM91" s="44">
        <v>65.333333333333329</v>
      </c>
      <c r="AN91" s="44">
        <v>46.06005870399639</v>
      </c>
      <c r="AO91" s="44">
        <v>45.806451612903203</v>
      </c>
      <c r="AP91" s="46">
        <v>19.100000000000001</v>
      </c>
      <c r="AQ91" s="47">
        <v>3</v>
      </c>
      <c r="AR91" s="47">
        <v>0</v>
      </c>
      <c r="AS91" s="47">
        <v>0</v>
      </c>
      <c r="AT91" s="47">
        <v>0</v>
      </c>
      <c r="AU91" s="46">
        <v>3</v>
      </c>
      <c r="AV91" s="46">
        <v>10</v>
      </c>
      <c r="AW91" s="46">
        <v>5</v>
      </c>
      <c r="AX91" s="47">
        <v>3</v>
      </c>
      <c r="AY91" s="47">
        <v>6</v>
      </c>
      <c r="AZ91" s="47">
        <v>20</v>
      </c>
      <c r="BA91" s="47">
        <v>10</v>
      </c>
      <c r="BB91" s="46">
        <v>42</v>
      </c>
      <c r="BC91" s="48">
        <v>1</v>
      </c>
    </row>
    <row r="92" spans="1:55" s="42" customFormat="1" x14ac:dyDescent="0.2">
      <c r="A92" s="43">
        <v>464</v>
      </c>
      <c r="B92" s="44" t="s">
        <v>20059</v>
      </c>
      <c r="C92" s="45">
        <v>44082</v>
      </c>
      <c r="D92" s="44" t="s">
        <v>20060</v>
      </c>
      <c r="E92" s="44" t="s">
        <v>20648</v>
      </c>
      <c r="F92" s="44" t="s">
        <v>20062</v>
      </c>
      <c r="G92" s="44">
        <v>0</v>
      </c>
      <c r="H92" s="44" t="s">
        <v>20649</v>
      </c>
      <c r="I92" s="45">
        <v>43549</v>
      </c>
      <c r="J92" s="45">
        <v>44620</v>
      </c>
      <c r="K92" s="44" t="s">
        <v>1107</v>
      </c>
      <c r="L92" s="44" t="s">
        <v>1108</v>
      </c>
      <c r="M92" s="44" t="s">
        <v>1053</v>
      </c>
      <c r="N92" s="44" t="s">
        <v>207</v>
      </c>
      <c r="O92" s="44" t="s">
        <v>1054</v>
      </c>
      <c r="P92" s="44" t="s">
        <v>224</v>
      </c>
      <c r="Q92" s="44" t="s">
        <v>20650</v>
      </c>
      <c r="R92" s="44" t="s">
        <v>20651</v>
      </c>
      <c r="S92" s="44" t="s">
        <v>20131</v>
      </c>
      <c r="T92" s="44">
        <v>39</v>
      </c>
      <c r="U92" s="44" t="s">
        <v>20067</v>
      </c>
      <c r="V92" s="44" t="s">
        <v>20067</v>
      </c>
      <c r="W92" s="44" t="s">
        <v>20067</v>
      </c>
      <c r="X92" s="44" t="s">
        <v>20068</v>
      </c>
      <c r="Y92" s="44" t="s">
        <v>20067</v>
      </c>
      <c r="Z92" s="44" t="s">
        <v>20069</v>
      </c>
      <c r="AA92" s="44">
        <v>4442</v>
      </c>
      <c r="AB92" s="44" t="s">
        <v>315</v>
      </c>
      <c r="AC92" s="44"/>
      <c r="AD92" s="44" t="s">
        <v>20624</v>
      </c>
      <c r="AE92" s="44" t="s">
        <v>20625</v>
      </c>
      <c r="AF92" s="44" t="s">
        <v>1054</v>
      </c>
      <c r="AG92" s="44" t="s">
        <v>7934</v>
      </c>
      <c r="AH92" s="44" t="s">
        <v>18831</v>
      </c>
      <c r="AI92" s="44" t="s">
        <v>18723</v>
      </c>
      <c r="AJ92" s="44" t="s">
        <v>20072</v>
      </c>
      <c r="AK92" s="43">
        <v>0</v>
      </c>
      <c r="AL92" s="44">
        <v>68</v>
      </c>
      <c r="AM92" s="44">
        <v>69</v>
      </c>
      <c r="AN92" s="44">
        <v>8.8491517652452991</v>
      </c>
      <c r="AO92" s="44">
        <v>8.8491517652452991</v>
      </c>
      <c r="AP92" s="46">
        <v>19.100000000000001</v>
      </c>
      <c r="AQ92" s="47">
        <v>3</v>
      </c>
      <c r="AR92" s="47">
        <v>0</v>
      </c>
      <c r="AS92" s="47">
        <v>0</v>
      </c>
      <c r="AT92" s="47">
        <v>0</v>
      </c>
      <c r="AU92" s="46">
        <v>5</v>
      </c>
      <c r="AV92" s="46">
        <v>10</v>
      </c>
      <c r="AW92" s="46">
        <v>3</v>
      </c>
      <c r="AX92" s="47">
        <v>3</v>
      </c>
      <c r="AY92" s="47">
        <v>10</v>
      </c>
      <c r="AZ92" s="47">
        <v>20</v>
      </c>
      <c r="BA92" s="47">
        <v>6</v>
      </c>
      <c r="BB92" s="46">
        <v>42</v>
      </c>
      <c r="BC92" s="48">
        <v>1</v>
      </c>
    </row>
    <row r="93" spans="1:55" s="42" customFormat="1" x14ac:dyDescent="0.2">
      <c r="A93" s="43">
        <v>488</v>
      </c>
      <c r="B93" s="44" t="s">
        <v>20059</v>
      </c>
      <c r="C93" s="45">
        <v>44082</v>
      </c>
      <c r="D93" s="44" t="s">
        <v>20060</v>
      </c>
      <c r="E93" s="44" t="s">
        <v>20652</v>
      </c>
      <c r="F93" s="44" t="s">
        <v>20062</v>
      </c>
      <c r="G93" s="44">
        <v>0</v>
      </c>
      <c r="H93" s="44" t="s">
        <v>20653</v>
      </c>
      <c r="I93" s="45">
        <v>43689</v>
      </c>
      <c r="J93" s="45">
        <v>44773</v>
      </c>
      <c r="K93" s="44" t="s">
        <v>1109</v>
      </c>
      <c r="L93" s="44" t="s">
        <v>1110</v>
      </c>
      <c r="M93" s="44" t="s">
        <v>219</v>
      </c>
      <c r="N93" s="44" t="s">
        <v>207</v>
      </c>
      <c r="O93" s="44" t="s">
        <v>220</v>
      </c>
      <c r="P93" s="44" t="s">
        <v>221</v>
      </c>
      <c r="Q93" s="44" t="s">
        <v>20654</v>
      </c>
      <c r="R93" s="44" t="s">
        <v>20655</v>
      </c>
      <c r="S93" s="44" t="s">
        <v>20656</v>
      </c>
      <c r="T93" s="44">
        <v>10</v>
      </c>
      <c r="U93" s="44" t="s">
        <v>20067</v>
      </c>
      <c r="V93" s="44" t="s">
        <v>20067</v>
      </c>
      <c r="W93" s="44" t="s">
        <v>20067</v>
      </c>
      <c r="X93" s="44" t="s">
        <v>20068</v>
      </c>
      <c r="Y93" s="44" t="s">
        <v>20067</v>
      </c>
      <c r="Z93" s="44" t="s">
        <v>20069</v>
      </c>
      <c r="AA93" s="44">
        <v>4442</v>
      </c>
      <c r="AB93" s="44" t="s">
        <v>315</v>
      </c>
      <c r="AC93" s="44"/>
      <c r="AD93" s="44" t="s">
        <v>20323</v>
      </c>
      <c r="AE93" s="44" t="s">
        <v>20324</v>
      </c>
      <c r="AF93" s="44" t="s">
        <v>255</v>
      </c>
      <c r="AG93" s="44" t="s">
        <v>7934</v>
      </c>
      <c r="AH93" s="44" t="s">
        <v>751</v>
      </c>
      <c r="AI93" s="44" t="s">
        <v>18723</v>
      </c>
      <c r="AJ93" s="44" t="s">
        <v>20072</v>
      </c>
      <c r="AK93" s="43">
        <v>0</v>
      </c>
      <c r="AL93" s="44">
        <v>68</v>
      </c>
      <c r="AM93" s="44">
        <v>69</v>
      </c>
      <c r="AN93" s="44">
        <v>21.745806756437513</v>
      </c>
      <c r="AO93" s="44">
        <v>17.2984148862853</v>
      </c>
      <c r="AP93" s="46">
        <v>47.9</v>
      </c>
      <c r="AQ93" s="47">
        <v>1</v>
      </c>
      <c r="AR93" s="47">
        <v>0</v>
      </c>
      <c r="AS93" s="47">
        <v>0</v>
      </c>
      <c r="AT93" s="47">
        <v>0</v>
      </c>
      <c r="AU93" s="46">
        <v>5</v>
      </c>
      <c r="AV93" s="46">
        <v>10</v>
      </c>
      <c r="AW93" s="46">
        <v>3</v>
      </c>
      <c r="AX93" s="47">
        <v>5</v>
      </c>
      <c r="AY93" s="47">
        <v>10</v>
      </c>
      <c r="AZ93" s="47">
        <v>20</v>
      </c>
      <c r="BA93" s="47">
        <v>6</v>
      </c>
      <c r="BB93" s="46">
        <v>42</v>
      </c>
      <c r="BC93" s="48">
        <v>1</v>
      </c>
    </row>
    <row r="94" spans="1:55" s="42" customFormat="1" x14ac:dyDescent="0.2">
      <c r="A94" s="43">
        <v>503</v>
      </c>
      <c r="B94" s="44" t="s">
        <v>20059</v>
      </c>
      <c r="C94" s="45">
        <v>44082</v>
      </c>
      <c r="D94" s="44" t="s">
        <v>20060</v>
      </c>
      <c r="E94" s="44" t="s">
        <v>20657</v>
      </c>
      <c r="F94" s="44" t="s">
        <v>20062</v>
      </c>
      <c r="G94" s="44">
        <v>0</v>
      </c>
      <c r="H94" s="44" t="s">
        <v>20658</v>
      </c>
      <c r="I94" s="45">
        <v>43481</v>
      </c>
      <c r="J94" s="45">
        <v>44561</v>
      </c>
      <c r="K94" s="44" t="s">
        <v>1111</v>
      </c>
      <c r="L94" s="44" t="s">
        <v>1112</v>
      </c>
      <c r="M94" s="44" t="s">
        <v>1053</v>
      </c>
      <c r="N94" s="44" t="s">
        <v>207</v>
      </c>
      <c r="O94" s="44" t="s">
        <v>1054</v>
      </c>
      <c r="P94" s="44" t="s">
        <v>224</v>
      </c>
      <c r="Q94" s="44" t="s">
        <v>20659</v>
      </c>
      <c r="R94" s="44" t="s">
        <v>20660</v>
      </c>
      <c r="S94" s="44" t="s">
        <v>20661</v>
      </c>
      <c r="T94" s="44">
        <v>59</v>
      </c>
      <c r="U94" s="44" t="s">
        <v>20067</v>
      </c>
      <c r="V94" s="44" t="s">
        <v>20067</v>
      </c>
      <c r="W94" s="44" t="s">
        <v>20067</v>
      </c>
      <c r="X94" s="44" t="s">
        <v>20067</v>
      </c>
      <c r="Y94" s="44" t="s">
        <v>20068</v>
      </c>
      <c r="Z94" s="44" t="s">
        <v>20069</v>
      </c>
      <c r="AA94" s="44">
        <v>4442</v>
      </c>
      <c r="AB94" s="44" t="s">
        <v>315</v>
      </c>
      <c r="AC94" s="44"/>
      <c r="AD94" s="44" t="s">
        <v>20662</v>
      </c>
      <c r="AE94" s="44" t="s">
        <v>20663</v>
      </c>
      <c r="AF94" s="44" t="s">
        <v>1054</v>
      </c>
      <c r="AG94" s="44" t="s">
        <v>7934</v>
      </c>
      <c r="AH94" s="44" t="s">
        <v>1308</v>
      </c>
      <c r="AI94" s="44" t="s">
        <v>18723</v>
      </c>
      <c r="AJ94" s="44" t="s">
        <v>20072</v>
      </c>
      <c r="AK94" s="43">
        <v>0</v>
      </c>
      <c r="AL94" s="44">
        <v>68</v>
      </c>
      <c r="AM94" s="44">
        <v>69</v>
      </c>
      <c r="AN94" s="44">
        <v>19.067235545093421</v>
      </c>
      <c r="AO94" s="44">
        <v>20.9668353007308</v>
      </c>
      <c r="AP94" s="46">
        <v>19.100000000000001</v>
      </c>
      <c r="AQ94" s="47">
        <v>3</v>
      </c>
      <c r="AR94" s="47">
        <v>0</v>
      </c>
      <c r="AS94" s="47">
        <v>0</v>
      </c>
      <c r="AT94" s="47">
        <v>0</v>
      </c>
      <c r="AU94" s="46">
        <v>5</v>
      </c>
      <c r="AV94" s="46">
        <v>10</v>
      </c>
      <c r="AW94" s="46">
        <v>3</v>
      </c>
      <c r="AX94" s="47">
        <v>3</v>
      </c>
      <c r="AY94" s="47">
        <v>10</v>
      </c>
      <c r="AZ94" s="47">
        <v>20</v>
      </c>
      <c r="BA94" s="47">
        <v>6</v>
      </c>
      <c r="BB94" s="46">
        <v>42</v>
      </c>
      <c r="BC94" s="48">
        <v>1</v>
      </c>
    </row>
    <row r="95" spans="1:55" s="42" customFormat="1" x14ac:dyDescent="0.2">
      <c r="A95" s="43">
        <v>728</v>
      </c>
      <c r="B95" s="44" t="s">
        <v>20059</v>
      </c>
      <c r="C95" s="45">
        <v>44082</v>
      </c>
      <c r="D95" s="44" t="s">
        <v>20060</v>
      </c>
      <c r="E95" s="44" t="s">
        <v>20664</v>
      </c>
      <c r="F95" s="44" t="s">
        <v>20062</v>
      </c>
      <c r="G95" s="44">
        <v>0</v>
      </c>
      <c r="H95" s="44" t="s">
        <v>20665</v>
      </c>
      <c r="I95" s="45">
        <v>43374</v>
      </c>
      <c r="J95" s="45">
        <v>44469</v>
      </c>
      <c r="K95" s="44" t="s">
        <v>1113</v>
      </c>
      <c r="L95" s="44" t="s">
        <v>1114</v>
      </c>
      <c r="M95" s="44" t="s">
        <v>1044</v>
      </c>
      <c r="N95" s="44" t="s">
        <v>207</v>
      </c>
      <c r="O95" s="44" t="s">
        <v>1115</v>
      </c>
      <c r="P95" s="44" t="s">
        <v>221</v>
      </c>
      <c r="Q95" s="44" t="s">
        <v>20666</v>
      </c>
      <c r="R95" s="44" t="s">
        <v>20667</v>
      </c>
      <c r="S95" s="44" t="s">
        <v>20668</v>
      </c>
      <c r="T95" s="44">
        <v>152</v>
      </c>
      <c r="U95" s="44" t="s">
        <v>20299</v>
      </c>
      <c r="V95" s="44" t="s">
        <v>20263</v>
      </c>
      <c r="W95" s="44" t="s">
        <v>20068</v>
      </c>
      <c r="X95" s="44" t="s">
        <v>20068</v>
      </c>
      <c r="Y95" s="44" t="s">
        <v>20068</v>
      </c>
      <c r="Z95" s="44" t="s">
        <v>20069</v>
      </c>
      <c r="AA95" s="44">
        <v>4443</v>
      </c>
      <c r="AB95" s="44" t="s">
        <v>1046</v>
      </c>
      <c r="AC95" s="44"/>
      <c r="AD95" s="44" t="s">
        <v>20669</v>
      </c>
      <c r="AE95" s="44" t="s">
        <v>20670</v>
      </c>
      <c r="AF95" s="44" t="s">
        <v>1045</v>
      </c>
      <c r="AG95" s="44" t="s">
        <v>7934</v>
      </c>
      <c r="AH95" s="44" t="s">
        <v>1598</v>
      </c>
      <c r="AI95" s="44" t="s">
        <v>18723</v>
      </c>
      <c r="AJ95" s="44" t="s">
        <v>20072</v>
      </c>
      <c r="AK95" s="43">
        <v>0</v>
      </c>
      <c r="AL95" s="44">
        <v>64</v>
      </c>
      <c r="AM95" s="44">
        <v>53</v>
      </c>
      <c r="AN95" s="44">
        <v>25.804001012914661</v>
      </c>
      <c r="AO95" s="44">
        <v>18.087215064420199</v>
      </c>
      <c r="AP95" s="46">
        <v>47.9</v>
      </c>
      <c r="AQ95" s="47">
        <v>5</v>
      </c>
      <c r="AR95" s="47">
        <v>0</v>
      </c>
      <c r="AS95" s="47">
        <v>0</v>
      </c>
      <c r="AT95" s="47">
        <v>0</v>
      </c>
      <c r="AU95" s="46">
        <v>5</v>
      </c>
      <c r="AV95" s="46">
        <v>8</v>
      </c>
      <c r="AW95" s="46">
        <v>3</v>
      </c>
      <c r="AX95" s="47">
        <v>5</v>
      </c>
      <c r="AY95" s="47">
        <v>10</v>
      </c>
      <c r="AZ95" s="47">
        <v>16</v>
      </c>
      <c r="BA95" s="47">
        <v>6</v>
      </c>
      <c r="BB95" s="46">
        <v>42</v>
      </c>
      <c r="BC95" s="48">
        <v>1</v>
      </c>
    </row>
    <row r="96" spans="1:55" s="42" customFormat="1" x14ac:dyDescent="0.2">
      <c r="A96" s="43">
        <v>770</v>
      </c>
      <c r="B96" s="44" t="s">
        <v>20059</v>
      </c>
      <c r="C96" s="45">
        <v>44082</v>
      </c>
      <c r="D96" s="44" t="s">
        <v>20060</v>
      </c>
      <c r="E96" s="44" t="s">
        <v>20671</v>
      </c>
      <c r="F96" s="44" t="s">
        <v>20062</v>
      </c>
      <c r="G96" s="44">
        <v>0</v>
      </c>
      <c r="H96" s="44" t="s">
        <v>20672</v>
      </c>
      <c r="I96" s="45">
        <v>44044</v>
      </c>
      <c r="J96" s="45">
        <v>45138</v>
      </c>
      <c r="K96" s="44" t="s">
        <v>56</v>
      </c>
      <c r="L96" s="44" t="s">
        <v>155</v>
      </c>
      <c r="M96" s="44" t="s">
        <v>274</v>
      </c>
      <c r="N96" s="44" t="s">
        <v>207</v>
      </c>
      <c r="O96" s="44" t="s">
        <v>275</v>
      </c>
      <c r="P96" s="44" t="s">
        <v>221</v>
      </c>
      <c r="Q96" s="44" t="s">
        <v>20673</v>
      </c>
      <c r="R96" s="44" t="s">
        <v>20674</v>
      </c>
      <c r="S96" s="44" t="s">
        <v>20131</v>
      </c>
      <c r="T96" s="44">
        <v>43</v>
      </c>
      <c r="U96" s="44" t="s">
        <v>20067</v>
      </c>
      <c r="V96" s="44" t="s">
        <v>20501</v>
      </c>
      <c r="W96" s="44" t="s">
        <v>20068</v>
      </c>
      <c r="X96" s="44" t="s">
        <v>20068</v>
      </c>
      <c r="Y96" s="44" t="s">
        <v>20068</v>
      </c>
      <c r="Z96" s="44" t="s">
        <v>20069</v>
      </c>
      <c r="AA96" s="44">
        <v>4439</v>
      </c>
      <c r="AB96" s="44" t="s">
        <v>338</v>
      </c>
      <c r="AC96" s="44"/>
      <c r="AD96" s="44" t="s">
        <v>20675</v>
      </c>
      <c r="AE96" s="44" t="s">
        <v>20676</v>
      </c>
      <c r="AF96" s="44" t="s">
        <v>275</v>
      </c>
      <c r="AG96" s="44" t="s">
        <v>7934</v>
      </c>
      <c r="AH96" s="44" t="s">
        <v>20677</v>
      </c>
      <c r="AI96" s="44" t="s">
        <v>18715</v>
      </c>
      <c r="AJ96" s="44" t="s">
        <v>20083</v>
      </c>
      <c r="AK96" s="43">
        <v>0</v>
      </c>
      <c r="AL96" s="44">
        <v>13</v>
      </c>
      <c r="AM96" s="44">
        <v>52.333333333333336</v>
      </c>
      <c r="AN96" s="44">
        <v>41.777296125711189</v>
      </c>
      <c r="AO96" s="44">
        <v>47.718253968253997</v>
      </c>
      <c r="AP96" s="46">
        <v>47.9</v>
      </c>
      <c r="AQ96" s="47">
        <v>3</v>
      </c>
      <c r="AR96" s="47">
        <v>5</v>
      </c>
      <c r="AS96" s="47">
        <v>1</v>
      </c>
      <c r="AT96" s="47">
        <v>0</v>
      </c>
      <c r="AU96" s="46">
        <v>1</v>
      </c>
      <c r="AV96" s="46">
        <v>8</v>
      </c>
      <c r="AW96" s="46">
        <v>5</v>
      </c>
      <c r="AX96" s="47">
        <v>5</v>
      </c>
      <c r="AY96" s="47">
        <v>2</v>
      </c>
      <c r="AZ96" s="47">
        <v>16</v>
      </c>
      <c r="BA96" s="47">
        <v>10</v>
      </c>
      <c r="BB96" s="46">
        <v>42</v>
      </c>
      <c r="BC96" s="48">
        <v>1</v>
      </c>
    </row>
    <row r="97" spans="1:55" s="42" customFormat="1" x14ac:dyDescent="0.2">
      <c r="A97" s="43">
        <v>1067</v>
      </c>
      <c r="B97" s="44" t="s">
        <v>20059</v>
      </c>
      <c r="C97" s="45">
        <v>44082</v>
      </c>
      <c r="D97" s="44" t="s">
        <v>20060</v>
      </c>
      <c r="E97" s="44" t="s">
        <v>20678</v>
      </c>
      <c r="F97" s="44" t="s">
        <v>20062</v>
      </c>
      <c r="G97" s="44">
        <v>90727</v>
      </c>
      <c r="H97" s="44" t="s">
        <v>20679</v>
      </c>
      <c r="I97" s="45">
        <v>43252</v>
      </c>
      <c r="J97" s="45">
        <v>44347</v>
      </c>
      <c r="K97" s="44" t="s">
        <v>1116</v>
      </c>
      <c r="L97" s="44" t="s">
        <v>1117</v>
      </c>
      <c r="M97" s="44" t="s">
        <v>1079</v>
      </c>
      <c r="N97" s="44" t="s">
        <v>207</v>
      </c>
      <c r="O97" s="44" t="s">
        <v>392</v>
      </c>
      <c r="P97" s="44" t="s">
        <v>1080</v>
      </c>
      <c r="Q97" s="44" t="s">
        <v>20680</v>
      </c>
      <c r="R97" s="44" t="s">
        <v>20681</v>
      </c>
      <c r="S97" s="44" t="s">
        <v>20682</v>
      </c>
      <c r="T97" s="44">
        <v>59</v>
      </c>
      <c r="U97" s="44" t="s">
        <v>20067</v>
      </c>
      <c r="V97" s="44" t="s">
        <v>20683</v>
      </c>
      <c r="W97" s="44" t="s">
        <v>20068</v>
      </c>
      <c r="X97" s="44" t="s">
        <v>20068</v>
      </c>
      <c r="Y97" s="44" t="s">
        <v>20068</v>
      </c>
      <c r="Z97" s="44" t="s">
        <v>20069</v>
      </c>
      <c r="AA97" s="44">
        <v>4470</v>
      </c>
      <c r="AB97" s="44" t="s">
        <v>388</v>
      </c>
      <c r="AC97" s="44"/>
      <c r="AD97" s="44" t="s">
        <v>20684</v>
      </c>
      <c r="AE97" s="44" t="s">
        <v>20685</v>
      </c>
      <c r="AF97" s="44" t="s">
        <v>392</v>
      </c>
      <c r="AG97" s="44" t="s">
        <v>8713</v>
      </c>
      <c r="AH97" s="44" t="s">
        <v>20532</v>
      </c>
      <c r="AI97" s="44" t="s">
        <v>18723</v>
      </c>
      <c r="AJ97" s="44" t="s">
        <v>20072</v>
      </c>
      <c r="AK97" s="43">
        <v>0</v>
      </c>
      <c r="AL97" s="44">
        <v>67</v>
      </c>
      <c r="AM97" s="44">
        <v>56</v>
      </c>
      <c r="AN97" s="44">
        <v>36.123181560551672</v>
      </c>
      <c r="AO97" s="44">
        <v>43.876611418047901</v>
      </c>
      <c r="AP97" s="46">
        <v>28.2</v>
      </c>
      <c r="AQ97" s="47">
        <v>3</v>
      </c>
      <c r="AR97" s="47">
        <v>0</v>
      </c>
      <c r="AS97" s="47">
        <v>0</v>
      </c>
      <c r="AT97" s="47">
        <v>0</v>
      </c>
      <c r="AU97" s="46">
        <v>5</v>
      </c>
      <c r="AV97" s="46">
        <v>8</v>
      </c>
      <c r="AW97" s="46">
        <v>5</v>
      </c>
      <c r="AX97" s="47">
        <v>3</v>
      </c>
      <c r="AY97" s="47">
        <v>10</v>
      </c>
      <c r="AZ97" s="47">
        <v>16</v>
      </c>
      <c r="BA97" s="47">
        <v>10</v>
      </c>
      <c r="BB97" s="46">
        <v>42</v>
      </c>
      <c r="BC97" s="48">
        <v>1</v>
      </c>
    </row>
    <row r="98" spans="1:55" s="42" customFormat="1" x14ac:dyDescent="0.2">
      <c r="A98" s="43">
        <v>1341</v>
      </c>
      <c r="B98" s="44" t="s">
        <v>20059</v>
      </c>
      <c r="C98" s="45">
        <v>44082</v>
      </c>
      <c r="D98" s="44" t="s">
        <v>20060</v>
      </c>
      <c r="E98" s="44" t="s">
        <v>20686</v>
      </c>
      <c r="F98" s="44" t="s">
        <v>20062</v>
      </c>
      <c r="G98" s="44">
        <v>0</v>
      </c>
      <c r="H98" s="44" t="s">
        <v>20687</v>
      </c>
      <c r="I98" s="45">
        <v>44033</v>
      </c>
      <c r="J98" s="45">
        <v>44742</v>
      </c>
      <c r="K98" s="44" t="s">
        <v>1118</v>
      </c>
      <c r="L98" s="44" t="s">
        <v>1119</v>
      </c>
      <c r="M98" s="44" t="s">
        <v>1044</v>
      </c>
      <c r="N98" s="44" t="s">
        <v>207</v>
      </c>
      <c r="O98" s="44" t="s">
        <v>1045</v>
      </c>
      <c r="P98" s="44" t="s">
        <v>221</v>
      </c>
      <c r="Q98" s="44" t="s">
        <v>20688</v>
      </c>
      <c r="R98" s="44" t="s">
        <v>20689</v>
      </c>
      <c r="S98" s="44" t="s">
        <v>20690</v>
      </c>
      <c r="T98" s="44">
        <v>125</v>
      </c>
      <c r="U98" s="44" t="s">
        <v>20067</v>
      </c>
      <c r="V98" s="44" t="s">
        <v>20067</v>
      </c>
      <c r="W98" s="44" t="s">
        <v>20068</v>
      </c>
      <c r="X98" s="44" t="s">
        <v>20068</v>
      </c>
      <c r="Y98" s="44" t="s">
        <v>20068</v>
      </c>
      <c r="Z98" s="44" t="s">
        <v>20069</v>
      </c>
      <c r="AA98" s="44">
        <v>4443</v>
      </c>
      <c r="AB98" s="44" t="s">
        <v>1046</v>
      </c>
      <c r="AC98" s="44"/>
      <c r="AD98" s="44" t="s">
        <v>20669</v>
      </c>
      <c r="AE98" s="44" t="s">
        <v>20691</v>
      </c>
      <c r="AF98" s="44" t="s">
        <v>1045</v>
      </c>
      <c r="AG98" s="44" t="s">
        <v>7934</v>
      </c>
      <c r="AH98" s="44" t="s">
        <v>1598</v>
      </c>
      <c r="AI98" s="44" t="s">
        <v>18723</v>
      </c>
      <c r="AJ98" s="44" t="s">
        <v>20072</v>
      </c>
      <c r="AK98" s="43">
        <v>0</v>
      </c>
      <c r="AL98" s="44">
        <v>64</v>
      </c>
      <c r="AM98" s="44">
        <v>53</v>
      </c>
      <c r="AN98" s="44">
        <v>25.804001012914661</v>
      </c>
      <c r="AO98" s="44">
        <v>33.868461936820303</v>
      </c>
      <c r="AP98" s="46">
        <v>47.9</v>
      </c>
      <c r="AQ98" s="47">
        <v>5</v>
      </c>
      <c r="AR98" s="47">
        <v>0</v>
      </c>
      <c r="AS98" s="47">
        <v>0</v>
      </c>
      <c r="AT98" s="47">
        <v>0</v>
      </c>
      <c r="AU98" s="46">
        <v>5</v>
      </c>
      <c r="AV98" s="46">
        <v>8</v>
      </c>
      <c r="AW98" s="46">
        <v>3</v>
      </c>
      <c r="AX98" s="47">
        <v>5</v>
      </c>
      <c r="AY98" s="47">
        <v>10</v>
      </c>
      <c r="AZ98" s="47">
        <v>16</v>
      </c>
      <c r="BA98" s="47">
        <v>6</v>
      </c>
      <c r="BB98" s="46">
        <v>42</v>
      </c>
      <c r="BC98" s="48">
        <v>1</v>
      </c>
    </row>
    <row r="99" spans="1:55" s="42" customFormat="1" x14ac:dyDescent="0.2">
      <c r="A99" s="43">
        <v>1342</v>
      </c>
      <c r="B99" s="44" t="s">
        <v>20059</v>
      </c>
      <c r="C99" s="45">
        <v>44082</v>
      </c>
      <c r="D99" s="44" t="s">
        <v>20060</v>
      </c>
      <c r="E99" s="44" t="s">
        <v>20692</v>
      </c>
      <c r="F99" s="44" t="s">
        <v>20062</v>
      </c>
      <c r="G99" s="44">
        <v>0</v>
      </c>
      <c r="H99" s="44" t="s">
        <v>20693</v>
      </c>
      <c r="I99" s="45">
        <v>43709</v>
      </c>
      <c r="J99" s="45">
        <v>44804</v>
      </c>
      <c r="K99" s="44" t="s">
        <v>1118</v>
      </c>
      <c r="L99" s="44" t="s">
        <v>1120</v>
      </c>
      <c r="M99" s="44" t="s">
        <v>1044</v>
      </c>
      <c r="N99" s="44" t="s">
        <v>207</v>
      </c>
      <c r="O99" s="44" t="s">
        <v>1045</v>
      </c>
      <c r="P99" s="44" t="s">
        <v>221</v>
      </c>
      <c r="Q99" s="44" t="s">
        <v>20688</v>
      </c>
      <c r="R99" s="44" t="s">
        <v>20690</v>
      </c>
      <c r="S99" s="44" t="s">
        <v>20690</v>
      </c>
      <c r="T99" s="44">
        <v>176</v>
      </c>
      <c r="U99" s="44" t="s">
        <v>20316</v>
      </c>
      <c r="V99" s="44" t="s">
        <v>20263</v>
      </c>
      <c r="W99" s="44" t="s">
        <v>20068</v>
      </c>
      <c r="X99" s="44" t="s">
        <v>20068</v>
      </c>
      <c r="Y99" s="44" t="s">
        <v>20068</v>
      </c>
      <c r="Z99" s="44" t="s">
        <v>20069</v>
      </c>
      <c r="AA99" s="44">
        <v>4443</v>
      </c>
      <c r="AB99" s="44" t="s">
        <v>1046</v>
      </c>
      <c r="AC99" s="44"/>
      <c r="AD99" s="44" t="s">
        <v>20694</v>
      </c>
      <c r="AE99" s="44" t="s">
        <v>20695</v>
      </c>
      <c r="AF99" s="44" t="s">
        <v>1045</v>
      </c>
      <c r="AG99" s="44" t="s">
        <v>7934</v>
      </c>
      <c r="AH99" s="44" t="s">
        <v>1598</v>
      </c>
      <c r="AI99" s="44" t="s">
        <v>18723</v>
      </c>
      <c r="AJ99" s="44" t="s">
        <v>20072</v>
      </c>
      <c r="AK99" s="43">
        <v>0</v>
      </c>
      <c r="AL99" s="44">
        <v>64</v>
      </c>
      <c r="AM99" s="44">
        <v>53</v>
      </c>
      <c r="AN99" s="44">
        <v>29.90732940185341</v>
      </c>
      <c r="AO99" s="44">
        <v>31.5525114155251</v>
      </c>
      <c r="AP99" s="46">
        <v>47.9</v>
      </c>
      <c r="AQ99" s="47">
        <v>5</v>
      </c>
      <c r="AR99" s="47">
        <v>0</v>
      </c>
      <c r="AS99" s="47">
        <v>0</v>
      </c>
      <c r="AT99" s="47">
        <v>0</v>
      </c>
      <c r="AU99" s="46">
        <v>5</v>
      </c>
      <c r="AV99" s="46">
        <v>8</v>
      </c>
      <c r="AW99" s="46">
        <v>3</v>
      </c>
      <c r="AX99" s="47">
        <v>5</v>
      </c>
      <c r="AY99" s="47">
        <v>10</v>
      </c>
      <c r="AZ99" s="47">
        <v>16</v>
      </c>
      <c r="BA99" s="47">
        <v>6</v>
      </c>
      <c r="BB99" s="46">
        <v>42</v>
      </c>
      <c r="BC99" s="48">
        <v>1</v>
      </c>
    </row>
    <row r="100" spans="1:55" s="42" customFormat="1" x14ac:dyDescent="0.2">
      <c r="A100" s="43">
        <v>1434</v>
      </c>
      <c r="B100" s="44" t="s">
        <v>20059</v>
      </c>
      <c r="C100" s="45">
        <v>44082</v>
      </c>
      <c r="D100" s="44" t="s">
        <v>20060</v>
      </c>
      <c r="E100" s="44" t="s">
        <v>20696</v>
      </c>
      <c r="F100" s="44" t="s">
        <v>20062</v>
      </c>
      <c r="G100" s="44">
        <v>0</v>
      </c>
      <c r="H100" s="44" t="s">
        <v>20697</v>
      </c>
      <c r="I100" s="45">
        <v>43494</v>
      </c>
      <c r="J100" s="45">
        <v>44561</v>
      </c>
      <c r="K100" s="44" t="s">
        <v>57</v>
      </c>
      <c r="L100" s="44" t="s">
        <v>156</v>
      </c>
      <c r="M100" s="44" t="s">
        <v>222</v>
      </c>
      <c r="N100" s="44" t="s">
        <v>207</v>
      </c>
      <c r="O100" s="44" t="s">
        <v>262</v>
      </c>
      <c r="P100" s="44" t="s">
        <v>224</v>
      </c>
      <c r="Q100" s="44" t="s">
        <v>20698</v>
      </c>
      <c r="R100" s="44" t="s">
        <v>20699</v>
      </c>
      <c r="S100" s="44" t="s">
        <v>20131</v>
      </c>
      <c r="T100" s="44">
        <v>45</v>
      </c>
      <c r="U100" s="44" t="s">
        <v>20067</v>
      </c>
      <c r="V100" s="44" t="s">
        <v>20067</v>
      </c>
      <c r="W100" s="44" t="s">
        <v>20067</v>
      </c>
      <c r="X100" s="44" t="s">
        <v>20068</v>
      </c>
      <c r="Y100" s="44" t="s">
        <v>20068</v>
      </c>
      <c r="Z100" s="44" t="s">
        <v>20089</v>
      </c>
      <c r="AA100" s="44">
        <v>4282</v>
      </c>
      <c r="AB100" s="44" t="s">
        <v>334</v>
      </c>
      <c r="AC100" s="44"/>
      <c r="AD100" s="44" t="s">
        <v>20700</v>
      </c>
      <c r="AE100" s="44" t="s">
        <v>20701</v>
      </c>
      <c r="AF100" s="44" t="s">
        <v>262</v>
      </c>
      <c r="AG100" s="44" t="s">
        <v>20092</v>
      </c>
      <c r="AH100" s="44" t="s">
        <v>20126</v>
      </c>
      <c r="AI100" s="44" t="s">
        <v>18723</v>
      </c>
      <c r="AJ100" s="44" t="s">
        <v>20072</v>
      </c>
      <c r="AK100" s="43">
        <v>0</v>
      </c>
      <c r="AL100" s="44">
        <v>58</v>
      </c>
      <c r="AM100" s="44">
        <v>54.666666666666664</v>
      </c>
      <c r="AN100" s="44">
        <v>36.107336956521742</v>
      </c>
      <c r="AO100" s="44">
        <v>48.096446700507599</v>
      </c>
      <c r="AP100" s="46">
        <v>19.100000000000001</v>
      </c>
      <c r="AQ100" s="47">
        <v>3</v>
      </c>
      <c r="AR100" s="47">
        <v>0</v>
      </c>
      <c r="AS100" s="47">
        <v>0</v>
      </c>
      <c r="AT100" s="47">
        <v>0</v>
      </c>
      <c r="AU100" s="46">
        <v>5</v>
      </c>
      <c r="AV100" s="46">
        <v>8</v>
      </c>
      <c r="AW100" s="46">
        <v>5</v>
      </c>
      <c r="AX100" s="47">
        <v>3</v>
      </c>
      <c r="AY100" s="47">
        <v>10</v>
      </c>
      <c r="AZ100" s="47">
        <v>16</v>
      </c>
      <c r="BA100" s="47">
        <v>10</v>
      </c>
      <c r="BB100" s="46">
        <v>42</v>
      </c>
      <c r="BC100" s="48">
        <v>1</v>
      </c>
    </row>
    <row r="101" spans="1:55" s="42" customFormat="1" x14ac:dyDescent="0.2">
      <c r="A101" s="43">
        <v>1576</v>
      </c>
      <c r="B101" s="44" t="s">
        <v>20059</v>
      </c>
      <c r="C101" s="45">
        <v>44082</v>
      </c>
      <c r="D101" s="44" t="s">
        <v>20073</v>
      </c>
      <c r="E101" s="44" t="s">
        <v>20702</v>
      </c>
      <c r="F101" s="44" t="s">
        <v>20075</v>
      </c>
      <c r="G101" s="44">
        <v>0</v>
      </c>
      <c r="H101" s="44" t="s">
        <v>20703</v>
      </c>
      <c r="I101" s="45">
        <v>43815</v>
      </c>
      <c r="J101" s="45">
        <v>44895</v>
      </c>
      <c r="K101" s="44" t="s">
        <v>58</v>
      </c>
      <c r="L101" s="44" t="s">
        <v>157</v>
      </c>
      <c r="M101" s="44" t="s">
        <v>222</v>
      </c>
      <c r="N101" s="44" t="s">
        <v>207</v>
      </c>
      <c r="O101" s="44" t="s">
        <v>262</v>
      </c>
      <c r="P101" s="44" t="s">
        <v>224</v>
      </c>
      <c r="Q101" s="44" t="s">
        <v>20704</v>
      </c>
      <c r="R101" s="44" t="s">
        <v>20705</v>
      </c>
      <c r="S101" s="44" t="s">
        <v>20131</v>
      </c>
      <c r="T101" s="44">
        <v>63</v>
      </c>
      <c r="U101" s="44" t="s">
        <v>20121</v>
      </c>
      <c r="V101" s="44" t="s">
        <v>20330</v>
      </c>
      <c r="W101" s="44" t="s">
        <v>20068</v>
      </c>
      <c r="X101" s="44" t="s">
        <v>20068</v>
      </c>
      <c r="Y101" s="44" t="s">
        <v>20067</v>
      </c>
      <c r="Z101" s="44" t="s">
        <v>20089</v>
      </c>
      <c r="AA101" s="44">
        <v>4282</v>
      </c>
      <c r="AB101" s="44" t="s">
        <v>334</v>
      </c>
      <c r="AC101" s="44"/>
      <c r="AD101" s="44" t="s">
        <v>20337</v>
      </c>
      <c r="AE101" s="44" t="s">
        <v>20706</v>
      </c>
      <c r="AF101" s="44" t="s">
        <v>262</v>
      </c>
      <c r="AG101" s="44" t="s">
        <v>20092</v>
      </c>
      <c r="AH101" s="44" t="s">
        <v>20126</v>
      </c>
      <c r="AI101" s="44" t="s">
        <v>18723</v>
      </c>
      <c r="AJ101" s="44" t="s">
        <v>20072</v>
      </c>
      <c r="AK101" s="43">
        <v>0</v>
      </c>
      <c r="AL101" s="44">
        <v>58</v>
      </c>
      <c r="AM101" s="44">
        <v>54.666666666666664</v>
      </c>
      <c r="AN101" s="44">
        <v>56.787564766839381</v>
      </c>
      <c r="AO101" s="44">
        <v>54.5153272576636</v>
      </c>
      <c r="AP101" s="46">
        <v>19.100000000000001</v>
      </c>
      <c r="AQ101" s="47">
        <v>3</v>
      </c>
      <c r="AR101" s="47">
        <v>0</v>
      </c>
      <c r="AS101" s="47">
        <v>0</v>
      </c>
      <c r="AT101" s="47">
        <v>0</v>
      </c>
      <c r="AU101" s="46">
        <v>5</v>
      </c>
      <c r="AV101" s="46">
        <v>8</v>
      </c>
      <c r="AW101" s="46">
        <v>5</v>
      </c>
      <c r="AX101" s="47">
        <v>3</v>
      </c>
      <c r="AY101" s="47">
        <v>10</v>
      </c>
      <c r="AZ101" s="47">
        <v>16</v>
      </c>
      <c r="BA101" s="47">
        <v>10</v>
      </c>
      <c r="BB101" s="46">
        <v>42</v>
      </c>
      <c r="BC101" s="48">
        <v>1</v>
      </c>
    </row>
    <row r="102" spans="1:55" s="42" customFormat="1" x14ac:dyDescent="0.2">
      <c r="A102" s="43">
        <v>1581</v>
      </c>
      <c r="B102" s="44" t="s">
        <v>20059</v>
      </c>
      <c r="C102" s="45">
        <v>44082</v>
      </c>
      <c r="D102" s="44" t="s">
        <v>20073</v>
      </c>
      <c r="E102" s="44" t="s">
        <v>20707</v>
      </c>
      <c r="F102" s="44" t="s">
        <v>20075</v>
      </c>
      <c r="G102" s="44">
        <v>0</v>
      </c>
      <c r="H102" s="44" t="s">
        <v>20708</v>
      </c>
      <c r="I102" s="45">
        <v>43983</v>
      </c>
      <c r="J102" s="45">
        <v>45077</v>
      </c>
      <c r="K102" s="44" t="s">
        <v>15</v>
      </c>
      <c r="L102" s="44" t="s">
        <v>116</v>
      </c>
      <c r="M102" s="44" t="s">
        <v>227</v>
      </c>
      <c r="N102" s="44" t="s">
        <v>207</v>
      </c>
      <c r="O102" s="44" t="s">
        <v>236</v>
      </c>
      <c r="P102" s="44" t="s">
        <v>218</v>
      </c>
      <c r="Q102" s="44" t="s">
        <v>20709</v>
      </c>
      <c r="R102" s="44" t="s">
        <v>20710</v>
      </c>
      <c r="S102" s="44" t="s">
        <v>20711</v>
      </c>
      <c r="T102" s="44">
        <v>40</v>
      </c>
      <c r="U102" s="44" t="s">
        <v>20067</v>
      </c>
      <c r="V102" s="44" t="s">
        <v>20067</v>
      </c>
      <c r="W102" s="44" t="s">
        <v>20067</v>
      </c>
      <c r="X102" s="44" t="s">
        <v>20068</v>
      </c>
      <c r="Y102" s="44" t="s">
        <v>20067</v>
      </c>
      <c r="Z102" s="44" t="s">
        <v>20069</v>
      </c>
      <c r="AA102" s="44">
        <v>4158</v>
      </c>
      <c r="AB102" s="44" t="s">
        <v>318</v>
      </c>
      <c r="AC102" s="44"/>
      <c r="AD102" s="44" t="s">
        <v>20712</v>
      </c>
      <c r="AE102" s="44" t="s">
        <v>20713</v>
      </c>
      <c r="AF102" s="44" t="s">
        <v>236</v>
      </c>
      <c r="AG102" s="44" t="s">
        <v>20082</v>
      </c>
      <c r="AH102" s="44" t="s">
        <v>20082</v>
      </c>
      <c r="AI102" s="44" t="s">
        <v>18723</v>
      </c>
      <c r="AJ102" s="44" t="s">
        <v>20083</v>
      </c>
      <c r="AK102" s="43">
        <v>1</v>
      </c>
      <c r="AL102" s="44">
        <v>12</v>
      </c>
      <c r="AM102" s="44">
        <v>59.333333333333336</v>
      </c>
      <c r="AN102" s="44">
        <v>63.167228231956017</v>
      </c>
      <c r="AO102" s="44">
        <v>64.803312629399599</v>
      </c>
      <c r="AP102" s="46">
        <v>49.1</v>
      </c>
      <c r="AQ102" s="47">
        <v>3</v>
      </c>
      <c r="AR102" s="47">
        <v>0</v>
      </c>
      <c r="AS102" s="47">
        <v>1</v>
      </c>
      <c r="AT102" s="47">
        <v>5</v>
      </c>
      <c r="AU102" s="46">
        <v>1</v>
      </c>
      <c r="AV102" s="46">
        <v>8</v>
      </c>
      <c r="AW102" s="46">
        <v>5</v>
      </c>
      <c r="AX102" s="47">
        <v>5</v>
      </c>
      <c r="AY102" s="47">
        <v>2</v>
      </c>
      <c r="AZ102" s="47">
        <v>16</v>
      </c>
      <c r="BA102" s="47">
        <v>10</v>
      </c>
      <c r="BB102" s="46">
        <v>42</v>
      </c>
      <c r="BC102" s="48">
        <v>1</v>
      </c>
    </row>
    <row r="103" spans="1:55" s="42" customFormat="1" x14ac:dyDescent="0.2">
      <c r="A103" s="43">
        <v>1842</v>
      </c>
      <c r="B103" s="44" t="s">
        <v>20059</v>
      </c>
      <c r="C103" s="45">
        <v>44082</v>
      </c>
      <c r="D103" s="44" t="s">
        <v>20073</v>
      </c>
      <c r="E103" s="44" t="s">
        <v>20714</v>
      </c>
      <c r="F103" s="44" t="s">
        <v>20075</v>
      </c>
      <c r="G103" s="44">
        <v>0</v>
      </c>
      <c r="H103" s="44" t="s">
        <v>20715</v>
      </c>
      <c r="I103" s="45">
        <v>43353</v>
      </c>
      <c r="J103" s="45">
        <v>44439</v>
      </c>
      <c r="K103" s="44" t="s">
        <v>61</v>
      </c>
      <c r="L103" s="44" t="s">
        <v>160</v>
      </c>
      <c r="M103" s="44" t="s">
        <v>274</v>
      </c>
      <c r="N103" s="44" t="s">
        <v>207</v>
      </c>
      <c r="O103" s="44" t="s">
        <v>275</v>
      </c>
      <c r="P103" s="44" t="s">
        <v>221</v>
      </c>
      <c r="Q103" s="44" t="s">
        <v>13444</v>
      </c>
      <c r="R103" s="44" t="s">
        <v>20716</v>
      </c>
      <c r="S103" s="44" t="s">
        <v>20717</v>
      </c>
      <c r="T103" s="44">
        <v>45</v>
      </c>
      <c r="U103" s="44" t="s">
        <v>20067</v>
      </c>
      <c r="V103" s="44" t="s">
        <v>20067</v>
      </c>
      <c r="W103" s="44" t="s">
        <v>20067</v>
      </c>
      <c r="X103" s="44" t="s">
        <v>20068</v>
      </c>
      <c r="Y103" s="44" t="s">
        <v>20067</v>
      </c>
      <c r="Z103" s="44" t="s">
        <v>20069</v>
      </c>
      <c r="AA103" s="44">
        <v>4439</v>
      </c>
      <c r="AB103" s="44" t="s">
        <v>338</v>
      </c>
      <c r="AC103" s="44"/>
      <c r="AD103" s="44" t="s">
        <v>20675</v>
      </c>
      <c r="AE103" s="44" t="s">
        <v>20676</v>
      </c>
      <c r="AF103" s="44" t="s">
        <v>275</v>
      </c>
      <c r="AG103" s="44" t="s">
        <v>7934</v>
      </c>
      <c r="AH103" s="44" t="s">
        <v>20677</v>
      </c>
      <c r="AI103" s="44" t="s">
        <v>18715</v>
      </c>
      <c r="AJ103" s="44" t="s">
        <v>20083</v>
      </c>
      <c r="AK103" s="43">
        <v>0</v>
      </c>
      <c r="AL103" s="44">
        <v>13</v>
      </c>
      <c r="AM103" s="44">
        <v>52.333333333333336</v>
      </c>
      <c r="AN103" s="44">
        <v>41.777296125711189</v>
      </c>
      <c r="AO103" s="44">
        <v>47.718253968253997</v>
      </c>
      <c r="AP103" s="46">
        <v>47.9</v>
      </c>
      <c r="AQ103" s="47">
        <v>3</v>
      </c>
      <c r="AR103" s="47">
        <v>5</v>
      </c>
      <c r="AS103" s="47">
        <v>1</v>
      </c>
      <c r="AT103" s="47">
        <v>0</v>
      </c>
      <c r="AU103" s="46">
        <v>1</v>
      </c>
      <c r="AV103" s="46">
        <v>8</v>
      </c>
      <c r="AW103" s="46">
        <v>5</v>
      </c>
      <c r="AX103" s="47">
        <v>5</v>
      </c>
      <c r="AY103" s="47">
        <v>2</v>
      </c>
      <c r="AZ103" s="47">
        <v>16</v>
      </c>
      <c r="BA103" s="47">
        <v>10</v>
      </c>
      <c r="BB103" s="46">
        <v>42</v>
      </c>
      <c r="BC103" s="48">
        <v>1</v>
      </c>
    </row>
    <row r="104" spans="1:55" s="42" customFormat="1" x14ac:dyDescent="0.2">
      <c r="A104" s="43">
        <v>2119</v>
      </c>
      <c r="B104" s="44" t="s">
        <v>20059</v>
      </c>
      <c r="C104" s="45">
        <v>44082</v>
      </c>
      <c r="D104" s="44" t="s">
        <v>20073</v>
      </c>
      <c r="E104" s="44" t="s">
        <v>20718</v>
      </c>
      <c r="F104" s="44" t="s">
        <v>20075</v>
      </c>
      <c r="G104" s="44">
        <v>0</v>
      </c>
      <c r="H104" s="44" t="s">
        <v>20719</v>
      </c>
      <c r="I104" s="45">
        <v>43191</v>
      </c>
      <c r="J104" s="45">
        <v>44286</v>
      </c>
      <c r="K104" s="44" t="s">
        <v>1121</v>
      </c>
      <c r="L104" s="44" t="s">
        <v>1122</v>
      </c>
      <c r="M104" s="44" t="s">
        <v>1044</v>
      </c>
      <c r="N104" s="44" t="s">
        <v>207</v>
      </c>
      <c r="O104" s="44" t="s">
        <v>1045</v>
      </c>
      <c r="P104" s="44" t="s">
        <v>221</v>
      </c>
      <c r="Q104" s="44" t="s">
        <v>20720</v>
      </c>
      <c r="R104" s="44" t="s">
        <v>20721</v>
      </c>
      <c r="S104" s="44" t="s">
        <v>20722</v>
      </c>
      <c r="T104" s="44">
        <v>249</v>
      </c>
      <c r="U104" s="44" t="s">
        <v>20107</v>
      </c>
      <c r="V104" s="44" t="s">
        <v>20389</v>
      </c>
      <c r="W104" s="44" t="s">
        <v>20068</v>
      </c>
      <c r="X104" s="44" t="s">
        <v>20068</v>
      </c>
      <c r="Y104" s="44" t="s">
        <v>20067</v>
      </c>
      <c r="Z104" s="44" t="s">
        <v>20069</v>
      </c>
      <c r="AA104" s="44">
        <v>4443</v>
      </c>
      <c r="AB104" s="44" t="s">
        <v>1046</v>
      </c>
      <c r="AC104" s="44"/>
      <c r="AD104" s="44" t="s">
        <v>20723</v>
      </c>
      <c r="AE104" s="44" t="s">
        <v>20724</v>
      </c>
      <c r="AF104" s="44" t="s">
        <v>1045</v>
      </c>
      <c r="AG104" s="44" t="s">
        <v>7934</v>
      </c>
      <c r="AH104" s="44" t="s">
        <v>1598</v>
      </c>
      <c r="AI104" s="44" t="s">
        <v>18723</v>
      </c>
      <c r="AJ104" s="44" t="s">
        <v>20072</v>
      </c>
      <c r="AK104" s="43">
        <v>0</v>
      </c>
      <c r="AL104" s="44">
        <v>64</v>
      </c>
      <c r="AM104" s="44">
        <v>53</v>
      </c>
      <c r="AN104" s="44">
        <v>14.966241560390097</v>
      </c>
      <c r="AO104" s="44">
        <v>19.699042407660698</v>
      </c>
      <c r="AP104" s="46">
        <v>47.9</v>
      </c>
      <c r="AQ104" s="47">
        <v>5</v>
      </c>
      <c r="AR104" s="47">
        <v>0</v>
      </c>
      <c r="AS104" s="47">
        <v>0</v>
      </c>
      <c r="AT104" s="47">
        <v>0</v>
      </c>
      <c r="AU104" s="46">
        <v>5</v>
      </c>
      <c r="AV104" s="46">
        <v>8</v>
      </c>
      <c r="AW104" s="46">
        <v>3</v>
      </c>
      <c r="AX104" s="47">
        <v>5</v>
      </c>
      <c r="AY104" s="47">
        <v>10</v>
      </c>
      <c r="AZ104" s="47">
        <v>16</v>
      </c>
      <c r="BA104" s="47">
        <v>6</v>
      </c>
      <c r="BB104" s="46">
        <v>42</v>
      </c>
      <c r="BC104" s="48">
        <v>1</v>
      </c>
    </row>
    <row r="105" spans="1:55" s="42" customFormat="1" x14ac:dyDescent="0.2">
      <c r="A105" s="43">
        <v>2132</v>
      </c>
      <c r="B105" s="44" t="s">
        <v>20059</v>
      </c>
      <c r="C105" s="45">
        <v>44082</v>
      </c>
      <c r="D105" s="44" t="s">
        <v>20073</v>
      </c>
      <c r="E105" s="44" t="s">
        <v>20725</v>
      </c>
      <c r="F105" s="44" t="s">
        <v>20075</v>
      </c>
      <c r="G105" s="44">
        <v>0</v>
      </c>
      <c r="H105" s="44" t="s">
        <v>20726</v>
      </c>
      <c r="I105" s="45">
        <v>43313</v>
      </c>
      <c r="J105" s="45">
        <v>44408</v>
      </c>
      <c r="K105" s="44" t="s">
        <v>20</v>
      </c>
      <c r="L105" s="44" t="s">
        <v>121</v>
      </c>
      <c r="M105" s="44" t="s">
        <v>243</v>
      </c>
      <c r="N105" s="44" t="s">
        <v>207</v>
      </c>
      <c r="O105" s="44" t="s">
        <v>244</v>
      </c>
      <c r="P105" s="44" t="s">
        <v>245</v>
      </c>
      <c r="Q105" s="44" t="s">
        <v>20727</v>
      </c>
      <c r="R105" s="44" t="s">
        <v>20728</v>
      </c>
      <c r="S105" s="44" t="s">
        <v>20729</v>
      </c>
      <c r="T105" s="44">
        <v>25</v>
      </c>
      <c r="U105" s="44" t="s">
        <v>20067</v>
      </c>
      <c r="V105" s="44" t="s">
        <v>20067</v>
      </c>
      <c r="W105" s="44" t="s">
        <v>20067</v>
      </c>
      <c r="X105" s="44" t="s">
        <v>20068</v>
      </c>
      <c r="Y105" s="44" t="s">
        <v>20067</v>
      </c>
      <c r="Z105" s="44" t="s">
        <v>20089</v>
      </c>
      <c r="AA105" s="44">
        <v>4512</v>
      </c>
      <c r="AB105" s="44" t="s">
        <v>326</v>
      </c>
      <c r="AC105" s="44"/>
      <c r="AD105" s="44" t="s">
        <v>20730</v>
      </c>
      <c r="AE105" s="44" t="s">
        <v>20731</v>
      </c>
      <c r="AF105" s="44" t="s">
        <v>244</v>
      </c>
      <c r="AG105" s="44" t="s">
        <v>20732</v>
      </c>
      <c r="AH105" s="44" t="s">
        <v>20733</v>
      </c>
      <c r="AI105" s="44" t="s">
        <v>18715</v>
      </c>
      <c r="AJ105" s="44" t="s">
        <v>20083</v>
      </c>
      <c r="AK105" s="43">
        <v>0</v>
      </c>
      <c r="AL105" s="44">
        <v>22</v>
      </c>
      <c r="AM105" s="44">
        <v>59.333333333333336</v>
      </c>
      <c r="AN105" s="44">
        <v>25.02102607232969</v>
      </c>
      <c r="AO105" s="44">
        <v>54.901960784313701</v>
      </c>
      <c r="AP105" s="46">
        <v>56.1</v>
      </c>
      <c r="AQ105" s="47">
        <v>3</v>
      </c>
      <c r="AR105" s="47">
        <v>5</v>
      </c>
      <c r="AS105" s="47">
        <v>1</v>
      </c>
      <c r="AT105" s="47">
        <v>0</v>
      </c>
      <c r="AU105" s="46">
        <v>1</v>
      </c>
      <c r="AV105" s="46">
        <v>8</v>
      </c>
      <c r="AW105" s="46">
        <v>5</v>
      </c>
      <c r="AX105" s="47">
        <v>5</v>
      </c>
      <c r="AY105" s="47">
        <v>2</v>
      </c>
      <c r="AZ105" s="47">
        <v>16</v>
      </c>
      <c r="BA105" s="47">
        <v>10</v>
      </c>
      <c r="BB105" s="46">
        <v>42</v>
      </c>
      <c r="BC105" s="48">
        <v>1</v>
      </c>
    </row>
    <row r="106" spans="1:55" s="42" customFormat="1" x14ac:dyDescent="0.2">
      <c r="A106" s="43">
        <v>2451</v>
      </c>
      <c r="B106" s="44"/>
      <c r="C106" s="45">
        <v>44082</v>
      </c>
      <c r="D106" s="44" t="s">
        <v>20060</v>
      </c>
      <c r="E106" s="44" t="s">
        <v>20734</v>
      </c>
      <c r="F106" s="44" t="s">
        <v>20062</v>
      </c>
      <c r="G106" s="44">
        <v>0</v>
      </c>
      <c r="H106" s="44" t="s">
        <v>20735</v>
      </c>
      <c r="I106" s="45">
        <v>44035</v>
      </c>
      <c r="J106" s="45">
        <v>45107</v>
      </c>
      <c r="K106" s="44" t="s">
        <v>62</v>
      </c>
      <c r="L106" s="44" t="s">
        <v>161</v>
      </c>
      <c r="M106" s="44" t="s">
        <v>222</v>
      </c>
      <c r="N106" s="44" t="s">
        <v>207</v>
      </c>
      <c r="O106" s="44" t="s">
        <v>262</v>
      </c>
      <c r="P106" s="44" t="s">
        <v>224</v>
      </c>
      <c r="Q106" s="44" t="s">
        <v>20736</v>
      </c>
      <c r="R106" s="44" t="s">
        <v>20737</v>
      </c>
      <c r="S106" s="44" t="s">
        <v>20131</v>
      </c>
      <c r="T106" s="44">
        <v>48</v>
      </c>
      <c r="U106" s="44" t="s">
        <v>20067</v>
      </c>
      <c r="V106" s="44" t="s">
        <v>20067</v>
      </c>
      <c r="W106" s="44" t="s">
        <v>20067</v>
      </c>
      <c r="X106" s="44" t="s">
        <v>20068</v>
      </c>
      <c r="Y106" s="44" t="s">
        <v>20067</v>
      </c>
      <c r="Z106" s="44" t="s">
        <v>20089</v>
      </c>
      <c r="AA106" s="44">
        <v>4282</v>
      </c>
      <c r="AB106" s="44" t="s">
        <v>334</v>
      </c>
      <c r="AC106" s="44"/>
      <c r="AD106" s="44" t="s">
        <v>20738</v>
      </c>
      <c r="AE106" s="44" t="s">
        <v>20739</v>
      </c>
      <c r="AF106" s="44" t="s">
        <v>262</v>
      </c>
      <c r="AG106" s="44" t="s">
        <v>20092</v>
      </c>
      <c r="AH106" s="44" t="s">
        <v>20126</v>
      </c>
      <c r="AI106" s="44" t="s">
        <v>18723</v>
      </c>
      <c r="AJ106" s="44" t="s">
        <v>20072</v>
      </c>
      <c r="AK106" s="43">
        <v>0</v>
      </c>
      <c r="AL106" s="44">
        <v>58</v>
      </c>
      <c r="AM106" s="44">
        <v>54.666666666666664</v>
      </c>
      <c r="AN106" s="44">
        <v>42.791349619543453</v>
      </c>
      <c r="AO106" s="44">
        <v>43.697868396663601</v>
      </c>
      <c r="AP106" s="46">
        <v>19.100000000000001</v>
      </c>
      <c r="AQ106" s="47">
        <v>3</v>
      </c>
      <c r="AR106" s="47">
        <v>0</v>
      </c>
      <c r="AS106" s="47">
        <v>0</v>
      </c>
      <c r="AT106" s="47">
        <v>0</v>
      </c>
      <c r="AU106" s="46">
        <v>5</v>
      </c>
      <c r="AV106" s="46">
        <v>8</v>
      </c>
      <c r="AW106" s="46">
        <v>5</v>
      </c>
      <c r="AX106" s="47">
        <v>3</v>
      </c>
      <c r="AY106" s="47">
        <v>10</v>
      </c>
      <c r="AZ106" s="47">
        <v>16</v>
      </c>
      <c r="BA106" s="47">
        <v>10</v>
      </c>
      <c r="BB106" s="46">
        <v>42</v>
      </c>
      <c r="BC106" s="48">
        <v>1</v>
      </c>
    </row>
    <row r="107" spans="1:55" s="42" customFormat="1" x14ac:dyDescent="0.2">
      <c r="A107" s="43">
        <v>164</v>
      </c>
      <c r="B107" s="44" t="s">
        <v>20059</v>
      </c>
      <c r="C107" s="45">
        <v>44082</v>
      </c>
      <c r="D107" s="44" t="s">
        <v>20060</v>
      </c>
      <c r="E107" s="44" t="s">
        <v>20740</v>
      </c>
      <c r="F107" s="44" t="s">
        <v>20062</v>
      </c>
      <c r="G107" s="44">
        <v>0</v>
      </c>
      <c r="H107" s="44" t="s">
        <v>20741</v>
      </c>
      <c r="I107" s="45">
        <v>43525</v>
      </c>
      <c r="J107" s="45">
        <v>44620</v>
      </c>
      <c r="K107" s="44" t="s">
        <v>1123</v>
      </c>
      <c r="L107" s="44" t="s">
        <v>1124</v>
      </c>
      <c r="M107" s="44" t="s">
        <v>309</v>
      </c>
      <c r="N107" s="44" t="s">
        <v>207</v>
      </c>
      <c r="O107" s="44" t="s">
        <v>512</v>
      </c>
      <c r="P107" s="44" t="s">
        <v>309</v>
      </c>
      <c r="Q107" s="44" t="s">
        <v>20742</v>
      </c>
      <c r="R107" s="44" t="s">
        <v>20743</v>
      </c>
      <c r="S107" s="44" t="s">
        <v>20131</v>
      </c>
      <c r="T107" s="44">
        <v>99</v>
      </c>
      <c r="U107" s="44" t="s">
        <v>20067</v>
      </c>
      <c r="V107" s="44" t="s">
        <v>20262</v>
      </c>
      <c r="W107" s="44" t="s">
        <v>20068</v>
      </c>
      <c r="X107" s="44" t="s">
        <v>20068</v>
      </c>
      <c r="Y107" s="44" t="s">
        <v>20068</v>
      </c>
      <c r="Z107" s="44" t="s">
        <v>20089</v>
      </c>
      <c r="AA107" s="44">
        <v>4499</v>
      </c>
      <c r="AB107" s="44" t="s">
        <v>513</v>
      </c>
      <c r="AC107" s="44"/>
      <c r="AD107" s="44" t="s">
        <v>20462</v>
      </c>
      <c r="AE107" s="44" t="s">
        <v>20463</v>
      </c>
      <c r="AF107" s="44" t="s">
        <v>20584</v>
      </c>
      <c r="AG107" s="44" t="s">
        <v>496</v>
      </c>
      <c r="AH107" s="44" t="s">
        <v>496</v>
      </c>
      <c r="AI107" s="44" t="s">
        <v>18715</v>
      </c>
      <c r="AJ107" s="44" t="s">
        <v>20072</v>
      </c>
      <c r="AK107" s="43">
        <v>0</v>
      </c>
      <c r="AL107" s="44">
        <v>38</v>
      </c>
      <c r="AM107" s="44">
        <v>45</v>
      </c>
      <c r="AN107" s="44">
        <v>47.123360984747123</v>
      </c>
      <c r="AO107" s="44">
        <v>47.793427230046902</v>
      </c>
      <c r="AP107" s="46">
        <v>38</v>
      </c>
      <c r="AQ107" s="47">
        <v>3</v>
      </c>
      <c r="AR107" s="47">
        <v>5</v>
      </c>
      <c r="AS107" s="47">
        <v>0</v>
      </c>
      <c r="AT107" s="47">
        <v>0</v>
      </c>
      <c r="AU107" s="46">
        <v>3</v>
      </c>
      <c r="AV107" s="46">
        <v>6</v>
      </c>
      <c r="AW107" s="46">
        <v>5</v>
      </c>
      <c r="AX107" s="47">
        <v>5</v>
      </c>
      <c r="AY107" s="47">
        <v>6</v>
      </c>
      <c r="AZ107" s="47">
        <v>12</v>
      </c>
      <c r="BA107" s="47">
        <v>10</v>
      </c>
      <c r="BB107" s="46">
        <v>41</v>
      </c>
      <c r="BC107" s="48">
        <v>1</v>
      </c>
    </row>
    <row r="108" spans="1:55" s="42" customFormat="1" x14ac:dyDescent="0.2">
      <c r="A108" s="43">
        <v>187</v>
      </c>
      <c r="B108" s="44" t="s">
        <v>20059</v>
      </c>
      <c r="C108" s="45">
        <v>44082</v>
      </c>
      <c r="D108" s="44" t="s">
        <v>20060</v>
      </c>
      <c r="E108" s="44" t="s">
        <v>20744</v>
      </c>
      <c r="F108" s="44" t="s">
        <v>20062</v>
      </c>
      <c r="G108" s="44">
        <v>0</v>
      </c>
      <c r="H108" s="44" t="s">
        <v>20745</v>
      </c>
      <c r="I108" s="45">
        <v>43405</v>
      </c>
      <c r="J108" s="45">
        <v>44500</v>
      </c>
      <c r="K108" s="44" t="s">
        <v>63</v>
      </c>
      <c r="L108" s="44" t="s">
        <v>162</v>
      </c>
      <c r="M108" s="44" t="s">
        <v>278</v>
      </c>
      <c r="N108" s="44" t="s">
        <v>207</v>
      </c>
      <c r="O108" s="44" t="s">
        <v>279</v>
      </c>
      <c r="P108" s="44" t="s">
        <v>224</v>
      </c>
      <c r="Q108" s="44" t="s">
        <v>20746</v>
      </c>
      <c r="R108" s="44" t="s">
        <v>20747</v>
      </c>
      <c r="S108" s="44" t="s">
        <v>20748</v>
      </c>
      <c r="T108" s="44">
        <v>113</v>
      </c>
      <c r="U108" s="44" t="s">
        <v>20067</v>
      </c>
      <c r="V108" s="44" t="s">
        <v>20202</v>
      </c>
      <c r="W108" s="44" t="s">
        <v>20068</v>
      </c>
      <c r="X108" s="44" t="s">
        <v>20068</v>
      </c>
      <c r="Y108" s="44" t="s">
        <v>20067</v>
      </c>
      <c r="Z108" s="44" t="s">
        <v>20069</v>
      </c>
      <c r="AA108" s="44">
        <v>4243</v>
      </c>
      <c r="AB108" s="44" t="s">
        <v>340</v>
      </c>
      <c r="AC108" s="44" t="s">
        <v>19745</v>
      </c>
      <c r="AD108" s="44" t="s">
        <v>20749</v>
      </c>
      <c r="AE108" s="44" t="s">
        <v>20750</v>
      </c>
      <c r="AF108" s="44" t="s">
        <v>20751</v>
      </c>
      <c r="AG108" s="44" t="s">
        <v>20255</v>
      </c>
      <c r="AH108" s="44" t="s">
        <v>20752</v>
      </c>
      <c r="AI108" s="44" t="s">
        <v>18715</v>
      </c>
      <c r="AJ108" s="44" t="s">
        <v>20072</v>
      </c>
      <c r="AK108" s="43">
        <v>0</v>
      </c>
      <c r="AL108" s="44">
        <v>28</v>
      </c>
      <c r="AM108" s="44">
        <v>40</v>
      </c>
      <c r="AN108" s="44">
        <v>37.254555103484876</v>
      </c>
      <c r="AO108" s="44">
        <v>43.142144638403998</v>
      </c>
      <c r="AP108" s="46">
        <v>19.100000000000001</v>
      </c>
      <c r="AQ108" s="47">
        <v>5</v>
      </c>
      <c r="AR108" s="47">
        <v>5</v>
      </c>
      <c r="AS108" s="47">
        <v>0</v>
      </c>
      <c r="AT108" s="47">
        <v>0</v>
      </c>
      <c r="AU108" s="46">
        <v>3</v>
      </c>
      <c r="AV108" s="46">
        <v>6</v>
      </c>
      <c r="AW108" s="46">
        <v>5</v>
      </c>
      <c r="AX108" s="47">
        <v>3</v>
      </c>
      <c r="AY108" s="47">
        <v>6</v>
      </c>
      <c r="AZ108" s="47">
        <v>12</v>
      </c>
      <c r="BA108" s="47">
        <v>10</v>
      </c>
      <c r="BB108" s="46">
        <v>41</v>
      </c>
      <c r="BC108" s="48">
        <v>1</v>
      </c>
    </row>
    <row r="109" spans="1:55" s="42" customFormat="1" x14ac:dyDescent="0.2">
      <c r="A109" s="43">
        <v>190</v>
      </c>
      <c r="B109" s="44" t="s">
        <v>20059</v>
      </c>
      <c r="C109" s="45">
        <v>44082</v>
      </c>
      <c r="D109" s="44" t="s">
        <v>20060</v>
      </c>
      <c r="E109" s="44" t="s">
        <v>20753</v>
      </c>
      <c r="F109" s="44" t="s">
        <v>20062</v>
      </c>
      <c r="G109" s="44">
        <v>0</v>
      </c>
      <c r="H109" s="44" t="s">
        <v>20754</v>
      </c>
      <c r="I109" s="45">
        <v>43070</v>
      </c>
      <c r="J109" s="45">
        <v>44165</v>
      </c>
      <c r="K109" s="44" t="s">
        <v>1125</v>
      </c>
      <c r="L109" s="44" t="s">
        <v>1126</v>
      </c>
      <c r="M109" s="44" t="s">
        <v>222</v>
      </c>
      <c r="N109" s="44" t="s">
        <v>207</v>
      </c>
      <c r="O109" s="44" t="s">
        <v>679</v>
      </c>
      <c r="P109" s="44" t="s">
        <v>224</v>
      </c>
      <c r="Q109" s="44" t="s">
        <v>20755</v>
      </c>
      <c r="R109" s="44" t="s">
        <v>20756</v>
      </c>
      <c r="S109" s="44" t="s">
        <v>20757</v>
      </c>
      <c r="T109" s="44">
        <v>110</v>
      </c>
      <c r="U109" s="44" t="s">
        <v>20067</v>
      </c>
      <c r="V109" s="44" t="s">
        <v>20758</v>
      </c>
      <c r="W109" s="44" t="s">
        <v>20068</v>
      </c>
      <c r="X109" s="44" t="s">
        <v>20068</v>
      </c>
      <c r="Y109" s="44" t="s">
        <v>20067</v>
      </c>
      <c r="Z109" s="44" t="s">
        <v>20089</v>
      </c>
      <c r="AA109" s="44">
        <v>4261</v>
      </c>
      <c r="AB109" s="44" t="s">
        <v>1127</v>
      </c>
      <c r="AC109" s="44"/>
      <c r="AD109" s="44" t="s">
        <v>20759</v>
      </c>
      <c r="AE109" s="44" t="s">
        <v>20760</v>
      </c>
      <c r="AF109" s="44" t="s">
        <v>291</v>
      </c>
      <c r="AG109" s="44" t="s">
        <v>20092</v>
      </c>
      <c r="AH109" s="44" t="s">
        <v>20093</v>
      </c>
      <c r="AI109" s="44" t="s">
        <v>18715</v>
      </c>
      <c r="AJ109" s="44" t="s">
        <v>20072</v>
      </c>
      <c r="AK109" s="43">
        <v>0</v>
      </c>
      <c r="AL109" s="44">
        <v>7</v>
      </c>
      <c r="AM109" s="44">
        <v>52.666666666666664</v>
      </c>
      <c r="AN109" s="44">
        <v>69.156774457634057</v>
      </c>
      <c r="AO109" s="44">
        <v>69.399785637727803</v>
      </c>
      <c r="AP109" s="46">
        <v>19.100000000000001</v>
      </c>
      <c r="AQ109" s="47">
        <v>5</v>
      </c>
      <c r="AR109" s="47">
        <v>5</v>
      </c>
      <c r="AS109" s="47">
        <v>0</v>
      </c>
      <c r="AT109" s="47">
        <v>0</v>
      </c>
      <c r="AU109" s="46">
        <v>1</v>
      </c>
      <c r="AV109" s="46">
        <v>8</v>
      </c>
      <c r="AW109" s="46">
        <v>5</v>
      </c>
      <c r="AX109" s="47">
        <v>3</v>
      </c>
      <c r="AY109" s="47">
        <v>2</v>
      </c>
      <c r="AZ109" s="47">
        <v>16</v>
      </c>
      <c r="BA109" s="47">
        <v>10</v>
      </c>
      <c r="BB109" s="46">
        <v>41</v>
      </c>
      <c r="BC109" s="48">
        <v>1</v>
      </c>
    </row>
    <row r="110" spans="1:55" s="42" customFormat="1" x14ac:dyDescent="0.2">
      <c r="A110" s="43">
        <v>204</v>
      </c>
      <c r="B110" s="44" t="s">
        <v>20059</v>
      </c>
      <c r="C110" s="45">
        <v>44082</v>
      </c>
      <c r="D110" s="44" t="s">
        <v>20060</v>
      </c>
      <c r="E110" s="44" t="s">
        <v>20761</v>
      </c>
      <c r="F110" s="44" t="s">
        <v>20062</v>
      </c>
      <c r="G110" s="44">
        <v>90519</v>
      </c>
      <c r="H110" s="44" t="s">
        <v>20762</v>
      </c>
      <c r="I110" s="45">
        <v>43405</v>
      </c>
      <c r="J110" s="45">
        <v>44500</v>
      </c>
      <c r="K110" s="44" t="s">
        <v>64</v>
      </c>
      <c r="L110" s="44" t="s">
        <v>163</v>
      </c>
      <c r="M110" s="44" t="s">
        <v>251</v>
      </c>
      <c r="N110" s="44" t="s">
        <v>207</v>
      </c>
      <c r="O110" s="44" t="s">
        <v>257</v>
      </c>
      <c r="P110" s="44" t="s">
        <v>253</v>
      </c>
      <c r="Q110" s="44" t="s">
        <v>20763</v>
      </c>
      <c r="R110" s="44" t="s">
        <v>20764</v>
      </c>
      <c r="S110" s="44" t="s">
        <v>20765</v>
      </c>
      <c r="T110" s="44">
        <v>593</v>
      </c>
      <c r="U110" s="44" t="s">
        <v>20252</v>
      </c>
      <c r="V110" s="44" t="s">
        <v>20766</v>
      </c>
      <c r="W110" s="44" t="s">
        <v>20068</v>
      </c>
      <c r="X110" s="44" t="s">
        <v>20068</v>
      </c>
      <c r="Y110" s="44" t="s">
        <v>20068</v>
      </c>
      <c r="Z110" s="44" t="s">
        <v>20069</v>
      </c>
      <c r="AA110" s="44">
        <v>4407</v>
      </c>
      <c r="AB110" s="44" t="s">
        <v>331</v>
      </c>
      <c r="AC110" s="44"/>
      <c r="AD110" s="44" t="s">
        <v>20767</v>
      </c>
      <c r="AE110" s="44" t="s">
        <v>20768</v>
      </c>
      <c r="AF110" s="44" t="s">
        <v>257</v>
      </c>
      <c r="AG110" s="44" t="s">
        <v>20302</v>
      </c>
      <c r="AH110" s="44" t="s">
        <v>20303</v>
      </c>
      <c r="AI110" s="44" t="s">
        <v>18715</v>
      </c>
      <c r="AJ110" s="44" t="s">
        <v>20072</v>
      </c>
      <c r="AK110" s="43">
        <v>0</v>
      </c>
      <c r="AL110" s="44">
        <v>30</v>
      </c>
      <c r="AM110" s="44">
        <v>55.666666666666664</v>
      </c>
      <c r="AN110" s="44">
        <v>52.575580640975737</v>
      </c>
      <c r="AO110" s="44">
        <v>38.760139049826201</v>
      </c>
      <c r="AP110" s="46">
        <v>23.8</v>
      </c>
      <c r="AQ110" s="47">
        <v>5</v>
      </c>
      <c r="AR110" s="47">
        <v>5</v>
      </c>
      <c r="AS110" s="47">
        <v>0</v>
      </c>
      <c r="AT110" s="47">
        <v>0</v>
      </c>
      <c r="AU110" s="46">
        <v>3</v>
      </c>
      <c r="AV110" s="46">
        <v>8</v>
      </c>
      <c r="AW110" s="46">
        <v>3</v>
      </c>
      <c r="AX110" s="47">
        <v>3</v>
      </c>
      <c r="AY110" s="47">
        <v>6</v>
      </c>
      <c r="AZ110" s="47">
        <v>16</v>
      </c>
      <c r="BA110" s="47">
        <v>6</v>
      </c>
      <c r="BB110" s="46">
        <v>41</v>
      </c>
      <c r="BC110" s="48">
        <v>1</v>
      </c>
    </row>
    <row r="111" spans="1:55" s="42" customFormat="1" x14ac:dyDescent="0.2">
      <c r="A111" s="43">
        <v>222</v>
      </c>
      <c r="B111" s="44" t="s">
        <v>20059</v>
      </c>
      <c r="C111" s="45">
        <v>44082</v>
      </c>
      <c r="D111" s="44" t="s">
        <v>20060</v>
      </c>
      <c r="E111" s="44" t="s">
        <v>20769</v>
      </c>
      <c r="F111" s="44" t="s">
        <v>20062</v>
      </c>
      <c r="G111" s="44">
        <v>0</v>
      </c>
      <c r="H111" s="44" t="s">
        <v>20770</v>
      </c>
      <c r="I111" s="45">
        <v>43894</v>
      </c>
      <c r="J111" s="45">
        <v>44681</v>
      </c>
      <c r="K111" s="44" t="s">
        <v>1128</v>
      </c>
      <c r="L111" s="44" t="s">
        <v>1129</v>
      </c>
      <c r="M111" s="44" t="s">
        <v>222</v>
      </c>
      <c r="N111" s="44" t="s">
        <v>207</v>
      </c>
      <c r="O111" s="44" t="s">
        <v>606</v>
      </c>
      <c r="P111" s="44" t="s">
        <v>224</v>
      </c>
      <c r="Q111" s="44" t="s">
        <v>20771</v>
      </c>
      <c r="R111" s="44" t="s">
        <v>20772</v>
      </c>
      <c r="S111" s="44" t="s">
        <v>20773</v>
      </c>
      <c r="T111" s="44">
        <v>165</v>
      </c>
      <c r="U111" s="44" t="s">
        <v>20067</v>
      </c>
      <c r="V111" s="44" t="s">
        <v>20067</v>
      </c>
      <c r="W111" s="44" t="s">
        <v>20067</v>
      </c>
      <c r="X111" s="44" t="s">
        <v>20067</v>
      </c>
      <c r="Y111" s="44" t="s">
        <v>20068</v>
      </c>
      <c r="Z111" s="44" t="s">
        <v>20089</v>
      </c>
      <c r="AA111" s="44">
        <v>4262</v>
      </c>
      <c r="AB111" s="44" t="s">
        <v>628</v>
      </c>
      <c r="AC111" s="44"/>
      <c r="AD111" s="44" t="s">
        <v>20774</v>
      </c>
      <c r="AE111" s="44" t="s">
        <v>20775</v>
      </c>
      <c r="AF111" s="44" t="s">
        <v>606</v>
      </c>
      <c r="AG111" s="44" t="s">
        <v>20125</v>
      </c>
      <c r="AH111" s="44" t="s">
        <v>20222</v>
      </c>
      <c r="AI111" s="44" t="s">
        <v>18715</v>
      </c>
      <c r="AJ111" s="44" t="s">
        <v>20072</v>
      </c>
      <c r="AK111" s="43">
        <v>0</v>
      </c>
      <c r="AL111" s="44">
        <v>19</v>
      </c>
      <c r="AM111" s="44">
        <v>51.333333333333336</v>
      </c>
      <c r="AN111" s="44">
        <v>40.613577023498692</v>
      </c>
      <c r="AO111" s="44">
        <v>64.044059795436695</v>
      </c>
      <c r="AP111" s="46">
        <v>19.100000000000001</v>
      </c>
      <c r="AQ111" s="47">
        <v>5</v>
      </c>
      <c r="AR111" s="47">
        <v>5</v>
      </c>
      <c r="AS111" s="47">
        <v>0</v>
      </c>
      <c r="AT111" s="47">
        <v>0</v>
      </c>
      <c r="AU111" s="46">
        <v>1</v>
      </c>
      <c r="AV111" s="46">
        <v>8</v>
      </c>
      <c r="AW111" s="46">
        <v>5</v>
      </c>
      <c r="AX111" s="47">
        <v>3</v>
      </c>
      <c r="AY111" s="47">
        <v>2</v>
      </c>
      <c r="AZ111" s="47">
        <v>16</v>
      </c>
      <c r="BA111" s="47">
        <v>10</v>
      </c>
      <c r="BB111" s="46">
        <v>41</v>
      </c>
      <c r="BC111" s="48">
        <v>1</v>
      </c>
    </row>
    <row r="112" spans="1:55" s="42" customFormat="1" x14ac:dyDescent="0.2">
      <c r="A112" s="43">
        <v>416</v>
      </c>
      <c r="B112" s="44" t="s">
        <v>20059</v>
      </c>
      <c r="C112" s="45">
        <v>44082</v>
      </c>
      <c r="D112" s="44" t="s">
        <v>20060</v>
      </c>
      <c r="E112" s="44" t="s">
        <v>20776</v>
      </c>
      <c r="F112" s="44" t="s">
        <v>20062</v>
      </c>
      <c r="G112" s="44">
        <v>0</v>
      </c>
      <c r="H112" s="44" t="s">
        <v>20777</v>
      </c>
      <c r="I112" s="45">
        <v>43391</v>
      </c>
      <c r="J112" s="45">
        <v>44469</v>
      </c>
      <c r="K112" s="44" t="s">
        <v>1130</v>
      </c>
      <c r="L112" s="44" t="s">
        <v>1131</v>
      </c>
      <c r="M112" s="44" t="s">
        <v>222</v>
      </c>
      <c r="N112" s="44" t="s">
        <v>207</v>
      </c>
      <c r="O112" s="44" t="s">
        <v>223</v>
      </c>
      <c r="P112" s="44" t="s">
        <v>224</v>
      </c>
      <c r="Q112" s="44" t="s">
        <v>20778</v>
      </c>
      <c r="R112" s="44" t="s">
        <v>20779</v>
      </c>
      <c r="S112" s="44" t="s">
        <v>20131</v>
      </c>
      <c r="T112" s="44">
        <v>185</v>
      </c>
      <c r="U112" s="44" t="s">
        <v>20067</v>
      </c>
      <c r="V112" s="44" t="s">
        <v>20067</v>
      </c>
      <c r="W112" s="44" t="s">
        <v>20067</v>
      </c>
      <c r="X112" s="44" t="s">
        <v>20068</v>
      </c>
      <c r="Y112" s="44" t="s">
        <v>20068</v>
      </c>
      <c r="Z112" s="44" t="s">
        <v>20089</v>
      </c>
      <c r="AA112" s="44">
        <v>4280</v>
      </c>
      <c r="AB112" s="44" t="s">
        <v>376</v>
      </c>
      <c r="AC112" s="44"/>
      <c r="AD112" s="44" t="s">
        <v>20780</v>
      </c>
      <c r="AE112" s="44" t="s">
        <v>20781</v>
      </c>
      <c r="AF112" s="44" t="s">
        <v>223</v>
      </c>
      <c r="AG112" s="44" t="s">
        <v>20092</v>
      </c>
      <c r="AH112" s="44" t="s">
        <v>20126</v>
      </c>
      <c r="AI112" s="44" t="s">
        <v>18715</v>
      </c>
      <c r="AJ112" s="44" t="s">
        <v>20072</v>
      </c>
      <c r="AK112" s="43">
        <v>0</v>
      </c>
      <c r="AL112" s="44">
        <v>35</v>
      </c>
      <c r="AM112" s="44">
        <v>55.333333333333336</v>
      </c>
      <c r="AN112" s="44">
        <v>27.696958246740977</v>
      </c>
      <c r="AO112" s="44">
        <v>14.84375</v>
      </c>
      <c r="AP112" s="46">
        <v>19.100000000000001</v>
      </c>
      <c r="AQ112" s="47">
        <v>5</v>
      </c>
      <c r="AR112" s="47">
        <v>5</v>
      </c>
      <c r="AS112" s="47">
        <v>0</v>
      </c>
      <c r="AT112" s="47">
        <v>0</v>
      </c>
      <c r="AU112" s="46">
        <v>3</v>
      </c>
      <c r="AV112" s="46">
        <v>8</v>
      </c>
      <c r="AW112" s="46">
        <v>3</v>
      </c>
      <c r="AX112" s="47">
        <v>3</v>
      </c>
      <c r="AY112" s="47">
        <v>6</v>
      </c>
      <c r="AZ112" s="47">
        <v>16</v>
      </c>
      <c r="BA112" s="47">
        <v>6</v>
      </c>
      <c r="BB112" s="46">
        <v>41</v>
      </c>
      <c r="BC112" s="48">
        <v>1</v>
      </c>
    </row>
    <row r="113" spans="1:55" s="42" customFormat="1" x14ac:dyDescent="0.2">
      <c r="A113" s="43">
        <v>445</v>
      </c>
      <c r="B113" s="44" t="s">
        <v>20059</v>
      </c>
      <c r="C113" s="45">
        <v>44082</v>
      </c>
      <c r="D113" s="44" t="s">
        <v>20060</v>
      </c>
      <c r="E113" s="44" t="s">
        <v>20782</v>
      </c>
      <c r="F113" s="44" t="s">
        <v>20062</v>
      </c>
      <c r="G113" s="44">
        <v>0</v>
      </c>
      <c r="H113" s="44" t="s">
        <v>20783</v>
      </c>
      <c r="I113" s="45">
        <v>43435</v>
      </c>
      <c r="J113" s="45">
        <v>44530</v>
      </c>
      <c r="K113" s="44" t="s">
        <v>1132</v>
      </c>
      <c r="L113" s="44" t="s">
        <v>1133</v>
      </c>
      <c r="M113" s="44" t="s">
        <v>222</v>
      </c>
      <c r="N113" s="44" t="s">
        <v>207</v>
      </c>
      <c r="O113" s="44" t="s">
        <v>223</v>
      </c>
      <c r="P113" s="44" t="s">
        <v>224</v>
      </c>
      <c r="Q113" s="44" t="s">
        <v>20784</v>
      </c>
      <c r="R113" s="44" t="s">
        <v>20785</v>
      </c>
      <c r="S113" s="44" t="s">
        <v>20786</v>
      </c>
      <c r="T113" s="44">
        <v>110</v>
      </c>
      <c r="U113" s="44" t="s">
        <v>20330</v>
      </c>
      <c r="V113" s="44" t="s">
        <v>20330</v>
      </c>
      <c r="W113" s="44" t="s">
        <v>20068</v>
      </c>
      <c r="X113" s="44" t="s">
        <v>20068</v>
      </c>
      <c r="Y113" s="44" t="s">
        <v>20068</v>
      </c>
      <c r="Z113" s="44" t="s">
        <v>20089</v>
      </c>
      <c r="AA113" s="44">
        <v>4280</v>
      </c>
      <c r="AB113" s="44" t="s">
        <v>376</v>
      </c>
      <c r="AC113" s="44"/>
      <c r="AD113" s="44" t="s">
        <v>20780</v>
      </c>
      <c r="AE113" s="44" t="s">
        <v>20787</v>
      </c>
      <c r="AF113" s="44" t="s">
        <v>223</v>
      </c>
      <c r="AG113" s="44" t="s">
        <v>20092</v>
      </c>
      <c r="AH113" s="44" t="s">
        <v>20126</v>
      </c>
      <c r="AI113" s="44" t="s">
        <v>18715</v>
      </c>
      <c r="AJ113" s="44" t="s">
        <v>20072</v>
      </c>
      <c r="AK113" s="43">
        <v>0</v>
      </c>
      <c r="AL113" s="44">
        <v>35</v>
      </c>
      <c r="AM113" s="44">
        <v>55.333333333333336</v>
      </c>
      <c r="AN113" s="44">
        <v>27.696958246740977</v>
      </c>
      <c r="AO113" s="44">
        <v>29.443207126948799</v>
      </c>
      <c r="AP113" s="46">
        <v>19.100000000000001</v>
      </c>
      <c r="AQ113" s="47">
        <v>5</v>
      </c>
      <c r="AR113" s="47">
        <v>5</v>
      </c>
      <c r="AS113" s="47">
        <v>0</v>
      </c>
      <c r="AT113" s="47">
        <v>0</v>
      </c>
      <c r="AU113" s="46">
        <v>3</v>
      </c>
      <c r="AV113" s="46">
        <v>8</v>
      </c>
      <c r="AW113" s="46">
        <v>3</v>
      </c>
      <c r="AX113" s="47">
        <v>3</v>
      </c>
      <c r="AY113" s="47">
        <v>6</v>
      </c>
      <c r="AZ113" s="47">
        <v>16</v>
      </c>
      <c r="BA113" s="47">
        <v>6</v>
      </c>
      <c r="BB113" s="46">
        <v>41</v>
      </c>
      <c r="BC113" s="48">
        <v>1</v>
      </c>
    </row>
    <row r="114" spans="1:55" s="42" customFormat="1" x14ac:dyDescent="0.2">
      <c r="A114" s="43">
        <v>458</v>
      </c>
      <c r="B114" s="44" t="s">
        <v>20059</v>
      </c>
      <c r="C114" s="45">
        <v>44082</v>
      </c>
      <c r="D114" s="44" t="s">
        <v>20060</v>
      </c>
      <c r="E114" s="44" t="s">
        <v>20788</v>
      </c>
      <c r="F114" s="44" t="s">
        <v>20062</v>
      </c>
      <c r="G114" s="44">
        <v>0</v>
      </c>
      <c r="H114" s="44" t="s">
        <v>20789</v>
      </c>
      <c r="I114" s="45">
        <v>44044</v>
      </c>
      <c r="J114" s="45">
        <v>45138</v>
      </c>
      <c r="K114" s="44" t="s">
        <v>1134</v>
      </c>
      <c r="L114" s="44" t="s">
        <v>1135</v>
      </c>
      <c r="M114" s="44" t="s">
        <v>309</v>
      </c>
      <c r="N114" s="44" t="s">
        <v>207</v>
      </c>
      <c r="O114" s="44" t="s">
        <v>512</v>
      </c>
      <c r="P114" s="44" t="s">
        <v>309</v>
      </c>
      <c r="Q114" s="44" t="s">
        <v>20790</v>
      </c>
      <c r="R114" s="44" t="s">
        <v>20791</v>
      </c>
      <c r="S114" s="44" t="s">
        <v>20792</v>
      </c>
      <c r="T114" s="44">
        <v>36</v>
      </c>
      <c r="U114" s="44" t="s">
        <v>20067</v>
      </c>
      <c r="V114" s="44" t="s">
        <v>20067</v>
      </c>
      <c r="W114" s="44" t="s">
        <v>20067</v>
      </c>
      <c r="X114" s="44" t="s">
        <v>20068</v>
      </c>
      <c r="Y114" s="44" t="s">
        <v>20067</v>
      </c>
      <c r="Z114" s="44" t="s">
        <v>20089</v>
      </c>
      <c r="AA114" s="44">
        <v>4499</v>
      </c>
      <c r="AB114" s="44" t="s">
        <v>513</v>
      </c>
      <c r="AC114" s="44"/>
      <c r="AD114" s="44" t="s">
        <v>20462</v>
      </c>
      <c r="AE114" s="44" t="s">
        <v>20793</v>
      </c>
      <c r="AF114" s="44" t="s">
        <v>512</v>
      </c>
      <c r="AG114" s="44" t="s">
        <v>496</v>
      </c>
      <c r="AH114" s="44" t="s">
        <v>496</v>
      </c>
      <c r="AI114" s="44" t="s">
        <v>18715</v>
      </c>
      <c r="AJ114" s="44" t="s">
        <v>20072</v>
      </c>
      <c r="AK114" s="43">
        <v>0</v>
      </c>
      <c r="AL114" s="44">
        <v>38</v>
      </c>
      <c r="AM114" s="44">
        <v>45</v>
      </c>
      <c r="AN114" s="44">
        <v>47.123360984747123</v>
      </c>
      <c r="AO114" s="44">
        <v>54.876273653566201</v>
      </c>
      <c r="AP114" s="46">
        <v>38</v>
      </c>
      <c r="AQ114" s="47">
        <v>3</v>
      </c>
      <c r="AR114" s="47">
        <v>5</v>
      </c>
      <c r="AS114" s="47">
        <v>0</v>
      </c>
      <c r="AT114" s="47">
        <v>0</v>
      </c>
      <c r="AU114" s="46">
        <v>3</v>
      </c>
      <c r="AV114" s="46">
        <v>6</v>
      </c>
      <c r="AW114" s="46">
        <v>5</v>
      </c>
      <c r="AX114" s="47">
        <v>5</v>
      </c>
      <c r="AY114" s="47">
        <v>6</v>
      </c>
      <c r="AZ114" s="47">
        <v>12</v>
      </c>
      <c r="BA114" s="47">
        <v>10</v>
      </c>
      <c r="BB114" s="46">
        <v>41</v>
      </c>
      <c r="BC114" s="48">
        <v>1</v>
      </c>
    </row>
    <row r="115" spans="1:55" s="42" customFormat="1" x14ac:dyDescent="0.2">
      <c r="A115" s="43">
        <v>466</v>
      </c>
      <c r="B115" s="44" t="s">
        <v>20059</v>
      </c>
      <c r="C115" s="45">
        <v>44082</v>
      </c>
      <c r="D115" s="44" t="s">
        <v>20060</v>
      </c>
      <c r="E115" s="44" t="s">
        <v>20794</v>
      </c>
      <c r="F115" s="44" t="s">
        <v>20062</v>
      </c>
      <c r="G115" s="44">
        <v>0</v>
      </c>
      <c r="H115" s="44" t="s">
        <v>20795</v>
      </c>
      <c r="I115" s="45">
        <v>43693</v>
      </c>
      <c r="J115" s="45">
        <v>44773</v>
      </c>
      <c r="K115" s="44" t="s">
        <v>65</v>
      </c>
      <c r="L115" s="44" t="s">
        <v>164</v>
      </c>
      <c r="M115" s="44" t="s">
        <v>280</v>
      </c>
      <c r="N115" s="44" t="s">
        <v>207</v>
      </c>
      <c r="O115" s="44" t="s">
        <v>281</v>
      </c>
      <c r="P115" s="44" t="s">
        <v>224</v>
      </c>
      <c r="Q115" s="44" t="s">
        <v>10044</v>
      </c>
      <c r="R115" s="44" t="s">
        <v>20796</v>
      </c>
      <c r="S115" s="44" t="s">
        <v>20131</v>
      </c>
      <c r="T115" s="44">
        <v>124</v>
      </c>
      <c r="U115" s="44" t="s">
        <v>20067</v>
      </c>
      <c r="V115" s="44" t="s">
        <v>20797</v>
      </c>
      <c r="W115" s="44" t="s">
        <v>20068</v>
      </c>
      <c r="X115" s="44" t="s">
        <v>20068</v>
      </c>
      <c r="Y115" s="44" t="s">
        <v>20068</v>
      </c>
      <c r="Z115" s="44" t="s">
        <v>20069</v>
      </c>
      <c r="AA115" s="44">
        <v>4235</v>
      </c>
      <c r="AB115" s="44" t="s">
        <v>341</v>
      </c>
      <c r="AC115" s="44"/>
      <c r="AD115" s="44" t="s">
        <v>20798</v>
      </c>
      <c r="AE115" s="44" t="s">
        <v>20799</v>
      </c>
      <c r="AF115" s="44" t="s">
        <v>731</v>
      </c>
      <c r="AG115" s="44" t="s">
        <v>20800</v>
      </c>
      <c r="AH115" s="44" t="s">
        <v>20801</v>
      </c>
      <c r="AI115" s="44" t="s">
        <v>18715</v>
      </c>
      <c r="AJ115" s="44" t="s">
        <v>20072</v>
      </c>
      <c r="AK115" s="43">
        <v>0</v>
      </c>
      <c r="AL115" s="44">
        <v>39</v>
      </c>
      <c r="AM115" s="44">
        <v>42.333333333333336</v>
      </c>
      <c r="AN115" s="44">
        <v>43.729323308270679</v>
      </c>
      <c r="AO115" s="44">
        <v>61.811846689895503</v>
      </c>
      <c r="AP115" s="46">
        <v>19.100000000000001</v>
      </c>
      <c r="AQ115" s="47">
        <v>5</v>
      </c>
      <c r="AR115" s="47">
        <v>5</v>
      </c>
      <c r="AS115" s="47">
        <v>0</v>
      </c>
      <c r="AT115" s="47">
        <v>0</v>
      </c>
      <c r="AU115" s="46">
        <v>3</v>
      </c>
      <c r="AV115" s="46">
        <v>6</v>
      </c>
      <c r="AW115" s="46">
        <v>5</v>
      </c>
      <c r="AX115" s="47">
        <v>3</v>
      </c>
      <c r="AY115" s="47">
        <v>6</v>
      </c>
      <c r="AZ115" s="47">
        <v>12</v>
      </c>
      <c r="BA115" s="47">
        <v>10</v>
      </c>
      <c r="BB115" s="46">
        <v>41</v>
      </c>
      <c r="BC115" s="48">
        <v>1</v>
      </c>
    </row>
    <row r="116" spans="1:55" s="42" customFormat="1" x14ac:dyDescent="0.2">
      <c r="A116" s="43">
        <v>477</v>
      </c>
      <c r="B116" s="44" t="s">
        <v>20059</v>
      </c>
      <c r="C116" s="45">
        <v>44082</v>
      </c>
      <c r="D116" s="44" t="s">
        <v>20060</v>
      </c>
      <c r="E116" s="44" t="s">
        <v>20802</v>
      </c>
      <c r="F116" s="44" t="s">
        <v>20062</v>
      </c>
      <c r="G116" s="44">
        <v>9770</v>
      </c>
      <c r="H116" s="44" t="s">
        <v>20803</v>
      </c>
      <c r="I116" s="45">
        <v>43586</v>
      </c>
      <c r="J116" s="45">
        <v>44681</v>
      </c>
      <c r="K116" s="44" t="s">
        <v>24</v>
      </c>
      <c r="L116" s="44" t="s">
        <v>125</v>
      </c>
      <c r="M116" s="44" t="s">
        <v>251</v>
      </c>
      <c r="N116" s="44" t="s">
        <v>207</v>
      </c>
      <c r="O116" s="44" t="s">
        <v>252</v>
      </c>
      <c r="P116" s="44" t="s">
        <v>253</v>
      </c>
      <c r="Q116" s="44" t="s">
        <v>20804</v>
      </c>
      <c r="R116" s="44" t="s">
        <v>20805</v>
      </c>
      <c r="S116" s="44" t="s">
        <v>20806</v>
      </c>
      <c r="T116" s="44">
        <v>116</v>
      </c>
      <c r="U116" s="44" t="s">
        <v>20121</v>
      </c>
      <c r="V116" s="44" t="s">
        <v>20122</v>
      </c>
      <c r="W116" s="44" t="s">
        <v>20067</v>
      </c>
      <c r="X116" s="44" t="s">
        <v>20067</v>
      </c>
      <c r="Y116" s="44" t="s">
        <v>20068</v>
      </c>
      <c r="Z116" s="44" t="s">
        <v>20069</v>
      </c>
      <c r="AA116" s="44">
        <v>4403</v>
      </c>
      <c r="AB116" s="44" t="s">
        <v>330</v>
      </c>
      <c r="AC116" s="44"/>
      <c r="AD116" s="44" t="s">
        <v>20807</v>
      </c>
      <c r="AE116" s="44" t="s">
        <v>20808</v>
      </c>
      <c r="AF116" s="44" t="s">
        <v>252</v>
      </c>
      <c r="AG116" s="44" t="s">
        <v>20809</v>
      </c>
      <c r="AH116" s="44" t="s">
        <v>20810</v>
      </c>
      <c r="AI116" s="44" t="s">
        <v>18715</v>
      </c>
      <c r="AJ116" s="44" t="s">
        <v>20072</v>
      </c>
      <c r="AK116" s="43">
        <v>0</v>
      </c>
      <c r="AL116" s="44">
        <v>30</v>
      </c>
      <c r="AM116" s="44">
        <v>51</v>
      </c>
      <c r="AN116" s="44">
        <v>41.742081447963805</v>
      </c>
      <c r="AO116" s="44">
        <v>44.399185336048902</v>
      </c>
      <c r="AP116" s="46">
        <v>23.8</v>
      </c>
      <c r="AQ116" s="47">
        <v>5</v>
      </c>
      <c r="AR116" s="47">
        <v>5</v>
      </c>
      <c r="AS116" s="47">
        <v>0</v>
      </c>
      <c r="AT116" s="47">
        <v>0</v>
      </c>
      <c r="AU116" s="46">
        <v>3</v>
      </c>
      <c r="AV116" s="46">
        <v>6</v>
      </c>
      <c r="AW116" s="46">
        <v>5</v>
      </c>
      <c r="AX116" s="47">
        <v>3</v>
      </c>
      <c r="AY116" s="47">
        <v>6</v>
      </c>
      <c r="AZ116" s="47">
        <v>12</v>
      </c>
      <c r="BA116" s="47">
        <v>10</v>
      </c>
      <c r="BB116" s="46">
        <v>41</v>
      </c>
      <c r="BC116" s="48">
        <v>1</v>
      </c>
    </row>
    <row r="117" spans="1:55" s="42" customFormat="1" x14ac:dyDescent="0.2">
      <c r="A117" s="43">
        <v>487</v>
      </c>
      <c r="B117" s="44" t="s">
        <v>20059</v>
      </c>
      <c r="C117" s="45">
        <v>44082</v>
      </c>
      <c r="D117" s="44" t="s">
        <v>20060</v>
      </c>
      <c r="E117" s="44" t="s">
        <v>20811</v>
      </c>
      <c r="F117" s="44" t="s">
        <v>20062</v>
      </c>
      <c r="G117" s="44">
        <v>0</v>
      </c>
      <c r="H117" s="44" t="s">
        <v>20812</v>
      </c>
      <c r="I117" s="45">
        <v>43070</v>
      </c>
      <c r="J117" s="45">
        <v>44165</v>
      </c>
      <c r="K117" s="44" t="s">
        <v>66</v>
      </c>
      <c r="L117" s="44" t="s">
        <v>165</v>
      </c>
      <c r="M117" s="44" t="s">
        <v>282</v>
      </c>
      <c r="N117" s="44" t="s">
        <v>207</v>
      </c>
      <c r="O117" s="44" t="s">
        <v>283</v>
      </c>
      <c r="P117" s="44" t="s">
        <v>224</v>
      </c>
      <c r="Q117" s="44" t="s">
        <v>20813</v>
      </c>
      <c r="R117" s="44" t="s">
        <v>20814</v>
      </c>
      <c r="S117" s="44" t="s">
        <v>20815</v>
      </c>
      <c r="T117" s="44">
        <v>177</v>
      </c>
      <c r="U117" s="44" t="s">
        <v>20067</v>
      </c>
      <c r="V117" s="44" t="s">
        <v>20067</v>
      </c>
      <c r="W117" s="44" t="s">
        <v>20067</v>
      </c>
      <c r="X117" s="44" t="s">
        <v>20068</v>
      </c>
      <c r="Y117" s="44" t="s">
        <v>20068</v>
      </c>
      <c r="Z117" s="44" t="s">
        <v>20089</v>
      </c>
      <c r="AA117" s="44">
        <v>4272</v>
      </c>
      <c r="AB117" s="44" t="s">
        <v>342</v>
      </c>
      <c r="AC117" s="44"/>
      <c r="AD117" s="44" t="s">
        <v>20816</v>
      </c>
      <c r="AE117" s="44" t="s">
        <v>20817</v>
      </c>
      <c r="AF117" s="44" t="s">
        <v>283</v>
      </c>
      <c r="AG117" s="44" t="s">
        <v>20141</v>
      </c>
      <c r="AH117" s="44" t="s">
        <v>541</v>
      </c>
      <c r="AI117" s="44" t="s">
        <v>18715</v>
      </c>
      <c r="AJ117" s="44" t="s">
        <v>20072</v>
      </c>
      <c r="AK117" s="43">
        <v>0</v>
      </c>
      <c r="AL117" s="44">
        <v>31</v>
      </c>
      <c r="AM117" s="44">
        <v>41.333333333333336</v>
      </c>
      <c r="AN117" s="44">
        <v>54.982698961937714</v>
      </c>
      <c r="AO117" s="44">
        <v>51.0749868904038</v>
      </c>
      <c r="AP117" s="46">
        <v>19.100000000000001</v>
      </c>
      <c r="AQ117" s="47">
        <v>5</v>
      </c>
      <c r="AR117" s="47">
        <v>5</v>
      </c>
      <c r="AS117" s="47">
        <v>0</v>
      </c>
      <c r="AT117" s="47">
        <v>0</v>
      </c>
      <c r="AU117" s="46">
        <v>3</v>
      </c>
      <c r="AV117" s="46">
        <v>6</v>
      </c>
      <c r="AW117" s="46">
        <v>5</v>
      </c>
      <c r="AX117" s="47">
        <v>3</v>
      </c>
      <c r="AY117" s="47">
        <v>6</v>
      </c>
      <c r="AZ117" s="47">
        <v>12</v>
      </c>
      <c r="BA117" s="47">
        <v>10</v>
      </c>
      <c r="BB117" s="46">
        <v>41</v>
      </c>
      <c r="BC117" s="48">
        <v>1</v>
      </c>
    </row>
    <row r="118" spans="1:55" s="42" customFormat="1" x14ac:dyDescent="0.2">
      <c r="A118" s="43">
        <v>574</v>
      </c>
      <c r="B118" s="44" t="s">
        <v>20059</v>
      </c>
      <c r="C118" s="45">
        <v>44082</v>
      </c>
      <c r="D118" s="44" t="s">
        <v>20060</v>
      </c>
      <c r="E118" s="44" t="s">
        <v>20818</v>
      </c>
      <c r="F118" s="44" t="s">
        <v>20062</v>
      </c>
      <c r="G118" s="44">
        <v>0</v>
      </c>
      <c r="H118" s="44" t="s">
        <v>20819</v>
      </c>
      <c r="I118" s="45">
        <v>43313</v>
      </c>
      <c r="J118" s="45">
        <v>44408</v>
      </c>
      <c r="K118" s="44" t="s">
        <v>1136</v>
      </c>
      <c r="L118" s="44" t="s">
        <v>1137</v>
      </c>
      <c r="M118" s="44" t="s">
        <v>222</v>
      </c>
      <c r="N118" s="44" t="s">
        <v>207</v>
      </c>
      <c r="O118" s="44" t="s">
        <v>606</v>
      </c>
      <c r="P118" s="44" t="s">
        <v>224</v>
      </c>
      <c r="Q118" s="44" t="s">
        <v>20820</v>
      </c>
      <c r="R118" s="44" t="s">
        <v>20821</v>
      </c>
      <c r="S118" s="44" t="s">
        <v>20131</v>
      </c>
      <c r="T118" s="44">
        <v>112</v>
      </c>
      <c r="U118" s="44" t="s">
        <v>20330</v>
      </c>
      <c r="V118" s="44" t="s">
        <v>20202</v>
      </c>
      <c r="W118" s="44" t="s">
        <v>20068</v>
      </c>
      <c r="X118" s="44" t="s">
        <v>20068</v>
      </c>
      <c r="Y118" s="44" t="s">
        <v>20068</v>
      </c>
      <c r="Z118" s="44" t="s">
        <v>20089</v>
      </c>
      <c r="AA118" s="44">
        <v>4260</v>
      </c>
      <c r="AB118" s="44" t="s">
        <v>353</v>
      </c>
      <c r="AC118" s="44"/>
      <c r="AD118" s="44" t="s">
        <v>20822</v>
      </c>
      <c r="AE118" s="44" t="s">
        <v>20823</v>
      </c>
      <c r="AF118" s="44" t="s">
        <v>606</v>
      </c>
      <c r="AG118" s="44" t="s">
        <v>20125</v>
      </c>
      <c r="AH118" s="44" t="s">
        <v>20222</v>
      </c>
      <c r="AI118" s="44" t="s">
        <v>18715</v>
      </c>
      <c r="AJ118" s="44" t="s">
        <v>20072</v>
      </c>
      <c r="AK118" s="43">
        <v>0</v>
      </c>
      <c r="AL118" s="44">
        <v>61</v>
      </c>
      <c r="AM118" s="44">
        <v>44.333333333333336</v>
      </c>
      <c r="AN118" s="44">
        <v>33.473861720067454</v>
      </c>
      <c r="AO118" s="44">
        <v>38.099243061396102</v>
      </c>
      <c r="AP118" s="46">
        <v>19.100000000000001</v>
      </c>
      <c r="AQ118" s="47">
        <v>5</v>
      </c>
      <c r="AR118" s="47">
        <v>5</v>
      </c>
      <c r="AS118" s="47">
        <v>0</v>
      </c>
      <c r="AT118" s="47">
        <v>0</v>
      </c>
      <c r="AU118" s="46">
        <v>5</v>
      </c>
      <c r="AV118" s="46">
        <v>6</v>
      </c>
      <c r="AW118" s="46">
        <v>3</v>
      </c>
      <c r="AX118" s="47">
        <v>3</v>
      </c>
      <c r="AY118" s="47">
        <v>10</v>
      </c>
      <c r="AZ118" s="47">
        <v>12</v>
      </c>
      <c r="BA118" s="47">
        <v>6</v>
      </c>
      <c r="BB118" s="46">
        <v>41</v>
      </c>
      <c r="BC118" s="48">
        <v>1</v>
      </c>
    </row>
    <row r="119" spans="1:55" s="42" customFormat="1" x14ac:dyDescent="0.2">
      <c r="A119" s="43">
        <v>597</v>
      </c>
      <c r="B119" s="44" t="s">
        <v>20059</v>
      </c>
      <c r="C119" s="45">
        <v>44082</v>
      </c>
      <c r="D119" s="44" t="s">
        <v>20060</v>
      </c>
      <c r="E119" s="44" t="s">
        <v>20824</v>
      </c>
      <c r="F119" s="44" t="s">
        <v>20062</v>
      </c>
      <c r="G119" s="44">
        <v>10029</v>
      </c>
      <c r="H119" s="44" t="s">
        <v>20825</v>
      </c>
      <c r="I119" s="45">
        <v>43556</v>
      </c>
      <c r="J119" s="45">
        <v>44651</v>
      </c>
      <c r="K119" s="44" t="s">
        <v>25</v>
      </c>
      <c r="L119" s="44" t="s">
        <v>126</v>
      </c>
      <c r="M119" s="44" t="s">
        <v>251</v>
      </c>
      <c r="N119" s="44" t="s">
        <v>207</v>
      </c>
      <c r="O119" s="44" t="s">
        <v>254</v>
      </c>
      <c r="P119" s="44" t="s">
        <v>253</v>
      </c>
      <c r="Q119" s="44" t="s">
        <v>20826</v>
      </c>
      <c r="R119" s="44" t="s">
        <v>20827</v>
      </c>
      <c r="S119" s="44" t="s">
        <v>20828</v>
      </c>
      <c r="T119" s="44">
        <v>104</v>
      </c>
      <c r="U119" s="44" t="s">
        <v>20263</v>
      </c>
      <c r="V119" s="44" t="s">
        <v>20829</v>
      </c>
      <c r="W119" s="44" t="s">
        <v>20068</v>
      </c>
      <c r="X119" s="44" t="s">
        <v>20068</v>
      </c>
      <c r="Y119" s="44" t="s">
        <v>20068</v>
      </c>
      <c r="Z119" s="44" t="s">
        <v>20069</v>
      </c>
      <c r="AA119" s="44">
        <v>4403</v>
      </c>
      <c r="AB119" s="44" t="s">
        <v>330</v>
      </c>
      <c r="AC119" s="44"/>
      <c r="AD119" s="44" t="s">
        <v>20830</v>
      </c>
      <c r="AE119" s="44" t="s">
        <v>20831</v>
      </c>
      <c r="AF119" s="44" t="s">
        <v>254</v>
      </c>
      <c r="AG119" s="44" t="s">
        <v>20809</v>
      </c>
      <c r="AH119" s="44" t="s">
        <v>20810</v>
      </c>
      <c r="AI119" s="44" t="s">
        <v>18715</v>
      </c>
      <c r="AJ119" s="44" t="s">
        <v>20072</v>
      </c>
      <c r="AK119" s="43">
        <v>0</v>
      </c>
      <c r="AL119" s="44">
        <v>30</v>
      </c>
      <c r="AM119" s="44">
        <v>51</v>
      </c>
      <c r="AN119" s="44">
        <v>61.547212741751991</v>
      </c>
      <c r="AO119" s="44">
        <v>67.032967032966994</v>
      </c>
      <c r="AP119" s="46">
        <v>23.8</v>
      </c>
      <c r="AQ119" s="47">
        <v>5</v>
      </c>
      <c r="AR119" s="47">
        <v>5</v>
      </c>
      <c r="AS119" s="47">
        <v>0</v>
      </c>
      <c r="AT119" s="47">
        <v>0</v>
      </c>
      <c r="AU119" s="46">
        <v>3</v>
      </c>
      <c r="AV119" s="46">
        <v>6</v>
      </c>
      <c r="AW119" s="46">
        <v>5</v>
      </c>
      <c r="AX119" s="47">
        <v>3</v>
      </c>
      <c r="AY119" s="47">
        <v>6</v>
      </c>
      <c r="AZ119" s="47">
        <v>12</v>
      </c>
      <c r="BA119" s="47">
        <v>10</v>
      </c>
      <c r="BB119" s="46">
        <v>41</v>
      </c>
      <c r="BC119" s="48">
        <v>1</v>
      </c>
    </row>
    <row r="120" spans="1:55" s="42" customFormat="1" x14ac:dyDescent="0.2">
      <c r="A120" s="43">
        <v>640</v>
      </c>
      <c r="B120" s="44" t="s">
        <v>20059</v>
      </c>
      <c r="C120" s="45">
        <v>44082</v>
      </c>
      <c r="D120" s="44" t="s">
        <v>20060</v>
      </c>
      <c r="E120" s="44" t="s">
        <v>20832</v>
      </c>
      <c r="F120" s="44" t="s">
        <v>20062</v>
      </c>
      <c r="G120" s="44">
        <v>80578</v>
      </c>
      <c r="H120" s="44" t="s">
        <v>20833</v>
      </c>
      <c r="I120" s="45">
        <v>43800</v>
      </c>
      <c r="J120" s="45">
        <v>44895</v>
      </c>
      <c r="K120" s="44" t="s">
        <v>1138</v>
      </c>
      <c r="L120" s="44" t="s">
        <v>1139</v>
      </c>
      <c r="M120" s="44" t="s">
        <v>222</v>
      </c>
      <c r="N120" s="44" t="s">
        <v>207</v>
      </c>
      <c r="O120" s="44" t="s">
        <v>1140</v>
      </c>
      <c r="P120" s="44" t="s">
        <v>224</v>
      </c>
      <c r="Q120" s="44" t="s">
        <v>20834</v>
      </c>
      <c r="R120" s="44" t="s">
        <v>20835</v>
      </c>
      <c r="S120" s="44" t="s">
        <v>20836</v>
      </c>
      <c r="T120" s="44">
        <v>176</v>
      </c>
      <c r="U120" s="44" t="s">
        <v>20262</v>
      </c>
      <c r="V120" s="44" t="s">
        <v>20122</v>
      </c>
      <c r="W120" s="44" t="s">
        <v>20068</v>
      </c>
      <c r="X120" s="44" t="s">
        <v>20068</v>
      </c>
      <c r="Y120" s="44" t="s">
        <v>20068</v>
      </c>
      <c r="Z120" s="44" t="s">
        <v>20089</v>
      </c>
      <c r="AA120" s="44">
        <v>4260</v>
      </c>
      <c r="AB120" s="44" t="s">
        <v>353</v>
      </c>
      <c r="AC120" s="44"/>
      <c r="AD120" s="44" t="s">
        <v>20837</v>
      </c>
      <c r="AE120" s="44" t="s">
        <v>20838</v>
      </c>
      <c r="AF120" s="44" t="s">
        <v>1140</v>
      </c>
      <c r="AG120" s="44" t="s">
        <v>20125</v>
      </c>
      <c r="AH120" s="44" t="s">
        <v>20311</v>
      </c>
      <c r="AI120" s="44" t="s">
        <v>18715</v>
      </c>
      <c r="AJ120" s="44" t="s">
        <v>20072</v>
      </c>
      <c r="AK120" s="43">
        <v>0</v>
      </c>
      <c r="AL120" s="44">
        <v>61</v>
      </c>
      <c r="AM120" s="44">
        <v>44.333333333333336</v>
      </c>
      <c r="AN120" s="44">
        <v>28.049052396878484</v>
      </c>
      <c r="AO120" s="44">
        <v>16.473072861668399</v>
      </c>
      <c r="AP120" s="46">
        <v>19.100000000000001</v>
      </c>
      <c r="AQ120" s="47">
        <v>5</v>
      </c>
      <c r="AR120" s="47">
        <v>5</v>
      </c>
      <c r="AS120" s="47">
        <v>0</v>
      </c>
      <c r="AT120" s="47">
        <v>0</v>
      </c>
      <c r="AU120" s="46">
        <v>5</v>
      </c>
      <c r="AV120" s="46">
        <v>6</v>
      </c>
      <c r="AW120" s="46">
        <v>3</v>
      </c>
      <c r="AX120" s="47">
        <v>3</v>
      </c>
      <c r="AY120" s="47">
        <v>10</v>
      </c>
      <c r="AZ120" s="47">
        <v>12</v>
      </c>
      <c r="BA120" s="47">
        <v>6</v>
      </c>
      <c r="BB120" s="46">
        <v>41</v>
      </c>
      <c r="BC120" s="48">
        <v>1</v>
      </c>
    </row>
    <row r="121" spans="1:55" s="42" customFormat="1" x14ac:dyDescent="0.2">
      <c r="A121" s="43">
        <v>669</v>
      </c>
      <c r="B121" s="44" t="s">
        <v>20059</v>
      </c>
      <c r="C121" s="45">
        <v>44082</v>
      </c>
      <c r="D121" s="44" t="s">
        <v>20060</v>
      </c>
      <c r="E121" s="44" t="s">
        <v>20839</v>
      </c>
      <c r="F121" s="44" t="s">
        <v>20062</v>
      </c>
      <c r="G121" s="44">
        <v>90082</v>
      </c>
      <c r="H121" s="44" t="s">
        <v>20840</v>
      </c>
      <c r="I121" s="45">
        <v>43952</v>
      </c>
      <c r="J121" s="45">
        <v>45046</v>
      </c>
      <c r="K121" s="44" t="s">
        <v>67</v>
      </c>
      <c r="L121" s="44" t="s">
        <v>166</v>
      </c>
      <c r="M121" s="44" t="s">
        <v>282</v>
      </c>
      <c r="N121" s="44" t="s">
        <v>207</v>
      </c>
      <c r="O121" s="44" t="s">
        <v>285</v>
      </c>
      <c r="P121" s="44" t="s">
        <v>224</v>
      </c>
      <c r="Q121" s="44" t="s">
        <v>20841</v>
      </c>
      <c r="R121" s="44" t="s">
        <v>20842</v>
      </c>
      <c r="S121" s="44" t="s">
        <v>20843</v>
      </c>
      <c r="T121" s="44">
        <v>204</v>
      </c>
      <c r="U121" s="44" t="s">
        <v>20262</v>
      </c>
      <c r="V121" s="44" t="s">
        <v>20108</v>
      </c>
      <c r="W121" s="44" t="s">
        <v>20068</v>
      </c>
      <c r="X121" s="44" t="s">
        <v>20068</v>
      </c>
      <c r="Y121" s="44" t="s">
        <v>20068</v>
      </c>
      <c r="Z121" s="44" t="s">
        <v>20089</v>
      </c>
      <c r="AA121" s="44">
        <v>4272</v>
      </c>
      <c r="AB121" s="44" t="s">
        <v>342</v>
      </c>
      <c r="AC121" s="44"/>
      <c r="AD121" s="44" t="s">
        <v>20816</v>
      </c>
      <c r="AE121" s="44" t="s">
        <v>20817</v>
      </c>
      <c r="AF121" s="44" t="s">
        <v>285</v>
      </c>
      <c r="AG121" s="44" t="s">
        <v>20141</v>
      </c>
      <c r="AH121" s="44" t="s">
        <v>541</v>
      </c>
      <c r="AI121" s="44" t="s">
        <v>18715</v>
      </c>
      <c r="AJ121" s="44" t="s">
        <v>20072</v>
      </c>
      <c r="AK121" s="43">
        <v>0</v>
      </c>
      <c r="AL121" s="44">
        <v>31</v>
      </c>
      <c r="AM121" s="44">
        <v>41.333333333333336</v>
      </c>
      <c r="AN121" s="44">
        <v>54.982698961937714</v>
      </c>
      <c r="AO121" s="44">
        <v>51.0749868904038</v>
      </c>
      <c r="AP121" s="46">
        <v>19.100000000000001</v>
      </c>
      <c r="AQ121" s="47">
        <v>5</v>
      </c>
      <c r="AR121" s="47">
        <v>5</v>
      </c>
      <c r="AS121" s="47">
        <v>0</v>
      </c>
      <c r="AT121" s="47">
        <v>0</v>
      </c>
      <c r="AU121" s="46">
        <v>3</v>
      </c>
      <c r="AV121" s="46">
        <v>6</v>
      </c>
      <c r="AW121" s="46">
        <v>5</v>
      </c>
      <c r="AX121" s="47">
        <v>3</v>
      </c>
      <c r="AY121" s="47">
        <v>6</v>
      </c>
      <c r="AZ121" s="47">
        <v>12</v>
      </c>
      <c r="BA121" s="47">
        <v>10</v>
      </c>
      <c r="BB121" s="46">
        <v>41</v>
      </c>
      <c r="BC121" s="48">
        <v>1</v>
      </c>
    </row>
    <row r="122" spans="1:55" s="42" customFormat="1" x14ac:dyDescent="0.2">
      <c r="A122" s="43">
        <v>678</v>
      </c>
      <c r="B122" s="44" t="s">
        <v>20059</v>
      </c>
      <c r="C122" s="45">
        <v>44082</v>
      </c>
      <c r="D122" s="44" t="s">
        <v>20060</v>
      </c>
      <c r="E122" s="44" t="s">
        <v>20844</v>
      </c>
      <c r="F122" s="44" t="s">
        <v>20062</v>
      </c>
      <c r="G122" s="44">
        <v>0</v>
      </c>
      <c r="H122" s="44" t="s">
        <v>20845</v>
      </c>
      <c r="I122" s="45">
        <v>43374</v>
      </c>
      <c r="J122" s="45">
        <v>44469</v>
      </c>
      <c r="K122" s="44" t="s">
        <v>68</v>
      </c>
      <c r="L122" s="44" t="s">
        <v>167</v>
      </c>
      <c r="M122" s="44" t="s">
        <v>282</v>
      </c>
      <c r="N122" s="44" t="s">
        <v>207</v>
      </c>
      <c r="O122" s="44" t="s">
        <v>283</v>
      </c>
      <c r="P122" s="44" t="s">
        <v>224</v>
      </c>
      <c r="Q122" s="44" t="s">
        <v>20846</v>
      </c>
      <c r="R122" s="44" t="s">
        <v>20847</v>
      </c>
      <c r="S122" s="44" t="s">
        <v>20848</v>
      </c>
      <c r="T122" s="44">
        <v>108</v>
      </c>
      <c r="U122" s="44" t="s">
        <v>20067</v>
      </c>
      <c r="V122" s="44" t="s">
        <v>20344</v>
      </c>
      <c r="W122" s="44" t="s">
        <v>20068</v>
      </c>
      <c r="X122" s="44" t="s">
        <v>20068</v>
      </c>
      <c r="Y122" s="44" t="s">
        <v>20067</v>
      </c>
      <c r="Z122" s="44" t="s">
        <v>20089</v>
      </c>
      <c r="AA122" s="44">
        <v>4272</v>
      </c>
      <c r="AB122" s="44" t="s">
        <v>342</v>
      </c>
      <c r="AC122" s="44" t="s">
        <v>19745</v>
      </c>
      <c r="AD122" s="44" t="s">
        <v>20816</v>
      </c>
      <c r="AE122" s="44" t="s">
        <v>20849</v>
      </c>
      <c r="AF122" s="44" t="s">
        <v>283</v>
      </c>
      <c r="AG122" s="44" t="s">
        <v>20141</v>
      </c>
      <c r="AH122" s="44" t="s">
        <v>541</v>
      </c>
      <c r="AI122" s="44" t="s">
        <v>18715</v>
      </c>
      <c r="AJ122" s="44" t="s">
        <v>20072</v>
      </c>
      <c r="AK122" s="43">
        <v>0</v>
      </c>
      <c r="AL122" s="44">
        <v>31</v>
      </c>
      <c r="AM122" s="44">
        <v>41.333333333333336</v>
      </c>
      <c r="AN122" s="44">
        <v>54.982698961937714</v>
      </c>
      <c r="AO122" s="44">
        <v>65.608465608465593</v>
      </c>
      <c r="AP122" s="46">
        <v>19.100000000000001</v>
      </c>
      <c r="AQ122" s="47">
        <v>5</v>
      </c>
      <c r="AR122" s="47">
        <v>5</v>
      </c>
      <c r="AS122" s="47">
        <v>0</v>
      </c>
      <c r="AT122" s="47">
        <v>0</v>
      </c>
      <c r="AU122" s="46">
        <v>3</v>
      </c>
      <c r="AV122" s="46">
        <v>6</v>
      </c>
      <c r="AW122" s="46">
        <v>5</v>
      </c>
      <c r="AX122" s="47">
        <v>3</v>
      </c>
      <c r="AY122" s="47">
        <v>6</v>
      </c>
      <c r="AZ122" s="47">
        <v>12</v>
      </c>
      <c r="BA122" s="47">
        <v>10</v>
      </c>
      <c r="BB122" s="46">
        <v>41</v>
      </c>
      <c r="BC122" s="48">
        <v>1</v>
      </c>
    </row>
    <row r="123" spans="1:55" s="42" customFormat="1" x14ac:dyDescent="0.2">
      <c r="A123" s="43">
        <v>711</v>
      </c>
      <c r="B123" s="44" t="s">
        <v>20059</v>
      </c>
      <c r="C123" s="45">
        <v>44082</v>
      </c>
      <c r="D123" s="44" t="s">
        <v>20060</v>
      </c>
      <c r="E123" s="44" t="s">
        <v>20850</v>
      </c>
      <c r="F123" s="44" t="s">
        <v>20062</v>
      </c>
      <c r="G123" s="44">
        <v>0</v>
      </c>
      <c r="H123" s="44" t="s">
        <v>20851</v>
      </c>
      <c r="I123" s="45">
        <v>43770</v>
      </c>
      <c r="J123" s="45">
        <v>44865</v>
      </c>
      <c r="K123" s="44" t="s">
        <v>69</v>
      </c>
      <c r="L123" s="44" t="s">
        <v>168</v>
      </c>
      <c r="M123" s="44" t="s">
        <v>222</v>
      </c>
      <c r="N123" s="44" t="s">
        <v>207</v>
      </c>
      <c r="O123" s="44" t="s">
        <v>286</v>
      </c>
      <c r="P123" s="44" t="s">
        <v>224</v>
      </c>
      <c r="Q123" s="44" t="s">
        <v>20852</v>
      </c>
      <c r="R123" s="44" t="s">
        <v>20853</v>
      </c>
      <c r="S123" s="44" t="s">
        <v>20131</v>
      </c>
      <c r="T123" s="44">
        <v>105</v>
      </c>
      <c r="U123" s="44" t="s">
        <v>20067</v>
      </c>
      <c r="V123" s="44" t="s">
        <v>20067</v>
      </c>
      <c r="W123" s="44" t="s">
        <v>20067</v>
      </c>
      <c r="X123" s="44" t="s">
        <v>20067</v>
      </c>
      <c r="Y123" s="44" t="s">
        <v>20068</v>
      </c>
      <c r="Z123" s="44" t="s">
        <v>20089</v>
      </c>
      <c r="AA123" s="44">
        <v>4256</v>
      </c>
      <c r="AB123" s="44" t="s">
        <v>343</v>
      </c>
      <c r="AC123" s="44"/>
      <c r="AD123" s="44" t="s">
        <v>20854</v>
      </c>
      <c r="AE123" s="44" t="s">
        <v>20855</v>
      </c>
      <c r="AF123" s="44" t="s">
        <v>286</v>
      </c>
      <c r="AG123" s="44" t="s">
        <v>20092</v>
      </c>
      <c r="AH123" s="44" t="s">
        <v>20093</v>
      </c>
      <c r="AI123" s="44" t="s">
        <v>18715</v>
      </c>
      <c r="AJ123" s="44" t="s">
        <v>20072</v>
      </c>
      <c r="AK123" s="43">
        <v>0</v>
      </c>
      <c r="AL123" s="44">
        <v>19</v>
      </c>
      <c r="AM123" s="44">
        <v>52</v>
      </c>
      <c r="AN123" s="44">
        <v>48.498009410061528</v>
      </c>
      <c r="AO123" s="44">
        <v>52.859350850077298</v>
      </c>
      <c r="AP123" s="46">
        <v>19.100000000000001</v>
      </c>
      <c r="AQ123" s="47">
        <v>5</v>
      </c>
      <c r="AR123" s="47">
        <v>5</v>
      </c>
      <c r="AS123" s="47">
        <v>0</v>
      </c>
      <c r="AT123" s="47">
        <v>0</v>
      </c>
      <c r="AU123" s="46">
        <v>1</v>
      </c>
      <c r="AV123" s="46">
        <v>8</v>
      </c>
      <c r="AW123" s="46">
        <v>5</v>
      </c>
      <c r="AX123" s="47">
        <v>3</v>
      </c>
      <c r="AY123" s="47">
        <v>2</v>
      </c>
      <c r="AZ123" s="47">
        <v>16</v>
      </c>
      <c r="BA123" s="47">
        <v>10</v>
      </c>
      <c r="BB123" s="46">
        <v>41</v>
      </c>
      <c r="BC123" s="48">
        <v>1</v>
      </c>
    </row>
    <row r="124" spans="1:55" s="42" customFormat="1" x14ac:dyDescent="0.2">
      <c r="A124" s="43">
        <v>752</v>
      </c>
      <c r="B124" s="44" t="s">
        <v>20059</v>
      </c>
      <c r="C124" s="45">
        <v>44082</v>
      </c>
      <c r="D124" s="44" t="s">
        <v>20060</v>
      </c>
      <c r="E124" s="44" t="s">
        <v>20856</v>
      </c>
      <c r="F124" s="44" t="s">
        <v>20062</v>
      </c>
      <c r="G124" s="44">
        <v>0</v>
      </c>
      <c r="H124" s="44" t="s">
        <v>20857</v>
      </c>
      <c r="I124" s="45">
        <v>43313</v>
      </c>
      <c r="J124" s="45">
        <v>44408</v>
      </c>
      <c r="K124" s="44" t="s">
        <v>1141</v>
      </c>
      <c r="L124" s="44" t="s">
        <v>1142</v>
      </c>
      <c r="M124" s="44" t="s">
        <v>309</v>
      </c>
      <c r="N124" s="44" t="s">
        <v>207</v>
      </c>
      <c r="O124" s="44" t="s">
        <v>512</v>
      </c>
      <c r="P124" s="44" t="s">
        <v>309</v>
      </c>
      <c r="Q124" s="44" t="s">
        <v>20858</v>
      </c>
      <c r="R124" s="44" t="s">
        <v>20460</v>
      </c>
      <c r="S124" s="44" t="s">
        <v>20131</v>
      </c>
      <c r="T124" s="44">
        <v>37</v>
      </c>
      <c r="U124" s="44" t="s">
        <v>20262</v>
      </c>
      <c r="V124" s="44" t="s">
        <v>20501</v>
      </c>
      <c r="W124" s="44" t="s">
        <v>20067</v>
      </c>
      <c r="X124" s="44" t="s">
        <v>20067</v>
      </c>
      <c r="Y124" s="44" t="s">
        <v>20067</v>
      </c>
      <c r="Z124" s="44" t="s">
        <v>20089</v>
      </c>
      <c r="AA124" s="44">
        <v>4499</v>
      </c>
      <c r="AB124" s="44" t="s">
        <v>513</v>
      </c>
      <c r="AC124" s="44"/>
      <c r="AD124" s="44" t="s">
        <v>20462</v>
      </c>
      <c r="AE124" s="44" t="s">
        <v>20793</v>
      </c>
      <c r="AF124" s="44" t="s">
        <v>512</v>
      </c>
      <c r="AG124" s="44" t="s">
        <v>496</v>
      </c>
      <c r="AH124" s="44" t="s">
        <v>496</v>
      </c>
      <c r="AI124" s="44" t="s">
        <v>18715</v>
      </c>
      <c r="AJ124" s="44" t="s">
        <v>20072</v>
      </c>
      <c r="AK124" s="43">
        <v>0</v>
      </c>
      <c r="AL124" s="44">
        <v>38</v>
      </c>
      <c r="AM124" s="44">
        <v>45</v>
      </c>
      <c r="AN124" s="44">
        <v>47.123360984747123</v>
      </c>
      <c r="AO124" s="44">
        <v>54.876273653566201</v>
      </c>
      <c r="AP124" s="46">
        <v>38</v>
      </c>
      <c r="AQ124" s="47">
        <v>3</v>
      </c>
      <c r="AR124" s="47">
        <v>5</v>
      </c>
      <c r="AS124" s="47">
        <v>0</v>
      </c>
      <c r="AT124" s="47">
        <v>0</v>
      </c>
      <c r="AU124" s="46">
        <v>3</v>
      </c>
      <c r="AV124" s="46">
        <v>6</v>
      </c>
      <c r="AW124" s="46">
        <v>5</v>
      </c>
      <c r="AX124" s="47">
        <v>5</v>
      </c>
      <c r="AY124" s="47">
        <v>6</v>
      </c>
      <c r="AZ124" s="47">
        <v>12</v>
      </c>
      <c r="BA124" s="47">
        <v>10</v>
      </c>
      <c r="BB124" s="46">
        <v>41</v>
      </c>
      <c r="BC124" s="48">
        <v>1</v>
      </c>
    </row>
    <row r="125" spans="1:55" s="42" customFormat="1" x14ac:dyDescent="0.2">
      <c r="A125" s="43">
        <v>773</v>
      </c>
      <c r="B125" s="44" t="s">
        <v>20059</v>
      </c>
      <c r="C125" s="45">
        <v>44082</v>
      </c>
      <c r="D125" s="44" t="s">
        <v>20060</v>
      </c>
      <c r="E125" s="44" t="s">
        <v>20859</v>
      </c>
      <c r="F125" s="44" t="s">
        <v>20062</v>
      </c>
      <c r="G125" s="44">
        <v>0</v>
      </c>
      <c r="H125" s="44" t="s">
        <v>20860</v>
      </c>
      <c r="I125" s="45">
        <v>43374</v>
      </c>
      <c r="J125" s="45">
        <v>44469</v>
      </c>
      <c r="K125" s="44" t="s">
        <v>70</v>
      </c>
      <c r="L125" s="44" t="s">
        <v>169</v>
      </c>
      <c r="M125" s="44" t="s">
        <v>287</v>
      </c>
      <c r="N125" s="44" t="s">
        <v>207</v>
      </c>
      <c r="O125" s="44" t="s">
        <v>288</v>
      </c>
      <c r="P125" s="44" t="s">
        <v>259</v>
      </c>
      <c r="Q125" s="44" t="s">
        <v>20861</v>
      </c>
      <c r="R125" s="44" t="s">
        <v>20862</v>
      </c>
      <c r="S125" s="44" t="s">
        <v>20863</v>
      </c>
      <c r="T125" s="44">
        <v>30</v>
      </c>
      <c r="U125" s="44" t="s">
        <v>20067</v>
      </c>
      <c r="V125" s="44" t="s">
        <v>20067</v>
      </c>
      <c r="W125" s="44" t="s">
        <v>20067</v>
      </c>
      <c r="X125" s="44" t="s">
        <v>20068</v>
      </c>
      <c r="Y125" s="44" t="s">
        <v>20067</v>
      </c>
      <c r="Z125" s="44" t="s">
        <v>20069</v>
      </c>
      <c r="AA125" s="44">
        <v>4457</v>
      </c>
      <c r="AB125" s="44" t="s">
        <v>344</v>
      </c>
      <c r="AC125" s="44"/>
      <c r="AD125" s="44" t="s">
        <v>20864</v>
      </c>
      <c r="AE125" s="44" t="s">
        <v>20865</v>
      </c>
      <c r="AF125" s="44" t="s">
        <v>288</v>
      </c>
      <c r="AG125" s="44" t="s">
        <v>12593</v>
      </c>
      <c r="AH125" s="44" t="s">
        <v>413</v>
      </c>
      <c r="AI125" s="44" t="s">
        <v>18715</v>
      </c>
      <c r="AJ125" s="44" t="s">
        <v>20072</v>
      </c>
      <c r="AK125" s="43">
        <v>0</v>
      </c>
      <c r="AL125" s="44">
        <v>48</v>
      </c>
      <c r="AM125" s="44">
        <v>45.666666666666664</v>
      </c>
      <c r="AN125" s="44">
        <v>44.507702612190222</v>
      </c>
      <c r="AO125" s="44">
        <v>56.203779786359902</v>
      </c>
      <c r="AP125" s="46">
        <v>60.3</v>
      </c>
      <c r="AQ125" s="47">
        <v>3</v>
      </c>
      <c r="AR125" s="47">
        <v>5</v>
      </c>
      <c r="AS125" s="47">
        <v>0</v>
      </c>
      <c r="AT125" s="47">
        <v>0</v>
      </c>
      <c r="AU125" s="46">
        <v>3</v>
      </c>
      <c r="AV125" s="46">
        <v>6</v>
      </c>
      <c r="AW125" s="46">
        <v>5</v>
      </c>
      <c r="AX125" s="47">
        <v>5</v>
      </c>
      <c r="AY125" s="47">
        <v>6</v>
      </c>
      <c r="AZ125" s="47">
        <v>12</v>
      </c>
      <c r="BA125" s="47">
        <v>10</v>
      </c>
      <c r="BB125" s="46">
        <v>41</v>
      </c>
      <c r="BC125" s="48">
        <v>1</v>
      </c>
    </row>
    <row r="126" spans="1:55" s="42" customFormat="1" x14ac:dyDescent="0.2">
      <c r="A126" s="43">
        <v>778</v>
      </c>
      <c r="B126" s="44" t="s">
        <v>20059</v>
      </c>
      <c r="C126" s="45">
        <v>44082</v>
      </c>
      <c r="D126" s="44" t="s">
        <v>20060</v>
      </c>
      <c r="E126" s="44" t="s">
        <v>20866</v>
      </c>
      <c r="F126" s="44" t="s">
        <v>20062</v>
      </c>
      <c r="G126" s="44">
        <v>9417</v>
      </c>
      <c r="H126" s="44" t="s">
        <v>20867</v>
      </c>
      <c r="I126" s="45">
        <v>43586</v>
      </c>
      <c r="J126" s="45">
        <v>44681</v>
      </c>
      <c r="K126" s="44" t="s">
        <v>71</v>
      </c>
      <c r="L126" s="44" t="s">
        <v>170</v>
      </c>
      <c r="M126" s="44" t="s">
        <v>282</v>
      </c>
      <c r="N126" s="44" t="s">
        <v>207</v>
      </c>
      <c r="O126" s="44" t="s">
        <v>283</v>
      </c>
      <c r="P126" s="44" t="s">
        <v>224</v>
      </c>
      <c r="Q126" s="44" t="s">
        <v>20868</v>
      </c>
      <c r="R126" s="44" t="s">
        <v>20869</v>
      </c>
      <c r="S126" s="44" t="s">
        <v>20870</v>
      </c>
      <c r="T126" s="44">
        <v>147</v>
      </c>
      <c r="U126" s="44" t="s">
        <v>20202</v>
      </c>
      <c r="V126" s="44" t="s">
        <v>20299</v>
      </c>
      <c r="W126" s="44" t="s">
        <v>20068</v>
      </c>
      <c r="X126" s="44" t="s">
        <v>20068</v>
      </c>
      <c r="Y126" s="44" t="s">
        <v>20068</v>
      </c>
      <c r="Z126" s="44" t="s">
        <v>20089</v>
      </c>
      <c r="AA126" s="44">
        <v>4272</v>
      </c>
      <c r="AB126" s="44" t="s">
        <v>342</v>
      </c>
      <c r="AC126" s="44"/>
      <c r="AD126" s="44" t="s">
        <v>20816</v>
      </c>
      <c r="AE126" s="44" t="s">
        <v>20871</v>
      </c>
      <c r="AF126" s="44" t="s">
        <v>283</v>
      </c>
      <c r="AG126" s="44" t="s">
        <v>20141</v>
      </c>
      <c r="AH126" s="44" t="s">
        <v>541</v>
      </c>
      <c r="AI126" s="44" t="s">
        <v>18715</v>
      </c>
      <c r="AJ126" s="44" t="s">
        <v>20072</v>
      </c>
      <c r="AK126" s="43">
        <v>0</v>
      </c>
      <c r="AL126" s="44">
        <v>31</v>
      </c>
      <c r="AM126" s="44">
        <v>41.333333333333336</v>
      </c>
      <c r="AN126" s="44">
        <v>54.982698961937714</v>
      </c>
      <c r="AO126" s="44">
        <v>57.8125</v>
      </c>
      <c r="AP126" s="46">
        <v>19.100000000000001</v>
      </c>
      <c r="AQ126" s="47">
        <v>5</v>
      </c>
      <c r="AR126" s="47">
        <v>5</v>
      </c>
      <c r="AS126" s="47">
        <v>0</v>
      </c>
      <c r="AT126" s="47">
        <v>0</v>
      </c>
      <c r="AU126" s="46">
        <v>3</v>
      </c>
      <c r="AV126" s="46">
        <v>6</v>
      </c>
      <c r="AW126" s="46">
        <v>5</v>
      </c>
      <c r="AX126" s="47">
        <v>3</v>
      </c>
      <c r="AY126" s="47">
        <v>6</v>
      </c>
      <c r="AZ126" s="47">
        <v>12</v>
      </c>
      <c r="BA126" s="47">
        <v>10</v>
      </c>
      <c r="BB126" s="46">
        <v>41</v>
      </c>
      <c r="BC126" s="48">
        <v>1</v>
      </c>
    </row>
    <row r="127" spans="1:55" s="42" customFormat="1" x14ac:dyDescent="0.2">
      <c r="A127" s="43">
        <v>1114</v>
      </c>
      <c r="B127" s="44" t="s">
        <v>20059</v>
      </c>
      <c r="C127" s="45">
        <v>44082</v>
      </c>
      <c r="D127" s="44" t="s">
        <v>20060</v>
      </c>
      <c r="E127" s="44" t="s">
        <v>20872</v>
      </c>
      <c r="F127" s="44" t="s">
        <v>20062</v>
      </c>
      <c r="G127" s="44">
        <v>0</v>
      </c>
      <c r="H127" s="44" t="s">
        <v>20873</v>
      </c>
      <c r="I127" s="45">
        <v>43922</v>
      </c>
      <c r="J127" s="45">
        <v>45016</v>
      </c>
      <c r="K127" s="44" t="s">
        <v>73</v>
      </c>
      <c r="L127" s="44" t="s">
        <v>172</v>
      </c>
      <c r="M127" s="44" t="s">
        <v>287</v>
      </c>
      <c r="N127" s="44" t="s">
        <v>207</v>
      </c>
      <c r="O127" s="44" t="s">
        <v>288</v>
      </c>
      <c r="P127" s="44" t="s">
        <v>259</v>
      </c>
      <c r="Q127" s="44" t="s">
        <v>20874</v>
      </c>
      <c r="R127" s="44" t="s">
        <v>20875</v>
      </c>
      <c r="S127" s="44" t="s">
        <v>20876</v>
      </c>
      <c r="T127" s="44">
        <v>30</v>
      </c>
      <c r="U127" s="44" t="s">
        <v>20067</v>
      </c>
      <c r="V127" s="44" t="s">
        <v>20067</v>
      </c>
      <c r="W127" s="44" t="s">
        <v>20067</v>
      </c>
      <c r="X127" s="44" t="s">
        <v>20068</v>
      </c>
      <c r="Y127" s="44" t="s">
        <v>20067</v>
      </c>
      <c r="Z127" s="44" t="s">
        <v>20069</v>
      </c>
      <c r="AA127" s="44">
        <v>4457</v>
      </c>
      <c r="AB127" s="44" t="s">
        <v>344</v>
      </c>
      <c r="AC127" s="44"/>
      <c r="AD127" s="44" t="s">
        <v>20877</v>
      </c>
      <c r="AE127" s="44" t="s">
        <v>20878</v>
      </c>
      <c r="AF127" s="44" t="s">
        <v>288</v>
      </c>
      <c r="AG127" s="44" t="s">
        <v>12593</v>
      </c>
      <c r="AH127" s="44" t="s">
        <v>413</v>
      </c>
      <c r="AI127" s="44" t="s">
        <v>18715</v>
      </c>
      <c r="AJ127" s="44" t="s">
        <v>20072</v>
      </c>
      <c r="AK127" s="43">
        <v>0</v>
      </c>
      <c r="AL127" s="44">
        <v>48</v>
      </c>
      <c r="AM127" s="44">
        <v>45.666666666666664</v>
      </c>
      <c r="AN127" s="44">
        <v>47.964642940218653</v>
      </c>
      <c r="AO127" s="44">
        <v>58.232931726907601</v>
      </c>
      <c r="AP127" s="46">
        <v>60.3</v>
      </c>
      <c r="AQ127" s="47">
        <v>3</v>
      </c>
      <c r="AR127" s="47">
        <v>5</v>
      </c>
      <c r="AS127" s="47">
        <v>0</v>
      </c>
      <c r="AT127" s="47">
        <v>0</v>
      </c>
      <c r="AU127" s="46">
        <v>3</v>
      </c>
      <c r="AV127" s="46">
        <v>6</v>
      </c>
      <c r="AW127" s="46">
        <v>5</v>
      </c>
      <c r="AX127" s="47">
        <v>5</v>
      </c>
      <c r="AY127" s="47">
        <v>6</v>
      </c>
      <c r="AZ127" s="47">
        <v>12</v>
      </c>
      <c r="BA127" s="47">
        <v>10</v>
      </c>
      <c r="BB127" s="46">
        <v>41</v>
      </c>
      <c r="BC127" s="48">
        <v>1</v>
      </c>
    </row>
    <row r="128" spans="1:55" s="42" customFormat="1" x14ac:dyDescent="0.2">
      <c r="A128" s="43">
        <v>1116</v>
      </c>
      <c r="B128" s="44" t="s">
        <v>20059</v>
      </c>
      <c r="C128" s="45">
        <v>44082</v>
      </c>
      <c r="D128" s="44" t="s">
        <v>20060</v>
      </c>
      <c r="E128" s="44" t="s">
        <v>20879</v>
      </c>
      <c r="F128" s="44" t="s">
        <v>20062</v>
      </c>
      <c r="G128" s="44">
        <v>0</v>
      </c>
      <c r="H128" s="44" t="s">
        <v>20880</v>
      </c>
      <c r="I128" s="45">
        <v>43178</v>
      </c>
      <c r="J128" s="45">
        <v>44255</v>
      </c>
      <c r="K128" s="44" t="s">
        <v>1143</v>
      </c>
      <c r="L128" s="44" t="s">
        <v>1144</v>
      </c>
      <c r="M128" s="44" t="s">
        <v>222</v>
      </c>
      <c r="N128" s="44" t="s">
        <v>207</v>
      </c>
      <c r="O128" s="44" t="s">
        <v>623</v>
      </c>
      <c r="P128" s="44" t="s">
        <v>224</v>
      </c>
      <c r="Q128" s="44" t="s">
        <v>9458</v>
      </c>
      <c r="R128" s="44" t="s">
        <v>20881</v>
      </c>
      <c r="S128" s="44" t="s">
        <v>20131</v>
      </c>
      <c r="T128" s="44">
        <v>161</v>
      </c>
      <c r="U128" s="44" t="s">
        <v>20344</v>
      </c>
      <c r="V128" s="44" t="s">
        <v>20882</v>
      </c>
      <c r="W128" s="44" t="s">
        <v>20068</v>
      </c>
      <c r="X128" s="44" t="s">
        <v>20068</v>
      </c>
      <c r="Y128" s="44" t="s">
        <v>20068</v>
      </c>
      <c r="Z128" s="44" t="s">
        <v>20089</v>
      </c>
      <c r="AA128" s="44">
        <v>4260</v>
      </c>
      <c r="AB128" s="44" t="s">
        <v>353</v>
      </c>
      <c r="AC128" s="44"/>
      <c r="AD128" s="44" t="s">
        <v>20883</v>
      </c>
      <c r="AE128" s="44" t="s">
        <v>20884</v>
      </c>
      <c r="AF128" s="44" t="s">
        <v>623</v>
      </c>
      <c r="AG128" s="44" t="s">
        <v>20125</v>
      </c>
      <c r="AH128" s="44" t="s">
        <v>20311</v>
      </c>
      <c r="AI128" s="44" t="s">
        <v>18715</v>
      </c>
      <c r="AJ128" s="44" t="s">
        <v>20072</v>
      </c>
      <c r="AK128" s="43">
        <v>0</v>
      </c>
      <c r="AL128" s="44">
        <v>61</v>
      </c>
      <c r="AM128" s="44">
        <v>44.333333333333336</v>
      </c>
      <c r="AN128" s="44">
        <v>28.175957527493363</v>
      </c>
      <c r="AO128" s="44">
        <v>28.175957527493399</v>
      </c>
      <c r="AP128" s="46">
        <v>19.100000000000001</v>
      </c>
      <c r="AQ128" s="47">
        <v>5</v>
      </c>
      <c r="AR128" s="47">
        <v>5</v>
      </c>
      <c r="AS128" s="47">
        <v>0</v>
      </c>
      <c r="AT128" s="47">
        <v>0</v>
      </c>
      <c r="AU128" s="46">
        <v>5</v>
      </c>
      <c r="AV128" s="46">
        <v>6</v>
      </c>
      <c r="AW128" s="46">
        <v>3</v>
      </c>
      <c r="AX128" s="47">
        <v>3</v>
      </c>
      <c r="AY128" s="47">
        <v>10</v>
      </c>
      <c r="AZ128" s="47">
        <v>12</v>
      </c>
      <c r="BA128" s="47">
        <v>6</v>
      </c>
      <c r="BB128" s="46">
        <v>41</v>
      </c>
      <c r="BC128" s="48">
        <v>1</v>
      </c>
    </row>
    <row r="129" spans="1:55" s="42" customFormat="1" x14ac:dyDescent="0.2">
      <c r="A129" s="43">
        <v>1171</v>
      </c>
      <c r="B129" s="44" t="s">
        <v>20059</v>
      </c>
      <c r="C129" s="45">
        <v>44082</v>
      </c>
      <c r="D129" s="44" t="s">
        <v>20060</v>
      </c>
      <c r="E129" s="44" t="s">
        <v>20885</v>
      </c>
      <c r="F129" s="44" t="s">
        <v>20062</v>
      </c>
      <c r="G129" s="44">
        <v>0</v>
      </c>
      <c r="H129" s="44" t="s">
        <v>20886</v>
      </c>
      <c r="I129" s="45">
        <v>43313</v>
      </c>
      <c r="J129" s="45">
        <v>44408</v>
      </c>
      <c r="K129" s="44" t="s">
        <v>74</v>
      </c>
      <c r="L129" s="44" t="s">
        <v>173</v>
      </c>
      <c r="M129" s="44" t="s">
        <v>287</v>
      </c>
      <c r="N129" s="44" t="s">
        <v>207</v>
      </c>
      <c r="O129" s="44" t="s">
        <v>288</v>
      </c>
      <c r="P129" s="44" t="s">
        <v>259</v>
      </c>
      <c r="Q129" s="44" t="s">
        <v>20887</v>
      </c>
      <c r="R129" s="44" t="s">
        <v>20888</v>
      </c>
      <c r="S129" s="44" t="s">
        <v>20889</v>
      </c>
      <c r="T129" s="44">
        <v>45</v>
      </c>
      <c r="U129" s="44" t="s">
        <v>20067</v>
      </c>
      <c r="V129" s="44" t="s">
        <v>20067</v>
      </c>
      <c r="W129" s="44" t="s">
        <v>20068</v>
      </c>
      <c r="X129" s="44" t="s">
        <v>20068</v>
      </c>
      <c r="Y129" s="44" t="s">
        <v>20067</v>
      </c>
      <c r="Z129" s="44" t="s">
        <v>20069</v>
      </c>
      <c r="AA129" s="44">
        <v>4457</v>
      </c>
      <c r="AB129" s="44" t="s">
        <v>344</v>
      </c>
      <c r="AC129" s="44"/>
      <c r="AD129" s="44" t="s">
        <v>20864</v>
      </c>
      <c r="AE129" s="44" t="s">
        <v>20865</v>
      </c>
      <c r="AF129" s="44" t="s">
        <v>288</v>
      </c>
      <c r="AG129" s="44" t="s">
        <v>12593</v>
      </c>
      <c r="AH129" s="44" t="s">
        <v>413</v>
      </c>
      <c r="AI129" s="44" t="s">
        <v>18715</v>
      </c>
      <c r="AJ129" s="44" t="s">
        <v>20072</v>
      </c>
      <c r="AK129" s="43">
        <v>0</v>
      </c>
      <c r="AL129" s="44">
        <v>48</v>
      </c>
      <c r="AM129" s="44">
        <v>45.666666666666664</v>
      </c>
      <c r="AN129" s="44">
        <v>44.507702612190222</v>
      </c>
      <c r="AO129" s="44">
        <v>56.203779786359902</v>
      </c>
      <c r="AP129" s="46">
        <v>60.3</v>
      </c>
      <c r="AQ129" s="47">
        <v>3</v>
      </c>
      <c r="AR129" s="47">
        <v>5</v>
      </c>
      <c r="AS129" s="47">
        <v>0</v>
      </c>
      <c r="AT129" s="47">
        <v>0</v>
      </c>
      <c r="AU129" s="46">
        <v>3</v>
      </c>
      <c r="AV129" s="46">
        <v>6</v>
      </c>
      <c r="AW129" s="46">
        <v>5</v>
      </c>
      <c r="AX129" s="47">
        <v>5</v>
      </c>
      <c r="AY129" s="47">
        <v>6</v>
      </c>
      <c r="AZ129" s="47">
        <v>12</v>
      </c>
      <c r="BA129" s="47">
        <v>10</v>
      </c>
      <c r="BB129" s="46">
        <v>41</v>
      </c>
      <c r="BC129" s="48">
        <v>1</v>
      </c>
    </row>
    <row r="130" spans="1:55" s="42" customFormat="1" x14ac:dyDescent="0.2">
      <c r="A130" s="43">
        <v>1186</v>
      </c>
      <c r="B130" s="44" t="s">
        <v>20059</v>
      </c>
      <c r="C130" s="45">
        <v>44082</v>
      </c>
      <c r="D130" s="44" t="s">
        <v>20060</v>
      </c>
      <c r="E130" s="44" t="s">
        <v>20890</v>
      </c>
      <c r="F130" s="44" t="s">
        <v>20062</v>
      </c>
      <c r="G130" s="44">
        <v>79758</v>
      </c>
      <c r="H130" s="44" t="s">
        <v>20891</v>
      </c>
      <c r="I130" s="45">
        <v>43709</v>
      </c>
      <c r="J130" s="45">
        <v>44804</v>
      </c>
      <c r="K130" s="44" t="s">
        <v>75</v>
      </c>
      <c r="L130" s="44" t="s">
        <v>174</v>
      </c>
      <c r="M130" s="44" t="s">
        <v>222</v>
      </c>
      <c r="N130" s="44" t="s">
        <v>207</v>
      </c>
      <c r="O130" s="44" t="s">
        <v>291</v>
      </c>
      <c r="P130" s="44" t="s">
        <v>224</v>
      </c>
      <c r="Q130" s="44" t="s">
        <v>20892</v>
      </c>
      <c r="R130" s="44" t="s">
        <v>20893</v>
      </c>
      <c r="S130" s="44" t="s">
        <v>20894</v>
      </c>
      <c r="T130" s="44">
        <v>20</v>
      </c>
      <c r="U130" s="44" t="s">
        <v>20067</v>
      </c>
      <c r="V130" s="44" t="s">
        <v>20067</v>
      </c>
      <c r="W130" s="44" t="s">
        <v>20067</v>
      </c>
      <c r="X130" s="44" t="s">
        <v>20068</v>
      </c>
      <c r="Y130" s="44" t="s">
        <v>20067</v>
      </c>
      <c r="Z130" s="44" t="s">
        <v>20089</v>
      </c>
      <c r="AA130" s="44">
        <v>4263</v>
      </c>
      <c r="AB130" s="44" t="s">
        <v>346</v>
      </c>
      <c r="AC130" s="44" t="s">
        <v>19745</v>
      </c>
      <c r="AD130" s="44" t="s">
        <v>20759</v>
      </c>
      <c r="AE130" s="44" t="s">
        <v>20895</v>
      </c>
      <c r="AF130" s="44" t="s">
        <v>291</v>
      </c>
      <c r="AG130" s="44" t="s">
        <v>20092</v>
      </c>
      <c r="AH130" s="44" t="s">
        <v>20093</v>
      </c>
      <c r="AI130" s="44" t="s">
        <v>18715</v>
      </c>
      <c r="AJ130" s="44" t="s">
        <v>20072</v>
      </c>
      <c r="AK130" s="43">
        <v>0</v>
      </c>
      <c r="AL130" s="44">
        <v>36</v>
      </c>
      <c r="AM130" s="44">
        <v>58</v>
      </c>
      <c r="AN130" s="44">
        <v>69.156774457634057</v>
      </c>
      <c r="AO130" s="44">
        <v>49.701249321021201</v>
      </c>
      <c r="AP130" s="46">
        <v>19.100000000000001</v>
      </c>
      <c r="AQ130" s="47">
        <v>1</v>
      </c>
      <c r="AR130" s="47">
        <v>5</v>
      </c>
      <c r="AS130" s="47">
        <v>0</v>
      </c>
      <c r="AT130" s="47">
        <v>0</v>
      </c>
      <c r="AU130" s="46">
        <v>3</v>
      </c>
      <c r="AV130" s="46">
        <v>8</v>
      </c>
      <c r="AW130" s="46">
        <v>5</v>
      </c>
      <c r="AX130" s="47">
        <v>3</v>
      </c>
      <c r="AY130" s="47">
        <v>6</v>
      </c>
      <c r="AZ130" s="47">
        <v>16</v>
      </c>
      <c r="BA130" s="47">
        <v>10</v>
      </c>
      <c r="BB130" s="46">
        <v>41</v>
      </c>
      <c r="BC130" s="48">
        <v>1</v>
      </c>
    </row>
    <row r="131" spans="1:55" s="42" customFormat="1" x14ac:dyDescent="0.2">
      <c r="A131" s="43">
        <v>1281</v>
      </c>
      <c r="B131" s="44" t="s">
        <v>20059</v>
      </c>
      <c r="C131" s="45">
        <v>44082</v>
      </c>
      <c r="D131" s="44" t="s">
        <v>20060</v>
      </c>
      <c r="E131" s="44" t="s">
        <v>20896</v>
      </c>
      <c r="F131" s="44" t="s">
        <v>20062</v>
      </c>
      <c r="G131" s="44">
        <v>0</v>
      </c>
      <c r="H131" s="44" t="s">
        <v>20897</v>
      </c>
      <c r="I131" s="45">
        <v>43770</v>
      </c>
      <c r="J131" s="45">
        <v>44865</v>
      </c>
      <c r="K131" s="44" t="s">
        <v>77</v>
      </c>
      <c r="L131" s="44" t="s">
        <v>176</v>
      </c>
      <c r="M131" s="44" t="s">
        <v>280</v>
      </c>
      <c r="N131" s="44" t="s">
        <v>207</v>
      </c>
      <c r="O131" s="44" t="s">
        <v>294</v>
      </c>
      <c r="P131" s="44" t="s">
        <v>224</v>
      </c>
      <c r="Q131" s="44" t="s">
        <v>20898</v>
      </c>
      <c r="R131" s="44" t="s">
        <v>20899</v>
      </c>
      <c r="S131" s="44" t="s">
        <v>20900</v>
      </c>
      <c r="T131" s="44">
        <v>220</v>
      </c>
      <c r="U131" s="44" t="s">
        <v>20121</v>
      </c>
      <c r="V131" s="44" t="s">
        <v>20330</v>
      </c>
      <c r="W131" s="44" t="s">
        <v>20068</v>
      </c>
      <c r="X131" s="44" t="s">
        <v>20068</v>
      </c>
      <c r="Y131" s="44" t="s">
        <v>20068</v>
      </c>
      <c r="Z131" s="44" t="s">
        <v>20069</v>
      </c>
      <c r="AA131" s="44">
        <v>4235</v>
      </c>
      <c r="AB131" s="44" t="s">
        <v>341</v>
      </c>
      <c r="AC131" s="44"/>
      <c r="AD131" s="44" t="s">
        <v>20901</v>
      </c>
      <c r="AE131" s="44" t="s">
        <v>20902</v>
      </c>
      <c r="AF131" s="44" t="s">
        <v>294</v>
      </c>
      <c r="AG131" s="44" t="s">
        <v>20800</v>
      </c>
      <c r="AH131" s="44" t="s">
        <v>20903</v>
      </c>
      <c r="AI131" s="44" t="s">
        <v>18715</v>
      </c>
      <c r="AJ131" s="44" t="s">
        <v>20072</v>
      </c>
      <c r="AK131" s="43">
        <v>0</v>
      </c>
      <c r="AL131" s="44">
        <v>39</v>
      </c>
      <c r="AM131" s="44">
        <v>42.333333333333336</v>
      </c>
      <c r="AN131" s="44">
        <v>35.352789065386034</v>
      </c>
      <c r="AO131" s="44">
        <v>43.473227206946497</v>
      </c>
      <c r="AP131" s="46">
        <v>19.100000000000001</v>
      </c>
      <c r="AQ131" s="47">
        <v>5</v>
      </c>
      <c r="AR131" s="47">
        <v>5</v>
      </c>
      <c r="AS131" s="47">
        <v>0</v>
      </c>
      <c r="AT131" s="47">
        <v>0</v>
      </c>
      <c r="AU131" s="46">
        <v>3</v>
      </c>
      <c r="AV131" s="46">
        <v>6</v>
      </c>
      <c r="AW131" s="46">
        <v>5</v>
      </c>
      <c r="AX131" s="47">
        <v>3</v>
      </c>
      <c r="AY131" s="47">
        <v>6</v>
      </c>
      <c r="AZ131" s="47">
        <v>12</v>
      </c>
      <c r="BA131" s="47">
        <v>10</v>
      </c>
      <c r="BB131" s="46">
        <v>41</v>
      </c>
      <c r="BC131" s="48">
        <v>1</v>
      </c>
    </row>
    <row r="132" spans="1:55" s="42" customFormat="1" x14ac:dyDescent="0.2">
      <c r="A132" s="43">
        <v>1301</v>
      </c>
      <c r="B132" s="44" t="s">
        <v>20059</v>
      </c>
      <c r="C132" s="45">
        <v>44082</v>
      </c>
      <c r="D132" s="44" t="s">
        <v>20060</v>
      </c>
      <c r="E132" s="44" t="s">
        <v>20904</v>
      </c>
      <c r="F132" s="44" t="s">
        <v>20062</v>
      </c>
      <c r="G132" s="44">
        <v>0</v>
      </c>
      <c r="H132" s="44" t="s">
        <v>20905</v>
      </c>
      <c r="I132" s="45">
        <v>43709</v>
      </c>
      <c r="J132" s="45">
        <v>44804</v>
      </c>
      <c r="K132" s="44" t="s">
        <v>1145</v>
      </c>
      <c r="L132" s="44" t="s">
        <v>1146</v>
      </c>
      <c r="M132" s="44" t="s">
        <v>222</v>
      </c>
      <c r="N132" s="44" t="s">
        <v>207</v>
      </c>
      <c r="O132" s="44" t="s">
        <v>606</v>
      </c>
      <c r="P132" s="44" t="s">
        <v>224</v>
      </c>
      <c r="Q132" s="44" t="s">
        <v>20906</v>
      </c>
      <c r="R132" s="44" t="s">
        <v>20907</v>
      </c>
      <c r="S132" s="44" t="s">
        <v>20908</v>
      </c>
      <c r="T132" s="44">
        <v>121</v>
      </c>
      <c r="U132" s="44" t="s">
        <v>20121</v>
      </c>
      <c r="V132" s="44" t="s">
        <v>20797</v>
      </c>
      <c r="W132" s="44" t="s">
        <v>20068</v>
      </c>
      <c r="X132" s="44" t="s">
        <v>20068</v>
      </c>
      <c r="Y132" s="44" t="s">
        <v>20068</v>
      </c>
      <c r="Z132" s="44" t="s">
        <v>20089</v>
      </c>
      <c r="AA132" s="44">
        <v>4262</v>
      </c>
      <c r="AB132" s="44" t="s">
        <v>628</v>
      </c>
      <c r="AC132" s="44"/>
      <c r="AD132" s="44" t="s">
        <v>20909</v>
      </c>
      <c r="AE132" s="44" t="s">
        <v>20910</v>
      </c>
      <c r="AF132" s="44" t="s">
        <v>606</v>
      </c>
      <c r="AG132" s="44" t="s">
        <v>20125</v>
      </c>
      <c r="AH132" s="44" t="s">
        <v>20222</v>
      </c>
      <c r="AI132" s="44" t="s">
        <v>18715</v>
      </c>
      <c r="AJ132" s="44" t="s">
        <v>20072</v>
      </c>
      <c r="AK132" s="43">
        <v>0</v>
      </c>
      <c r="AL132" s="44">
        <v>19</v>
      </c>
      <c r="AM132" s="44">
        <v>51.333333333333336</v>
      </c>
      <c r="AN132" s="44">
        <v>46.176644931831653</v>
      </c>
      <c r="AO132" s="44">
        <v>46.978021978021999</v>
      </c>
      <c r="AP132" s="46">
        <v>19.100000000000001</v>
      </c>
      <c r="AQ132" s="47">
        <v>5</v>
      </c>
      <c r="AR132" s="47">
        <v>5</v>
      </c>
      <c r="AS132" s="47">
        <v>0</v>
      </c>
      <c r="AT132" s="47">
        <v>0</v>
      </c>
      <c r="AU132" s="46">
        <v>1</v>
      </c>
      <c r="AV132" s="46">
        <v>8</v>
      </c>
      <c r="AW132" s="46">
        <v>5</v>
      </c>
      <c r="AX132" s="47">
        <v>3</v>
      </c>
      <c r="AY132" s="47">
        <v>2</v>
      </c>
      <c r="AZ132" s="47">
        <v>16</v>
      </c>
      <c r="BA132" s="47">
        <v>10</v>
      </c>
      <c r="BB132" s="46">
        <v>41</v>
      </c>
      <c r="BC132" s="48">
        <v>1</v>
      </c>
    </row>
    <row r="133" spans="1:55" s="42" customFormat="1" x14ac:dyDescent="0.2">
      <c r="A133" s="43">
        <v>1313</v>
      </c>
      <c r="B133" s="44" t="s">
        <v>20059</v>
      </c>
      <c r="C133" s="45">
        <v>44082</v>
      </c>
      <c r="D133" s="44" t="s">
        <v>20060</v>
      </c>
      <c r="E133" s="44" t="s">
        <v>20911</v>
      </c>
      <c r="F133" s="44" t="s">
        <v>20062</v>
      </c>
      <c r="G133" s="44">
        <v>0</v>
      </c>
      <c r="H133" s="44" t="s">
        <v>20912</v>
      </c>
      <c r="I133" s="45">
        <v>43105</v>
      </c>
      <c r="J133" s="45">
        <v>44196</v>
      </c>
      <c r="K133" s="44" t="s">
        <v>1147</v>
      </c>
      <c r="L133" s="44" t="s">
        <v>1148</v>
      </c>
      <c r="M133" s="44" t="s">
        <v>292</v>
      </c>
      <c r="N133" s="44" t="s">
        <v>207</v>
      </c>
      <c r="O133" s="44" t="s">
        <v>293</v>
      </c>
      <c r="P133" s="44" t="s">
        <v>224</v>
      </c>
      <c r="Q133" s="44" t="s">
        <v>20913</v>
      </c>
      <c r="R133" s="44" t="s">
        <v>20914</v>
      </c>
      <c r="S133" s="44" t="s">
        <v>20131</v>
      </c>
      <c r="T133" s="44">
        <v>10</v>
      </c>
      <c r="U133" s="44" t="s">
        <v>20067</v>
      </c>
      <c r="V133" s="44" t="s">
        <v>20067</v>
      </c>
      <c r="W133" s="44" t="s">
        <v>20067</v>
      </c>
      <c r="X133" s="44" t="s">
        <v>20068</v>
      </c>
      <c r="Y133" s="44" t="s">
        <v>20067</v>
      </c>
      <c r="Z133" s="44" t="s">
        <v>20089</v>
      </c>
      <c r="AA133" s="44">
        <v>4271</v>
      </c>
      <c r="AB133" s="44" t="s">
        <v>347</v>
      </c>
      <c r="AC133" s="44"/>
      <c r="AD133" s="44" t="s">
        <v>20523</v>
      </c>
      <c r="AE133" s="44" t="s">
        <v>20524</v>
      </c>
      <c r="AF133" s="44" t="s">
        <v>293</v>
      </c>
      <c r="AG133" s="44" t="s">
        <v>20255</v>
      </c>
      <c r="AH133" s="44" t="s">
        <v>20256</v>
      </c>
      <c r="AI133" s="44" t="s">
        <v>18715</v>
      </c>
      <c r="AJ133" s="44" t="s">
        <v>20072</v>
      </c>
      <c r="AK133" s="43">
        <v>0</v>
      </c>
      <c r="AL133" s="44">
        <v>40</v>
      </c>
      <c r="AM133" s="44">
        <v>53.333333333333336</v>
      </c>
      <c r="AN133" s="44">
        <v>28.375527426160335</v>
      </c>
      <c r="AO133" s="44">
        <v>46.740947075208901</v>
      </c>
      <c r="AP133" s="46">
        <v>19.100000000000001</v>
      </c>
      <c r="AQ133" s="47">
        <v>1</v>
      </c>
      <c r="AR133" s="47">
        <v>5</v>
      </c>
      <c r="AS133" s="47">
        <v>0</v>
      </c>
      <c r="AT133" s="47">
        <v>0</v>
      </c>
      <c r="AU133" s="46">
        <v>3</v>
      </c>
      <c r="AV133" s="46">
        <v>8</v>
      </c>
      <c r="AW133" s="46">
        <v>5</v>
      </c>
      <c r="AX133" s="47">
        <v>3</v>
      </c>
      <c r="AY133" s="47">
        <v>6</v>
      </c>
      <c r="AZ133" s="47">
        <v>16</v>
      </c>
      <c r="BA133" s="47">
        <v>10</v>
      </c>
      <c r="BB133" s="46">
        <v>41</v>
      </c>
      <c r="BC133" s="48">
        <v>1</v>
      </c>
    </row>
    <row r="134" spans="1:55" s="42" customFormat="1" x14ac:dyDescent="0.2">
      <c r="A134" s="43">
        <v>1347</v>
      </c>
      <c r="B134" s="44" t="s">
        <v>20059</v>
      </c>
      <c r="C134" s="45">
        <v>44082</v>
      </c>
      <c r="D134" s="44" t="s">
        <v>20060</v>
      </c>
      <c r="E134" s="44" t="s">
        <v>20915</v>
      </c>
      <c r="F134" s="44" t="s">
        <v>20062</v>
      </c>
      <c r="G134" s="44">
        <v>0</v>
      </c>
      <c r="H134" s="44" t="s">
        <v>20916</v>
      </c>
      <c r="I134" s="45">
        <v>43009</v>
      </c>
      <c r="J134" s="45">
        <v>44104</v>
      </c>
      <c r="K134" s="44" t="s">
        <v>79</v>
      </c>
      <c r="L134" s="44" t="s">
        <v>178</v>
      </c>
      <c r="M134" s="44" t="s">
        <v>222</v>
      </c>
      <c r="N134" s="44" t="s">
        <v>207</v>
      </c>
      <c r="O134" s="44" t="s">
        <v>291</v>
      </c>
      <c r="P134" s="44" t="s">
        <v>224</v>
      </c>
      <c r="Q134" s="44" t="s">
        <v>20917</v>
      </c>
      <c r="R134" s="44" t="s">
        <v>20918</v>
      </c>
      <c r="S134" s="44" t="s">
        <v>20919</v>
      </c>
      <c r="T134" s="44">
        <v>101</v>
      </c>
      <c r="U134" s="44" t="s">
        <v>20067</v>
      </c>
      <c r="V134" s="44" t="s">
        <v>20202</v>
      </c>
      <c r="W134" s="44" t="s">
        <v>20068</v>
      </c>
      <c r="X134" s="44" t="s">
        <v>20068</v>
      </c>
      <c r="Y134" s="44" t="s">
        <v>20067</v>
      </c>
      <c r="Z134" s="44" t="s">
        <v>20089</v>
      </c>
      <c r="AA134" s="44">
        <v>4256</v>
      </c>
      <c r="AB134" s="44" t="s">
        <v>343</v>
      </c>
      <c r="AC134" s="44"/>
      <c r="AD134" s="44" t="s">
        <v>20759</v>
      </c>
      <c r="AE134" s="44" t="s">
        <v>20920</v>
      </c>
      <c r="AF134" s="44" t="s">
        <v>291</v>
      </c>
      <c r="AG134" s="44" t="s">
        <v>20092</v>
      </c>
      <c r="AH134" s="44" t="s">
        <v>20093</v>
      </c>
      <c r="AI134" s="44" t="s">
        <v>18715</v>
      </c>
      <c r="AJ134" s="44" t="s">
        <v>20072</v>
      </c>
      <c r="AK134" s="43">
        <v>0</v>
      </c>
      <c r="AL134" s="44">
        <v>19</v>
      </c>
      <c r="AM134" s="44">
        <v>52</v>
      </c>
      <c r="AN134" s="44">
        <v>69.156774457634057</v>
      </c>
      <c r="AO134" s="44">
        <v>99.151823579304505</v>
      </c>
      <c r="AP134" s="46">
        <v>19.100000000000001</v>
      </c>
      <c r="AQ134" s="47">
        <v>5</v>
      </c>
      <c r="AR134" s="47">
        <v>5</v>
      </c>
      <c r="AS134" s="47">
        <v>0</v>
      </c>
      <c r="AT134" s="47">
        <v>0</v>
      </c>
      <c r="AU134" s="46">
        <v>1</v>
      </c>
      <c r="AV134" s="46">
        <v>8</v>
      </c>
      <c r="AW134" s="46">
        <v>5</v>
      </c>
      <c r="AX134" s="47">
        <v>3</v>
      </c>
      <c r="AY134" s="47">
        <v>2</v>
      </c>
      <c r="AZ134" s="47">
        <v>16</v>
      </c>
      <c r="BA134" s="47">
        <v>10</v>
      </c>
      <c r="BB134" s="46">
        <v>41</v>
      </c>
      <c r="BC134" s="48">
        <v>1</v>
      </c>
    </row>
    <row r="135" spans="1:55" s="42" customFormat="1" x14ac:dyDescent="0.2">
      <c r="A135" s="43">
        <v>1368</v>
      </c>
      <c r="B135" s="44" t="s">
        <v>20059</v>
      </c>
      <c r="C135" s="45">
        <v>44082</v>
      </c>
      <c r="D135" s="44" t="s">
        <v>20060</v>
      </c>
      <c r="E135" s="44" t="s">
        <v>20921</v>
      </c>
      <c r="F135" s="44" t="s">
        <v>20062</v>
      </c>
      <c r="G135" s="44">
        <v>8079</v>
      </c>
      <c r="H135" s="44" t="s">
        <v>20922</v>
      </c>
      <c r="I135" s="45">
        <v>43191</v>
      </c>
      <c r="J135" s="45">
        <v>44286</v>
      </c>
      <c r="K135" s="44" t="s">
        <v>80</v>
      </c>
      <c r="L135" s="44" t="s">
        <v>179</v>
      </c>
      <c r="M135" s="44" t="s">
        <v>249</v>
      </c>
      <c r="N135" s="44" t="s">
        <v>207</v>
      </c>
      <c r="O135" s="44" t="s">
        <v>250</v>
      </c>
      <c r="P135" s="44" t="s">
        <v>221</v>
      </c>
      <c r="Q135" s="44" t="s">
        <v>20923</v>
      </c>
      <c r="R135" s="44" t="s">
        <v>20924</v>
      </c>
      <c r="S135" s="44" t="s">
        <v>20925</v>
      </c>
      <c r="T135" s="44">
        <v>25</v>
      </c>
      <c r="U135" s="44" t="s">
        <v>20067</v>
      </c>
      <c r="V135" s="44" t="s">
        <v>20067</v>
      </c>
      <c r="W135" s="44" t="s">
        <v>20067</v>
      </c>
      <c r="X135" s="44" t="s">
        <v>20067</v>
      </c>
      <c r="Y135" s="44" t="s">
        <v>20067</v>
      </c>
      <c r="Z135" s="44" t="s">
        <v>20089</v>
      </c>
      <c r="AA135" s="44">
        <v>4450</v>
      </c>
      <c r="AB135" s="44" t="s">
        <v>349</v>
      </c>
      <c r="AC135" s="44" t="s">
        <v>19745</v>
      </c>
      <c r="AD135" s="44" t="s">
        <v>20212</v>
      </c>
      <c r="AE135" s="44" t="s">
        <v>20926</v>
      </c>
      <c r="AF135" s="44" t="s">
        <v>250</v>
      </c>
      <c r="AG135" s="44" t="s">
        <v>7934</v>
      </c>
      <c r="AH135" s="44" t="s">
        <v>760</v>
      </c>
      <c r="AI135" s="44" t="s">
        <v>18715</v>
      </c>
      <c r="AJ135" s="44" t="s">
        <v>20072</v>
      </c>
      <c r="AK135" s="43">
        <v>0</v>
      </c>
      <c r="AL135" s="44">
        <v>44</v>
      </c>
      <c r="AM135" s="44">
        <v>58</v>
      </c>
      <c r="AN135" s="44">
        <v>40.214477211796243</v>
      </c>
      <c r="AO135" s="44">
        <v>21.450381679389299</v>
      </c>
      <c r="AP135" s="46">
        <v>47.9</v>
      </c>
      <c r="AQ135" s="47">
        <v>3</v>
      </c>
      <c r="AR135" s="47">
        <v>5</v>
      </c>
      <c r="AS135" s="47">
        <v>0</v>
      </c>
      <c r="AT135" s="47">
        <v>0</v>
      </c>
      <c r="AU135" s="46">
        <v>3</v>
      </c>
      <c r="AV135" s="46">
        <v>8</v>
      </c>
      <c r="AW135" s="46">
        <v>3</v>
      </c>
      <c r="AX135" s="47">
        <v>5</v>
      </c>
      <c r="AY135" s="47">
        <v>6</v>
      </c>
      <c r="AZ135" s="47">
        <v>16</v>
      </c>
      <c r="BA135" s="47">
        <v>6</v>
      </c>
      <c r="BB135" s="46">
        <v>41</v>
      </c>
      <c r="BC135" s="48">
        <v>1</v>
      </c>
    </row>
    <row r="136" spans="1:55" s="42" customFormat="1" x14ac:dyDescent="0.2">
      <c r="A136" s="43">
        <v>1379</v>
      </c>
      <c r="B136" s="44" t="s">
        <v>20059</v>
      </c>
      <c r="C136" s="45">
        <v>44082</v>
      </c>
      <c r="D136" s="44" t="s">
        <v>20060</v>
      </c>
      <c r="E136" s="44" t="s">
        <v>20927</v>
      </c>
      <c r="F136" s="44" t="s">
        <v>20062</v>
      </c>
      <c r="G136" s="44">
        <v>0</v>
      </c>
      <c r="H136" s="44" t="s">
        <v>20928</v>
      </c>
      <c r="I136" s="45">
        <v>43374</v>
      </c>
      <c r="J136" s="45">
        <v>44469</v>
      </c>
      <c r="K136" s="44" t="s">
        <v>28</v>
      </c>
      <c r="L136" s="44" t="s">
        <v>129</v>
      </c>
      <c r="M136" s="44" t="s">
        <v>251</v>
      </c>
      <c r="N136" s="44" t="s">
        <v>207</v>
      </c>
      <c r="O136" s="44" t="s">
        <v>256</v>
      </c>
      <c r="P136" s="44" t="s">
        <v>253</v>
      </c>
      <c r="Q136" s="44" t="s">
        <v>20929</v>
      </c>
      <c r="R136" s="44" t="s">
        <v>20930</v>
      </c>
      <c r="S136" s="44" t="s">
        <v>20931</v>
      </c>
      <c r="T136" s="44">
        <v>365</v>
      </c>
      <c r="U136" s="44" t="s">
        <v>20252</v>
      </c>
      <c r="V136" s="44" t="s">
        <v>20252</v>
      </c>
      <c r="W136" s="44" t="s">
        <v>20067</v>
      </c>
      <c r="X136" s="44" t="s">
        <v>20068</v>
      </c>
      <c r="Y136" s="44" t="s">
        <v>20068</v>
      </c>
      <c r="Z136" s="44" t="s">
        <v>20069</v>
      </c>
      <c r="AA136" s="44">
        <v>4403</v>
      </c>
      <c r="AB136" s="44" t="s">
        <v>330</v>
      </c>
      <c r="AC136" s="44"/>
      <c r="AD136" s="44" t="s">
        <v>20932</v>
      </c>
      <c r="AE136" s="44" t="s">
        <v>20933</v>
      </c>
      <c r="AF136" s="44" t="s">
        <v>256</v>
      </c>
      <c r="AG136" s="44" t="s">
        <v>20809</v>
      </c>
      <c r="AH136" s="44" t="s">
        <v>20934</v>
      </c>
      <c r="AI136" s="44" t="s">
        <v>18715</v>
      </c>
      <c r="AJ136" s="44" t="s">
        <v>20072</v>
      </c>
      <c r="AK136" s="43">
        <v>0</v>
      </c>
      <c r="AL136" s="44">
        <v>30</v>
      </c>
      <c r="AM136" s="44">
        <v>51</v>
      </c>
      <c r="AN136" s="44">
        <v>52.987482255774943</v>
      </c>
      <c r="AO136" s="44">
        <v>58.346094946401202</v>
      </c>
      <c r="AP136" s="46">
        <v>23.8</v>
      </c>
      <c r="AQ136" s="47">
        <v>5</v>
      </c>
      <c r="AR136" s="47">
        <v>5</v>
      </c>
      <c r="AS136" s="47">
        <v>0</v>
      </c>
      <c r="AT136" s="47">
        <v>0</v>
      </c>
      <c r="AU136" s="46">
        <v>3</v>
      </c>
      <c r="AV136" s="46">
        <v>6</v>
      </c>
      <c r="AW136" s="46">
        <v>5</v>
      </c>
      <c r="AX136" s="47">
        <v>3</v>
      </c>
      <c r="AY136" s="47">
        <v>6</v>
      </c>
      <c r="AZ136" s="47">
        <v>12</v>
      </c>
      <c r="BA136" s="47">
        <v>10</v>
      </c>
      <c r="BB136" s="46">
        <v>41</v>
      </c>
      <c r="BC136" s="48">
        <v>1</v>
      </c>
    </row>
    <row r="137" spans="1:55" s="42" customFormat="1" x14ac:dyDescent="0.2">
      <c r="A137" s="43">
        <v>1389</v>
      </c>
      <c r="B137" s="44" t="s">
        <v>20059</v>
      </c>
      <c r="C137" s="45">
        <v>44082</v>
      </c>
      <c r="D137" s="44" t="s">
        <v>20060</v>
      </c>
      <c r="E137" s="44" t="s">
        <v>20935</v>
      </c>
      <c r="F137" s="44" t="s">
        <v>20062</v>
      </c>
      <c r="G137" s="44">
        <v>0</v>
      </c>
      <c r="H137" s="44" t="s">
        <v>20936</v>
      </c>
      <c r="I137" s="45">
        <v>43862</v>
      </c>
      <c r="J137" s="45">
        <v>44957</v>
      </c>
      <c r="K137" s="44" t="s">
        <v>82</v>
      </c>
      <c r="L137" s="44" t="s">
        <v>181</v>
      </c>
      <c r="M137" s="44" t="s">
        <v>222</v>
      </c>
      <c r="N137" s="44" t="s">
        <v>207</v>
      </c>
      <c r="O137" s="44" t="s">
        <v>291</v>
      </c>
      <c r="P137" s="44" t="s">
        <v>224</v>
      </c>
      <c r="Q137" s="44"/>
      <c r="R137" s="44" t="s">
        <v>20937</v>
      </c>
      <c r="S137" s="44" t="s">
        <v>20938</v>
      </c>
      <c r="T137" s="44">
        <v>204</v>
      </c>
      <c r="U137" s="44" t="s">
        <v>20939</v>
      </c>
      <c r="V137" s="44" t="s">
        <v>20237</v>
      </c>
      <c r="W137" s="44" t="s">
        <v>20068</v>
      </c>
      <c r="X137" s="44" t="s">
        <v>20068</v>
      </c>
      <c r="Y137" s="44" t="s">
        <v>20068</v>
      </c>
      <c r="Z137" s="44" t="s">
        <v>20089</v>
      </c>
      <c r="AA137" s="44">
        <v>4256</v>
      </c>
      <c r="AB137" s="44" t="s">
        <v>343</v>
      </c>
      <c r="AC137" s="44"/>
      <c r="AD137" s="44" t="s">
        <v>20940</v>
      </c>
      <c r="AE137" s="44" t="s">
        <v>20941</v>
      </c>
      <c r="AF137" s="44" t="s">
        <v>291</v>
      </c>
      <c r="AG137" s="44" t="s">
        <v>20092</v>
      </c>
      <c r="AH137" s="44" t="s">
        <v>20093</v>
      </c>
      <c r="AI137" s="44" t="s">
        <v>18715</v>
      </c>
      <c r="AJ137" s="44" t="s">
        <v>20072</v>
      </c>
      <c r="AK137" s="43">
        <v>0</v>
      </c>
      <c r="AL137" s="44">
        <v>19</v>
      </c>
      <c r="AM137" s="44">
        <v>52</v>
      </c>
      <c r="AN137" s="44">
        <v>51.816805450416346</v>
      </c>
      <c r="AO137" s="44">
        <v>55.491329479768801</v>
      </c>
      <c r="AP137" s="46">
        <v>19.100000000000001</v>
      </c>
      <c r="AQ137" s="47">
        <v>5</v>
      </c>
      <c r="AR137" s="47">
        <v>5</v>
      </c>
      <c r="AS137" s="47">
        <v>0</v>
      </c>
      <c r="AT137" s="47">
        <v>0</v>
      </c>
      <c r="AU137" s="46">
        <v>1</v>
      </c>
      <c r="AV137" s="46">
        <v>8</v>
      </c>
      <c r="AW137" s="46">
        <v>5</v>
      </c>
      <c r="AX137" s="47">
        <v>3</v>
      </c>
      <c r="AY137" s="47">
        <v>2</v>
      </c>
      <c r="AZ137" s="47">
        <v>16</v>
      </c>
      <c r="BA137" s="47">
        <v>10</v>
      </c>
      <c r="BB137" s="46">
        <v>41</v>
      </c>
      <c r="BC137" s="48">
        <v>1</v>
      </c>
    </row>
    <row r="138" spans="1:55" s="42" customFormat="1" x14ac:dyDescent="0.2">
      <c r="A138" s="43">
        <v>1471</v>
      </c>
      <c r="B138" s="44" t="s">
        <v>20059</v>
      </c>
      <c r="C138" s="45">
        <v>44082</v>
      </c>
      <c r="D138" s="44" t="s">
        <v>20060</v>
      </c>
      <c r="E138" s="44" t="s">
        <v>20942</v>
      </c>
      <c r="F138" s="44" t="s">
        <v>20062</v>
      </c>
      <c r="G138" s="44">
        <v>9849</v>
      </c>
      <c r="H138" s="44" t="s">
        <v>20943</v>
      </c>
      <c r="I138" s="45">
        <v>43678</v>
      </c>
      <c r="J138" s="45">
        <v>44773</v>
      </c>
      <c r="K138" s="44" t="s">
        <v>83</v>
      </c>
      <c r="L138" s="44" t="s">
        <v>182</v>
      </c>
      <c r="M138" s="44" t="s">
        <v>287</v>
      </c>
      <c r="N138" s="44" t="s">
        <v>207</v>
      </c>
      <c r="O138" s="44" t="s">
        <v>288</v>
      </c>
      <c r="P138" s="44" t="s">
        <v>259</v>
      </c>
      <c r="Q138" s="44" t="s">
        <v>20944</v>
      </c>
      <c r="R138" s="44" t="s">
        <v>20945</v>
      </c>
      <c r="S138" s="44" t="s">
        <v>20508</v>
      </c>
      <c r="T138" s="44">
        <v>59</v>
      </c>
      <c r="U138" s="44" t="s">
        <v>20067</v>
      </c>
      <c r="V138" s="44" t="s">
        <v>20067</v>
      </c>
      <c r="W138" s="44" t="s">
        <v>20067</v>
      </c>
      <c r="X138" s="44" t="s">
        <v>20067</v>
      </c>
      <c r="Y138" s="44" t="s">
        <v>20067</v>
      </c>
      <c r="Z138" s="44" t="s">
        <v>20069</v>
      </c>
      <c r="AA138" s="44">
        <v>4457</v>
      </c>
      <c r="AB138" s="44" t="s">
        <v>344</v>
      </c>
      <c r="AC138" s="44" t="s">
        <v>19745</v>
      </c>
      <c r="AD138" s="44" t="s">
        <v>20877</v>
      </c>
      <c r="AE138" s="44" t="s">
        <v>20946</v>
      </c>
      <c r="AF138" s="44" t="s">
        <v>288</v>
      </c>
      <c r="AG138" s="44" t="s">
        <v>12593</v>
      </c>
      <c r="AH138" s="44" t="s">
        <v>413</v>
      </c>
      <c r="AI138" s="44" t="s">
        <v>18715</v>
      </c>
      <c r="AJ138" s="44" t="s">
        <v>20072</v>
      </c>
      <c r="AK138" s="43">
        <v>0</v>
      </c>
      <c r="AL138" s="44">
        <v>48</v>
      </c>
      <c r="AM138" s="44">
        <v>45.666666666666664</v>
      </c>
      <c r="AN138" s="44">
        <v>47.964642940218653</v>
      </c>
      <c r="AO138" s="44">
        <v>63.5792778649921</v>
      </c>
      <c r="AP138" s="46">
        <v>60.3</v>
      </c>
      <c r="AQ138" s="47">
        <v>3</v>
      </c>
      <c r="AR138" s="47">
        <v>5</v>
      </c>
      <c r="AS138" s="47">
        <v>0</v>
      </c>
      <c r="AT138" s="47">
        <v>0</v>
      </c>
      <c r="AU138" s="46">
        <v>3</v>
      </c>
      <c r="AV138" s="46">
        <v>6</v>
      </c>
      <c r="AW138" s="46">
        <v>5</v>
      </c>
      <c r="AX138" s="47">
        <v>5</v>
      </c>
      <c r="AY138" s="47">
        <v>6</v>
      </c>
      <c r="AZ138" s="47">
        <v>12</v>
      </c>
      <c r="BA138" s="47">
        <v>10</v>
      </c>
      <c r="BB138" s="46">
        <v>41</v>
      </c>
      <c r="BC138" s="48">
        <v>1</v>
      </c>
    </row>
    <row r="139" spans="1:55" s="42" customFormat="1" x14ac:dyDescent="0.2">
      <c r="A139" s="43">
        <v>1483</v>
      </c>
      <c r="B139" s="44" t="s">
        <v>20059</v>
      </c>
      <c r="C139" s="45">
        <v>44082</v>
      </c>
      <c r="D139" s="44" t="s">
        <v>20060</v>
      </c>
      <c r="E139" s="44" t="s">
        <v>20947</v>
      </c>
      <c r="F139" s="44" t="s">
        <v>20062</v>
      </c>
      <c r="G139" s="44">
        <v>0</v>
      </c>
      <c r="H139" s="44" t="s">
        <v>20948</v>
      </c>
      <c r="I139" s="45">
        <v>43435</v>
      </c>
      <c r="J139" s="45">
        <v>44530</v>
      </c>
      <c r="K139" s="44" t="s">
        <v>1149</v>
      </c>
      <c r="L139" s="44" t="s">
        <v>1150</v>
      </c>
      <c r="M139" s="44" t="s">
        <v>309</v>
      </c>
      <c r="N139" s="44" t="s">
        <v>207</v>
      </c>
      <c r="O139" s="44" t="s">
        <v>512</v>
      </c>
      <c r="P139" s="44" t="s">
        <v>309</v>
      </c>
      <c r="Q139" s="44" t="s">
        <v>20949</v>
      </c>
      <c r="R139" s="44" t="s">
        <v>20950</v>
      </c>
      <c r="S139" s="44" t="s">
        <v>20131</v>
      </c>
      <c r="T139" s="44">
        <v>59</v>
      </c>
      <c r="U139" s="44" t="s">
        <v>20067</v>
      </c>
      <c r="V139" s="44" t="s">
        <v>20683</v>
      </c>
      <c r="W139" s="44" t="s">
        <v>20068</v>
      </c>
      <c r="X139" s="44" t="s">
        <v>20068</v>
      </c>
      <c r="Y139" s="44" t="s">
        <v>20068</v>
      </c>
      <c r="Z139" s="44" t="s">
        <v>20089</v>
      </c>
      <c r="AA139" s="44">
        <v>4499</v>
      </c>
      <c r="AB139" s="44" t="s">
        <v>513</v>
      </c>
      <c r="AC139" s="44"/>
      <c r="AD139" s="44" t="s">
        <v>20462</v>
      </c>
      <c r="AE139" s="44" t="s">
        <v>20463</v>
      </c>
      <c r="AF139" s="44" t="s">
        <v>512</v>
      </c>
      <c r="AG139" s="44" t="s">
        <v>496</v>
      </c>
      <c r="AH139" s="44" t="s">
        <v>496</v>
      </c>
      <c r="AI139" s="44" t="s">
        <v>18715</v>
      </c>
      <c r="AJ139" s="44" t="s">
        <v>20072</v>
      </c>
      <c r="AK139" s="43">
        <v>0</v>
      </c>
      <c r="AL139" s="44">
        <v>38</v>
      </c>
      <c r="AM139" s="44">
        <v>45</v>
      </c>
      <c r="AN139" s="44">
        <v>47.123360984747123</v>
      </c>
      <c r="AO139" s="44">
        <v>47.793427230046902</v>
      </c>
      <c r="AP139" s="46">
        <v>38</v>
      </c>
      <c r="AQ139" s="47">
        <v>3</v>
      </c>
      <c r="AR139" s="47">
        <v>5</v>
      </c>
      <c r="AS139" s="47">
        <v>0</v>
      </c>
      <c r="AT139" s="47">
        <v>0</v>
      </c>
      <c r="AU139" s="46">
        <v>3</v>
      </c>
      <c r="AV139" s="46">
        <v>6</v>
      </c>
      <c r="AW139" s="46">
        <v>5</v>
      </c>
      <c r="AX139" s="47">
        <v>5</v>
      </c>
      <c r="AY139" s="47">
        <v>6</v>
      </c>
      <c r="AZ139" s="47">
        <v>12</v>
      </c>
      <c r="BA139" s="47">
        <v>10</v>
      </c>
      <c r="BB139" s="46">
        <v>41</v>
      </c>
      <c r="BC139" s="48">
        <v>1</v>
      </c>
    </row>
    <row r="140" spans="1:55" s="42" customFormat="1" x14ac:dyDescent="0.2">
      <c r="A140" s="43">
        <v>1485</v>
      </c>
      <c r="B140" s="44" t="s">
        <v>20059</v>
      </c>
      <c r="C140" s="45">
        <v>44082</v>
      </c>
      <c r="D140" s="44" t="s">
        <v>20060</v>
      </c>
      <c r="E140" s="44" t="s">
        <v>20951</v>
      </c>
      <c r="F140" s="44" t="s">
        <v>20062</v>
      </c>
      <c r="G140" s="44">
        <v>0</v>
      </c>
      <c r="H140" s="44" t="s">
        <v>20952</v>
      </c>
      <c r="I140" s="45">
        <v>43466</v>
      </c>
      <c r="J140" s="45">
        <v>44561</v>
      </c>
      <c r="K140" s="44" t="s">
        <v>84</v>
      </c>
      <c r="L140" s="44" t="s">
        <v>183</v>
      </c>
      <c r="M140" s="44" t="s">
        <v>276</v>
      </c>
      <c r="N140" s="44" t="s">
        <v>207</v>
      </c>
      <c r="O140" s="44" t="s">
        <v>277</v>
      </c>
      <c r="P140" s="44" t="s">
        <v>221</v>
      </c>
      <c r="Q140" s="44" t="s">
        <v>20953</v>
      </c>
      <c r="R140" s="44" t="s">
        <v>20954</v>
      </c>
      <c r="S140" s="44" t="s">
        <v>20131</v>
      </c>
      <c r="T140" s="44">
        <v>41</v>
      </c>
      <c r="U140" s="44" t="s">
        <v>20107</v>
      </c>
      <c r="V140" s="44" t="s">
        <v>20955</v>
      </c>
      <c r="W140" s="44" t="s">
        <v>20068</v>
      </c>
      <c r="X140" s="44" t="s">
        <v>20068</v>
      </c>
      <c r="Y140" s="44" t="s">
        <v>20068</v>
      </c>
      <c r="Z140" s="44" t="s">
        <v>20069</v>
      </c>
      <c r="AA140" s="44">
        <v>4437</v>
      </c>
      <c r="AB140" s="44" t="s">
        <v>339</v>
      </c>
      <c r="AC140" s="44"/>
      <c r="AD140" s="44" t="s">
        <v>20956</v>
      </c>
      <c r="AE140" s="44" t="s">
        <v>20957</v>
      </c>
      <c r="AF140" s="44" t="s">
        <v>277</v>
      </c>
      <c r="AG140" s="44" t="s">
        <v>7934</v>
      </c>
      <c r="AH140" s="44" t="s">
        <v>19096</v>
      </c>
      <c r="AI140" s="44" t="s">
        <v>18715</v>
      </c>
      <c r="AJ140" s="44" t="s">
        <v>20072</v>
      </c>
      <c r="AK140" s="43">
        <v>0</v>
      </c>
      <c r="AL140" s="44">
        <v>58</v>
      </c>
      <c r="AM140" s="44">
        <v>50</v>
      </c>
      <c r="AN140" s="44">
        <v>41.880969875091843</v>
      </c>
      <c r="AO140" s="44">
        <v>41.8809698750918</v>
      </c>
      <c r="AP140" s="46">
        <v>47.9</v>
      </c>
      <c r="AQ140" s="47">
        <v>3</v>
      </c>
      <c r="AR140" s="47">
        <v>5</v>
      </c>
      <c r="AS140" s="47">
        <v>0</v>
      </c>
      <c r="AT140" s="47">
        <v>0</v>
      </c>
      <c r="AU140" s="46">
        <v>5</v>
      </c>
      <c r="AV140" s="46">
        <v>6</v>
      </c>
      <c r="AW140" s="46">
        <v>3</v>
      </c>
      <c r="AX140" s="47">
        <v>5</v>
      </c>
      <c r="AY140" s="47">
        <v>10</v>
      </c>
      <c r="AZ140" s="47">
        <v>12</v>
      </c>
      <c r="BA140" s="47">
        <v>6</v>
      </c>
      <c r="BB140" s="46">
        <v>41</v>
      </c>
      <c r="BC140" s="48">
        <v>1</v>
      </c>
    </row>
    <row r="141" spans="1:55" s="42" customFormat="1" x14ac:dyDescent="0.2">
      <c r="A141" s="43">
        <v>1504</v>
      </c>
      <c r="B141" s="44" t="s">
        <v>20059</v>
      </c>
      <c r="C141" s="45">
        <v>44082</v>
      </c>
      <c r="D141" s="44" t="s">
        <v>20060</v>
      </c>
      <c r="E141" s="44" t="s">
        <v>20958</v>
      </c>
      <c r="F141" s="44" t="s">
        <v>20062</v>
      </c>
      <c r="G141" s="44">
        <v>9806</v>
      </c>
      <c r="H141" s="44" t="s">
        <v>20959</v>
      </c>
      <c r="I141" s="45">
        <v>43952</v>
      </c>
      <c r="J141" s="45">
        <v>45046</v>
      </c>
      <c r="K141" s="44" t="s">
        <v>85</v>
      </c>
      <c r="L141" s="44" t="s">
        <v>184</v>
      </c>
      <c r="M141" s="44" t="s">
        <v>251</v>
      </c>
      <c r="N141" s="44" t="s">
        <v>207</v>
      </c>
      <c r="O141" s="44" t="s">
        <v>257</v>
      </c>
      <c r="P141" s="44" t="s">
        <v>253</v>
      </c>
      <c r="Q141" s="44" t="s">
        <v>20960</v>
      </c>
      <c r="R141" s="44" t="s">
        <v>20961</v>
      </c>
      <c r="S141" s="44" t="s">
        <v>20962</v>
      </c>
      <c r="T141" s="44">
        <v>279</v>
      </c>
      <c r="U141" s="44" t="s">
        <v>20067</v>
      </c>
      <c r="V141" s="44" t="s">
        <v>20122</v>
      </c>
      <c r="W141" s="44" t="s">
        <v>20067</v>
      </c>
      <c r="X141" s="44" t="s">
        <v>20067</v>
      </c>
      <c r="Y141" s="44" t="s">
        <v>20068</v>
      </c>
      <c r="Z141" s="44" t="s">
        <v>20069</v>
      </c>
      <c r="AA141" s="44">
        <v>4407</v>
      </c>
      <c r="AB141" s="44" t="s">
        <v>331</v>
      </c>
      <c r="AC141" s="44"/>
      <c r="AD141" s="44" t="s">
        <v>20509</v>
      </c>
      <c r="AE141" s="44" t="s">
        <v>20963</v>
      </c>
      <c r="AF141" s="44" t="s">
        <v>257</v>
      </c>
      <c r="AG141" s="44" t="s">
        <v>20302</v>
      </c>
      <c r="AH141" s="44" t="s">
        <v>20303</v>
      </c>
      <c r="AI141" s="44" t="s">
        <v>18715</v>
      </c>
      <c r="AJ141" s="44" t="s">
        <v>20072</v>
      </c>
      <c r="AK141" s="43">
        <v>0</v>
      </c>
      <c r="AL141" s="44">
        <v>30</v>
      </c>
      <c r="AM141" s="44">
        <v>55.666666666666664</v>
      </c>
      <c r="AN141" s="44">
        <v>41.896713615023472</v>
      </c>
      <c r="AO141" s="44">
        <v>37.741312741312697</v>
      </c>
      <c r="AP141" s="46">
        <v>23.8</v>
      </c>
      <c r="AQ141" s="47">
        <v>5</v>
      </c>
      <c r="AR141" s="47">
        <v>5</v>
      </c>
      <c r="AS141" s="47">
        <v>0</v>
      </c>
      <c r="AT141" s="47">
        <v>0</v>
      </c>
      <c r="AU141" s="46">
        <v>3</v>
      </c>
      <c r="AV141" s="46">
        <v>8</v>
      </c>
      <c r="AW141" s="46">
        <v>3</v>
      </c>
      <c r="AX141" s="47">
        <v>3</v>
      </c>
      <c r="AY141" s="47">
        <v>6</v>
      </c>
      <c r="AZ141" s="47">
        <v>16</v>
      </c>
      <c r="BA141" s="47">
        <v>6</v>
      </c>
      <c r="BB141" s="46">
        <v>41</v>
      </c>
      <c r="BC141" s="48">
        <v>1</v>
      </c>
    </row>
    <row r="142" spans="1:55" s="42" customFormat="1" x14ac:dyDescent="0.2">
      <c r="A142" s="43">
        <v>1532</v>
      </c>
      <c r="B142" s="44" t="s">
        <v>20059</v>
      </c>
      <c r="C142" s="45">
        <v>44082</v>
      </c>
      <c r="D142" s="44" t="s">
        <v>20073</v>
      </c>
      <c r="E142" s="44" t="s">
        <v>20964</v>
      </c>
      <c r="F142" s="44" t="s">
        <v>20075</v>
      </c>
      <c r="G142" s="44">
        <v>0</v>
      </c>
      <c r="H142" s="44" t="s">
        <v>20965</v>
      </c>
      <c r="I142" s="45">
        <v>43672</v>
      </c>
      <c r="J142" s="45">
        <v>44742</v>
      </c>
      <c r="K142" s="44" t="s">
        <v>1151</v>
      </c>
      <c r="L142" s="44" t="s">
        <v>1152</v>
      </c>
      <c r="M142" s="44" t="s">
        <v>222</v>
      </c>
      <c r="N142" s="44" t="s">
        <v>207</v>
      </c>
      <c r="O142" s="44" t="s">
        <v>223</v>
      </c>
      <c r="P142" s="44" t="s">
        <v>224</v>
      </c>
      <c r="Q142" s="44" t="s">
        <v>20966</v>
      </c>
      <c r="R142" s="44" t="s">
        <v>20967</v>
      </c>
      <c r="S142" s="44" t="s">
        <v>20131</v>
      </c>
      <c r="T142" s="44">
        <v>245</v>
      </c>
      <c r="U142" s="44" t="s">
        <v>20067</v>
      </c>
      <c r="V142" s="44" t="s">
        <v>20067</v>
      </c>
      <c r="W142" s="44" t="s">
        <v>20067</v>
      </c>
      <c r="X142" s="44" t="s">
        <v>20068</v>
      </c>
      <c r="Y142" s="44" t="s">
        <v>20067</v>
      </c>
      <c r="Z142" s="44" t="s">
        <v>20089</v>
      </c>
      <c r="AA142" s="44">
        <v>4280</v>
      </c>
      <c r="AB142" s="44" t="s">
        <v>376</v>
      </c>
      <c r="AC142" s="44"/>
      <c r="AD142" s="44" t="s">
        <v>20780</v>
      </c>
      <c r="AE142" s="44" t="s">
        <v>20781</v>
      </c>
      <c r="AF142" s="44" t="s">
        <v>223</v>
      </c>
      <c r="AG142" s="44" t="s">
        <v>20092</v>
      </c>
      <c r="AH142" s="44" t="s">
        <v>20126</v>
      </c>
      <c r="AI142" s="44" t="s">
        <v>18715</v>
      </c>
      <c r="AJ142" s="44" t="s">
        <v>20072</v>
      </c>
      <c r="AK142" s="43">
        <v>0</v>
      </c>
      <c r="AL142" s="44">
        <v>35</v>
      </c>
      <c r="AM142" s="44">
        <v>55.333333333333336</v>
      </c>
      <c r="AN142" s="44">
        <v>27.696958246740977</v>
      </c>
      <c r="AO142" s="44">
        <v>14.84375</v>
      </c>
      <c r="AP142" s="46">
        <v>19.100000000000001</v>
      </c>
      <c r="AQ142" s="47">
        <v>5</v>
      </c>
      <c r="AR142" s="47">
        <v>5</v>
      </c>
      <c r="AS142" s="47">
        <v>0</v>
      </c>
      <c r="AT142" s="47">
        <v>0</v>
      </c>
      <c r="AU142" s="46">
        <v>3</v>
      </c>
      <c r="AV142" s="46">
        <v>8</v>
      </c>
      <c r="AW142" s="46">
        <v>3</v>
      </c>
      <c r="AX142" s="47">
        <v>3</v>
      </c>
      <c r="AY142" s="47">
        <v>6</v>
      </c>
      <c r="AZ142" s="47">
        <v>16</v>
      </c>
      <c r="BA142" s="47">
        <v>6</v>
      </c>
      <c r="BB142" s="46">
        <v>41</v>
      </c>
      <c r="BC142" s="48">
        <v>1</v>
      </c>
    </row>
    <row r="143" spans="1:55" s="42" customFormat="1" x14ac:dyDescent="0.2">
      <c r="A143" s="43">
        <v>1880</v>
      </c>
      <c r="B143" s="44" t="s">
        <v>20059</v>
      </c>
      <c r="C143" s="45">
        <v>44082</v>
      </c>
      <c r="D143" s="44" t="s">
        <v>20073</v>
      </c>
      <c r="E143" s="44" t="s">
        <v>20968</v>
      </c>
      <c r="F143" s="44" t="s">
        <v>20075</v>
      </c>
      <c r="G143" s="44">
        <v>89583</v>
      </c>
      <c r="H143" s="44" t="s">
        <v>20969</v>
      </c>
      <c r="I143" s="45">
        <v>43466</v>
      </c>
      <c r="J143" s="45">
        <v>44561</v>
      </c>
      <c r="K143" s="44" t="s">
        <v>1153</v>
      </c>
      <c r="L143" s="44" t="s">
        <v>1154</v>
      </c>
      <c r="M143" s="44" t="s">
        <v>1155</v>
      </c>
      <c r="N143" s="44" t="s">
        <v>207</v>
      </c>
      <c r="O143" s="44" t="s">
        <v>1025</v>
      </c>
      <c r="P143" s="44" t="s">
        <v>297</v>
      </c>
      <c r="Q143" s="44" t="s">
        <v>3277</v>
      </c>
      <c r="R143" s="44" t="s">
        <v>20970</v>
      </c>
      <c r="S143" s="44" t="s">
        <v>20971</v>
      </c>
      <c r="T143" s="44">
        <v>88</v>
      </c>
      <c r="U143" s="44" t="s">
        <v>20067</v>
      </c>
      <c r="V143" s="44" t="s">
        <v>20067</v>
      </c>
      <c r="W143" s="44" t="s">
        <v>20067</v>
      </c>
      <c r="X143" s="44" t="s">
        <v>20068</v>
      </c>
      <c r="Y143" s="44" t="s">
        <v>20067</v>
      </c>
      <c r="Z143" s="44" t="s">
        <v>20069</v>
      </c>
      <c r="AA143" s="44">
        <v>4211</v>
      </c>
      <c r="AB143" s="44" t="s">
        <v>1021</v>
      </c>
      <c r="AC143" s="44"/>
      <c r="AD143" s="44" t="s">
        <v>20972</v>
      </c>
      <c r="AE143" s="44" t="s">
        <v>20973</v>
      </c>
      <c r="AF143" s="44" t="s">
        <v>1025</v>
      </c>
      <c r="AG143" s="44" t="s">
        <v>3149</v>
      </c>
      <c r="AH143" s="44" t="s">
        <v>1014</v>
      </c>
      <c r="AI143" s="44" t="s">
        <v>18715</v>
      </c>
      <c r="AJ143" s="44" t="s">
        <v>20072</v>
      </c>
      <c r="AK143" s="43">
        <v>0</v>
      </c>
      <c r="AL143" s="44">
        <v>36.85</v>
      </c>
      <c r="AM143" s="44">
        <v>59</v>
      </c>
      <c r="AN143" s="44">
        <v>33.111111111111114</v>
      </c>
      <c r="AO143" s="44">
        <v>6.9727891156462602</v>
      </c>
      <c r="AP143" s="46">
        <v>62.3</v>
      </c>
      <c r="AQ143" s="47">
        <v>3</v>
      </c>
      <c r="AR143" s="47">
        <v>5</v>
      </c>
      <c r="AS143" s="47">
        <v>0</v>
      </c>
      <c r="AT143" s="47">
        <v>0</v>
      </c>
      <c r="AU143" s="46">
        <v>3</v>
      </c>
      <c r="AV143" s="46">
        <v>8</v>
      </c>
      <c r="AW143" s="46">
        <v>3</v>
      </c>
      <c r="AX143" s="47">
        <v>5</v>
      </c>
      <c r="AY143" s="47">
        <v>6</v>
      </c>
      <c r="AZ143" s="47">
        <v>16</v>
      </c>
      <c r="BA143" s="47">
        <v>6</v>
      </c>
      <c r="BB143" s="46">
        <v>41</v>
      </c>
      <c r="BC143" s="48">
        <v>1</v>
      </c>
    </row>
    <row r="144" spans="1:55" s="42" customFormat="1" x14ac:dyDescent="0.2">
      <c r="A144" s="43">
        <v>1903</v>
      </c>
      <c r="B144" s="44" t="s">
        <v>20059</v>
      </c>
      <c r="C144" s="45">
        <v>44082</v>
      </c>
      <c r="D144" s="44" t="s">
        <v>20073</v>
      </c>
      <c r="E144" s="44" t="s">
        <v>20974</v>
      </c>
      <c r="F144" s="44" t="s">
        <v>20075</v>
      </c>
      <c r="G144" s="44">
        <v>0</v>
      </c>
      <c r="H144" s="44" t="s">
        <v>20975</v>
      </c>
      <c r="I144" s="45">
        <v>44013</v>
      </c>
      <c r="J144" s="45">
        <v>45107</v>
      </c>
      <c r="K144" s="44" t="s">
        <v>87</v>
      </c>
      <c r="L144" s="44" t="s">
        <v>186</v>
      </c>
      <c r="M144" s="44" t="s">
        <v>300</v>
      </c>
      <c r="N144" s="44" t="s">
        <v>207</v>
      </c>
      <c r="O144" s="44" t="s">
        <v>301</v>
      </c>
      <c r="P144" s="44" t="s">
        <v>221</v>
      </c>
      <c r="Q144" s="44" t="s">
        <v>20976</v>
      </c>
      <c r="R144" s="44" t="s">
        <v>20977</v>
      </c>
      <c r="S144" s="44" t="s">
        <v>20978</v>
      </c>
      <c r="T144" s="44">
        <v>59</v>
      </c>
      <c r="U144" s="44" t="s">
        <v>20067</v>
      </c>
      <c r="V144" s="44" t="s">
        <v>20067</v>
      </c>
      <c r="W144" s="44" t="s">
        <v>20067</v>
      </c>
      <c r="X144" s="44" t="s">
        <v>20068</v>
      </c>
      <c r="Y144" s="44" t="s">
        <v>20067</v>
      </c>
      <c r="Z144" s="44" t="s">
        <v>20089</v>
      </c>
      <c r="AA144" s="44">
        <v>4444</v>
      </c>
      <c r="AB144" s="44" t="s">
        <v>352</v>
      </c>
      <c r="AC144" s="44"/>
      <c r="AD144" s="44" t="s">
        <v>20979</v>
      </c>
      <c r="AE144" s="44" t="s">
        <v>20980</v>
      </c>
      <c r="AF144" s="44" t="s">
        <v>301</v>
      </c>
      <c r="AG144" s="44" t="s">
        <v>7934</v>
      </c>
      <c r="AH144" s="44" t="s">
        <v>20677</v>
      </c>
      <c r="AI144" s="44" t="s">
        <v>18723</v>
      </c>
      <c r="AJ144" s="44" t="s">
        <v>20083</v>
      </c>
      <c r="AK144" s="43">
        <v>0</v>
      </c>
      <c r="AL144" s="44">
        <v>99</v>
      </c>
      <c r="AM144" s="44">
        <v>53.666666666666664</v>
      </c>
      <c r="AN144" s="44">
        <v>14.532482162974089</v>
      </c>
      <c r="AO144" s="44">
        <v>11.9424460431655</v>
      </c>
      <c r="AP144" s="46">
        <v>47.9</v>
      </c>
      <c r="AQ144" s="47">
        <v>3</v>
      </c>
      <c r="AR144" s="47">
        <v>0</v>
      </c>
      <c r="AS144" s="47">
        <v>1</v>
      </c>
      <c r="AT144" s="47">
        <v>0</v>
      </c>
      <c r="AU144" s="46">
        <v>5</v>
      </c>
      <c r="AV144" s="46">
        <v>8</v>
      </c>
      <c r="AW144" s="46">
        <v>3</v>
      </c>
      <c r="AX144" s="47">
        <v>5</v>
      </c>
      <c r="AY144" s="47">
        <v>10</v>
      </c>
      <c r="AZ144" s="47">
        <v>16</v>
      </c>
      <c r="BA144" s="47">
        <v>6</v>
      </c>
      <c r="BB144" s="46">
        <v>41</v>
      </c>
      <c r="BC144" s="48">
        <v>1</v>
      </c>
    </row>
    <row r="145" spans="1:55" s="42" customFormat="1" x14ac:dyDescent="0.2">
      <c r="A145" s="43">
        <v>1913</v>
      </c>
      <c r="B145" s="44" t="s">
        <v>20059</v>
      </c>
      <c r="C145" s="45">
        <v>44082</v>
      </c>
      <c r="D145" s="44" t="s">
        <v>20073</v>
      </c>
      <c r="E145" s="44" t="s">
        <v>20981</v>
      </c>
      <c r="F145" s="44" t="s">
        <v>20075</v>
      </c>
      <c r="G145" s="44">
        <v>0</v>
      </c>
      <c r="H145" s="44" t="s">
        <v>20982</v>
      </c>
      <c r="I145" s="45">
        <v>44105</v>
      </c>
      <c r="J145" s="45">
        <v>45199</v>
      </c>
      <c r="K145" s="44" t="s">
        <v>88</v>
      </c>
      <c r="L145" s="44" t="s">
        <v>187</v>
      </c>
      <c r="M145" s="44" t="s">
        <v>222</v>
      </c>
      <c r="N145" s="44" t="s">
        <v>207</v>
      </c>
      <c r="O145" s="44" t="s">
        <v>302</v>
      </c>
      <c r="P145" s="44" t="s">
        <v>224</v>
      </c>
      <c r="Q145" s="44" t="s">
        <v>20983</v>
      </c>
      <c r="R145" s="44" t="s">
        <v>20984</v>
      </c>
      <c r="S145" s="44" t="s">
        <v>20985</v>
      </c>
      <c r="T145" s="44">
        <v>205</v>
      </c>
      <c r="U145" s="44" t="s">
        <v>20067</v>
      </c>
      <c r="V145" s="44" t="s">
        <v>20067</v>
      </c>
      <c r="W145" s="44" t="s">
        <v>20067</v>
      </c>
      <c r="X145" s="44" t="s">
        <v>20067</v>
      </c>
      <c r="Y145" s="44" t="s">
        <v>20068</v>
      </c>
      <c r="Z145" s="44" t="s">
        <v>20089</v>
      </c>
      <c r="AA145" s="44">
        <v>4256</v>
      </c>
      <c r="AB145" s="44" t="s">
        <v>343</v>
      </c>
      <c r="AC145" s="44"/>
      <c r="AD145" s="44" t="s">
        <v>20986</v>
      </c>
      <c r="AE145" s="44" t="s">
        <v>20987</v>
      </c>
      <c r="AF145" s="44" t="s">
        <v>302</v>
      </c>
      <c r="AG145" s="44" t="s">
        <v>20092</v>
      </c>
      <c r="AH145" s="44" t="s">
        <v>20093</v>
      </c>
      <c r="AI145" s="44" t="s">
        <v>18715</v>
      </c>
      <c r="AJ145" s="44" t="s">
        <v>20072</v>
      </c>
      <c r="AK145" s="43">
        <v>0</v>
      </c>
      <c r="AL145" s="44">
        <v>19</v>
      </c>
      <c r="AM145" s="44">
        <v>52</v>
      </c>
      <c r="AN145" s="44">
        <v>56.742055539650728</v>
      </c>
      <c r="AO145" s="44">
        <v>56.859410430838999</v>
      </c>
      <c r="AP145" s="46">
        <v>19.100000000000001</v>
      </c>
      <c r="AQ145" s="47">
        <v>5</v>
      </c>
      <c r="AR145" s="47">
        <v>5</v>
      </c>
      <c r="AS145" s="47">
        <v>0</v>
      </c>
      <c r="AT145" s="47">
        <v>0</v>
      </c>
      <c r="AU145" s="46">
        <v>1</v>
      </c>
      <c r="AV145" s="46">
        <v>8</v>
      </c>
      <c r="AW145" s="46">
        <v>5</v>
      </c>
      <c r="AX145" s="47">
        <v>3</v>
      </c>
      <c r="AY145" s="47">
        <v>2</v>
      </c>
      <c r="AZ145" s="47">
        <v>16</v>
      </c>
      <c r="BA145" s="47">
        <v>10</v>
      </c>
      <c r="BB145" s="46">
        <v>41</v>
      </c>
      <c r="BC145" s="48">
        <v>1</v>
      </c>
    </row>
    <row r="146" spans="1:55" s="42" customFormat="1" x14ac:dyDescent="0.2">
      <c r="A146" s="43">
        <v>1916</v>
      </c>
      <c r="B146" s="44" t="s">
        <v>20059</v>
      </c>
      <c r="C146" s="45">
        <v>44082</v>
      </c>
      <c r="D146" s="44" t="s">
        <v>20073</v>
      </c>
      <c r="E146" s="44" t="s">
        <v>20988</v>
      </c>
      <c r="F146" s="44" t="s">
        <v>20075</v>
      </c>
      <c r="G146" s="44">
        <v>0</v>
      </c>
      <c r="H146" s="44" t="s">
        <v>20989</v>
      </c>
      <c r="I146" s="45">
        <v>43132</v>
      </c>
      <c r="J146" s="45">
        <v>44227</v>
      </c>
      <c r="K146" s="44" t="s">
        <v>89</v>
      </c>
      <c r="L146" s="44" t="s">
        <v>188</v>
      </c>
      <c r="M146" s="44" t="s">
        <v>222</v>
      </c>
      <c r="N146" s="44" t="s">
        <v>207</v>
      </c>
      <c r="O146" s="44" t="s">
        <v>291</v>
      </c>
      <c r="P146" s="44" t="s">
        <v>224</v>
      </c>
      <c r="Q146" s="44" t="s">
        <v>20983</v>
      </c>
      <c r="R146" s="44" t="s">
        <v>20990</v>
      </c>
      <c r="S146" s="44" t="s">
        <v>20991</v>
      </c>
      <c r="T146" s="44">
        <v>265</v>
      </c>
      <c r="U146" s="44" t="s">
        <v>20067</v>
      </c>
      <c r="V146" s="44" t="s">
        <v>20067</v>
      </c>
      <c r="W146" s="44" t="s">
        <v>20067</v>
      </c>
      <c r="X146" s="44" t="s">
        <v>20067</v>
      </c>
      <c r="Y146" s="44" t="s">
        <v>20068</v>
      </c>
      <c r="Z146" s="44" t="s">
        <v>20089</v>
      </c>
      <c r="AA146" s="44">
        <v>4256</v>
      </c>
      <c r="AB146" s="44" t="s">
        <v>343</v>
      </c>
      <c r="AC146" s="44"/>
      <c r="AD146" s="44" t="s">
        <v>20759</v>
      </c>
      <c r="AE146" s="44" t="s">
        <v>20920</v>
      </c>
      <c r="AF146" s="44" t="s">
        <v>291</v>
      </c>
      <c r="AG146" s="44" t="s">
        <v>20092</v>
      </c>
      <c r="AH146" s="44" t="s">
        <v>20093</v>
      </c>
      <c r="AI146" s="44" t="s">
        <v>18715</v>
      </c>
      <c r="AJ146" s="44" t="s">
        <v>20072</v>
      </c>
      <c r="AK146" s="43">
        <v>0</v>
      </c>
      <c r="AL146" s="44">
        <v>19</v>
      </c>
      <c r="AM146" s="44">
        <v>52</v>
      </c>
      <c r="AN146" s="44">
        <v>69.156774457634057</v>
      </c>
      <c r="AO146" s="44">
        <v>99.151823579304505</v>
      </c>
      <c r="AP146" s="46">
        <v>19.100000000000001</v>
      </c>
      <c r="AQ146" s="47">
        <v>5</v>
      </c>
      <c r="AR146" s="47">
        <v>5</v>
      </c>
      <c r="AS146" s="47">
        <v>0</v>
      </c>
      <c r="AT146" s="47">
        <v>0</v>
      </c>
      <c r="AU146" s="46">
        <v>1</v>
      </c>
      <c r="AV146" s="46">
        <v>8</v>
      </c>
      <c r="AW146" s="46">
        <v>5</v>
      </c>
      <c r="AX146" s="47">
        <v>3</v>
      </c>
      <c r="AY146" s="47">
        <v>2</v>
      </c>
      <c r="AZ146" s="47">
        <v>16</v>
      </c>
      <c r="BA146" s="47">
        <v>10</v>
      </c>
      <c r="BB146" s="46">
        <v>41</v>
      </c>
      <c r="BC146" s="48">
        <v>1</v>
      </c>
    </row>
    <row r="147" spans="1:55" s="42" customFormat="1" x14ac:dyDescent="0.2">
      <c r="A147" s="43">
        <v>1921</v>
      </c>
      <c r="B147" s="44" t="s">
        <v>20059</v>
      </c>
      <c r="C147" s="45">
        <v>44082</v>
      </c>
      <c r="D147" s="44" t="s">
        <v>20073</v>
      </c>
      <c r="E147" s="44" t="s">
        <v>20992</v>
      </c>
      <c r="F147" s="44" t="s">
        <v>20075</v>
      </c>
      <c r="G147" s="44">
        <v>0</v>
      </c>
      <c r="H147" s="44" t="s">
        <v>20993</v>
      </c>
      <c r="I147" s="45">
        <v>43191</v>
      </c>
      <c r="J147" s="45">
        <v>44286</v>
      </c>
      <c r="K147" s="44" t="s">
        <v>90</v>
      </c>
      <c r="L147" s="44" t="s">
        <v>189</v>
      </c>
      <c r="M147" s="44" t="s">
        <v>222</v>
      </c>
      <c r="N147" s="44" t="s">
        <v>207</v>
      </c>
      <c r="O147" s="44" t="s">
        <v>303</v>
      </c>
      <c r="P147" s="44" t="s">
        <v>224</v>
      </c>
      <c r="Q147" s="44" t="s">
        <v>20983</v>
      </c>
      <c r="R147" s="44" t="s">
        <v>20994</v>
      </c>
      <c r="S147" s="44" t="s">
        <v>20985</v>
      </c>
      <c r="T147" s="44">
        <v>505</v>
      </c>
      <c r="U147" s="44" t="s">
        <v>20067</v>
      </c>
      <c r="V147" s="44" t="s">
        <v>20067</v>
      </c>
      <c r="W147" s="44" t="s">
        <v>20067</v>
      </c>
      <c r="X147" s="44" t="s">
        <v>20067</v>
      </c>
      <c r="Y147" s="44" t="s">
        <v>20068</v>
      </c>
      <c r="Z147" s="44" t="s">
        <v>20089</v>
      </c>
      <c r="AA147" s="44">
        <v>4256</v>
      </c>
      <c r="AB147" s="44" t="s">
        <v>343</v>
      </c>
      <c r="AC147" s="44"/>
      <c r="AD147" s="44" t="s">
        <v>20995</v>
      </c>
      <c r="AE147" s="44" t="s">
        <v>20996</v>
      </c>
      <c r="AF147" s="44" t="s">
        <v>303</v>
      </c>
      <c r="AG147" s="44" t="s">
        <v>20092</v>
      </c>
      <c r="AH147" s="44" t="s">
        <v>20093</v>
      </c>
      <c r="AI147" s="44" t="s">
        <v>18715</v>
      </c>
      <c r="AJ147" s="44" t="s">
        <v>20072</v>
      </c>
      <c r="AK147" s="43">
        <v>0</v>
      </c>
      <c r="AL147" s="44">
        <v>19</v>
      </c>
      <c r="AM147" s="44">
        <v>52</v>
      </c>
      <c r="AN147" s="44">
        <v>51.430781129156998</v>
      </c>
      <c r="AO147" s="44">
        <v>59.292929292929301</v>
      </c>
      <c r="AP147" s="46">
        <v>19.100000000000001</v>
      </c>
      <c r="AQ147" s="47">
        <v>5</v>
      </c>
      <c r="AR147" s="47">
        <v>5</v>
      </c>
      <c r="AS147" s="47">
        <v>0</v>
      </c>
      <c r="AT147" s="47">
        <v>0</v>
      </c>
      <c r="AU147" s="46">
        <v>1</v>
      </c>
      <c r="AV147" s="46">
        <v>8</v>
      </c>
      <c r="AW147" s="46">
        <v>5</v>
      </c>
      <c r="AX147" s="47">
        <v>3</v>
      </c>
      <c r="AY147" s="47">
        <v>2</v>
      </c>
      <c r="AZ147" s="47">
        <v>16</v>
      </c>
      <c r="BA147" s="47">
        <v>10</v>
      </c>
      <c r="BB147" s="46">
        <v>41</v>
      </c>
      <c r="BC147" s="48">
        <v>1</v>
      </c>
    </row>
    <row r="148" spans="1:55" s="42" customFormat="1" x14ac:dyDescent="0.2">
      <c r="A148" s="43">
        <v>1923</v>
      </c>
      <c r="B148" s="44" t="s">
        <v>20059</v>
      </c>
      <c r="C148" s="45">
        <v>44082</v>
      </c>
      <c r="D148" s="44" t="s">
        <v>20073</v>
      </c>
      <c r="E148" s="44" t="s">
        <v>20997</v>
      </c>
      <c r="F148" s="44" t="s">
        <v>20075</v>
      </c>
      <c r="G148" s="44">
        <v>0</v>
      </c>
      <c r="H148" s="44" t="s">
        <v>20998</v>
      </c>
      <c r="I148" s="45">
        <v>43191</v>
      </c>
      <c r="J148" s="45">
        <v>44286</v>
      </c>
      <c r="K148" s="44" t="s">
        <v>91</v>
      </c>
      <c r="L148" s="44" t="s">
        <v>190</v>
      </c>
      <c r="M148" s="44" t="s">
        <v>222</v>
      </c>
      <c r="N148" s="44" t="s">
        <v>207</v>
      </c>
      <c r="O148" s="44" t="s">
        <v>286</v>
      </c>
      <c r="P148" s="44" t="s">
        <v>224</v>
      </c>
      <c r="Q148" s="44" t="s">
        <v>20983</v>
      </c>
      <c r="R148" s="44" t="s">
        <v>20999</v>
      </c>
      <c r="S148" s="44" t="s">
        <v>21000</v>
      </c>
      <c r="T148" s="44">
        <v>185</v>
      </c>
      <c r="U148" s="44" t="s">
        <v>20067</v>
      </c>
      <c r="V148" s="44" t="s">
        <v>20067</v>
      </c>
      <c r="W148" s="44" t="s">
        <v>20067</v>
      </c>
      <c r="X148" s="44" t="s">
        <v>20067</v>
      </c>
      <c r="Y148" s="44" t="s">
        <v>20068</v>
      </c>
      <c r="Z148" s="44" t="s">
        <v>20089</v>
      </c>
      <c r="AA148" s="44">
        <v>4256</v>
      </c>
      <c r="AB148" s="44" t="s">
        <v>343</v>
      </c>
      <c r="AC148" s="44"/>
      <c r="AD148" s="44" t="s">
        <v>21001</v>
      </c>
      <c r="AE148" s="44" t="s">
        <v>21002</v>
      </c>
      <c r="AF148" s="44" t="s">
        <v>286</v>
      </c>
      <c r="AG148" s="44" t="s">
        <v>20092</v>
      </c>
      <c r="AH148" s="44" t="s">
        <v>20093</v>
      </c>
      <c r="AI148" s="44" t="s">
        <v>18715</v>
      </c>
      <c r="AJ148" s="44" t="s">
        <v>20072</v>
      </c>
      <c r="AK148" s="43">
        <v>0</v>
      </c>
      <c r="AL148" s="44">
        <v>19</v>
      </c>
      <c r="AM148" s="44">
        <v>52</v>
      </c>
      <c r="AN148" s="44">
        <v>61.358313817330213</v>
      </c>
      <c r="AO148" s="44">
        <v>66.772959183673507</v>
      </c>
      <c r="AP148" s="46">
        <v>19.100000000000001</v>
      </c>
      <c r="AQ148" s="47">
        <v>5</v>
      </c>
      <c r="AR148" s="47">
        <v>5</v>
      </c>
      <c r="AS148" s="47">
        <v>0</v>
      </c>
      <c r="AT148" s="47">
        <v>0</v>
      </c>
      <c r="AU148" s="46">
        <v>1</v>
      </c>
      <c r="AV148" s="46">
        <v>8</v>
      </c>
      <c r="AW148" s="46">
        <v>5</v>
      </c>
      <c r="AX148" s="47">
        <v>3</v>
      </c>
      <c r="AY148" s="47">
        <v>2</v>
      </c>
      <c r="AZ148" s="47">
        <v>16</v>
      </c>
      <c r="BA148" s="47">
        <v>10</v>
      </c>
      <c r="BB148" s="46">
        <v>41</v>
      </c>
      <c r="BC148" s="48">
        <v>1</v>
      </c>
    </row>
    <row r="149" spans="1:55" s="42" customFormat="1" x14ac:dyDescent="0.2">
      <c r="A149" s="43">
        <v>2028</v>
      </c>
      <c r="B149" s="44" t="s">
        <v>20059</v>
      </c>
      <c r="C149" s="45">
        <v>44082</v>
      </c>
      <c r="D149" s="44" t="s">
        <v>20073</v>
      </c>
      <c r="E149" s="44" t="s">
        <v>21003</v>
      </c>
      <c r="F149" s="44" t="s">
        <v>20075</v>
      </c>
      <c r="G149" s="44">
        <v>0</v>
      </c>
      <c r="H149" s="44" t="s">
        <v>21004</v>
      </c>
      <c r="I149" s="45">
        <v>43191</v>
      </c>
      <c r="J149" s="45">
        <v>44286</v>
      </c>
      <c r="K149" s="44" t="s">
        <v>92</v>
      </c>
      <c r="L149" s="44" t="s">
        <v>191</v>
      </c>
      <c r="M149" s="44" t="s">
        <v>251</v>
      </c>
      <c r="N149" s="44" t="s">
        <v>207</v>
      </c>
      <c r="O149" s="44" t="s">
        <v>257</v>
      </c>
      <c r="P149" s="44" t="s">
        <v>253</v>
      </c>
      <c r="Q149" s="44" t="s">
        <v>21005</v>
      </c>
      <c r="R149" s="44" t="s">
        <v>21006</v>
      </c>
      <c r="S149" s="44" t="s">
        <v>20131</v>
      </c>
      <c r="T149" s="44">
        <v>10</v>
      </c>
      <c r="U149" s="44" t="s">
        <v>20121</v>
      </c>
      <c r="V149" s="44" t="s">
        <v>20067</v>
      </c>
      <c r="W149" s="44" t="s">
        <v>20067</v>
      </c>
      <c r="X149" s="44" t="s">
        <v>20067</v>
      </c>
      <c r="Y149" s="44" t="s">
        <v>20067</v>
      </c>
      <c r="Z149" s="44" t="s">
        <v>20069</v>
      </c>
      <c r="AA149" s="44">
        <v>4407</v>
      </c>
      <c r="AB149" s="44" t="s">
        <v>331</v>
      </c>
      <c r="AC149" s="44"/>
      <c r="AD149" s="44" t="s">
        <v>20300</v>
      </c>
      <c r="AE149" s="44" t="s">
        <v>20301</v>
      </c>
      <c r="AF149" s="44" t="s">
        <v>257</v>
      </c>
      <c r="AG149" s="44" t="s">
        <v>20302</v>
      </c>
      <c r="AH149" s="44" t="s">
        <v>20303</v>
      </c>
      <c r="AI149" s="44" t="s">
        <v>18715</v>
      </c>
      <c r="AJ149" s="44" t="s">
        <v>20072</v>
      </c>
      <c r="AK149" s="43">
        <v>0</v>
      </c>
      <c r="AL149" s="44">
        <v>30</v>
      </c>
      <c r="AM149" s="44">
        <v>55.666666666666664</v>
      </c>
      <c r="AN149" s="44">
        <v>53.344982526210686</v>
      </c>
      <c r="AO149" s="44">
        <v>53.3449825262107</v>
      </c>
      <c r="AP149" s="46">
        <v>23.8</v>
      </c>
      <c r="AQ149" s="47">
        <v>1</v>
      </c>
      <c r="AR149" s="47">
        <v>5</v>
      </c>
      <c r="AS149" s="47">
        <v>0</v>
      </c>
      <c r="AT149" s="47">
        <v>0</v>
      </c>
      <c r="AU149" s="46">
        <v>3</v>
      </c>
      <c r="AV149" s="46">
        <v>8</v>
      </c>
      <c r="AW149" s="46">
        <v>5</v>
      </c>
      <c r="AX149" s="47">
        <v>3</v>
      </c>
      <c r="AY149" s="47">
        <v>6</v>
      </c>
      <c r="AZ149" s="47">
        <v>16</v>
      </c>
      <c r="BA149" s="47">
        <v>10</v>
      </c>
      <c r="BB149" s="46">
        <v>41</v>
      </c>
      <c r="BC149" s="48">
        <v>1</v>
      </c>
    </row>
    <row r="150" spans="1:55" s="42" customFormat="1" x14ac:dyDescent="0.2">
      <c r="A150" s="43">
        <v>2133</v>
      </c>
      <c r="B150" s="44" t="s">
        <v>20059</v>
      </c>
      <c r="C150" s="45">
        <v>44082</v>
      </c>
      <c r="D150" s="44" t="s">
        <v>20073</v>
      </c>
      <c r="E150" s="44" t="s">
        <v>21007</v>
      </c>
      <c r="F150" s="44" t="s">
        <v>20075</v>
      </c>
      <c r="G150" s="44">
        <v>0</v>
      </c>
      <c r="H150" s="44" t="s">
        <v>21008</v>
      </c>
      <c r="I150" s="45">
        <v>43405</v>
      </c>
      <c r="J150" s="45">
        <v>44500</v>
      </c>
      <c r="K150" s="44" t="s">
        <v>1156</v>
      </c>
      <c r="L150" s="44" t="s">
        <v>1157</v>
      </c>
      <c r="M150" s="44" t="s">
        <v>222</v>
      </c>
      <c r="N150" s="44" t="s">
        <v>207</v>
      </c>
      <c r="O150" s="44" t="s">
        <v>304</v>
      </c>
      <c r="P150" s="44" t="s">
        <v>224</v>
      </c>
      <c r="Q150" s="44" t="s">
        <v>21009</v>
      </c>
      <c r="R150" s="44" t="s">
        <v>21010</v>
      </c>
      <c r="S150" s="44" t="s">
        <v>21011</v>
      </c>
      <c r="T150" s="44">
        <v>225</v>
      </c>
      <c r="U150" s="44" t="s">
        <v>20067</v>
      </c>
      <c r="V150" s="44" t="s">
        <v>20067</v>
      </c>
      <c r="W150" s="44" t="s">
        <v>20067</v>
      </c>
      <c r="X150" s="44" t="s">
        <v>20068</v>
      </c>
      <c r="Y150" s="44" t="s">
        <v>20068</v>
      </c>
      <c r="Z150" s="44" t="s">
        <v>20089</v>
      </c>
      <c r="AA150" s="44">
        <v>4260</v>
      </c>
      <c r="AB150" s="44" t="s">
        <v>353</v>
      </c>
      <c r="AC150" s="44"/>
      <c r="AD150" s="44" t="s">
        <v>21012</v>
      </c>
      <c r="AE150" s="44" t="s">
        <v>21013</v>
      </c>
      <c r="AF150" s="44" t="s">
        <v>304</v>
      </c>
      <c r="AG150" s="44" t="s">
        <v>20125</v>
      </c>
      <c r="AH150" s="44" t="s">
        <v>20311</v>
      </c>
      <c r="AI150" s="44" t="s">
        <v>18715</v>
      </c>
      <c r="AJ150" s="44" t="s">
        <v>20072</v>
      </c>
      <c r="AK150" s="43">
        <v>0</v>
      </c>
      <c r="AL150" s="44">
        <v>61</v>
      </c>
      <c r="AM150" s="44">
        <v>44.333333333333336</v>
      </c>
      <c r="AN150" s="44">
        <v>26.361802286482849</v>
      </c>
      <c r="AO150" s="44">
        <v>7.9058539529269796</v>
      </c>
      <c r="AP150" s="46">
        <v>19.100000000000001</v>
      </c>
      <c r="AQ150" s="47">
        <v>5</v>
      </c>
      <c r="AR150" s="47">
        <v>5</v>
      </c>
      <c r="AS150" s="47">
        <v>0</v>
      </c>
      <c r="AT150" s="47">
        <v>0</v>
      </c>
      <c r="AU150" s="46">
        <v>5</v>
      </c>
      <c r="AV150" s="46">
        <v>6</v>
      </c>
      <c r="AW150" s="46">
        <v>3</v>
      </c>
      <c r="AX150" s="47">
        <v>3</v>
      </c>
      <c r="AY150" s="47">
        <v>10</v>
      </c>
      <c r="AZ150" s="47">
        <v>12</v>
      </c>
      <c r="BA150" s="47">
        <v>6</v>
      </c>
      <c r="BB150" s="46">
        <v>41</v>
      </c>
      <c r="BC150" s="48">
        <v>1</v>
      </c>
    </row>
    <row r="151" spans="1:55" s="42" customFormat="1" x14ac:dyDescent="0.2">
      <c r="A151" s="43">
        <v>2151</v>
      </c>
      <c r="B151" s="44" t="s">
        <v>20059</v>
      </c>
      <c r="C151" s="45">
        <v>44082</v>
      </c>
      <c r="D151" s="44" t="s">
        <v>20073</v>
      </c>
      <c r="E151" s="44" t="s">
        <v>21014</v>
      </c>
      <c r="F151" s="44" t="s">
        <v>20075</v>
      </c>
      <c r="G151" s="44">
        <v>0</v>
      </c>
      <c r="H151" s="44" t="s">
        <v>21015</v>
      </c>
      <c r="I151" s="45">
        <v>43160</v>
      </c>
      <c r="J151" s="45">
        <v>44255</v>
      </c>
      <c r="K151" s="44" t="s">
        <v>1158</v>
      </c>
      <c r="L151" s="44" t="s">
        <v>1159</v>
      </c>
      <c r="M151" s="44" t="s">
        <v>222</v>
      </c>
      <c r="N151" s="44" t="s">
        <v>207</v>
      </c>
      <c r="O151" s="44" t="s">
        <v>623</v>
      </c>
      <c r="P151" s="44" t="s">
        <v>224</v>
      </c>
      <c r="Q151" s="44" t="s">
        <v>21016</v>
      </c>
      <c r="R151" s="44" t="s">
        <v>21017</v>
      </c>
      <c r="S151" s="44" t="s">
        <v>21018</v>
      </c>
      <c r="T151" s="44">
        <v>245</v>
      </c>
      <c r="U151" s="44" t="s">
        <v>20067</v>
      </c>
      <c r="V151" s="44" t="s">
        <v>20067</v>
      </c>
      <c r="W151" s="44" t="s">
        <v>20067</v>
      </c>
      <c r="X151" s="44" t="s">
        <v>20068</v>
      </c>
      <c r="Y151" s="44" t="s">
        <v>20068</v>
      </c>
      <c r="Z151" s="44" t="s">
        <v>20089</v>
      </c>
      <c r="AA151" s="44">
        <v>4260</v>
      </c>
      <c r="AB151" s="44" t="s">
        <v>353</v>
      </c>
      <c r="AC151" s="44"/>
      <c r="AD151" s="44" t="s">
        <v>21019</v>
      </c>
      <c r="AE151" s="44" t="s">
        <v>21020</v>
      </c>
      <c r="AF151" s="44" t="s">
        <v>623</v>
      </c>
      <c r="AG151" s="44" t="s">
        <v>20125</v>
      </c>
      <c r="AH151" s="44" t="s">
        <v>20311</v>
      </c>
      <c r="AI151" s="44" t="s">
        <v>18715</v>
      </c>
      <c r="AJ151" s="44" t="s">
        <v>20072</v>
      </c>
      <c r="AK151" s="43">
        <v>0</v>
      </c>
      <c r="AL151" s="44">
        <v>61</v>
      </c>
      <c r="AM151" s="44">
        <v>44.333333333333336</v>
      </c>
      <c r="AN151" s="44">
        <v>50.422675285927397</v>
      </c>
      <c r="AO151" s="44">
        <v>38.078703703703702</v>
      </c>
      <c r="AP151" s="46">
        <v>19.100000000000001</v>
      </c>
      <c r="AQ151" s="47">
        <v>5</v>
      </c>
      <c r="AR151" s="47">
        <v>5</v>
      </c>
      <c r="AS151" s="47">
        <v>0</v>
      </c>
      <c r="AT151" s="47">
        <v>0</v>
      </c>
      <c r="AU151" s="46">
        <v>5</v>
      </c>
      <c r="AV151" s="46">
        <v>6</v>
      </c>
      <c r="AW151" s="46">
        <v>3</v>
      </c>
      <c r="AX151" s="47">
        <v>3</v>
      </c>
      <c r="AY151" s="47">
        <v>10</v>
      </c>
      <c r="AZ151" s="47">
        <v>12</v>
      </c>
      <c r="BA151" s="47">
        <v>6</v>
      </c>
      <c r="BB151" s="46">
        <v>41</v>
      </c>
      <c r="BC151" s="48">
        <v>1</v>
      </c>
    </row>
    <row r="152" spans="1:55" s="42" customFormat="1" x14ac:dyDescent="0.2">
      <c r="A152" s="43">
        <v>2186</v>
      </c>
      <c r="B152" s="44" t="s">
        <v>20059</v>
      </c>
      <c r="C152" s="45">
        <v>44082</v>
      </c>
      <c r="D152" s="44" t="s">
        <v>20142</v>
      </c>
      <c r="E152" s="44" t="s">
        <v>21021</v>
      </c>
      <c r="F152" s="44" t="s">
        <v>20144</v>
      </c>
      <c r="G152" s="44">
        <v>0</v>
      </c>
      <c r="H152" s="44" t="s">
        <v>21022</v>
      </c>
      <c r="I152" s="45">
        <v>43739</v>
      </c>
      <c r="J152" s="45">
        <v>44834</v>
      </c>
      <c r="K152" s="44" t="s">
        <v>94</v>
      </c>
      <c r="L152" s="44" t="s">
        <v>193</v>
      </c>
      <c r="M152" s="44" t="s">
        <v>251</v>
      </c>
      <c r="N152" s="44" t="s">
        <v>207</v>
      </c>
      <c r="O152" s="44" t="s">
        <v>257</v>
      </c>
      <c r="P152" s="44" t="s">
        <v>253</v>
      </c>
      <c r="Q152" s="44" t="s">
        <v>21023</v>
      </c>
      <c r="R152" s="44" t="s">
        <v>21024</v>
      </c>
      <c r="S152" s="44" t="s">
        <v>20131</v>
      </c>
      <c r="T152" s="44">
        <v>10</v>
      </c>
      <c r="U152" s="44" t="s">
        <v>20068</v>
      </c>
      <c r="V152" s="44" t="s">
        <v>20068</v>
      </c>
      <c r="W152" s="44" t="s">
        <v>20067</v>
      </c>
      <c r="X152" s="44" t="s">
        <v>20067</v>
      </c>
      <c r="Y152" s="44" t="s">
        <v>20068</v>
      </c>
      <c r="Z152" s="44" t="s">
        <v>20069</v>
      </c>
      <c r="AA152" s="44">
        <v>4407</v>
      </c>
      <c r="AB152" s="44" t="s">
        <v>331</v>
      </c>
      <c r="AC152" s="44"/>
      <c r="AD152" s="44" t="s">
        <v>21025</v>
      </c>
      <c r="AE152" s="44" t="s">
        <v>21026</v>
      </c>
      <c r="AF152" s="44" t="s">
        <v>257</v>
      </c>
      <c r="AG152" s="44" t="s">
        <v>20302</v>
      </c>
      <c r="AH152" s="44" t="s">
        <v>20303</v>
      </c>
      <c r="AI152" s="44" t="s">
        <v>18715</v>
      </c>
      <c r="AJ152" s="44" t="s">
        <v>20072</v>
      </c>
      <c r="AK152" s="43">
        <v>0</v>
      </c>
      <c r="AL152" s="44">
        <v>30</v>
      </c>
      <c r="AM152" s="44">
        <v>55.666666666666664</v>
      </c>
      <c r="AN152" s="44">
        <v>49.945593035908601</v>
      </c>
      <c r="AO152" s="44">
        <v>55.806237558062399</v>
      </c>
      <c r="AP152" s="46">
        <v>23.8</v>
      </c>
      <c r="AQ152" s="47">
        <v>1</v>
      </c>
      <c r="AR152" s="47">
        <v>5</v>
      </c>
      <c r="AS152" s="47">
        <v>0</v>
      </c>
      <c r="AT152" s="47">
        <v>0</v>
      </c>
      <c r="AU152" s="46">
        <v>3</v>
      </c>
      <c r="AV152" s="46">
        <v>8</v>
      </c>
      <c r="AW152" s="46">
        <v>5</v>
      </c>
      <c r="AX152" s="47">
        <v>3</v>
      </c>
      <c r="AY152" s="47">
        <v>6</v>
      </c>
      <c r="AZ152" s="47">
        <v>16</v>
      </c>
      <c r="BA152" s="47">
        <v>10</v>
      </c>
      <c r="BB152" s="46">
        <v>41</v>
      </c>
      <c r="BC152" s="48">
        <v>1</v>
      </c>
    </row>
    <row r="153" spans="1:55" s="42" customFormat="1" x14ac:dyDescent="0.2">
      <c r="A153" s="43">
        <v>2211</v>
      </c>
      <c r="B153" s="44" t="s">
        <v>20059</v>
      </c>
      <c r="C153" s="45">
        <v>44082</v>
      </c>
      <c r="D153" s="44" t="s">
        <v>20142</v>
      </c>
      <c r="E153" s="44" t="s">
        <v>21027</v>
      </c>
      <c r="F153" s="44" t="s">
        <v>20144</v>
      </c>
      <c r="G153" s="44">
        <v>0</v>
      </c>
      <c r="H153" s="44" t="s">
        <v>21028</v>
      </c>
      <c r="I153" s="45">
        <v>43313</v>
      </c>
      <c r="J153" s="45">
        <v>44408</v>
      </c>
      <c r="K153" s="44" t="s">
        <v>95</v>
      </c>
      <c r="L153" s="44" t="s">
        <v>194</v>
      </c>
      <c r="M153" s="44" t="s">
        <v>222</v>
      </c>
      <c r="N153" s="44" t="s">
        <v>207</v>
      </c>
      <c r="O153" s="44" t="s">
        <v>305</v>
      </c>
      <c r="P153" s="44" t="s">
        <v>224</v>
      </c>
      <c r="Q153" s="44" t="s">
        <v>21029</v>
      </c>
      <c r="R153" s="44" t="s">
        <v>21030</v>
      </c>
      <c r="S153" s="44" t="s">
        <v>20131</v>
      </c>
      <c r="T153" s="44">
        <v>10</v>
      </c>
      <c r="U153" s="44" t="s">
        <v>20068</v>
      </c>
      <c r="V153" s="44" t="s">
        <v>20068</v>
      </c>
      <c r="W153" s="44" t="s">
        <v>20067</v>
      </c>
      <c r="X153" s="44" t="s">
        <v>20067</v>
      </c>
      <c r="Y153" s="44" t="s">
        <v>20068</v>
      </c>
      <c r="Z153" s="44" t="s">
        <v>20089</v>
      </c>
      <c r="AA153" s="44">
        <v>4279</v>
      </c>
      <c r="AB153" s="44" t="s">
        <v>328</v>
      </c>
      <c r="AC153" s="44"/>
      <c r="AD153" s="44" t="s">
        <v>20203</v>
      </c>
      <c r="AE153" s="44" t="s">
        <v>21031</v>
      </c>
      <c r="AF153" s="44" t="s">
        <v>305</v>
      </c>
      <c r="AG153" s="44" t="s">
        <v>20092</v>
      </c>
      <c r="AH153" s="44" t="s">
        <v>20205</v>
      </c>
      <c r="AI153" s="44" t="s">
        <v>18715</v>
      </c>
      <c r="AJ153" s="44" t="s">
        <v>20072</v>
      </c>
      <c r="AK153" s="43">
        <v>0</v>
      </c>
      <c r="AL153" s="44">
        <v>36.85</v>
      </c>
      <c r="AM153" s="44">
        <v>59.333333333333336</v>
      </c>
      <c r="AN153" s="44">
        <v>51.257367387033405</v>
      </c>
      <c r="AO153" s="44">
        <v>43.090909090909101</v>
      </c>
      <c r="AP153" s="46">
        <v>19.100000000000001</v>
      </c>
      <c r="AQ153" s="47">
        <v>1</v>
      </c>
      <c r="AR153" s="47">
        <v>5</v>
      </c>
      <c r="AS153" s="47">
        <v>0</v>
      </c>
      <c r="AT153" s="47">
        <v>0</v>
      </c>
      <c r="AU153" s="46">
        <v>3</v>
      </c>
      <c r="AV153" s="46">
        <v>8</v>
      </c>
      <c r="AW153" s="46">
        <v>5</v>
      </c>
      <c r="AX153" s="47">
        <v>3</v>
      </c>
      <c r="AY153" s="47">
        <v>6</v>
      </c>
      <c r="AZ153" s="47">
        <v>16</v>
      </c>
      <c r="BA153" s="47">
        <v>10</v>
      </c>
      <c r="BB153" s="46">
        <v>41</v>
      </c>
      <c r="BC153" s="48">
        <v>1</v>
      </c>
    </row>
    <row r="154" spans="1:55" s="42" customFormat="1" x14ac:dyDescent="0.2">
      <c r="A154" s="43">
        <v>2276</v>
      </c>
      <c r="B154" s="44" t="s">
        <v>20059</v>
      </c>
      <c r="C154" s="45">
        <v>44082</v>
      </c>
      <c r="D154" s="44" t="s">
        <v>20142</v>
      </c>
      <c r="E154" s="44" t="s">
        <v>21032</v>
      </c>
      <c r="F154" s="44" t="s">
        <v>20144</v>
      </c>
      <c r="G154" s="44">
        <v>0</v>
      </c>
      <c r="H154" s="44" t="s">
        <v>21033</v>
      </c>
      <c r="I154" s="45">
        <v>43101</v>
      </c>
      <c r="J154" s="45">
        <v>44196</v>
      </c>
      <c r="K154" s="44" t="s">
        <v>96</v>
      </c>
      <c r="L154" s="44" t="s">
        <v>195</v>
      </c>
      <c r="M154" s="44" t="s">
        <v>222</v>
      </c>
      <c r="N154" s="44" t="s">
        <v>207</v>
      </c>
      <c r="O154" s="44" t="s">
        <v>305</v>
      </c>
      <c r="P154" s="44" t="s">
        <v>224</v>
      </c>
      <c r="Q154" s="44" t="s">
        <v>21034</v>
      </c>
      <c r="R154" s="44" t="s">
        <v>21035</v>
      </c>
      <c r="S154" s="44" t="s">
        <v>20131</v>
      </c>
      <c r="T154" s="44">
        <v>10</v>
      </c>
      <c r="U154" s="44" t="s">
        <v>20068</v>
      </c>
      <c r="V154" s="44" t="s">
        <v>20068</v>
      </c>
      <c r="W154" s="44" t="s">
        <v>20067</v>
      </c>
      <c r="X154" s="44" t="s">
        <v>20068</v>
      </c>
      <c r="Y154" s="44" t="s">
        <v>20068</v>
      </c>
      <c r="Z154" s="44" t="s">
        <v>20089</v>
      </c>
      <c r="AA154" s="44">
        <v>4279</v>
      </c>
      <c r="AB154" s="44" t="s">
        <v>328</v>
      </c>
      <c r="AC154" s="44"/>
      <c r="AD154" s="44" t="s">
        <v>20203</v>
      </c>
      <c r="AE154" s="44" t="s">
        <v>21031</v>
      </c>
      <c r="AF154" s="44" t="s">
        <v>305</v>
      </c>
      <c r="AG154" s="44" t="s">
        <v>20092</v>
      </c>
      <c r="AH154" s="44" t="s">
        <v>20205</v>
      </c>
      <c r="AI154" s="44" t="s">
        <v>18715</v>
      </c>
      <c r="AJ154" s="44" t="s">
        <v>20072</v>
      </c>
      <c r="AK154" s="43">
        <v>0</v>
      </c>
      <c r="AL154" s="44">
        <v>36.85</v>
      </c>
      <c r="AM154" s="44">
        <v>59.333333333333336</v>
      </c>
      <c r="AN154" s="44">
        <v>51.257367387033405</v>
      </c>
      <c r="AO154" s="44">
        <v>43.090909090909101</v>
      </c>
      <c r="AP154" s="46">
        <v>19.100000000000001</v>
      </c>
      <c r="AQ154" s="47">
        <v>1</v>
      </c>
      <c r="AR154" s="47">
        <v>5</v>
      </c>
      <c r="AS154" s="47">
        <v>0</v>
      </c>
      <c r="AT154" s="47">
        <v>0</v>
      </c>
      <c r="AU154" s="46">
        <v>3</v>
      </c>
      <c r="AV154" s="46">
        <v>8</v>
      </c>
      <c r="AW154" s="46">
        <v>5</v>
      </c>
      <c r="AX154" s="47">
        <v>3</v>
      </c>
      <c r="AY154" s="47">
        <v>6</v>
      </c>
      <c r="AZ154" s="47">
        <v>16</v>
      </c>
      <c r="BA154" s="47">
        <v>10</v>
      </c>
      <c r="BB154" s="46">
        <v>41</v>
      </c>
      <c r="BC154" s="48">
        <v>1</v>
      </c>
    </row>
    <row r="155" spans="1:55" s="42" customFormat="1" x14ac:dyDescent="0.2">
      <c r="A155" s="43">
        <v>2285</v>
      </c>
      <c r="B155" s="44" t="s">
        <v>20059</v>
      </c>
      <c r="C155" s="45">
        <v>44082</v>
      </c>
      <c r="D155" s="44" t="s">
        <v>20142</v>
      </c>
      <c r="E155" s="44" t="s">
        <v>21036</v>
      </c>
      <c r="F155" s="44" t="s">
        <v>20144</v>
      </c>
      <c r="G155" s="44">
        <v>0</v>
      </c>
      <c r="H155" s="44" t="s">
        <v>21037</v>
      </c>
      <c r="I155" s="45">
        <v>43192</v>
      </c>
      <c r="J155" s="45">
        <v>44286</v>
      </c>
      <c r="K155" s="44" t="s">
        <v>97</v>
      </c>
      <c r="L155" s="44" t="s">
        <v>196</v>
      </c>
      <c r="M155" s="44" t="s">
        <v>251</v>
      </c>
      <c r="N155" s="44" t="s">
        <v>207</v>
      </c>
      <c r="O155" s="44" t="s">
        <v>257</v>
      </c>
      <c r="P155" s="44" t="s">
        <v>253</v>
      </c>
      <c r="Q155" s="44" t="s">
        <v>21038</v>
      </c>
      <c r="R155" s="44" t="s">
        <v>21039</v>
      </c>
      <c r="S155" s="44" t="s">
        <v>20131</v>
      </c>
      <c r="T155" s="44">
        <v>10</v>
      </c>
      <c r="U155" s="44" t="s">
        <v>20068</v>
      </c>
      <c r="V155" s="44" t="s">
        <v>20068</v>
      </c>
      <c r="W155" s="44" t="s">
        <v>20068</v>
      </c>
      <c r="X155" s="44" t="s">
        <v>20068</v>
      </c>
      <c r="Y155" s="44" t="s">
        <v>20068</v>
      </c>
      <c r="Z155" s="44" t="s">
        <v>20069</v>
      </c>
      <c r="AA155" s="44">
        <v>4407</v>
      </c>
      <c r="AB155" s="44" t="s">
        <v>331</v>
      </c>
      <c r="AC155" s="44"/>
      <c r="AD155" s="44" t="s">
        <v>21040</v>
      </c>
      <c r="AE155" s="44" t="s">
        <v>21041</v>
      </c>
      <c r="AF155" s="44" t="s">
        <v>257</v>
      </c>
      <c r="AG155" s="44" t="s">
        <v>20302</v>
      </c>
      <c r="AH155" s="44" t="s">
        <v>20303</v>
      </c>
      <c r="AI155" s="44" t="s">
        <v>18715</v>
      </c>
      <c r="AJ155" s="44" t="s">
        <v>20072</v>
      </c>
      <c r="AK155" s="43">
        <v>0</v>
      </c>
      <c r="AL155" s="44">
        <v>30</v>
      </c>
      <c r="AM155" s="44">
        <v>55.666666666666664</v>
      </c>
      <c r="AN155" s="44">
        <v>48.971672487388432</v>
      </c>
      <c r="AO155" s="44">
        <v>48.971672487388403</v>
      </c>
      <c r="AP155" s="46">
        <v>23.8</v>
      </c>
      <c r="AQ155" s="47">
        <v>1</v>
      </c>
      <c r="AR155" s="47">
        <v>5</v>
      </c>
      <c r="AS155" s="47">
        <v>0</v>
      </c>
      <c r="AT155" s="47">
        <v>0</v>
      </c>
      <c r="AU155" s="46">
        <v>3</v>
      </c>
      <c r="AV155" s="46">
        <v>8</v>
      </c>
      <c r="AW155" s="46">
        <v>5</v>
      </c>
      <c r="AX155" s="47">
        <v>3</v>
      </c>
      <c r="AY155" s="47">
        <v>6</v>
      </c>
      <c r="AZ155" s="47">
        <v>16</v>
      </c>
      <c r="BA155" s="47">
        <v>10</v>
      </c>
      <c r="BB155" s="46">
        <v>41</v>
      </c>
      <c r="BC155" s="48">
        <v>1</v>
      </c>
    </row>
    <row r="156" spans="1:55" s="42" customFormat="1" x14ac:dyDescent="0.2">
      <c r="A156" s="43">
        <v>2306</v>
      </c>
      <c r="B156" s="44" t="s">
        <v>20059</v>
      </c>
      <c r="C156" s="45">
        <v>44082</v>
      </c>
      <c r="D156" s="44" t="s">
        <v>20142</v>
      </c>
      <c r="E156" s="44" t="s">
        <v>21042</v>
      </c>
      <c r="F156" s="44" t="s">
        <v>20144</v>
      </c>
      <c r="G156" s="44">
        <v>0</v>
      </c>
      <c r="H156" s="44" t="s">
        <v>21043</v>
      </c>
      <c r="I156" s="45">
        <v>43374</v>
      </c>
      <c r="J156" s="45">
        <v>44469</v>
      </c>
      <c r="K156" s="44" t="s">
        <v>98</v>
      </c>
      <c r="L156" s="44" t="s">
        <v>197</v>
      </c>
      <c r="M156" s="44" t="s">
        <v>251</v>
      </c>
      <c r="N156" s="44" t="s">
        <v>207</v>
      </c>
      <c r="O156" s="44" t="s">
        <v>257</v>
      </c>
      <c r="P156" s="44" t="s">
        <v>253</v>
      </c>
      <c r="Q156" s="44" t="s">
        <v>21044</v>
      </c>
      <c r="R156" s="44" t="s">
        <v>21045</v>
      </c>
      <c r="S156" s="44" t="s">
        <v>20131</v>
      </c>
      <c r="T156" s="44">
        <v>10</v>
      </c>
      <c r="U156" s="44" t="s">
        <v>20068</v>
      </c>
      <c r="V156" s="44" t="s">
        <v>20068</v>
      </c>
      <c r="W156" s="44" t="s">
        <v>20067</v>
      </c>
      <c r="X156" s="44" t="s">
        <v>20067</v>
      </c>
      <c r="Y156" s="44" t="s">
        <v>20068</v>
      </c>
      <c r="Z156" s="44" t="s">
        <v>20069</v>
      </c>
      <c r="AA156" s="44">
        <v>4407</v>
      </c>
      <c r="AB156" s="44" t="s">
        <v>331</v>
      </c>
      <c r="AC156" s="44"/>
      <c r="AD156" s="44" t="s">
        <v>20300</v>
      </c>
      <c r="AE156" s="44" t="s">
        <v>20301</v>
      </c>
      <c r="AF156" s="44" t="s">
        <v>257</v>
      </c>
      <c r="AG156" s="44" t="s">
        <v>20302</v>
      </c>
      <c r="AH156" s="44" t="s">
        <v>20303</v>
      </c>
      <c r="AI156" s="44" t="s">
        <v>18715</v>
      </c>
      <c r="AJ156" s="44" t="s">
        <v>20072</v>
      </c>
      <c r="AK156" s="43">
        <v>0</v>
      </c>
      <c r="AL156" s="44">
        <v>30</v>
      </c>
      <c r="AM156" s="44">
        <v>55.666666666666664</v>
      </c>
      <c r="AN156" s="44">
        <v>53.344982526210686</v>
      </c>
      <c r="AO156" s="44">
        <v>53.3449825262107</v>
      </c>
      <c r="AP156" s="46">
        <v>23.8</v>
      </c>
      <c r="AQ156" s="47">
        <v>1</v>
      </c>
      <c r="AR156" s="47">
        <v>5</v>
      </c>
      <c r="AS156" s="47">
        <v>0</v>
      </c>
      <c r="AT156" s="47">
        <v>0</v>
      </c>
      <c r="AU156" s="46">
        <v>3</v>
      </c>
      <c r="AV156" s="46">
        <v>8</v>
      </c>
      <c r="AW156" s="46">
        <v>5</v>
      </c>
      <c r="AX156" s="47">
        <v>3</v>
      </c>
      <c r="AY156" s="47">
        <v>6</v>
      </c>
      <c r="AZ156" s="47">
        <v>16</v>
      </c>
      <c r="BA156" s="47">
        <v>10</v>
      </c>
      <c r="BB156" s="46">
        <v>41</v>
      </c>
      <c r="BC156" s="48">
        <v>1</v>
      </c>
    </row>
    <row r="157" spans="1:55" s="42" customFormat="1" x14ac:dyDescent="0.2">
      <c r="A157" s="43">
        <v>2338</v>
      </c>
      <c r="B157" s="44" t="s">
        <v>20059</v>
      </c>
      <c r="C157" s="45">
        <v>44082</v>
      </c>
      <c r="D157" s="44" t="s">
        <v>20142</v>
      </c>
      <c r="E157" s="44" t="s">
        <v>21046</v>
      </c>
      <c r="F157" s="44" t="s">
        <v>20144</v>
      </c>
      <c r="G157" s="44">
        <v>0</v>
      </c>
      <c r="H157" s="44" t="s">
        <v>21047</v>
      </c>
      <c r="I157" s="45">
        <v>43586</v>
      </c>
      <c r="J157" s="45">
        <v>44681</v>
      </c>
      <c r="K157" s="44" t="s">
        <v>99</v>
      </c>
      <c r="L157" s="44" t="s">
        <v>198</v>
      </c>
      <c r="M157" s="44" t="s">
        <v>251</v>
      </c>
      <c r="N157" s="44" t="s">
        <v>207</v>
      </c>
      <c r="O157" s="44" t="s">
        <v>257</v>
      </c>
      <c r="P157" s="44" t="s">
        <v>253</v>
      </c>
      <c r="Q157" s="44" t="s">
        <v>21048</v>
      </c>
      <c r="R157" s="44" t="s">
        <v>21049</v>
      </c>
      <c r="S157" s="44" t="s">
        <v>20131</v>
      </c>
      <c r="T157" s="44">
        <v>10</v>
      </c>
      <c r="U157" s="44" t="s">
        <v>20068</v>
      </c>
      <c r="V157" s="44" t="s">
        <v>20068</v>
      </c>
      <c r="W157" s="44" t="s">
        <v>20067</v>
      </c>
      <c r="X157" s="44" t="s">
        <v>20067</v>
      </c>
      <c r="Y157" s="44" t="s">
        <v>20068</v>
      </c>
      <c r="Z157" s="44" t="s">
        <v>20069</v>
      </c>
      <c r="AA157" s="44">
        <v>4407</v>
      </c>
      <c r="AB157" s="44" t="s">
        <v>331</v>
      </c>
      <c r="AC157" s="44"/>
      <c r="AD157" s="44" t="s">
        <v>21025</v>
      </c>
      <c r="AE157" s="44" t="s">
        <v>21050</v>
      </c>
      <c r="AF157" s="44" t="s">
        <v>257</v>
      </c>
      <c r="AG157" s="44" t="s">
        <v>20302</v>
      </c>
      <c r="AH157" s="44" t="s">
        <v>20303</v>
      </c>
      <c r="AI157" s="44" t="s">
        <v>18715</v>
      </c>
      <c r="AJ157" s="44" t="s">
        <v>20072</v>
      </c>
      <c r="AK157" s="43">
        <v>0</v>
      </c>
      <c r="AL157" s="44">
        <v>30</v>
      </c>
      <c r="AM157" s="44">
        <v>55.666666666666664</v>
      </c>
      <c r="AN157" s="44">
        <v>49.945593035908601</v>
      </c>
      <c r="AO157" s="44">
        <v>48.1526593585059</v>
      </c>
      <c r="AP157" s="46">
        <v>23.8</v>
      </c>
      <c r="AQ157" s="47">
        <v>1</v>
      </c>
      <c r="AR157" s="47">
        <v>5</v>
      </c>
      <c r="AS157" s="47">
        <v>0</v>
      </c>
      <c r="AT157" s="47">
        <v>0</v>
      </c>
      <c r="AU157" s="46">
        <v>3</v>
      </c>
      <c r="AV157" s="46">
        <v>8</v>
      </c>
      <c r="AW157" s="46">
        <v>5</v>
      </c>
      <c r="AX157" s="47">
        <v>3</v>
      </c>
      <c r="AY157" s="47">
        <v>6</v>
      </c>
      <c r="AZ157" s="47">
        <v>16</v>
      </c>
      <c r="BA157" s="47">
        <v>10</v>
      </c>
      <c r="BB157" s="46">
        <v>41</v>
      </c>
      <c r="BC157" s="48">
        <v>1</v>
      </c>
    </row>
    <row r="158" spans="1:55" s="42" customFormat="1" x14ac:dyDescent="0.2">
      <c r="A158" s="43">
        <v>2418</v>
      </c>
      <c r="B158" s="44"/>
      <c r="C158" s="45">
        <v>44082</v>
      </c>
      <c r="D158" s="44" t="s">
        <v>20060</v>
      </c>
      <c r="E158" s="44" t="s">
        <v>21051</v>
      </c>
      <c r="F158" s="44" t="s">
        <v>20062</v>
      </c>
      <c r="G158" s="44">
        <v>8680</v>
      </c>
      <c r="H158" s="44" t="s">
        <v>21052</v>
      </c>
      <c r="I158" s="45">
        <v>43930</v>
      </c>
      <c r="J158" s="45">
        <v>45016</v>
      </c>
      <c r="K158" s="44" t="s">
        <v>100</v>
      </c>
      <c r="L158" s="44" t="s">
        <v>199</v>
      </c>
      <c r="M158" s="44" t="s">
        <v>222</v>
      </c>
      <c r="N158" s="44" t="s">
        <v>207</v>
      </c>
      <c r="O158" s="44" t="s">
        <v>306</v>
      </c>
      <c r="P158" s="44" t="s">
        <v>224</v>
      </c>
      <c r="Q158" s="44" t="s">
        <v>21053</v>
      </c>
      <c r="R158" s="44" t="s">
        <v>21054</v>
      </c>
      <c r="S158" s="44" t="s">
        <v>21055</v>
      </c>
      <c r="T158" s="44">
        <v>191</v>
      </c>
      <c r="U158" s="44" t="s">
        <v>20121</v>
      </c>
      <c r="V158" s="44" t="s">
        <v>21056</v>
      </c>
      <c r="W158" s="44" t="s">
        <v>20068</v>
      </c>
      <c r="X158" s="44" t="s">
        <v>20068</v>
      </c>
      <c r="Y158" s="44" t="s">
        <v>20068</v>
      </c>
      <c r="Z158" s="44" t="s">
        <v>20089</v>
      </c>
      <c r="AA158" s="44">
        <v>4256</v>
      </c>
      <c r="AB158" s="44" t="s">
        <v>343</v>
      </c>
      <c r="AC158" s="44"/>
      <c r="AD158" s="44" t="s">
        <v>21057</v>
      </c>
      <c r="AE158" s="44" t="s">
        <v>21058</v>
      </c>
      <c r="AF158" s="44" t="s">
        <v>306</v>
      </c>
      <c r="AG158" s="44" t="s">
        <v>20092</v>
      </c>
      <c r="AH158" s="44" t="s">
        <v>20093</v>
      </c>
      <c r="AI158" s="44" t="s">
        <v>18715</v>
      </c>
      <c r="AJ158" s="44" t="s">
        <v>20072</v>
      </c>
      <c r="AK158" s="43">
        <v>0</v>
      </c>
      <c r="AL158" s="44">
        <v>19</v>
      </c>
      <c r="AM158" s="44">
        <v>52</v>
      </c>
      <c r="AN158" s="44">
        <v>66.666666666666657</v>
      </c>
      <c r="AO158" s="44">
        <v>66.6666666666667</v>
      </c>
      <c r="AP158" s="46">
        <v>19.100000000000001</v>
      </c>
      <c r="AQ158" s="47">
        <v>5</v>
      </c>
      <c r="AR158" s="47">
        <v>5</v>
      </c>
      <c r="AS158" s="47">
        <v>0</v>
      </c>
      <c r="AT158" s="47">
        <v>0</v>
      </c>
      <c r="AU158" s="46">
        <v>1</v>
      </c>
      <c r="AV158" s="46">
        <v>8</v>
      </c>
      <c r="AW158" s="46">
        <v>5</v>
      </c>
      <c r="AX158" s="47">
        <v>3</v>
      </c>
      <c r="AY158" s="47">
        <v>2</v>
      </c>
      <c r="AZ158" s="47">
        <v>16</v>
      </c>
      <c r="BA158" s="47">
        <v>10</v>
      </c>
      <c r="BB158" s="46">
        <v>41</v>
      </c>
      <c r="BC158" s="48">
        <v>1</v>
      </c>
    </row>
    <row r="159" spans="1:55" s="42" customFormat="1" x14ac:dyDescent="0.2">
      <c r="A159" s="43">
        <v>2483</v>
      </c>
      <c r="B159" s="44"/>
      <c r="C159" s="45">
        <v>44082</v>
      </c>
      <c r="D159" s="44" t="s">
        <v>20142</v>
      </c>
      <c r="E159" s="44" t="s">
        <v>21059</v>
      </c>
      <c r="F159" s="44" t="s">
        <v>20144</v>
      </c>
      <c r="G159" s="44">
        <v>0</v>
      </c>
      <c r="H159" s="44" t="s">
        <v>21060</v>
      </c>
      <c r="I159" s="45">
        <v>44013</v>
      </c>
      <c r="J159" s="45">
        <v>45107</v>
      </c>
      <c r="K159" s="44" t="s">
        <v>102</v>
      </c>
      <c r="L159" s="44" t="s">
        <v>201</v>
      </c>
      <c r="M159" s="44" t="s">
        <v>251</v>
      </c>
      <c r="N159" s="44" t="s">
        <v>207</v>
      </c>
      <c r="O159" s="44" t="s">
        <v>257</v>
      </c>
      <c r="P159" s="44" t="s">
        <v>253</v>
      </c>
      <c r="Q159" s="44" t="s">
        <v>21061</v>
      </c>
      <c r="R159" s="44" t="s">
        <v>21062</v>
      </c>
      <c r="S159" s="44" t="s">
        <v>20131</v>
      </c>
      <c r="T159" s="44">
        <v>10</v>
      </c>
      <c r="U159" s="44" t="s">
        <v>20068</v>
      </c>
      <c r="V159" s="44" t="s">
        <v>20068</v>
      </c>
      <c r="W159" s="44" t="s">
        <v>20068</v>
      </c>
      <c r="X159" s="44" t="s">
        <v>20068</v>
      </c>
      <c r="Y159" s="44" t="s">
        <v>20068</v>
      </c>
      <c r="Z159" s="44" t="s">
        <v>20069</v>
      </c>
      <c r="AA159" s="44">
        <v>4407</v>
      </c>
      <c r="AB159" s="44" t="s">
        <v>331</v>
      </c>
      <c r="AC159" s="44"/>
      <c r="AD159" s="44" t="s">
        <v>21025</v>
      </c>
      <c r="AE159" s="44" t="s">
        <v>21050</v>
      </c>
      <c r="AF159" s="44" t="s">
        <v>257</v>
      </c>
      <c r="AG159" s="44" t="s">
        <v>20302</v>
      </c>
      <c r="AH159" s="44" t="s">
        <v>20303</v>
      </c>
      <c r="AI159" s="44" t="s">
        <v>18715</v>
      </c>
      <c r="AJ159" s="44" t="s">
        <v>20072</v>
      </c>
      <c r="AK159" s="43">
        <v>0</v>
      </c>
      <c r="AL159" s="44">
        <v>30</v>
      </c>
      <c r="AM159" s="44">
        <v>55.666666666666664</v>
      </c>
      <c r="AN159" s="44">
        <v>49.945593035908601</v>
      </c>
      <c r="AO159" s="44">
        <v>48.1526593585059</v>
      </c>
      <c r="AP159" s="46">
        <v>23.8</v>
      </c>
      <c r="AQ159" s="47">
        <v>1</v>
      </c>
      <c r="AR159" s="47">
        <v>5</v>
      </c>
      <c r="AS159" s="47">
        <v>0</v>
      </c>
      <c r="AT159" s="47">
        <v>0</v>
      </c>
      <c r="AU159" s="46">
        <v>3</v>
      </c>
      <c r="AV159" s="46">
        <v>8</v>
      </c>
      <c r="AW159" s="46">
        <v>5</v>
      </c>
      <c r="AX159" s="47">
        <v>3</v>
      </c>
      <c r="AY159" s="47">
        <v>6</v>
      </c>
      <c r="AZ159" s="47">
        <v>16</v>
      </c>
      <c r="BA159" s="47">
        <v>10</v>
      </c>
      <c r="BB159" s="46">
        <v>41</v>
      </c>
      <c r="BC159" s="48">
        <v>1</v>
      </c>
    </row>
    <row r="160" spans="1:55" s="42" customFormat="1" x14ac:dyDescent="0.2">
      <c r="A160" s="43">
        <v>8</v>
      </c>
      <c r="B160" s="44" t="s">
        <v>20059</v>
      </c>
      <c r="C160" s="45">
        <v>44082</v>
      </c>
      <c r="D160" s="44" t="s">
        <v>20060</v>
      </c>
      <c r="E160" s="44" t="s">
        <v>21063</v>
      </c>
      <c r="F160" s="44" t="s">
        <v>20062</v>
      </c>
      <c r="G160" s="44">
        <v>9019</v>
      </c>
      <c r="H160" s="44" t="s">
        <v>21064</v>
      </c>
      <c r="I160" s="45">
        <v>43647</v>
      </c>
      <c r="J160" s="45">
        <v>44742</v>
      </c>
      <c r="K160" s="44" t="s">
        <v>1160</v>
      </c>
      <c r="L160" s="44" t="s">
        <v>1161</v>
      </c>
      <c r="M160" s="44" t="s">
        <v>222</v>
      </c>
      <c r="N160" s="44" t="s">
        <v>207</v>
      </c>
      <c r="O160" s="44" t="s">
        <v>235</v>
      </c>
      <c r="P160" s="44" t="s">
        <v>224</v>
      </c>
      <c r="Q160" s="44" t="s">
        <v>21065</v>
      </c>
      <c r="R160" s="44" t="s">
        <v>21066</v>
      </c>
      <c r="S160" s="44" t="s">
        <v>21067</v>
      </c>
      <c r="T160" s="44">
        <v>248</v>
      </c>
      <c r="U160" s="44" t="s">
        <v>20202</v>
      </c>
      <c r="V160" s="44" t="s">
        <v>20252</v>
      </c>
      <c r="W160" s="44" t="s">
        <v>20068</v>
      </c>
      <c r="X160" s="44" t="s">
        <v>20068</v>
      </c>
      <c r="Y160" s="44" t="s">
        <v>20068</v>
      </c>
      <c r="Z160" s="44" t="s">
        <v>20089</v>
      </c>
      <c r="AA160" s="44">
        <v>4259</v>
      </c>
      <c r="AB160" s="44" t="s">
        <v>316</v>
      </c>
      <c r="AC160" s="44"/>
      <c r="AD160" s="44" t="s">
        <v>21068</v>
      </c>
      <c r="AE160" s="44" t="s">
        <v>21069</v>
      </c>
      <c r="AF160" s="44" t="s">
        <v>235</v>
      </c>
      <c r="AG160" s="44" t="s">
        <v>20092</v>
      </c>
      <c r="AH160" s="44" t="s">
        <v>20126</v>
      </c>
      <c r="AI160" s="44" t="s">
        <v>18723</v>
      </c>
      <c r="AJ160" s="44" t="s">
        <v>20072</v>
      </c>
      <c r="AK160" s="43">
        <v>0</v>
      </c>
      <c r="AL160" s="44">
        <v>39</v>
      </c>
      <c r="AM160" s="44">
        <v>65.333333333333329</v>
      </c>
      <c r="AN160" s="44">
        <v>36.389394859340214</v>
      </c>
      <c r="AO160" s="44">
        <v>31.134020618556701</v>
      </c>
      <c r="AP160" s="46">
        <v>19.100000000000001</v>
      </c>
      <c r="AQ160" s="47">
        <v>5</v>
      </c>
      <c r="AR160" s="47">
        <v>0</v>
      </c>
      <c r="AS160" s="47">
        <v>0</v>
      </c>
      <c r="AT160" s="47">
        <v>0</v>
      </c>
      <c r="AU160" s="46">
        <v>3</v>
      </c>
      <c r="AV160" s="46">
        <v>10</v>
      </c>
      <c r="AW160" s="46">
        <v>3</v>
      </c>
      <c r="AX160" s="47">
        <v>3</v>
      </c>
      <c r="AY160" s="47">
        <v>6</v>
      </c>
      <c r="AZ160" s="47">
        <v>20</v>
      </c>
      <c r="BA160" s="47">
        <v>6</v>
      </c>
      <c r="BB160" s="46">
        <v>40</v>
      </c>
      <c r="BC160" s="48">
        <v>1</v>
      </c>
    </row>
    <row r="161" spans="1:55" s="42" customFormat="1" x14ac:dyDescent="0.2">
      <c r="A161" s="43">
        <v>25</v>
      </c>
      <c r="B161" s="44" t="s">
        <v>20059</v>
      </c>
      <c r="C161" s="45">
        <v>44082</v>
      </c>
      <c r="D161" s="44" t="s">
        <v>20060</v>
      </c>
      <c r="E161" s="44" t="s">
        <v>21070</v>
      </c>
      <c r="F161" s="44" t="s">
        <v>20062</v>
      </c>
      <c r="G161" s="44">
        <v>1000062</v>
      </c>
      <c r="H161" s="44" t="s">
        <v>21071</v>
      </c>
      <c r="I161" s="45">
        <v>44028</v>
      </c>
      <c r="J161" s="45">
        <v>44439</v>
      </c>
      <c r="K161" s="44" t="s">
        <v>1162</v>
      </c>
      <c r="L161" s="44" t="s">
        <v>1163</v>
      </c>
      <c r="M161" s="44" t="s">
        <v>222</v>
      </c>
      <c r="N161" s="44" t="s">
        <v>207</v>
      </c>
      <c r="O161" s="44" t="s">
        <v>1140</v>
      </c>
      <c r="P161" s="44" t="s">
        <v>224</v>
      </c>
      <c r="Q161" s="44" t="s">
        <v>21072</v>
      </c>
      <c r="R161" s="44" t="s">
        <v>21073</v>
      </c>
      <c r="S161" s="44" t="s">
        <v>20131</v>
      </c>
      <c r="T161" s="44">
        <v>114</v>
      </c>
      <c r="U161" s="44" t="s">
        <v>21074</v>
      </c>
      <c r="V161" s="44" t="s">
        <v>20263</v>
      </c>
      <c r="W161" s="44" t="s">
        <v>20068</v>
      </c>
      <c r="X161" s="44" t="s">
        <v>20068</v>
      </c>
      <c r="Y161" s="44" t="s">
        <v>20068</v>
      </c>
      <c r="Z161" s="44" t="s">
        <v>20089</v>
      </c>
      <c r="AA161" s="44">
        <v>4260</v>
      </c>
      <c r="AB161" s="44" t="s">
        <v>353</v>
      </c>
      <c r="AC161" s="44"/>
      <c r="AD161" s="44" t="s">
        <v>21075</v>
      </c>
      <c r="AE161" s="44" t="s">
        <v>21076</v>
      </c>
      <c r="AF161" s="44" t="s">
        <v>1140</v>
      </c>
      <c r="AG161" s="44" t="s">
        <v>20125</v>
      </c>
      <c r="AH161" s="44" t="s">
        <v>20311</v>
      </c>
      <c r="AI161" s="44" t="s">
        <v>18723</v>
      </c>
      <c r="AJ161" s="44" t="s">
        <v>20072</v>
      </c>
      <c r="AK161" s="43">
        <v>0</v>
      </c>
      <c r="AL161" s="44">
        <v>61</v>
      </c>
      <c r="AM161" s="44">
        <v>44.333333333333336</v>
      </c>
      <c r="AN161" s="44">
        <v>48.738033072236725</v>
      </c>
      <c r="AO161" s="44">
        <v>43.0416068866571</v>
      </c>
      <c r="AP161" s="46">
        <v>19.100000000000001</v>
      </c>
      <c r="AQ161" s="47">
        <v>5</v>
      </c>
      <c r="AR161" s="47">
        <v>0</v>
      </c>
      <c r="AS161" s="47">
        <v>0</v>
      </c>
      <c r="AT161" s="47">
        <v>0</v>
      </c>
      <c r="AU161" s="46">
        <v>5</v>
      </c>
      <c r="AV161" s="46">
        <v>6</v>
      </c>
      <c r="AW161" s="46">
        <v>5</v>
      </c>
      <c r="AX161" s="47">
        <v>3</v>
      </c>
      <c r="AY161" s="47">
        <v>10</v>
      </c>
      <c r="AZ161" s="47">
        <v>12</v>
      </c>
      <c r="BA161" s="47">
        <v>10</v>
      </c>
      <c r="BB161" s="46">
        <v>40</v>
      </c>
      <c r="BC161" s="48">
        <v>1</v>
      </c>
    </row>
    <row r="162" spans="1:55" s="42" customFormat="1" x14ac:dyDescent="0.2">
      <c r="A162" s="43">
        <v>49</v>
      </c>
      <c r="B162" s="44" t="s">
        <v>20059</v>
      </c>
      <c r="C162" s="45">
        <v>44082</v>
      </c>
      <c r="D162" s="44" t="s">
        <v>20060</v>
      </c>
      <c r="E162" s="44" t="s">
        <v>21077</v>
      </c>
      <c r="F162" s="44" t="s">
        <v>20062</v>
      </c>
      <c r="G162" s="44">
        <v>91886</v>
      </c>
      <c r="H162" s="44" t="s">
        <v>21078</v>
      </c>
      <c r="I162" s="45">
        <v>43678</v>
      </c>
      <c r="J162" s="45">
        <v>44773</v>
      </c>
      <c r="K162" s="44" t="s">
        <v>1164</v>
      </c>
      <c r="L162" s="44" t="s">
        <v>1165</v>
      </c>
      <c r="M162" s="44" t="s">
        <v>222</v>
      </c>
      <c r="N162" s="44" t="s">
        <v>207</v>
      </c>
      <c r="O162" s="44" t="s">
        <v>223</v>
      </c>
      <c r="P162" s="44" t="s">
        <v>224</v>
      </c>
      <c r="Q162" s="44" t="s">
        <v>21079</v>
      </c>
      <c r="R162" s="44" t="s">
        <v>21080</v>
      </c>
      <c r="S162" s="44" t="s">
        <v>21081</v>
      </c>
      <c r="T162" s="44">
        <v>129</v>
      </c>
      <c r="U162" s="44" t="s">
        <v>20299</v>
      </c>
      <c r="V162" s="44" t="s">
        <v>20108</v>
      </c>
      <c r="W162" s="44" t="s">
        <v>20068</v>
      </c>
      <c r="X162" s="44" t="s">
        <v>20068</v>
      </c>
      <c r="Y162" s="44" t="s">
        <v>20068</v>
      </c>
      <c r="Z162" s="44" t="s">
        <v>20089</v>
      </c>
      <c r="AA162" s="44">
        <v>4282</v>
      </c>
      <c r="AB162" s="44" t="s">
        <v>334</v>
      </c>
      <c r="AC162" s="44"/>
      <c r="AD162" s="44" t="s">
        <v>20358</v>
      </c>
      <c r="AE162" s="44" t="s">
        <v>21082</v>
      </c>
      <c r="AF162" s="44" t="s">
        <v>556</v>
      </c>
      <c r="AG162" s="44" t="s">
        <v>20092</v>
      </c>
      <c r="AH162" s="44" t="s">
        <v>20126</v>
      </c>
      <c r="AI162" s="44" t="s">
        <v>18723</v>
      </c>
      <c r="AJ162" s="44" t="s">
        <v>20072</v>
      </c>
      <c r="AK162" s="43">
        <v>0</v>
      </c>
      <c r="AL162" s="44">
        <v>58</v>
      </c>
      <c r="AM162" s="44">
        <v>54.666666666666664</v>
      </c>
      <c r="AN162" s="44">
        <v>46.014492753623188</v>
      </c>
      <c r="AO162" s="44">
        <v>14.994363021420501</v>
      </c>
      <c r="AP162" s="46">
        <v>19.100000000000001</v>
      </c>
      <c r="AQ162" s="47">
        <v>5</v>
      </c>
      <c r="AR162" s="47">
        <v>0</v>
      </c>
      <c r="AS162" s="47">
        <v>0</v>
      </c>
      <c r="AT162" s="47">
        <v>0</v>
      </c>
      <c r="AU162" s="46">
        <v>5</v>
      </c>
      <c r="AV162" s="46">
        <v>8</v>
      </c>
      <c r="AW162" s="46">
        <v>3</v>
      </c>
      <c r="AX162" s="47">
        <v>3</v>
      </c>
      <c r="AY162" s="47">
        <v>10</v>
      </c>
      <c r="AZ162" s="47">
        <v>16</v>
      </c>
      <c r="BA162" s="47">
        <v>6</v>
      </c>
      <c r="BB162" s="46">
        <v>40</v>
      </c>
      <c r="BC162" s="48">
        <v>1</v>
      </c>
    </row>
    <row r="163" spans="1:55" s="42" customFormat="1" x14ac:dyDescent="0.2">
      <c r="A163" s="43">
        <v>59</v>
      </c>
      <c r="B163" s="44" t="s">
        <v>20059</v>
      </c>
      <c r="C163" s="45">
        <v>44082</v>
      </c>
      <c r="D163" s="44" t="s">
        <v>20060</v>
      </c>
      <c r="E163" s="44" t="s">
        <v>21083</v>
      </c>
      <c r="F163" s="44" t="s">
        <v>20062</v>
      </c>
      <c r="G163" s="44">
        <v>8067</v>
      </c>
      <c r="H163" s="44" t="s">
        <v>21084</v>
      </c>
      <c r="I163" s="45">
        <v>43252</v>
      </c>
      <c r="J163" s="45">
        <v>44347</v>
      </c>
      <c r="K163" s="44" t="s">
        <v>1166</v>
      </c>
      <c r="L163" s="44" t="s">
        <v>1167</v>
      </c>
      <c r="M163" s="44" t="s">
        <v>1044</v>
      </c>
      <c r="N163" s="44" t="s">
        <v>207</v>
      </c>
      <c r="O163" s="44" t="s">
        <v>1045</v>
      </c>
      <c r="P163" s="44" t="s">
        <v>221</v>
      </c>
      <c r="Q163" s="44" t="s">
        <v>21085</v>
      </c>
      <c r="R163" s="44" t="s">
        <v>21086</v>
      </c>
      <c r="S163" s="44" t="s">
        <v>21087</v>
      </c>
      <c r="T163" s="44">
        <v>48</v>
      </c>
      <c r="U163" s="44" t="s">
        <v>20067</v>
      </c>
      <c r="V163" s="44" t="s">
        <v>20263</v>
      </c>
      <c r="W163" s="44" t="s">
        <v>20068</v>
      </c>
      <c r="X163" s="44" t="s">
        <v>20068</v>
      </c>
      <c r="Y163" s="44" t="s">
        <v>20067</v>
      </c>
      <c r="Z163" s="44" t="s">
        <v>20069</v>
      </c>
      <c r="AA163" s="44">
        <v>4443</v>
      </c>
      <c r="AB163" s="44" t="s">
        <v>1046</v>
      </c>
      <c r="AC163" s="44" t="s">
        <v>19745</v>
      </c>
      <c r="AD163" s="44" t="s">
        <v>21088</v>
      </c>
      <c r="AE163" s="44" t="s">
        <v>21089</v>
      </c>
      <c r="AF163" s="44" t="s">
        <v>1045</v>
      </c>
      <c r="AG163" s="44" t="s">
        <v>7934</v>
      </c>
      <c r="AH163" s="44" t="s">
        <v>1598</v>
      </c>
      <c r="AI163" s="44" t="s">
        <v>18723</v>
      </c>
      <c r="AJ163" s="44" t="s">
        <v>20072</v>
      </c>
      <c r="AK163" s="43">
        <v>0</v>
      </c>
      <c r="AL163" s="44">
        <v>64</v>
      </c>
      <c r="AM163" s="44">
        <v>53</v>
      </c>
      <c r="AN163" s="44">
        <v>21.524288107202679</v>
      </c>
      <c r="AO163" s="44">
        <v>23.479370480646502</v>
      </c>
      <c r="AP163" s="46">
        <v>47.9</v>
      </c>
      <c r="AQ163" s="47">
        <v>3</v>
      </c>
      <c r="AR163" s="47">
        <v>0</v>
      </c>
      <c r="AS163" s="47">
        <v>0</v>
      </c>
      <c r="AT163" s="47">
        <v>0</v>
      </c>
      <c r="AU163" s="46">
        <v>5</v>
      </c>
      <c r="AV163" s="46">
        <v>8</v>
      </c>
      <c r="AW163" s="46">
        <v>3</v>
      </c>
      <c r="AX163" s="47">
        <v>5</v>
      </c>
      <c r="AY163" s="47">
        <v>10</v>
      </c>
      <c r="AZ163" s="47">
        <v>16</v>
      </c>
      <c r="BA163" s="47">
        <v>6</v>
      </c>
      <c r="BB163" s="46">
        <v>40</v>
      </c>
      <c r="BC163" s="48">
        <v>1</v>
      </c>
    </row>
    <row r="164" spans="1:55" s="42" customFormat="1" x14ac:dyDescent="0.2">
      <c r="A164" s="43">
        <v>91</v>
      </c>
      <c r="B164" s="44" t="s">
        <v>20059</v>
      </c>
      <c r="C164" s="45">
        <v>44082</v>
      </c>
      <c r="D164" s="44" t="s">
        <v>20060</v>
      </c>
      <c r="E164" s="44" t="s">
        <v>21090</v>
      </c>
      <c r="F164" s="44" t="s">
        <v>20062</v>
      </c>
      <c r="G164" s="44">
        <v>0</v>
      </c>
      <c r="H164" s="44" t="s">
        <v>21091</v>
      </c>
      <c r="I164" s="45">
        <v>43709</v>
      </c>
      <c r="J164" s="45">
        <v>44804</v>
      </c>
      <c r="K164" s="44" t="s">
        <v>1168</v>
      </c>
      <c r="L164" s="44" t="s">
        <v>1169</v>
      </c>
      <c r="M164" s="44" t="s">
        <v>307</v>
      </c>
      <c r="N164" s="44" t="s">
        <v>207</v>
      </c>
      <c r="O164" s="44" t="s">
        <v>308</v>
      </c>
      <c r="P164" s="44" t="s">
        <v>309</v>
      </c>
      <c r="Q164" s="44" t="s">
        <v>21092</v>
      </c>
      <c r="R164" s="44" t="s">
        <v>21093</v>
      </c>
      <c r="S164" s="44" t="s">
        <v>21094</v>
      </c>
      <c r="T164" s="44">
        <v>73</v>
      </c>
      <c r="U164" s="44" t="s">
        <v>20067</v>
      </c>
      <c r="V164" s="44" t="s">
        <v>20493</v>
      </c>
      <c r="W164" s="44" t="s">
        <v>20068</v>
      </c>
      <c r="X164" s="44" t="s">
        <v>20068</v>
      </c>
      <c r="Y164" s="44" t="s">
        <v>20068</v>
      </c>
      <c r="Z164" s="44" t="s">
        <v>20089</v>
      </c>
      <c r="AA164" s="44">
        <v>4505</v>
      </c>
      <c r="AB164" s="44" t="s">
        <v>354</v>
      </c>
      <c r="AC164" s="44"/>
      <c r="AD164" s="44" t="s">
        <v>21095</v>
      </c>
      <c r="AE164" s="44" t="s">
        <v>21096</v>
      </c>
      <c r="AF164" s="44" t="s">
        <v>308</v>
      </c>
      <c r="AG164" s="44" t="s">
        <v>496</v>
      </c>
      <c r="AH164" s="44" t="s">
        <v>499</v>
      </c>
      <c r="AI164" s="44" t="s">
        <v>18723</v>
      </c>
      <c r="AJ164" s="44" t="s">
        <v>20072</v>
      </c>
      <c r="AK164" s="43">
        <v>0</v>
      </c>
      <c r="AL164" s="44">
        <v>32</v>
      </c>
      <c r="AM164" s="44">
        <v>53</v>
      </c>
      <c r="AN164" s="44">
        <v>39.466621938946659</v>
      </c>
      <c r="AO164" s="44">
        <v>48.2310668877833</v>
      </c>
      <c r="AP164" s="46">
        <v>38</v>
      </c>
      <c r="AQ164" s="47">
        <v>3</v>
      </c>
      <c r="AR164" s="47">
        <v>0</v>
      </c>
      <c r="AS164" s="47">
        <v>0</v>
      </c>
      <c r="AT164" s="47">
        <v>0</v>
      </c>
      <c r="AU164" s="46">
        <v>3</v>
      </c>
      <c r="AV164" s="46">
        <v>8</v>
      </c>
      <c r="AW164" s="46">
        <v>5</v>
      </c>
      <c r="AX164" s="47">
        <v>5</v>
      </c>
      <c r="AY164" s="47">
        <v>6</v>
      </c>
      <c r="AZ164" s="47">
        <v>16</v>
      </c>
      <c r="BA164" s="47">
        <v>10</v>
      </c>
      <c r="BB164" s="46">
        <v>40</v>
      </c>
      <c r="BC164" s="48">
        <v>1</v>
      </c>
    </row>
    <row r="165" spans="1:55" s="42" customFormat="1" x14ac:dyDescent="0.2">
      <c r="A165" s="43">
        <v>138</v>
      </c>
      <c r="B165" s="44" t="s">
        <v>20059</v>
      </c>
      <c r="C165" s="45">
        <v>44082</v>
      </c>
      <c r="D165" s="44" t="s">
        <v>20060</v>
      </c>
      <c r="E165" s="44" t="s">
        <v>21097</v>
      </c>
      <c r="F165" s="44" t="s">
        <v>20062</v>
      </c>
      <c r="G165" s="44">
        <v>0</v>
      </c>
      <c r="H165" s="44" t="s">
        <v>21098</v>
      </c>
      <c r="I165" s="45">
        <v>43891</v>
      </c>
      <c r="J165" s="45">
        <v>44985</v>
      </c>
      <c r="K165" s="44" t="s">
        <v>1170</v>
      </c>
      <c r="L165" s="44" t="s">
        <v>1171</v>
      </c>
      <c r="M165" s="44" t="s">
        <v>249</v>
      </c>
      <c r="N165" s="44" t="s">
        <v>207</v>
      </c>
      <c r="O165" s="44" t="s">
        <v>250</v>
      </c>
      <c r="P165" s="44" t="s">
        <v>221</v>
      </c>
      <c r="Q165" s="44" t="s">
        <v>21099</v>
      </c>
      <c r="R165" s="44" t="s">
        <v>21100</v>
      </c>
      <c r="S165" s="44" t="s">
        <v>21101</v>
      </c>
      <c r="T165" s="44">
        <v>40</v>
      </c>
      <c r="U165" s="44" t="s">
        <v>20067</v>
      </c>
      <c r="V165" s="44" t="s">
        <v>20067</v>
      </c>
      <c r="W165" s="44" t="s">
        <v>20067</v>
      </c>
      <c r="X165" s="44" t="s">
        <v>20068</v>
      </c>
      <c r="Y165" s="44" t="s">
        <v>20067</v>
      </c>
      <c r="Z165" s="44" t="s">
        <v>20089</v>
      </c>
      <c r="AA165" s="44">
        <v>4448</v>
      </c>
      <c r="AB165" s="44" t="s">
        <v>329</v>
      </c>
      <c r="AC165" s="44" t="s">
        <v>19745</v>
      </c>
      <c r="AD165" s="44" t="s">
        <v>20631</v>
      </c>
      <c r="AE165" s="44" t="s">
        <v>21102</v>
      </c>
      <c r="AF165" s="44" t="s">
        <v>250</v>
      </c>
      <c r="AG165" s="44" t="s">
        <v>7934</v>
      </c>
      <c r="AH165" s="44" t="s">
        <v>760</v>
      </c>
      <c r="AI165" s="44" t="s">
        <v>18723</v>
      </c>
      <c r="AJ165" s="44" t="s">
        <v>20072</v>
      </c>
      <c r="AK165" s="43">
        <v>0</v>
      </c>
      <c r="AL165" s="44">
        <v>36.85</v>
      </c>
      <c r="AM165" s="44">
        <v>61.666666666666664</v>
      </c>
      <c r="AN165" s="44">
        <v>48.711273105961986</v>
      </c>
      <c r="AO165" s="44">
        <v>43.904020752269801</v>
      </c>
      <c r="AP165" s="46">
        <v>47.9</v>
      </c>
      <c r="AQ165" s="47">
        <v>3</v>
      </c>
      <c r="AR165" s="47">
        <v>0</v>
      </c>
      <c r="AS165" s="47">
        <v>0</v>
      </c>
      <c r="AT165" s="47">
        <v>0</v>
      </c>
      <c r="AU165" s="46">
        <v>3</v>
      </c>
      <c r="AV165" s="46">
        <v>8</v>
      </c>
      <c r="AW165" s="46">
        <v>5</v>
      </c>
      <c r="AX165" s="47">
        <v>5</v>
      </c>
      <c r="AY165" s="47">
        <v>6</v>
      </c>
      <c r="AZ165" s="47">
        <v>16</v>
      </c>
      <c r="BA165" s="47">
        <v>10</v>
      </c>
      <c r="BB165" s="46">
        <v>40</v>
      </c>
      <c r="BC165" s="48">
        <v>1</v>
      </c>
    </row>
    <row r="166" spans="1:55" s="42" customFormat="1" x14ac:dyDescent="0.2">
      <c r="A166" s="43">
        <v>141</v>
      </c>
      <c r="B166" s="44" t="s">
        <v>20059</v>
      </c>
      <c r="C166" s="45">
        <v>44082</v>
      </c>
      <c r="D166" s="44" t="s">
        <v>20060</v>
      </c>
      <c r="E166" s="44" t="s">
        <v>21103</v>
      </c>
      <c r="F166" s="44" t="s">
        <v>20062</v>
      </c>
      <c r="G166" s="44">
        <v>0</v>
      </c>
      <c r="H166" s="44" t="s">
        <v>21104</v>
      </c>
      <c r="I166" s="45">
        <v>43070</v>
      </c>
      <c r="J166" s="45">
        <v>44165</v>
      </c>
      <c r="K166" s="44" t="s">
        <v>1172</v>
      </c>
      <c r="L166" s="44" t="s">
        <v>1173</v>
      </c>
      <c r="M166" s="44" t="s">
        <v>307</v>
      </c>
      <c r="N166" s="44" t="s">
        <v>207</v>
      </c>
      <c r="O166" s="44" t="s">
        <v>308</v>
      </c>
      <c r="P166" s="44" t="s">
        <v>309</v>
      </c>
      <c r="Q166" s="44" t="s">
        <v>21105</v>
      </c>
      <c r="R166" s="44" t="s">
        <v>21106</v>
      </c>
      <c r="S166" s="44" t="s">
        <v>21107</v>
      </c>
      <c r="T166" s="44">
        <v>36</v>
      </c>
      <c r="U166" s="44" t="s">
        <v>20067</v>
      </c>
      <c r="V166" s="44" t="s">
        <v>20067</v>
      </c>
      <c r="W166" s="44" t="s">
        <v>20067</v>
      </c>
      <c r="X166" s="44" t="s">
        <v>20068</v>
      </c>
      <c r="Y166" s="44" t="s">
        <v>20067</v>
      </c>
      <c r="Z166" s="44" t="s">
        <v>20089</v>
      </c>
      <c r="AA166" s="44">
        <v>4505</v>
      </c>
      <c r="AB166" s="44" t="s">
        <v>354</v>
      </c>
      <c r="AC166" s="44" t="s">
        <v>19745</v>
      </c>
      <c r="AD166" s="44" t="s">
        <v>21095</v>
      </c>
      <c r="AE166" s="44" t="s">
        <v>21096</v>
      </c>
      <c r="AF166" s="44" t="s">
        <v>308</v>
      </c>
      <c r="AG166" s="44" t="s">
        <v>496</v>
      </c>
      <c r="AH166" s="44" t="s">
        <v>499</v>
      </c>
      <c r="AI166" s="44" t="s">
        <v>18723</v>
      </c>
      <c r="AJ166" s="44" t="s">
        <v>20072</v>
      </c>
      <c r="AK166" s="43">
        <v>0</v>
      </c>
      <c r="AL166" s="44">
        <v>32</v>
      </c>
      <c r="AM166" s="44">
        <v>53</v>
      </c>
      <c r="AN166" s="44">
        <v>39.466621938946659</v>
      </c>
      <c r="AO166" s="44">
        <v>48.2310668877833</v>
      </c>
      <c r="AP166" s="46">
        <v>38</v>
      </c>
      <c r="AQ166" s="47">
        <v>3</v>
      </c>
      <c r="AR166" s="47">
        <v>0</v>
      </c>
      <c r="AS166" s="47">
        <v>0</v>
      </c>
      <c r="AT166" s="47">
        <v>0</v>
      </c>
      <c r="AU166" s="46">
        <v>3</v>
      </c>
      <c r="AV166" s="46">
        <v>8</v>
      </c>
      <c r="AW166" s="46">
        <v>5</v>
      </c>
      <c r="AX166" s="47">
        <v>5</v>
      </c>
      <c r="AY166" s="47">
        <v>6</v>
      </c>
      <c r="AZ166" s="47">
        <v>16</v>
      </c>
      <c r="BA166" s="47">
        <v>10</v>
      </c>
      <c r="BB166" s="46">
        <v>40</v>
      </c>
      <c r="BC166" s="48">
        <v>1</v>
      </c>
    </row>
    <row r="167" spans="1:55" s="42" customFormat="1" x14ac:dyDescent="0.2">
      <c r="A167" s="43">
        <v>195</v>
      </c>
      <c r="B167" s="44" t="s">
        <v>20059</v>
      </c>
      <c r="C167" s="45">
        <v>44082</v>
      </c>
      <c r="D167" s="44" t="s">
        <v>20060</v>
      </c>
      <c r="E167" s="44" t="s">
        <v>21108</v>
      </c>
      <c r="F167" s="44" t="s">
        <v>20062</v>
      </c>
      <c r="G167" s="44">
        <v>0</v>
      </c>
      <c r="H167" s="44" t="s">
        <v>21109</v>
      </c>
      <c r="I167" s="45">
        <v>43344</v>
      </c>
      <c r="J167" s="45">
        <v>44439</v>
      </c>
      <c r="K167" s="44" t="s">
        <v>1174</v>
      </c>
      <c r="L167" s="44" t="s">
        <v>1175</v>
      </c>
      <c r="M167" s="44" t="s">
        <v>1044</v>
      </c>
      <c r="N167" s="44" t="s">
        <v>207</v>
      </c>
      <c r="O167" s="44" t="s">
        <v>1045</v>
      </c>
      <c r="P167" s="44" t="s">
        <v>221</v>
      </c>
      <c r="Q167" s="44" t="s">
        <v>21110</v>
      </c>
      <c r="R167" s="44" t="s">
        <v>21111</v>
      </c>
      <c r="S167" s="44" t="s">
        <v>21112</v>
      </c>
      <c r="T167" s="44">
        <v>67</v>
      </c>
      <c r="U167" s="44" t="s">
        <v>20107</v>
      </c>
      <c r="V167" s="44" t="s">
        <v>20263</v>
      </c>
      <c r="W167" s="44" t="s">
        <v>20068</v>
      </c>
      <c r="X167" s="44" t="s">
        <v>20068</v>
      </c>
      <c r="Y167" s="44" t="s">
        <v>20068</v>
      </c>
      <c r="Z167" s="44" t="s">
        <v>20069</v>
      </c>
      <c r="AA167" s="44">
        <v>4443</v>
      </c>
      <c r="AB167" s="44" t="s">
        <v>1046</v>
      </c>
      <c r="AC167" s="44"/>
      <c r="AD167" s="44" t="s">
        <v>20694</v>
      </c>
      <c r="AE167" s="44" t="s">
        <v>20695</v>
      </c>
      <c r="AF167" s="44" t="s">
        <v>1045</v>
      </c>
      <c r="AG167" s="44" t="s">
        <v>7934</v>
      </c>
      <c r="AH167" s="44" t="s">
        <v>1598</v>
      </c>
      <c r="AI167" s="44" t="s">
        <v>18723</v>
      </c>
      <c r="AJ167" s="44" t="s">
        <v>20072</v>
      </c>
      <c r="AK167" s="43">
        <v>0</v>
      </c>
      <c r="AL167" s="44">
        <v>64</v>
      </c>
      <c r="AM167" s="44">
        <v>53</v>
      </c>
      <c r="AN167" s="44">
        <v>29.90732940185341</v>
      </c>
      <c r="AO167" s="44">
        <v>31.5525114155251</v>
      </c>
      <c r="AP167" s="46">
        <v>47.9</v>
      </c>
      <c r="AQ167" s="47">
        <v>3</v>
      </c>
      <c r="AR167" s="47">
        <v>0</v>
      </c>
      <c r="AS167" s="47">
        <v>0</v>
      </c>
      <c r="AT167" s="47">
        <v>0</v>
      </c>
      <c r="AU167" s="46">
        <v>5</v>
      </c>
      <c r="AV167" s="46">
        <v>8</v>
      </c>
      <c r="AW167" s="46">
        <v>3</v>
      </c>
      <c r="AX167" s="47">
        <v>5</v>
      </c>
      <c r="AY167" s="47">
        <v>10</v>
      </c>
      <c r="AZ167" s="47">
        <v>16</v>
      </c>
      <c r="BA167" s="47">
        <v>6</v>
      </c>
      <c r="BB167" s="46">
        <v>40</v>
      </c>
      <c r="BC167" s="48">
        <v>1</v>
      </c>
    </row>
    <row r="168" spans="1:55" s="42" customFormat="1" x14ac:dyDescent="0.2">
      <c r="A168" s="43">
        <v>199</v>
      </c>
      <c r="B168" s="44" t="s">
        <v>20059</v>
      </c>
      <c r="C168" s="45">
        <v>44082</v>
      </c>
      <c r="D168" s="44" t="s">
        <v>20060</v>
      </c>
      <c r="E168" s="44" t="s">
        <v>21113</v>
      </c>
      <c r="F168" s="44" t="s">
        <v>20062</v>
      </c>
      <c r="G168" s="44">
        <v>90079</v>
      </c>
      <c r="H168" s="44" t="s">
        <v>21114</v>
      </c>
      <c r="I168" s="45">
        <v>44013</v>
      </c>
      <c r="J168" s="45">
        <v>45107</v>
      </c>
      <c r="K168" s="44" t="s">
        <v>1176</v>
      </c>
      <c r="L168" s="44" t="s">
        <v>1177</v>
      </c>
      <c r="M168" s="44" t="s">
        <v>222</v>
      </c>
      <c r="N168" s="44" t="s">
        <v>207</v>
      </c>
      <c r="O168" s="44" t="s">
        <v>304</v>
      </c>
      <c r="P168" s="44" t="s">
        <v>224</v>
      </c>
      <c r="Q168" s="44" t="s">
        <v>21115</v>
      </c>
      <c r="R168" s="44" t="s">
        <v>21116</v>
      </c>
      <c r="S168" s="44" t="s">
        <v>21117</v>
      </c>
      <c r="T168" s="44">
        <v>111</v>
      </c>
      <c r="U168" s="44" t="s">
        <v>20067</v>
      </c>
      <c r="V168" s="44" t="s">
        <v>20108</v>
      </c>
      <c r="W168" s="44" t="s">
        <v>20068</v>
      </c>
      <c r="X168" s="44" t="s">
        <v>20068</v>
      </c>
      <c r="Y168" s="44" t="s">
        <v>20068</v>
      </c>
      <c r="Z168" s="44" t="s">
        <v>20089</v>
      </c>
      <c r="AA168" s="44">
        <v>4260</v>
      </c>
      <c r="AB168" s="44" t="s">
        <v>353</v>
      </c>
      <c r="AC168" s="44"/>
      <c r="AD168" s="44" t="s">
        <v>21118</v>
      </c>
      <c r="AE168" s="44" t="s">
        <v>21119</v>
      </c>
      <c r="AF168" s="44" t="s">
        <v>304</v>
      </c>
      <c r="AG168" s="44" t="s">
        <v>20125</v>
      </c>
      <c r="AH168" s="44" t="s">
        <v>20311</v>
      </c>
      <c r="AI168" s="44" t="s">
        <v>18723</v>
      </c>
      <c r="AJ168" s="44" t="s">
        <v>20072</v>
      </c>
      <c r="AK168" s="43">
        <v>0</v>
      </c>
      <c r="AL168" s="44">
        <v>61</v>
      </c>
      <c r="AM168" s="44">
        <v>44.333333333333336</v>
      </c>
      <c r="AN168" s="44">
        <v>51.614887726853276</v>
      </c>
      <c r="AO168" s="44">
        <v>50.967199327165702</v>
      </c>
      <c r="AP168" s="46">
        <v>19.100000000000001</v>
      </c>
      <c r="AQ168" s="47">
        <v>5</v>
      </c>
      <c r="AR168" s="47">
        <v>0</v>
      </c>
      <c r="AS168" s="47">
        <v>0</v>
      </c>
      <c r="AT168" s="47">
        <v>0</v>
      </c>
      <c r="AU168" s="46">
        <v>5</v>
      </c>
      <c r="AV168" s="46">
        <v>6</v>
      </c>
      <c r="AW168" s="46">
        <v>5</v>
      </c>
      <c r="AX168" s="47">
        <v>3</v>
      </c>
      <c r="AY168" s="47">
        <v>10</v>
      </c>
      <c r="AZ168" s="47">
        <v>12</v>
      </c>
      <c r="BA168" s="47">
        <v>10</v>
      </c>
      <c r="BB168" s="46">
        <v>40</v>
      </c>
      <c r="BC168" s="48">
        <v>1</v>
      </c>
    </row>
    <row r="169" spans="1:55" s="42" customFormat="1" x14ac:dyDescent="0.2">
      <c r="A169" s="43">
        <v>242</v>
      </c>
      <c r="B169" s="44" t="s">
        <v>20059</v>
      </c>
      <c r="C169" s="45">
        <v>44082</v>
      </c>
      <c r="D169" s="44" t="s">
        <v>20060</v>
      </c>
      <c r="E169" s="44" t="s">
        <v>21120</v>
      </c>
      <c r="F169" s="44" t="s">
        <v>20062</v>
      </c>
      <c r="G169" s="44">
        <v>0</v>
      </c>
      <c r="H169" s="44" t="s">
        <v>21121</v>
      </c>
      <c r="I169" s="45">
        <v>43344</v>
      </c>
      <c r="J169" s="45">
        <v>44439</v>
      </c>
      <c r="K169" s="44" t="s">
        <v>1178</v>
      </c>
      <c r="L169" s="44" t="s">
        <v>1179</v>
      </c>
      <c r="M169" s="44" t="s">
        <v>298</v>
      </c>
      <c r="N169" s="44" t="s">
        <v>207</v>
      </c>
      <c r="O169" s="44" t="s">
        <v>299</v>
      </c>
      <c r="P169" s="44" t="s">
        <v>215</v>
      </c>
      <c r="Q169" s="44" t="s">
        <v>21122</v>
      </c>
      <c r="R169" s="44" t="s">
        <v>21123</v>
      </c>
      <c r="S169" s="44" t="s">
        <v>20131</v>
      </c>
      <c r="T169" s="44">
        <v>32</v>
      </c>
      <c r="U169" s="44" t="s">
        <v>20067</v>
      </c>
      <c r="V169" s="44" t="s">
        <v>20067</v>
      </c>
      <c r="W169" s="44" t="s">
        <v>20067</v>
      </c>
      <c r="X169" s="44" t="s">
        <v>20068</v>
      </c>
      <c r="Y169" s="44" t="s">
        <v>20067</v>
      </c>
      <c r="Z169" s="44" t="s">
        <v>20069</v>
      </c>
      <c r="AA169" s="44">
        <v>4169</v>
      </c>
      <c r="AB169" s="44" t="s">
        <v>350</v>
      </c>
      <c r="AC169" s="44"/>
      <c r="AD169" s="44" t="s">
        <v>21124</v>
      </c>
      <c r="AE169" s="44" t="s">
        <v>21125</v>
      </c>
      <c r="AF169" s="44" t="s">
        <v>299</v>
      </c>
      <c r="AG169" s="44" t="s">
        <v>2078</v>
      </c>
      <c r="AH169" s="44" t="s">
        <v>836</v>
      </c>
      <c r="AI169" s="44" t="s">
        <v>18723</v>
      </c>
      <c r="AJ169" s="44" t="s">
        <v>20072</v>
      </c>
      <c r="AK169" s="43">
        <v>0</v>
      </c>
      <c r="AL169" s="44">
        <v>36.85</v>
      </c>
      <c r="AM169" s="44">
        <v>55.333333333333336</v>
      </c>
      <c r="AN169" s="44">
        <v>41.255605381165921</v>
      </c>
      <c r="AO169" s="44">
        <v>42.8950863213811</v>
      </c>
      <c r="AP169" s="46">
        <v>37.200000000000003</v>
      </c>
      <c r="AQ169" s="47">
        <v>3</v>
      </c>
      <c r="AR169" s="47">
        <v>0</v>
      </c>
      <c r="AS169" s="47">
        <v>0</v>
      </c>
      <c r="AT169" s="47">
        <v>0</v>
      </c>
      <c r="AU169" s="46">
        <v>3</v>
      </c>
      <c r="AV169" s="46">
        <v>8</v>
      </c>
      <c r="AW169" s="46">
        <v>5</v>
      </c>
      <c r="AX169" s="47">
        <v>5</v>
      </c>
      <c r="AY169" s="47">
        <v>6</v>
      </c>
      <c r="AZ169" s="47">
        <v>16</v>
      </c>
      <c r="BA169" s="47">
        <v>10</v>
      </c>
      <c r="BB169" s="46">
        <v>40</v>
      </c>
      <c r="BC169" s="48">
        <v>1</v>
      </c>
    </row>
    <row r="170" spans="1:55" s="42" customFormat="1" x14ac:dyDescent="0.2">
      <c r="A170" s="43">
        <v>335</v>
      </c>
      <c r="B170" s="44" t="s">
        <v>20059</v>
      </c>
      <c r="C170" s="45">
        <v>44082</v>
      </c>
      <c r="D170" s="44" t="s">
        <v>20060</v>
      </c>
      <c r="E170" s="44" t="s">
        <v>21126</v>
      </c>
      <c r="F170" s="44" t="s">
        <v>20062</v>
      </c>
      <c r="G170" s="44">
        <v>0</v>
      </c>
      <c r="H170" s="44" t="s">
        <v>21127</v>
      </c>
      <c r="I170" s="45">
        <v>43101</v>
      </c>
      <c r="J170" s="45">
        <v>44196</v>
      </c>
      <c r="K170" s="44" t="s">
        <v>1180</v>
      </c>
      <c r="L170" s="44" t="s">
        <v>1181</v>
      </c>
      <c r="M170" s="44" t="s">
        <v>249</v>
      </c>
      <c r="N170" s="44" t="s">
        <v>207</v>
      </c>
      <c r="O170" s="44" t="s">
        <v>846</v>
      </c>
      <c r="P170" s="44" t="s">
        <v>221</v>
      </c>
      <c r="Q170" s="44" t="s">
        <v>21128</v>
      </c>
      <c r="R170" s="44" t="s">
        <v>21129</v>
      </c>
      <c r="S170" s="44" t="s">
        <v>21130</v>
      </c>
      <c r="T170" s="44">
        <v>59</v>
      </c>
      <c r="U170" s="44" t="s">
        <v>20067</v>
      </c>
      <c r="V170" s="44" t="s">
        <v>20067</v>
      </c>
      <c r="W170" s="44" t="s">
        <v>20067</v>
      </c>
      <c r="X170" s="44" t="s">
        <v>20068</v>
      </c>
      <c r="Y170" s="44" t="s">
        <v>20068</v>
      </c>
      <c r="Z170" s="44" t="s">
        <v>20089</v>
      </c>
      <c r="AA170" s="44">
        <v>4448</v>
      </c>
      <c r="AB170" s="44" t="s">
        <v>329</v>
      </c>
      <c r="AC170" s="44"/>
      <c r="AD170" s="44" t="s">
        <v>20631</v>
      </c>
      <c r="AE170" s="44" t="s">
        <v>21131</v>
      </c>
      <c r="AF170" s="44" t="s">
        <v>250</v>
      </c>
      <c r="AG170" s="44" t="s">
        <v>7934</v>
      </c>
      <c r="AH170" s="44" t="s">
        <v>760</v>
      </c>
      <c r="AI170" s="44" t="s">
        <v>18723</v>
      </c>
      <c r="AJ170" s="44" t="s">
        <v>20072</v>
      </c>
      <c r="AK170" s="43">
        <v>0</v>
      </c>
      <c r="AL170" s="44">
        <v>36.85</v>
      </c>
      <c r="AM170" s="44">
        <v>61.666666666666664</v>
      </c>
      <c r="AN170" s="44">
        <v>48.711273105961986</v>
      </c>
      <c r="AO170" s="44">
        <v>46.508172362555698</v>
      </c>
      <c r="AP170" s="46">
        <v>47.9</v>
      </c>
      <c r="AQ170" s="47">
        <v>3</v>
      </c>
      <c r="AR170" s="47">
        <v>0</v>
      </c>
      <c r="AS170" s="47">
        <v>0</v>
      </c>
      <c r="AT170" s="47">
        <v>0</v>
      </c>
      <c r="AU170" s="46">
        <v>3</v>
      </c>
      <c r="AV170" s="46">
        <v>8</v>
      </c>
      <c r="AW170" s="46">
        <v>5</v>
      </c>
      <c r="AX170" s="47">
        <v>5</v>
      </c>
      <c r="AY170" s="47">
        <v>6</v>
      </c>
      <c r="AZ170" s="47">
        <v>16</v>
      </c>
      <c r="BA170" s="47">
        <v>10</v>
      </c>
      <c r="BB170" s="46">
        <v>40</v>
      </c>
      <c r="BC170" s="48">
        <v>1</v>
      </c>
    </row>
    <row r="171" spans="1:55" s="42" customFormat="1" x14ac:dyDescent="0.2">
      <c r="A171" s="43">
        <v>427</v>
      </c>
      <c r="B171" s="44" t="s">
        <v>20059</v>
      </c>
      <c r="C171" s="45">
        <v>44082</v>
      </c>
      <c r="D171" s="44" t="s">
        <v>20060</v>
      </c>
      <c r="E171" s="44" t="s">
        <v>21132</v>
      </c>
      <c r="F171" s="44" t="s">
        <v>20062</v>
      </c>
      <c r="G171" s="44">
        <v>0</v>
      </c>
      <c r="H171" s="44" t="s">
        <v>21133</v>
      </c>
      <c r="I171" s="45">
        <v>43678</v>
      </c>
      <c r="J171" s="45">
        <v>44773</v>
      </c>
      <c r="K171" s="44" t="s">
        <v>1182</v>
      </c>
      <c r="L171" s="44" t="s">
        <v>140</v>
      </c>
      <c r="M171" s="44" t="s">
        <v>222</v>
      </c>
      <c r="N171" s="44" t="s">
        <v>207</v>
      </c>
      <c r="O171" s="44" t="s">
        <v>235</v>
      </c>
      <c r="P171" s="44" t="s">
        <v>224</v>
      </c>
      <c r="Q171" s="44" t="s">
        <v>20639</v>
      </c>
      <c r="R171" s="44" t="s">
        <v>20439</v>
      </c>
      <c r="S171" s="44" t="s">
        <v>20377</v>
      </c>
      <c r="T171" s="44">
        <v>20</v>
      </c>
      <c r="U171" s="44" t="s">
        <v>20067</v>
      </c>
      <c r="V171" s="44" t="s">
        <v>20067</v>
      </c>
      <c r="W171" s="44" t="s">
        <v>20067</v>
      </c>
      <c r="X171" s="44" t="s">
        <v>20068</v>
      </c>
      <c r="Y171" s="44" t="s">
        <v>20067</v>
      </c>
      <c r="Z171" s="44" t="s">
        <v>20089</v>
      </c>
      <c r="AA171" s="44">
        <v>4259</v>
      </c>
      <c r="AB171" s="44" t="s">
        <v>316</v>
      </c>
      <c r="AC171" s="44" t="s">
        <v>19745</v>
      </c>
      <c r="AD171" s="44" t="s">
        <v>20331</v>
      </c>
      <c r="AE171" s="44" t="s">
        <v>20441</v>
      </c>
      <c r="AF171" s="44" t="s">
        <v>235</v>
      </c>
      <c r="AG171" s="44" t="s">
        <v>20092</v>
      </c>
      <c r="AH171" s="44" t="s">
        <v>20170</v>
      </c>
      <c r="AI171" s="44" t="s">
        <v>18723</v>
      </c>
      <c r="AJ171" s="44" t="s">
        <v>20072</v>
      </c>
      <c r="AK171" s="43">
        <v>0</v>
      </c>
      <c r="AL171" s="44">
        <v>39</v>
      </c>
      <c r="AM171" s="44">
        <v>65.333333333333329</v>
      </c>
      <c r="AN171" s="44">
        <v>56.210298689012028</v>
      </c>
      <c r="AO171" s="44">
        <v>55.696202531645604</v>
      </c>
      <c r="AP171" s="46">
        <v>19.100000000000001</v>
      </c>
      <c r="AQ171" s="47">
        <v>1</v>
      </c>
      <c r="AR171" s="47">
        <v>0</v>
      </c>
      <c r="AS171" s="47">
        <v>0</v>
      </c>
      <c r="AT171" s="47">
        <v>0</v>
      </c>
      <c r="AU171" s="46">
        <v>3</v>
      </c>
      <c r="AV171" s="46">
        <v>10</v>
      </c>
      <c r="AW171" s="46">
        <v>5</v>
      </c>
      <c r="AX171" s="47">
        <v>3</v>
      </c>
      <c r="AY171" s="47">
        <v>6</v>
      </c>
      <c r="AZ171" s="47">
        <v>20</v>
      </c>
      <c r="BA171" s="47">
        <v>10</v>
      </c>
      <c r="BB171" s="46">
        <v>40</v>
      </c>
      <c r="BC171" s="48">
        <v>1</v>
      </c>
    </row>
    <row r="172" spans="1:55" s="42" customFormat="1" x14ac:dyDescent="0.2">
      <c r="A172" s="43">
        <v>428</v>
      </c>
      <c r="B172" s="44" t="s">
        <v>20059</v>
      </c>
      <c r="C172" s="45">
        <v>44082</v>
      </c>
      <c r="D172" s="44" t="s">
        <v>20060</v>
      </c>
      <c r="E172" s="44" t="s">
        <v>21134</v>
      </c>
      <c r="F172" s="44" t="s">
        <v>20062</v>
      </c>
      <c r="G172" s="44">
        <v>0</v>
      </c>
      <c r="H172" s="44" t="s">
        <v>21135</v>
      </c>
      <c r="I172" s="45">
        <v>43781</v>
      </c>
      <c r="J172" s="45">
        <v>44865</v>
      </c>
      <c r="K172" s="44" t="s">
        <v>1183</v>
      </c>
      <c r="L172" s="44" t="s">
        <v>157</v>
      </c>
      <c r="M172" s="44" t="s">
        <v>222</v>
      </c>
      <c r="N172" s="44" t="s">
        <v>207</v>
      </c>
      <c r="O172" s="44" t="s">
        <v>262</v>
      </c>
      <c r="P172" s="44" t="s">
        <v>224</v>
      </c>
      <c r="Q172" s="44" t="s">
        <v>20639</v>
      </c>
      <c r="R172" s="44" t="s">
        <v>20376</v>
      </c>
      <c r="S172" s="44" t="s">
        <v>20131</v>
      </c>
      <c r="T172" s="44">
        <v>20</v>
      </c>
      <c r="U172" s="44" t="s">
        <v>20067</v>
      </c>
      <c r="V172" s="44" t="s">
        <v>20067</v>
      </c>
      <c r="W172" s="44" t="s">
        <v>20067</v>
      </c>
      <c r="X172" s="44" t="s">
        <v>20068</v>
      </c>
      <c r="Y172" s="44" t="s">
        <v>20067</v>
      </c>
      <c r="Z172" s="44" t="s">
        <v>20089</v>
      </c>
      <c r="AA172" s="44">
        <v>4282</v>
      </c>
      <c r="AB172" s="44" t="s">
        <v>334</v>
      </c>
      <c r="AC172" s="44" t="s">
        <v>19745</v>
      </c>
      <c r="AD172" s="44" t="s">
        <v>20337</v>
      </c>
      <c r="AE172" s="44" t="s">
        <v>20706</v>
      </c>
      <c r="AF172" s="44" t="s">
        <v>262</v>
      </c>
      <c r="AG172" s="44" t="s">
        <v>20092</v>
      </c>
      <c r="AH172" s="44" t="s">
        <v>20126</v>
      </c>
      <c r="AI172" s="44" t="s">
        <v>18723</v>
      </c>
      <c r="AJ172" s="44" t="s">
        <v>20072</v>
      </c>
      <c r="AK172" s="43">
        <v>0</v>
      </c>
      <c r="AL172" s="44">
        <v>58</v>
      </c>
      <c r="AM172" s="44">
        <v>54.666666666666664</v>
      </c>
      <c r="AN172" s="44">
        <v>56.787564766839381</v>
      </c>
      <c r="AO172" s="44">
        <v>54.5153272576636</v>
      </c>
      <c r="AP172" s="46">
        <v>19.100000000000001</v>
      </c>
      <c r="AQ172" s="47">
        <v>1</v>
      </c>
      <c r="AR172" s="47">
        <v>0</v>
      </c>
      <c r="AS172" s="47">
        <v>0</v>
      </c>
      <c r="AT172" s="47">
        <v>0</v>
      </c>
      <c r="AU172" s="46">
        <v>5</v>
      </c>
      <c r="AV172" s="46">
        <v>8</v>
      </c>
      <c r="AW172" s="46">
        <v>5</v>
      </c>
      <c r="AX172" s="47">
        <v>3</v>
      </c>
      <c r="AY172" s="47">
        <v>10</v>
      </c>
      <c r="AZ172" s="47">
        <v>16</v>
      </c>
      <c r="BA172" s="47">
        <v>10</v>
      </c>
      <c r="BB172" s="46">
        <v>40</v>
      </c>
      <c r="BC172" s="48">
        <v>1</v>
      </c>
    </row>
    <row r="173" spans="1:55" s="42" customFormat="1" x14ac:dyDescent="0.2">
      <c r="A173" s="43">
        <v>435</v>
      </c>
      <c r="B173" s="44" t="s">
        <v>20059</v>
      </c>
      <c r="C173" s="45">
        <v>44082</v>
      </c>
      <c r="D173" s="44" t="s">
        <v>20060</v>
      </c>
      <c r="E173" s="44" t="s">
        <v>21136</v>
      </c>
      <c r="F173" s="44" t="s">
        <v>20062</v>
      </c>
      <c r="G173" s="44">
        <v>0</v>
      </c>
      <c r="H173" s="44" t="s">
        <v>21137</v>
      </c>
      <c r="I173" s="45">
        <v>43678</v>
      </c>
      <c r="J173" s="45">
        <v>44773</v>
      </c>
      <c r="K173" s="44" t="s">
        <v>1184</v>
      </c>
      <c r="L173" s="44" t="s">
        <v>1185</v>
      </c>
      <c r="M173" s="44" t="s">
        <v>222</v>
      </c>
      <c r="N173" s="44" t="s">
        <v>207</v>
      </c>
      <c r="O173" s="44" t="s">
        <v>302</v>
      </c>
      <c r="P173" s="44" t="s">
        <v>224</v>
      </c>
      <c r="Q173" s="44" t="s">
        <v>20639</v>
      </c>
      <c r="R173" s="44" t="s">
        <v>20376</v>
      </c>
      <c r="S173" s="44" t="s">
        <v>20377</v>
      </c>
      <c r="T173" s="44">
        <v>134</v>
      </c>
      <c r="U173" s="44" t="s">
        <v>20067</v>
      </c>
      <c r="V173" s="44" t="s">
        <v>20067</v>
      </c>
      <c r="W173" s="44" t="s">
        <v>20067</v>
      </c>
      <c r="X173" s="44" t="s">
        <v>20068</v>
      </c>
      <c r="Y173" s="44" t="s">
        <v>20067</v>
      </c>
      <c r="Z173" s="44" t="s">
        <v>20089</v>
      </c>
      <c r="AA173" s="44">
        <v>4282</v>
      </c>
      <c r="AB173" s="44" t="s">
        <v>334</v>
      </c>
      <c r="AC173" s="44" t="s">
        <v>19745</v>
      </c>
      <c r="AD173" s="44" t="s">
        <v>21138</v>
      </c>
      <c r="AE173" s="44" t="s">
        <v>21139</v>
      </c>
      <c r="AF173" s="44" t="s">
        <v>556</v>
      </c>
      <c r="AG173" s="44" t="s">
        <v>20092</v>
      </c>
      <c r="AH173" s="44" t="s">
        <v>20126</v>
      </c>
      <c r="AI173" s="44" t="s">
        <v>18723</v>
      </c>
      <c r="AJ173" s="44" t="s">
        <v>20072</v>
      </c>
      <c r="AK173" s="43">
        <v>0</v>
      </c>
      <c r="AL173" s="44">
        <v>58</v>
      </c>
      <c r="AM173" s="44">
        <v>54.666666666666664</v>
      </c>
      <c r="AN173" s="44">
        <v>47.227272727272727</v>
      </c>
      <c r="AO173" s="44">
        <v>41.178797468354396</v>
      </c>
      <c r="AP173" s="46">
        <v>19.100000000000001</v>
      </c>
      <c r="AQ173" s="47">
        <v>5</v>
      </c>
      <c r="AR173" s="47">
        <v>0</v>
      </c>
      <c r="AS173" s="47">
        <v>0</v>
      </c>
      <c r="AT173" s="47">
        <v>0</v>
      </c>
      <c r="AU173" s="46">
        <v>5</v>
      </c>
      <c r="AV173" s="46">
        <v>8</v>
      </c>
      <c r="AW173" s="46">
        <v>3</v>
      </c>
      <c r="AX173" s="47">
        <v>3</v>
      </c>
      <c r="AY173" s="47">
        <v>10</v>
      </c>
      <c r="AZ173" s="47">
        <v>16</v>
      </c>
      <c r="BA173" s="47">
        <v>6</v>
      </c>
      <c r="BB173" s="46">
        <v>40</v>
      </c>
      <c r="BC173" s="48">
        <v>1</v>
      </c>
    </row>
    <row r="174" spans="1:55" s="42" customFormat="1" x14ac:dyDescent="0.2">
      <c r="A174" s="43">
        <v>437</v>
      </c>
      <c r="B174" s="44" t="s">
        <v>20059</v>
      </c>
      <c r="C174" s="45">
        <v>44082</v>
      </c>
      <c r="D174" s="44" t="s">
        <v>20060</v>
      </c>
      <c r="E174" s="44" t="s">
        <v>21140</v>
      </c>
      <c r="F174" s="44" t="s">
        <v>20062</v>
      </c>
      <c r="G174" s="44">
        <v>0</v>
      </c>
      <c r="H174" s="44" t="s">
        <v>21141</v>
      </c>
      <c r="I174" s="45">
        <v>43647</v>
      </c>
      <c r="J174" s="45">
        <v>44742</v>
      </c>
      <c r="K174" s="44" t="s">
        <v>1186</v>
      </c>
      <c r="L174" s="44" t="s">
        <v>1187</v>
      </c>
      <c r="M174" s="44" t="s">
        <v>222</v>
      </c>
      <c r="N174" s="44" t="s">
        <v>207</v>
      </c>
      <c r="O174" s="44" t="s">
        <v>235</v>
      </c>
      <c r="P174" s="44" t="s">
        <v>224</v>
      </c>
      <c r="Q174" s="44" t="s">
        <v>20639</v>
      </c>
      <c r="R174" s="44" t="s">
        <v>21142</v>
      </c>
      <c r="S174" s="44" t="s">
        <v>20377</v>
      </c>
      <c r="T174" s="44">
        <v>20</v>
      </c>
      <c r="U174" s="44" t="s">
        <v>20067</v>
      </c>
      <c r="V174" s="44" t="s">
        <v>20067</v>
      </c>
      <c r="W174" s="44" t="s">
        <v>20067</v>
      </c>
      <c r="X174" s="44" t="s">
        <v>20068</v>
      </c>
      <c r="Y174" s="44" t="s">
        <v>20067</v>
      </c>
      <c r="Z174" s="44" t="s">
        <v>20089</v>
      </c>
      <c r="AA174" s="44">
        <v>4259</v>
      </c>
      <c r="AB174" s="44" t="s">
        <v>316</v>
      </c>
      <c r="AC174" s="44" t="s">
        <v>19745</v>
      </c>
      <c r="AD174" s="44" t="s">
        <v>20407</v>
      </c>
      <c r="AE174" s="44" t="s">
        <v>21143</v>
      </c>
      <c r="AF174" s="44" t="s">
        <v>235</v>
      </c>
      <c r="AG174" s="44" t="s">
        <v>20092</v>
      </c>
      <c r="AH174" s="44" t="s">
        <v>20170</v>
      </c>
      <c r="AI174" s="44" t="s">
        <v>18723</v>
      </c>
      <c r="AJ174" s="44" t="s">
        <v>20072</v>
      </c>
      <c r="AK174" s="43">
        <v>0</v>
      </c>
      <c r="AL174" s="44">
        <v>39</v>
      </c>
      <c r="AM174" s="44">
        <v>65.333333333333329</v>
      </c>
      <c r="AN174" s="44">
        <v>57.609329446064137</v>
      </c>
      <c r="AO174" s="44">
        <v>60.195758564437199</v>
      </c>
      <c r="AP174" s="46">
        <v>19.100000000000001</v>
      </c>
      <c r="AQ174" s="47">
        <v>1</v>
      </c>
      <c r="AR174" s="47">
        <v>0</v>
      </c>
      <c r="AS174" s="47">
        <v>0</v>
      </c>
      <c r="AT174" s="47">
        <v>0</v>
      </c>
      <c r="AU174" s="46">
        <v>3</v>
      </c>
      <c r="AV174" s="46">
        <v>10</v>
      </c>
      <c r="AW174" s="46">
        <v>5</v>
      </c>
      <c r="AX174" s="47">
        <v>3</v>
      </c>
      <c r="AY174" s="47">
        <v>6</v>
      </c>
      <c r="AZ174" s="47">
        <v>20</v>
      </c>
      <c r="BA174" s="47">
        <v>10</v>
      </c>
      <c r="BB174" s="46">
        <v>40</v>
      </c>
      <c r="BC174" s="48">
        <v>1</v>
      </c>
    </row>
    <row r="175" spans="1:55" s="42" customFormat="1" x14ac:dyDescent="0.2">
      <c r="A175" s="43">
        <v>459</v>
      </c>
      <c r="B175" s="44" t="s">
        <v>20059</v>
      </c>
      <c r="C175" s="45">
        <v>44082</v>
      </c>
      <c r="D175" s="44" t="s">
        <v>20060</v>
      </c>
      <c r="E175" s="44" t="s">
        <v>21144</v>
      </c>
      <c r="F175" s="44" t="s">
        <v>20062</v>
      </c>
      <c r="G175" s="44">
        <v>0</v>
      </c>
      <c r="H175" s="44" t="s">
        <v>21145</v>
      </c>
      <c r="I175" s="45">
        <v>43525</v>
      </c>
      <c r="J175" s="45">
        <v>44620</v>
      </c>
      <c r="K175" s="44" t="s">
        <v>1188</v>
      </c>
      <c r="L175" s="44" t="s">
        <v>1189</v>
      </c>
      <c r="M175" s="44" t="s">
        <v>307</v>
      </c>
      <c r="N175" s="44" t="s">
        <v>207</v>
      </c>
      <c r="O175" s="44" t="s">
        <v>308</v>
      </c>
      <c r="P175" s="44" t="s">
        <v>309</v>
      </c>
      <c r="Q175" s="44" t="s">
        <v>20790</v>
      </c>
      <c r="R175" s="44" t="s">
        <v>21146</v>
      </c>
      <c r="S175" s="44" t="s">
        <v>21147</v>
      </c>
      <c r="T175" s="44">
        <v>44</v>
      </c>
      <c r="U175" s="44" t="s">
        <v>20067</v>
      </c>
      <c r="V175" s="44" t="s">
        <v>20067</v>
      </c>
      <c r="W175" s="44" t="s">
        <v>20067</v>
      </c>
      <c r="X175" s="44" t="s">
        <v>20068</v>
      </c>
      <c r="Y175" s="44" t="s">
        <v>20067</v>
      </c>
      <c r="Z175" s="44" t="s">
        <v>20089</v>
      </c>
      <c r="AA175" s="44">
        <v>4505</v>
      </c>
      <c r="AB175" s="44" t="s">
        <v>354</v>
      </c>
      <c r="AC175" s="44"/>
      <c r="AD175" s="44" t="s">
        <v>21148</v>
      </c>
      <c r="AE175" s="44" t="s">
        <v>21149</v>
      </c>
      <c r="AF175" s="44" t="s">
        <v>308</v>
      </c>
      <c r="AG175" s="44" t="s">
        <v>496</v>
      </c>
      <c r="AH175" s="44" t="s">
        <v>499</v>
      </c>
      <c r="AI175" s="44" t="s">
        <v>18723</v>
      </c>
      <c r="AJ175" s="44" t="s">
        <v>20072</v>
      </c>
      <c r="AK175" s="43">
        <v>0</v>
      </c>
      <c r="AL175" s="44">
        <v>32</v>
      </c>
      <c r="AM175" s="44">
        <v>53</v>
      </c>
      <c r="AN175" s="44">
        <v>46.908051453072893</v>
      </c>
      <c r="AO175" s="44">
        <v>55.655991735537199</v>
      </c>
      <c r="AP175" s="46">
        <v>38</v>
      </c>
      <c r="AQ175" s="47">
        <v>3</v>
      </c>
      <c r="AR175" s="47">
        <v>0</v>
      </c>
      <c r="AS175" s="47">
        <v>0</v>
      </c>
      <c r="AT175" s="47">
        <v>0</v>
      </c>
      <c r="AU175" s="46">
        <v>3</v>
      </c>
      <c r="AV175" s="46">
        <v>8</v>
      </c>
      <c r="AW175" s="46">
        <v>5</v>
      </c>
      <c r="AX175" s="47">
        <v>5</v>
      </c>
      <c r="AY175" s="47">
        <v>6</v>
      </c>
      <c r="AZ175" s="47">
        <v>16</v>
      </c>
      <c r="BA175" s="47">
        <v>10</v>
      </c>
      <c r="BB175" s="46">
        <v>40</v>
      </c>
      <c r="BC175" s="48">
        <v>1</v>
      </c>
    </row>
    <row r="176" spans="1:55" s="42" customFormat="1" x14ac:dyDescent="0.2">
      <c r="A176" s="43">
        <v>494</v>
      </c>
      <c r="B176" s="44" t="s">
        <v>20059</v>
      </c>
      <c r="C176" s="45">
        <v>44082</v>
      </c>
      <c r="D176" s="44" t="s">
        <v>20060</v>
      </c>
      <c r="E176" s="44" t="s">
        <v>21150</v>
      </c>
      <c r="F176" s="44" t="s">
        <v>20062</v>
      </c>
      <c r="G176" s="44">
        <v>0</v>
      </c>
      <c r="H176" s="44" t="s">
        <v>21151</v>
      </c>
      <c r="I176" s="45">
        <v>43313</v>
      </c>
      <c r="J176" s="45">
        <v>44408</v>
      </c>
      <c r="K176" s="44" t="s">
        <v>1190</v>
      </c>
      <c r="L176" s="44" t="s">
        <v>1191</v>
      </c>
      <c r="M176" s="44" t="s">
        <v>239</v>
      </c>
      <c r="N176" s="44" t="s">
        <v>207</v>
      </c>
      <c r="O176" s="44" t="s">
        <v>240</v>
      </c>
      <c r="P176" s="44" t="s">
        <v>209</v>
      </c>
      <c r="Q176" s="44" t="s">
        <v>21152</v>
      </c>
      <c r="R176" s="44" t="s">
        <v>21153</v>
      </c>
      <c r="S176" s="44" t="s">
        <v>21154</v>
      </c>
      <c r="T176" s="44">
        <v>39</v>
      </c>
      <c r="U176" s="44" t="s">
        <v>20067</v>
      </c>
      <c r="V176" s="44" t="s">
        <v>20067</v>
      </c>
      <c r="W176" s="44" t="s">
        <v>20067</v>
      </c>
      <c r="X176" s="44" t="s">
        <v>20068</v>
      </c>
      <c r="Y176" s="44" t="s">
        <v>20067</v>
      </c>
      <c r="Z176" s="44" t="s">
        <v>20069</v>
      </c>
      <c r="AA176" s="44">
        <v>4196</v>
      </c>
      <c r="AB176" s="44" t="s">
        <v>324</v>
      </c>
      <c r="AC176" s="44"/>
      <c r="AD176" s="44" t="s">
        <v>20181</v>
      </c>
      <c r="AE176" s="44" t="s">
        <v>21155</v>
      </c>
      <c r="AF176" s="44" t="s">
        <v>240</v>
      </c>
      <c r="AG176" s="44" t="s">
        <v>2654</v>
      </c>
      <c r="AH176" s="44" t="s">
        <v>19418</v>
      </c>
      <c r="AI176" s="44" t="s">
        <v>18723</v>
      </c>
      <c r="AJ176" s="44" t="s">
        <v>20072</v>
      </c>
      <c r="AK176" s="43">
        <v>0</v>
      </c>
      <c r="AL176" s="44">
        <v>56</v>
      </c>
      <c r="AM176" s="44">
        <v>61.333333333333336</v>
      </c>
      <c r="AN176" s="44">
        <v>22.254680653299694</v>
      </c>
      <c r="AO176" s="44">
        <v>18.8524590163934</v>
      </c>
      <c r="AP176" s="46">
        <v>41.1</v>
      </c>
      <c r="AQ176" s="47">
        <v>3</v>
      </c>
      <c r="AR176" s="47">
        <v>0</v>
      </c>
      <c r="AS176" s="47">
        <v>0</v>
      </c>
      <c r="AT176" s="47">
        <v>0</v>
      </c>
      <c r="AU176" s="46">
        <v>5</v>
      </c>
      <c r="AV176" s="46">
        <v>8</v>
      </c>
      <c r="AW176" s="46">
        <v>3</v>
      </c>
      <c r="AX176" s="47">
        <v>5</v>
      </c>
      <c r="AY176" s="47">
        <v>10</v>
      </c>
      <c r="AZ176" s="47">
        <v>16</v>
      </c>
      <c r="BA176" s="47">
        <v>6</v>
      </c>
      <c r="BB176" s="46">
        <v>40</v>
      </c>
      <c r="BC176" s="48">
        <v>1</v>
      </c>
    </row>
    <row r="177" spans="1:55" s="42" customFormat="1" x14ac:dyDescent="0.2">
      <c r="A177" s="43">
        <v>534</v>
      </c>
      <c r="B177" s="44" t="s">
        <v>20059</v>
      </c>
      <c r="C177" s="45">
        <v>44082</v>
      </c>
      <c r="D177" s="44" t="s">
        <v>20060</v>
      </c>
      <c r="E177" s="44" t="s">
        <v>21156</v>
      </c>
      <c r="F177" s="44" t="s">
        <v>20062</v>
      </c>
      <c r="G177" s="44">
        <v>0</v>
      </c>
      <c r="H177" s="44" t="s">
        <v>21157</v>
      </c>
      <c r="I177" s="45">
        <v>43739</v>
      </c>
      <c r="J177" s="45">
        <v>44834</v>
      </c>
      <c r="K177" s="44" t="s">
        <v>36</v>
      </c>
      <c r="L177" s="44" t="s">
        <v>137</v>
      </c>
      <c r="M177" s="44" t="s">
        <v>263</v>
      </c>
      <c r="N177" s="44" t="s">
        <v>207</v>
      </c>
      <c r="O177" s="44" t="s">
        <v>264</v>
      </c>
      <c r="P177" s="44" t="s">
        <v>209</v>
      </c>
      <c r="Q177" s="44" t="s">
        <v>21158</v>
      </c>
      <c r="R177" s="44" t="s">
        <v>21159</v>
      </c>
      <c r="S177" s="44" t="s">
        <v>21160</v>
      </c>
      <c r="T177" s="44">
        <v>159</v>
      </c>
      <c r="U177" s="44" t="s">
        <v>20344</v>
      </c>
      <c r="V177" s="44" t="s">
        <v>20262</v>
      </c>
      <c r="W177" s="44" t="s">
        <v>20068</v>
      </c>
      <c r="X177" s="44" t="s">
        <v>20068</v>
      </c>
      <c r="Y177" s="44" t="s">
        <v>20068</v>
      </c>
      <c r="Z177" s="44" t="s">
        <v>20069</v>
      </c>
      <c r="AA177" s="44">
        <v>4194</v>
      </c>
      <c r="AB177" s="44" t="s">
        <v>335</v>
      </c>
      <c r="AC177" s="44"/>
      <c r="AD177" s="44" t="s">
        <v>21161</v>
      </c>
      <c r="AE177" s="44" t="s">
        <v>21162</v>
      </c>
      <c r="AF177" s="44" t="s">
        <v>264</v>
      </c>
      <c r="AG177" s="44" t="s">
        <v>2654</v>
      </c>
      <c r="AH177" s="44" t="s">
        <v>21163</v>
      </c>
      <c r="AI177" s="44" t="s">
        <v>18715</v>
      </c>
      <c r="AJ177" s="44" t="s">
        <v>20083</v>
      </c>
      <c r="AK177" s="43">
        <v>0</v>
      </c>
      <c r="AL177" s="44">
        <v>36.85</v>
      </c>
      <c r="AM177" s="44">
        <v>45.333333333333336</v>
      </c>
      <c r="AN177" s="44">
        <v>13.751868460388639</v>
      </c>
      <c r="AO177" s="44">
        <v>14.372375174988299</v>
      </c>
      <c r="AP177" s="46">
        <v>41.1</v>
      </c>
      <c r="AQ177" s="47">
        <v>5</v>
      </c>
      <c r="AR177" s="47">
        <v>5</v>
      </c>
      <c r="AS177" s="47">
        <v>1</v>
      </c>
      <c r="AT177" s="47">
        <v>0</v>
      </c>
      <c r="AU177" s="46">
        <v>3</v>
      </c>
      <c r="AV177" s="46">
        <v>6</v>
      </c>
      <c r="AW177" s="46">
        <v>3</v>
      </c>
      <c r="AX177" s="47">
        <v>5</v>
      </c>
      <c r="AY177" s="47">
        <v>6</v>
      </c>
      <c r="AZ177" s="47">
        <v>12</v>
      </c>
      <c r="BA177" s="47">
        <v>6</v>
      </c>
      <c r="BB177" s="46">
        <v>40</v>
      </c>
      <c r="BC177" s="48">
        <v>1</v>
      </c>
    </row>
    <row r="178" spans="1:55" s="42" customFormat="1" x14ac:dyDescent="0.2">
      <c r="A178" s="43">
        <v>570</v>
      </c>
      <c r="B178" s="44" t="s">
        <v>20059</v>
      </c>
      <c r="C178" s="45">
        <v>44082</v>
      </c>
      <c r="D178" s="44" t="s">
        <v>20060</v>
      </c>
      <c r="E178" s="44" t="s">
        <v>21164</v>
      </c>
      <c r="F178" s="44" t="s">
        <v>20062</v>
      </c>
      <c r="G178" s="44">
        <v>0</v>
      </c>
      <c r="H178" s="44" t="s">
        <v>21165</v>
      </c>
      <c r="I178" s="45">
        <v>43922</v>
      </c>
      <c r="J178" s="45">
        <v>45016</v>
      </c>
      <c r="K178" s="44" t="s">
        <v>1192</v>
      </c>
      <c r="L178" s="44" t="s">
        <v>1193</v>
      </c>
      <c r="M178" s="44" t="s">
        <v>222</v>
      </c>
      <c r="N178" s="44" t="s">
        <v>207</v>
      </c>
      <c r="O178" s="44" t="s">
        <v>594</v>
      </c>
      <c r="P178" s="44" t="s">
        <v>224</v>
      </c>
      <c r="Q178" s="44" t="s">
        <v>21166</v>
      </c>
      <c r="R178" s="44" t="s">
        <v>21167</v>
      </c>
      <c r="S178" s="44" t="s">
        <v>21168</v>
      </c>
      <c r="T178" s="44">
        <v>104</v>
      </c>
      <c r="U178" s="44" t="s">
        <v>20067</v>
      </c>
      <c r="V178" s="44" t="s">
        <v>20121</v>
      </c>
      <c r="W178" s="44" t="s">
        <v>20068</v>
      </c>
      <c r="X178" s="44" t="s">
        <v>20068</v>
      </c>
      <c r="Y178" s="44" t="s">
        <v>20068</v>
      </c>
      <c r="Z178" s="44" t="s">
        <v>20089</v>
      </c>
      <c r="AA178" s="44">
        <v>4280</v>
      </c>
      <c r="AB178" s="44" t="s">
        <v>376</v>
      </c>
      <c r="AC178" s="44"/>
      <c r="AD178" s="44" t="s">
        <v>21169</v>
      </c>
      <c r="AE178" s="44" t="s">
        <v>21170</v>
      </c>
      <c r="AF178" s="44" t="s">
        <v>594</v>
      </c>
      <c r="AG178" s="44" t="s">
        <v>20125</v>
      </c>
      <c r="AH178" s="44" t="s">
        <v>20222</v>
      </c>
      <c r="AI178" s="44" t="s">
        <v>18723</v>
      </c>
      <c r="AJ178" s="44" t="s">
        <v>20072</v>
      </c>
      <c r="AK178" s="43">
        <v>0</v>
      </c>
      <c r="AL178" s="44">
        <v>35</v>
      </c>
      <c r="AM178" s="44">
        <v>55.333333333333336</v>
      </c>
      <c r="AN178" s="44">
        <v>45.868691380080392</v>
      </c>
      <c r="AO178" s="44">
        <v>51.8530052943008</v>
      </c>
      <c r="AP178" s="46">
        <v>19.100000000000001</v>
      </c>
      <c r="AQ178" s="47">
        <v>5</v>
      </c>
      <c r="AR178" s="47">
        <v>0</v>
      </c>
      <c r="AS178" s="47">
        <v>0</v>
      </c>
      <c r="AT178" s="47">
        <v>0</v>
      </c>
      <c r="AU178" s="46">
        <v>3</v>
      </c>
      <c r="AV178" s="46">
        <v>8</v>
      </c>
      <c r="AW178" s="46">
        <v>5</v>
      </c>
      <c r="AX178" s="47">
        <v>3</v>
      </c>
      <c r="AY178" s="47">
        <v>6</v>
      </c>
      <c r="AZ178" s="47">
        <v>16</v>
      </c>
      <c r="BA178" s="47">
        <v>10</v>
      </c>
      <c r="BB178" s="46">
        <v>40</v>
      </c>
      <c r="BC178" s="48">
        <v>1</v>
      </c>
    </row>
    <row r="179" spans="1:55" s="42" customFormat="1" x14ac:dyDescent="0.2">
      <c r="A179" s="43">
        <v>587</v>
      </c>
      <c r="B179" s="44" t="s">
        <v>20059</v>
      </c>
      <c r="C179" s="45">
        <v>44082</v>
      </c>
      <c r="D179" s="44" t="s">
        <v>20060</v>
      </c>
      <c r="E179" s="44" t="s">
        <v>21171</v>
      </c>
      <c r="F179" s="44" t="s">
        <v>20062</v>
      </c>
      <c r="G179" s="44">
        <v>87901</v>
      </c>
      <c r="H179" s="44" t="s">
        <v>21172</v>
      </c>
      <c r="I179" s="45">
        <v>44044</v>
      </c>
      <c r="J179" s="45">
        <v>45138</v>
      </c>
      <c r="K179" s="44" t="s">
        <v>1194</v>
      </c>
      <c r="L179" s="44" t="s">
        <v>1195</v>
      </c>
      <c r="M179" s="44" t="s">
        <v>292</v>
      </c>
      <c r="N179" s="44" t="s">
        <v>207</v>
      </c>
      <c r="O179" s="44" t="s">
        <v>293</v>
      </c>
      <c r="P179" s="44" t="s">
        <v>224</v>
      </c>
      <c r="Q179" s="44" t="s">
        <v>21173</v>
      </c>
      <c r="R179" s="44" t="s">
        <v>21174</v>
      </c>
      <c r="S179" s="44" t="s">
        <v>21175</v>
      </c>
      <c r="T179" s="44">
        <v>102</v>
      </c>
      <c r="U179" s="44" t="s">
        <v>20067</v>
      </c>
      <c r="V179" s="44" t="s">
        <v>20262</v>
      </c>
      <c r="W179" s="44" t="s">
        <v>20068</v>
      </c>
      <c r="X179" s="44" t="s">
        <v>20068</v>
      </c>
      <c r="Y179" s="44" t="s">
        <v>20068</v>
      </c>
      <c r="Z179" s="44" t="s">
        <v>20089</v>
      </c>
      <c r="AA179" s="44">
        <v>4271</v>
      </c>
      <c r="AB179" s="44" t="s">
        <v>347</v>
      </c>
      <c r="AC179" s="44"/>
      <c r="AD179" s="44" t="s">
        <v>21176</v>
      </c>
      <c r="AE179" s="44" t="s">
        <v>21177</v>
      </c>
      <c r="AF179" s="44" t="s">
        <v>293</v>
      </c>
      <c r="AG179" s="44" t="s">
        <v>20255</v>
      </c>
      <c r="AH179" s="44" t="s">
        <v>20256</v>
      </c>
      <c r="AI179" s="44" t="s">
        <v>18723</v>
      </c>
      <c r="AJ179" s="44" t="s">
        <v>20072</v>
      </c>
      <c r="AK179" s="43">
        <v>0</v>
      </c>
      <c r="AL179" s="44">
        <v>40</v>
      </c>
      <c r="AM179" s="44">
        <v>53.333333333333336</v>
      </c>
      <c r="AN179" s="44">
        <v>54.936896807720856</v>
      </c>
      <c r="AO179" s="44">
        <v>48.734177215189902</v>
      </c>
      <c r="AP179" s="46">
        <v>19.100000000000001</v>
      </c>
      <c r="AQ179" s="47">
        <v>5</v>
      </c>
      <c r="AR179" s="47">
        <v>0</v>
      </c>
      <c r="AS179" s="47">
        <v>0</v>
      </c>
      <c r="AT179" s="47">
        <v>0</v>
      </c>
      <c r="AU179" s="46">
        <v>3</v>
      </c>
      <c r="AV179" s="46">
        <v>8</v>
      </c>
      <c r="AW179" s="46">
        <v>5</v>
      </c>
      <c r="AX179" s="47">
        <v>3</v>
      </c>
      <c r="AY179" s="47">
        <v>6</v>
      </c>
      <c r="AZ179" s="47">
        <v>16</v>
      </c>
      <c r="BA179" s="47">
        <v>10</v>
      </c>
      <c r="BB179" s="46">
        <v>40</v>
      </c>
      <c r="BC179" s="48">
        <v>1</v>
      </c>
    </row>
    <row r="180" spans="1:55" s="42" customFormat="1" x14ac:dyDescent="0.2">
      <c r="A180" s="43">
        <v>723</v>
      </c>
      <c r="B180" s="44" t="s">
        <v>20059</v>
      </c>
      <c r="C180" s="45">
        <v>44082</v>
      </c>
      <c r="D180" s="44" t="s">
        <v>20060</v>
      </c>
      <c r="E180" s="44" t="s">
        <v>21178</v>
      </c>
      <c r="F180" s="44" t="s">
        <v>20062</v>
      </c>
      <c r="G180" s="44">
        <v>0</v>
      </c>
      <c r="H180" s="44" t="s">
        <v>21179</v>
      </c>
      <c r="I180" s="45">
        <v>43952</v>
      </c>
      <c r="J180" s="45">
        <v>45046</v>
      </c>
      <c r="K180" s="44" t="s">
        <v>1196</v>
      </c>
      <c r="L180" s="44" t="s">
        <v>1197</v>
      </c>
      <c r="M180" s="44" t="s">
        <v>251</v>
      </c>
      <c r="N180" s="44" t="s">
        <v>207</v>
      </c>
      <c r="O180" s="44" t="s">
        <v>257</v>
      </c>
      <c r="P180" s="44" t="s">
        <v>253</v>
      </c>
      <c r="Q180" s="44" t="s">
        <v>21180</v>
      </c>
      <c r="R180" s="44" t="s">
        <v>21181</v>
      </c>
      <c r="S180" s="44" t="s">
        <v>20131</v>
      </c>
      <c r="T180" s="44">
        <v>103</v>
      </c>
      <c r="U180" s="44" t="s">
        <v>20067</v>
      </c>
      <c r="V180" s="44" t="s">
        <v>20121</v>
      </c>
      <c r="W180" s="44" t="s">
        <v>20068</v>
      </c>
      <c r="X180" s="44" t="s">
        <v>20068</v>
      </c>
      <c r="Y180" s="44" t="s">
        <v>20068</v>
      </c>
      <c r="Z180" s="44" t="s">
        <v>20069</v>
      </c>
      <c r="AA180" s="44">
        <v>4407</v>
      </c>
      <c r="AB180" s="44" t="s">
        <v>331</v>
      </c>
      <c r="AC180" s="44"/>
      <c r="AD180" s="44" t="s">
        <v>21182</v>
      </c>
      <c r="AE180" s="44" t="s">
        <v>21183</v>
      </c>
      <c r="AF180" s="44" t="s">
        <v>257</v>
      </c>
      <c r="AG180" s="44" t="s">
        <v>20302</v>
      </c>
      <c r="AH180" s="44" t="s">
        <v>20303</v>
      </c>
      <c r="AI180" s="44" t="s">
        <v>18723</v>
      </c>
      <c r="AJ180" s="44" t="s">
        <v>20072</v>
      </c>
      <c r="AK180" s="43">
        <v>0</v>
      </c>
      <c r="AL180" s="44">
        <v>30</v>
      </c>
      <c r="AM180" s="44">
        <v>55.666666666666664</v>
      </c>
      <c r="AN180" s="44">
        <v>46.922265212803374</v>
      </c>
      <c r="AO180" s="44">
        <v>51.610824742268001</v>
      </c>
      <c r="AP180" s="46">
        <v>23.8</v>
      </c>
      <c r="AQ180" s="47">
        <v>5</v>
      </c>
      <c r="AR180" s="47">
        <v>0</v>
      </c>
      <c r="AS180" s="47">
        <v>0</v>
      </c>
      <c r="AT180" s="47">
        <v>0</v>
      </c>
      <c r="AU180" s="46">
        <v>3</v>
      </c>
      <c r="AV180" s="46">
        <v>8</v>
      </c>
      <c r="AW180" s="46">
        <v>5</v>
      </c>
      <c r="AX180" s="47">
        <v>3</v>
      </c>
      <c r="AY180" s="47">
        <v>6</v>
      </c>
      <c r="AZ180" s="47">
        <v>16</v>
      </c>
      <c r="BA180" s="47">
        <v>10</v>
      </c>
      <c r="BB180" s="46">
        <v>40</v>
      </c>
      <c r="BC180" s="48">
        <v>1</v>
      </c>
    </row>
    <row r="181" spans="1:55" s="42" customFormat="1" x14ac:dyDescent="0.2">
      <c r="A181" s="43">
        <v>897</v>
      </c>
      <c r="B181" s="44" t="s">
        <v>20059</v>
      </c>
      <c r="C181" s="45">
        <v>44082</v>
      </c>
      <c r="D181" s="44" t="s">
        <v>20060</v>
      </c>
      <c r="E181" s="44" t="s">
        <v>21184</v>
      </c>
      <c r="F181" s="44" t="s">
        <v>20062</v>
      </c>
      <c r="G181" s="44">
        <v>0</v>
      </c>
      <c r="H181" s="44" t="s">
        <v>21185</v>
      </c>
      <c r="I181" s="45">
        <v>43435</v>
      </c>
      <c r="J181" s="45">
        <v>44530</v>
      </c>
      <c r="K181" s="44" t="s">
        <v>1198</v>
      </c>
      <c r="L181" s="44" t="s">
        <v>1199</v>
      </c>
      <c r="M181" s="44" t="s">
        <v>239</v>
      </c>
      <c r="N181" s="44" t="s">
        <v>207</v>
      </c>
      <c r="O181" s="44" t="s">
        <v>240</v>
      </c>
      <c r="P181" s="44" t="s">
        <v>209</v>
      </c>
      <c r="Q181" s="44" t="s">
        <v>21186</v>
      </c>
      <c r="R181" s="44" t="s">
        <v>21187</v>
      </c>
      <c r="S181" s="44" t="s">
        <v>21188</v>
      </c>
      <c r="T181" s="44">
        <v>49</v>
      </c>
      <c r="U181" s="44" t="s">
        <v>20067</v>
      </c>
      <c r="V181" s="44" t="s">
        <v>20067</v>
      </c>
      <c r="W181" s="44" t="s">
        <v>20067</v>
      </c>
      <c r="X181" s="44" t="s">
        <v>20068</v>
      </c>
      <c r="Y181" s="44" t="s">
        <v>20067</v>
      </c>
      <c r="Z181" s="44" t="s">
        <v>20069</v>
      </c>
      <c r="AA181" s="44">
        <v>4196</v>
      </c>
      <c r="AB181" s="44" t="s">
        <v>324</v>
      </c>
      <c r="AC181" s="44" t="s">
        <v>19745</v>
      </c>
      <c r="AD181" s="44" t="s">
        <v>20181</v>
      </c>
      <c r="AE181" s="44" t="s">
        <v>21155</v>
      </c>
      <c r="AF181" s="44" t="s">
        <v>240</v>
      </c>
      <c r="AG181" s="44" t="s">
        <v>2654</v>
      </c>
      <c r="AH181" s="44" t="s">
        <v>19418</v>
      </c>
      <c r="AI181" s="44" t="s">
        <v>18723</v>
      </c>
      <c r="AJ181" s="44" t="s">
        <v>20072</v>
      </c>
      <c r="AK181" s="43">
        <v>0</v>
      </c>
      <c r="AL181" s="44">
        <v>56</v>
      </c>
      <c r="AM181" s="44">
        <v>61.333333333333336</v>
      </c>
      <c r="AN181" s="44">
        <v>22.254680653299694</v>
      </c>
      <c r="AO181" s="44">
        <v>18.8524590163934</v>
      </c>
      <c r="AP181" s="46">
        <v>41.1</v>
      </c>
      <c r="AQ181" s="47">
        <v>3</v>
      </c>
      <c r="AR181" s="47">
        <v>0</v>
      </c>
      <c r="AS181" s="47">
        <v>0</v>
      </c>
      <c r="AT181" s="47">
        <v>0</v>
      </c>
      <c r="AU181" s="46">
        <v>5</v>
      </c>
      <c r="AV181" s="46">
        <v>8</v>
      </c>
      <c r="AW181" s="46">
        <v>3</v>
      </c>
      <c r="AX181" s="47">
        <v>5</v>
      </c>
      <c r="AY181" s="47">
        <v>10</v>
      </c>
      <c r="AZ181" s="47">
        <v>16</v>
      </c>
      <c r="BA181" s="47">
        <v>6</v>
      </c>
      <c r="BB181" s="46">
        <v>40</v>
      </c>
      <c r="BC181" s="48">
        <v>1</v>
      </c>
    </row>
    <row r="182" spans="1:55" s="42" customFormat="1" x14ac:dyDescent="0.2">
      <c r="A182" s="43">
        <v>907</v>
      </c>
      <c r="B182" s="44" t="s">
        <v>20059</v>
      </c>
      <c r="C182" s="45">
        <v>44082</v>
      </c>
      <c r="D182" s="44" t="s">
        <v>20060</v>
      </c>
      <c r="E182" s="44" t="s">
        <v>21189</v>
      </c>
      <c r="F182" s="44" t="s">
        <v>20062</v>
      </c>
      <c r="G182" s="44">
        <v>0</v>
      </c>
      <c r="H182" s="44" t="s">
        <v>21190</v>
      </c>
      <c r="I182" s="45">
        <v>43617</v>
      </c>
      <c r="J182" s="45">
        <v>44712</v>
      </c>
      <c r="K182" s="44" t="s">
        <v>1200</v>
      </c>
      <c r="L182" s="44" t="s">
        <v>1201</v>
      </c>
      <c r="M182" s="44" t="s">
        <v>289</v>
      </c>
      <c r="N182" s="44" t="s">
        <v>207</v>
      </c>
      <c r="O182" s="44" t="s">
        <v>290</v>
      </c>
      <c r="P182" s="44" t="s">
        <v>212</v>
      </c>
      <c r="Q182" s="44" t="s">
        <v>21191</v>
      </c>
      <c r="R182" s="44" t="s">
        <v>21192</v>
      </c>
      <c r="S182" s="44" t="s">
        <v>21193</v>
      </c>
      <c r="T182" s="44">
        <v>25</v>
      </c>
      <c r="U182" s="44" t="s">
        <v>20344</v>
      </c>
      <c r="V182" s="44" t="s">
        <v>20344</v>
      </c>
      <c r="W182" s="44" t="s">
        <v>20068</v>
      </c>
      <c r="X182" s="44" t="s">
        <v>20067</v>
      </c>
      <c r="Y182" s="44" t="s">
        <v>20067</v>
      </c>
      <c r="Z182" s="44" t="s">
        <v>20069</v>
      </c>
      <c r="AA182" s="44">
        <v>4387</v>
      </c>
      <c r="AB182" s="44" t="s">
        <v>345</v>
      </c>
      <c r="AC182" s="44" t="s">
        <v>19745</v>
      </c>
      <c r="AD182" s="44" t="s">
        <v>21194</v>
      </c>
      <c r="AE182" s="44" t="s">
        <v>21195</v>
      </c>
      <c r="AF182" s="44" t="s">
        <v>290</v>
      </c>
      <c r="AG182" s="44" t="s">
        <v>2654</v>
      </c>
      <c r="AH182" s="44" t="s">
        <v>19399</v>
      </c>
      <c r="AI182" s="44" t="s">
        <v>18723</v>
      </c>
      <c r="AJ182" s="44" t="s">
        <v>20072</v>
      </c>
      <c r="AK182" s="43">
        <v>0</v>
      </c>
      <c r="AL182" s="44">
        <v>33</v>
      </c>
      <c r="AM182" s="44">
        <v>53.333333333333336</v>
      </c>
      <c r="AN182" s="44">
        <v>42.68018018018018</v>
      </c>
      <c r="AO182" s="44">
        <v>56.9521690767519</v>
      </c>
      <c r="AP182" s="46">
        <v>55.6</v>
      </c>
      <c r="AQ182" s="47">
        <v>3</v>
      </c>
      <c r="AR182" s="47">
        <v>0</v>
      </c>
      <c r="AS182" s="47">
        <v>0</v>
      </c>
      <c r="AT182" s="47">
        <v>0</v>
      </c>
      <c r="AU182" s="46">
        <v>3</v>
      </c>
      <c r="AV182" s="46">
        <v>8</v>
      </c>
      <c r="AW182" s="46">
        <v>5</v>
      </c>
      <c r="AX182" s="47">
        <v>5</v>
      </c>
      <c r="AY182" s="47">
        <v>6</v>
      </c>
      <c r="AZ182" s="47">
        <v>16</v>
      </c>
      <c r="BA182" s="47">
        <v>10</v>
      </c>
      <c r="BB182" s="46">
        <v>40</v>
      </c>
      <c r="BC182" s="48">
        <v>1</v>
      </c>
    </row>
    <row r="183" spans="1:55" s="42" customFormat="1" x14ac:dyDescent="0.2">
      <c r="A183" s="43">
        <v>921</v>
      </c>
      <c r="B183" s="44" t="s">
        <v>20059</v>
      </c>
      <c r="C183" s="45">
        <v>44082</v>
      </c>
      <c r="D183" s="44" t="s">
        <v>20060</v>
      </c>
      <c r="E183" s="44" t="s">
        <v>21196</v>
      </c>
      <c r="F183" s="44" t="s">
        <v>20062</v>
      </c>
      <c r="G183" s="44">
        <v>0</v>
      </c>
      <c r="H183" s="44" t="s">
        <v>21197</v>
      </c>
      <c r="I183" s="45">
        <v>43374</v>
      </c>
      <c r="J183" s="45">
        <v>44469</v>
      </c>
      <c r="K183" s="44" t="s">
        <v>1202</v>
      </c>
      <c r="L183" s="44" t="s">
        <v>1203</v>
      </c>
      <c r="M183" s="44" t="s">
        <v>222</v>
      </c>
      <c r="N183" s="44" t="s">
        <v>207</v>
      </c>
      <c r="O183" s="44" t="s">
        <v>679</v>
      </c>
      <c r="P183" s="44" t="s">
        <v>224</v>
      </c>
      <c r="Q183" s="44" t="s">
        <v>21198</v>
      </c>
      <c r="R183" s="44" t="s">
        <v>21199</v>
      </c>
      <c r="S183" s="44" t="s">
        <v>21200</v>
      </c>
      <c r="T183" s="44">
        <v>153</v>
      </c>
      <c r="U183" s="44" t="s">
        <v>20330</v>
      </c>
      <c r="V183" s="44" t="s">
        <v>20330</v>
      </c>
      <c r="W183" s="44" t="s">
        <v>20068</v>
      </c>
      <c r="X183" s="44" t="s">
        <v>20068</v>
      </c>
      <c r="Y183" s="44" t="s">
        <v>20068</v>
      </c>
      <c r="Z183" s="44" t="s">
        <v>20089</v>
      </c>
      <c r="AA183" s="44">
        <v>4263</v>
      </c>
      <c r="AB183" s="44" t="s">
        <v>346</v>
      </c>
      <c r="AC183" s="44"/>
      <c r="AD183" s="44" t="s">
        <v>21201</v>
      </c>
      <c r="AE183" s="44" t="s">
        <v>21202</v>
      </c>
      <c r="AF183" s="44" t="s">
        <v>679</v>
      </c>
      <c r="AG183" s="44" t="s">
        <v>20092</v>
      </c>
      <c r="AH183" s="44" t="s">
        <v>20093</v>
      </c>
      <c r="AI183" s="44" t="s">
        <v>18723</v>
      </c>
      <c r="AJ183" s="44" t="s">
        <v>20072</v>
      </c>
      <c r="AK183" s="43">
        <v>0</v>
      </c>
      <c r="AL183" s="44">
        <v>36</v>
      </c>
      <c r="AM183" s="44">
        <v>58</v>
      </c>
      <c r="AN183" s="44">
        <v>48.315789473684212</v>
      </c>
      <c r="AO183" s="44">
        <v>51.5893470790378</v>
      </c>
      <c r="AP183" s="46">
        <v>19.100000000000001</v>
      </c>
      <c r="AQ183" s="47">
        <v>5</v>
      </c>
      <c r="AR183" s="47">
        <v>0</v>
      </c>
      <c r="AS183" s="47">
        <v>0</v>
      </c>
      <c r="AT183" s="47">
        <v>0</v>
      </c>
      <c r="AU183" s="46">
        <v>3</v>
      </c>
      <c r="AV183" s="46">
        <v>8</v>
      </c>
      <c r="AW183" s="46">
        <v>5</v>
      </c>
      <c r="AX183" s="47">
        <v>3</v>
      </c>
      <c r="AY183" s="47">
        <v>6</v>
      </c>
      <c r="AZ183" s="47">
        <v>16</v>
      </c>
      <c r="BA183" s="47">
        <v>10</v>
      </c>
      <c r="BB183" s="46">
        <v>40</v>
      </c>
      <c r="BC183" s="48">
        <v>1</v>
      </c>
    </row>
    <row r="184" spans="1:55" s="42" customFormat="1" x14ac:dyDescent="0.2">
      <c r="A184" s="43">
        <v>958</v>
      </c>
      <c r="B184" s="44" t="s">
        <v>20059</v>
      </c>
      <c r="C184" s="45">
        <v>44082</v>
      </c>
      <c r="D184" s="44" t="s">
        <v>20060</v>
      </c>
      <c r="E184" s="44" t="s">
        <v>21203</v>
      </c>
      <c r="F184" s="44" t="s">
        <v>20062</v>
      </c>
      <c r="G184" s="44">
        <v>80542</v>
      </c>
      <c r="H184" s="44" t="s">
        <v>21204</v>
      </c>
      <c r="I184" s="45">
        <v>43252</v>
      </c>
      <c r="J184" s="45">
        <v>44347</v>
      </c>
      <c r="K184" s="44" t="s">
        <v>1204</v>
      </c>
      <c r="L184" s="44" t="s">
        <v>1205</v>
      </c>
      <c r="M184" s="44" t="s">
        <v>222</v>
      </c>
      <c r="N184" s="44" t="s">
        <v>207</v>
      </c>
      <c r="O184" s="44" t="s">
        <v>235</v>
      </c>
      <c r="P184" s="44" t="s">
        <v>224</v>
      </c>
      <c r="Q184" s="44" t="s">
        <v>21205</v>
      </c>
      <c r="R184" s="44" t="s">
        <v>21206</v>
      </c>
      <c r="S184" s="44" t="s">
        <v>21207</v>
      </c>
      <c r="T184" s="44">
        <v>102</v>
      </c>
      <c r="U184" s="44" t="s">
        <v>20344</v>
      </c>
      <c r="V184" s="44" t="s">
        <v>20211</v>
      </c>
      <c r="W184" s="44" t="s">
        <v>20068</v>
      </c>
      <c r="X184" s="44" t="s">
        <v>20068</v>
      </c>
      <c r="Y184" s="44" t="s">
        <v>20068</v>
      </c>
      <c r="Z184" s="44" t="s">
        <v>20089</v>
      </c>
      <c r="AA184" s="44">
        <v>4259</v>
      </c>
      <c r="AB184" s="44" t="s">
        <v>316</v>
      </c>
      <c r="AC184" s="44"/>
      <c r="AD184" s="44" t="s">
        <v>21068</v>
      </c>
      <c r="AE184" s="44" t="s">
        <v>21069</v>
      </c>
      <c r="AF184" s="44" t="s">
        <v>235</v>
      </c>
      <c r="AG184" s="44" t="s">
        <v>20092</v>
      </c>
      <c r="AH184" s="44" t="s">
        <v>20126</v>
      </c>
      <c r="AI184" s="44" t="s">
        <v>18723</v>
      </c>
      <c r="AJ184" s="44" t="s">
        <v>20072</v>
      </c>
      <c r="AK184" s="43">
        <v>0</v>
      </c>
      <c r="AL184" s="44">
        <v>39</v>
      </c>
      <c r="AM184" s="44">
        <v>65.333333333333329</v>
      </c>
      <c r="AN184" s="44">
        <v>36.389394859340214</v>
      </c>
      <c r="AO184" s="44">
        <v>31.134020618556701</v>
      </c>
      <c r="AP184" s="46">
        <v>19.100000000000001</v>
      </c>
      <c r="AQ184" s="47">
        <v>5</v>
      </c>
      <c r="AR184" s="47">
        <v>0</v>
      </c>
      <c r="AS184" s="47">
        <v>0</v>
      </c>
      <c r="AT184" s="47">
        <v>0</v>
      </c>
      <c r="AU184" s="46">
        <v>3</v>
      </c>
      <c r="AV184" s="46">
        <v>10</v>
      </c>
      <c r="AW184" s="46">
        <v>3</v>
      </c>
      <c r="AX184" s="47">
        <v>3</v>
      </c>
      <c r="AY184" s="47">
        <v>6</v>
      </c>
      <c r="AZ184" s="47">
        <v>20</v>
      </c>
      <c r="BA184" s="47">
        <v>6</v>
      </c>
      <c r="BB184" s="46">
        <v>40</v>
      </c>
      <c r="BC184" s="48">
        <v>1</v>
      </c>
    </row>
    <row r="185" spans="1:55" s="42" customFormat="1" x14ac:dyDescent="0.2">
      <c r="A185" s="43">
        <v>1103</v>
      </c>
      <c r="B185" s="44" t="s">
        <v>20059</v>
      </c>
      <c r="C185" s="45">
        <v>44082</v>
      </c>
      <c r="D185" s="44" t="s">
        <v>20060</v>
      </c>
      <c r="E185" s="44" t="s">
        <v>21208</v>
      </c>
      <c r="F185" s="44" t="s">
        <v>20062</v>
      </c>
      <c r="G185" s="44">
        <v>9369</v>
      </c>
      <c r="H185" s="44" t="s">
        <v>21209</v>
      </c>
      <c r="I185" s="45">
        <v>43466</v>
      </c>
      <c r="J185" s="45">
        <v>44561</v>
      </c>
      <c r="K185" s="44" t="s">
        <v>1206</v>
      </c>
      <c r="L185" s="44" t="s">
        <v>1207</v>
      </c>
      <c r="M185" s="44" t="s">
        <v>292</v>
      </c>
      <c r="N185" s="44" t="s">
        <v>207</v>
      </c>
      <c r="O185" s="44" t="s">
        <v>293</v>
      </c>
      <c r="P185" s="44" t="s">
        <v>224</v>
      </c>
      <c r="Q185" s="44" t="s">
        <v>21210</v>
      </c>
      <c r="R185" s="44" t="s">
        <v>21211</v>
      </c>
      <c r="S185" s="44" t="s">
        <v>21212</v>
      </c>
      <c r="T185" s="44">
        <v>107</v>
      </c>
      <c r="U185" s="44" t="s">
        <v>20299</v>
      </c>
      <c r="V185" s="44" t="s">
        <v>20108</v>
      </c>
      <c r="W185" s="44" t="s">
        <v>20068</v>
      </c>
      <c r="X185" s="44" t="s">
        <v>20068</v>
      </c>
      <c r="Y185" s="44" t="s">
        <v>20068</v>
      </c>
      <c r="Z185" s="44" t="s">
        <v>20089</v>
      </c>
      <c r="AA185" s="44">
        <v>4280</v>
      </c>
      <c r="AB185" s="44" t="s">
        <v>376</v>
      </c>
      <c r="AC185" s="44"/>
      <c r="AD185" s="44" t="s">
        <v>21213</v>
      </c>
      <c r="AE185" s="44" t="s">
        <v>21214</v>
      </c>
      <c r="AF185" s="44" t="s">
        <v>293</v>
      </c>
      <c r="AG185" s="44" t="s">
        <v>20255</v>
      </c>
      <c r="AH185" s="44" t="s">
        <v>20256</v>
      </c>
      <c r="AI185" s="44" t="s">
        <v>18723</v>
      </c>
      <c r="AJ185" s="44" t="s">
        <v>20072</v>
      </c>
      <c r="AK185" s="43">
        <v>0</v>
      </c>
      <c r="AL185" s="44">
        <v>35</v>
      </c>
      <c r="AM185" s="44">
        <v>55.333333333333336</v>
      </c>
      <c r="AN185" s="44">
        <v>49.02</v>
      </c>
      <c r="AO185" s="44">
        <v>52.879901960784302</v>
      </c>
      <c r="AP185" s="46">
        <v>19.100000000000001</v>
      </c>
      <c r="AQ185" s="47">
        <v>5</v>
      </c>
      <c r="AR185" s="47">
        <v>0</v>
      </c>
      <c r="AS185" s="47">
        <v>0</v>
      </c>
      <c r="AT185" s="47">
        <v>0</v>
      </c>
      <c r="AU185" s="46">
        <v>3</v>
      </c>
      <c r="AV185" s="46">
        <v>8</v>
      </c>
      <c r="AW185" s="46">
        <v>5</v>
      </c>
      <c r="AX185" s="47">
        <v>3</v>
      </c>
      <c r="AY185" s="47">
        <v>6</v>
      </c>
      <c r="AZ185" s="47">
        <v>16</v>
      </c>
      <c r="BA185" s="47">
        <v>10</v>
      </c>
      <c r="BB185" s="46">
        <v>40</v>
      </c>
      <c r="BC185" s="48">
        <v>1</v>
      </c>
    </row>
    <row r="186" spans="1:55" s="42" customFormat="1" x14ac:dyDescent="0.2">
      <c r="A186" s="43">
        <v>1111</v>
      </c>
      <c r="B186" s="44" t="s">
        <v>20059</v>
      </c>
      <c r="C186" s="45">
        <v>44082</v>
      </c>
      <c r="D186" s="44" t="s">
        <v>20060</v>
      </c>
      <c r="E186" s="44" t="s">
        <v>21215</v>
      </c>
      <c r="F186" s="44" t="s">
        <v>20062</v>
      </c>
      <c r="G186" s="44">
        <v>0</v>
      </c>
      <c r="H186" s="44" t="s">
        <v>21216</v>
      </c>
      <c r="I186" s="45">
        <v>43160</v>
      </c>
      <c r="J186" s="45">
        <v>44255</v>
      </c>
      <c r="K186" s="44" t="s">
        <v>1208</v>
      </c>
      <c r="L186" s="44" t="s">
        <v>1209</v>
      </c>
      <c r="M186" s="44" t="s">
        <v>222</v>
      </c>
      <c r="N186" s="44" t="s">
        <v>207</v>
      </c>
      <c r="O186" s="44" t="s">
        <v>951</v>
      </c>
      <c r="P186" s="44" t="s">
        <v>224</v>
      </c>
      <c r="Q186" s="44" t="s">
        <v>21217</v>
      </c>
      <c r="R186" s="44" t="s">
        <v>21218</v>
      </c>
      <c r="S186" s="44" t="s">
        <v>20131</v>
      </c>
      <c r="T186" s="44">
        <v>245</v>
      </c>
      <c r="U186" s="44" t="s">
        <v>20067</v>
      </c>
      <c r="V186" s="44" t="s">
        <v>20067</v>
      </c>
      <c r="W186" s="44" t="s">
        <v>20067</v>
      </c>
      <c r="X186" s="44" t="s">
        <v>20068</v>
      </c>
      <c r="Y186" s="44" t="s">
        <v>20068</v>
      </c>
      <c r="Z186" s="44" t="s">
        <v>20089</v>
      </c>
      <c r="AA186" s="44">
        <v>4260</v>
      </c>
      <c r="AB186" s="44" t="s">
        <v>353</v>
      </c>
      <c r="AC186" s="44"/>
      <c r="AD186" s="44" t="s">
        <v>21219</v>
      </c>
      <c r="AE186" s="44" t="s">
        <v>21220</v>
      </c>
      <c r="AF186" s="44" t="s">
        <v>951</v>
      </c>
      <c r="AG186" s="44" t="s">
        <v>20125</v>
      </c>
      <c r="AH186" s="44" t="s">
        <v>20222</v>
      </c>
      <c r="AI186" s="44" t="s">
        <v>18723</v>
      </c>
      <c r="AJ186" s="44" t="s">
        <v>20072</v>
      </c>
      <c r="AK186" s="43">
        <v>0</v>
      </c>
      <c r="AL186" s="44">
        <v>61</v>
      </c>
      <c r="AM186" s="44">
        <v>44.333333333333336</v>
      </c>
      <c r="AN186" s="44">
        <v>68.090671316477767</v>
      </c>
      <c r="AO186" s="44">
        <v>65.389447236180899</v>
      </c>
      <c r="AP186" s="46">
        <v>19.100000000000001</v>
      </c>
      <c r="AQ186" s="47">
        <v>5</v>
      </c>
      <c r="AR186" s="47">
        <v>0</v>
      </c>
      <c r="AS186" s="47">
        <v>0</v>
      </c>
      <c r="AT186" s="47">
        <v>0</v>
      </c>
      <c r="AU186" s="46">
        <v>5</v>
      </c>
      <c r="AV186" s="46">
        <v>6</v>
      </c>
      <c r="AW186" s="46">
        <v>5</v>
      </c>
      <c r="AX186" s="47">
        <v>3</v>
      </c>
      <c r="AY186" s="47">
        <v>10</v>
      </c>
      <c r="AZ186" s="47">
        <v>12</v>
      </c>
      <c r="BA186" s="47">
        <v>10</v>
      </c>
      <c r="BB186" s="46">
        <v>40</v>
      </c>
      <c r="BC186" s="48">
        <v>1</v>
      </c>
    </row>
    <row r="187" spans="1:55" s="42" customFormat="1" x14ac:dyDescent="0.2">
      <c r="A187" s="43">
        <v>1147</v>
      </c>
      <c r="B187" s="44" t="s">
        <v>20059</v>
      </c>
      <c r="C187" s="45">
        <v>44082</v>
      </c>
      <c r="D187" s="44" t="s">
        <v>20060</v>
      </c>
      <c r="E187" s="44" t="s">
        <v>21221</v>
      </c>
      <c r="F187" s="44" t="s">
        <v>20062</v>
      </c>
      <c r="G187" s="44">
        <v>0</v>
      </c>
      <c r="H187" s="44" t="s">
        <v>21222</v>
      </c>
      <c r="I187" s="45">
        <v>43556</v>
      </c>
      <c r="J187" s="45">
        <v>44651</v>
      </c>
      <c r="K187" s="44" t="s">
        <v>1210</v>
      </c>
      <c r="L187" s="44" t="s">
        <v>1211</v>
      </c>
      <c r="M187" s="44" t="s">
        <v>222</v>
      </c>
      <c r="N187" s="44" t="s">
        <v>207</v>
      </c>
      <c r="O187" s="44" t="s">
        <v>266</v>
      </c>
      <c r="P187" s="44" t="s">
        <v>224</v>
      </c>
      <c r="Q187" s="44" t="s">
        <v>20556</v>
      </c>
      <c r="R187" s="44" t="s">
        <v>21223</v>
      </c>
      <c r="S187" s="44" t="s">
        <v>21224</v>
      </c>
      <c r="T187" s="44">
        <v>181</v>
      </c>
      <c r="U187" s="44" t="s">
        <v>20493</v>
      </c>
      <c r="V187" s="44" t="s">
        <v>20252</v>
      </c>
      <c r="W187" s="44" t="s">
        <v>20068</v>
      </c>
      <c r="X187" s="44" t="s">
        <v>20068</v>
      </c>
      <c r="Y187" s="44" t="s">
        <v>20068</v>
      </c>
      <c r="Z187" s="44" t="s">
        <v>20089</v>
      </c>
      <c r="AA187" s="44">
        <v>4279</v>
      </c>
      <c r="AB187" s="44" t="s">
        <v>328</v>
      </c>
      <c r="AC187" s="44"/>
      <c r="AD187" s="44" t="s">
        <v>21225</v>
      </c>
      <c r="AE187" s="44" t="s">
        <v>21226</v>
      </c>
      <c r="AF187" s="44" t="s">
        <v>266</v>
      </c>
      <c r="AG187" s="44" t="s">
        <v>20092</v>
      </c>
      <c r="AH187" s="44" t="s">
        <v>20205</v>
      </c>
      <c r="AI187" s="44" t="s">
        <v>18723</v>
      </c>
      <c r="AJ187" s="44" t="s">
        <v>20072</v>
      </c>
      <c r="AK187" s="43">
        <v>0</v>
      </c>
      <c r="AL187" s="44">
        <v>36.85</v>
      </c>
      <c r="AM187" s="44">
        <v>59.333333333333336</v>
      </c>
      <c r="AN187" s="44">
        <v>40.164424514200299</v>
      </c>
      <c r="AO187" s="44">
        <v>46.916205869842599</v>
      </c>
      <c r="AP187" s="46">
        <v>19.100000000000001</v>
      </c>
      <c r="AQ187" s="47">
        <v>5</v>
      </c>
      <c r="AR187" s="47">
        <v>0</v>
      </c>
      <c r="AS187" s="47">
        <v>0</v>
      </c>
      <c r="AT187" s="47">
        <v>0</v>
      </c>
      <c r="AU187" s="46">
        <v>3</v>
      </c>
      <c r="AV187" s="46">
        <v>8</v>
      </c>
      <c r="AW187" s="46">
        <v>5</v>
      </c>
      <c r="AX187" s="47">
        <v>3</v>
      </c>
      <c r="AY187" s="47">
        <v>6</v>
      </c>
      <c r="AZ187" s="47">
        <v>16</v>
      </c>
      <c r="BA187" s="47">
        <v>10</v>
      </c>
      <c r="BB187" s="46">
        <v>40</v>
      </c>
      <c r="BC187" s="48">
        <v>1</v>
      </c>
    </row>
    <row r="188" spans="1:55" s="42" customFormat="1" x14ac:dyDescent="0.2">
      <c r="A188" s="43">
        <v>1180</v>
      </c>
      <c r="B188" s="44" t="s">
        <v>20059</v>
      </c>
      <c r="C188" s="45">
        <v>44082</v>
      </c>
      <c r="D188" s="44" t="s">
        <v>20060</v>
      </c>
      <c r="E188" s="44" t="s">
        <v>21227</v>
      </c>
      <c r="F188" s="44" t="s">
        <v>20062</v>
      </c>
      <c r="G188" s="44">
        <v>91234</v>
      </c>
      <c r="H188" s="44" t="s">
        <v>21228</v>
      </c>
      <c r="I188" s="45">
        <v>44044</v>
      </c>
      <c r="J188" s="45">
        <v>45138</v>
      </c>
      <c r="K188" s="44" t="s">
        <v>1212</v>
      </c>
      <c r="L188" s="44" t="s">
        <v>1213</v>
      </c>
      <c r="M188" s="44" t="s">
        <v>222</v>
      </c>
      <c r="N188" s="44" t="s">
        <v>207</v>
      </c>
      <c r="O188" s="44" t="s">
        <v>679</v>
      </c>
      <c r="P188" s="44" t="s">
        <v>224</v>
      </c>
      <c r="Q188" s="44" t="s">
        <v>21229</v>
      </c>
      <c r="R188" s="44" t="s">
        <v>21230</v>
      </c>
      <c r="S188" s="44" t="s">
        <v>20131</v>
      </c>
      <c r="T188" s="44">
        <v>262</v>
      </c>
      <c r="U188" s="44" t="s">
        <v>20344</v>
      </c>
      <c r="V188" s="44" t="s">
        <v>21231</v>
      </c>
      <c r="W188" s="44" t="s">
        <v>20068</v>
      </c>
      <c r="X188" s="44" t="s">
        <v>20068</v>
      </c>
      <c r="Y188" s="44" t="s">
        <v>20067</v>
      </c>
      <c r="Z188" s="44" t="s">
        <v>20089</v>
      </c>
      <c r="AA188" s="44">
        <v>4268</v>
      </c>
      <c r="AB188" s="44" t="s">
        <v>688</v>
      </c>
      <c r="AC188" s="44" t="s">
        <v>19745</v>
      </c>
      <c r="AD188" s="44" t="s">
        <v>21232</v>
      </c>
      <c r="AE188" s="44" t="s">
        <v>21233</v>
      </c>
      <c r="AF188" s="44" t="s">
        <v>679</v>
      </c>
      <c r="AG188" s="44" t="s">
        <v>20092</v>
      </c>
      <c r="AH188" s="44" t="s">
        <v>21234</v>
      </c>
      <c r="AI188" s="44" t="s">
        <v>18723</v>
      </c>
      <c r="AJ188" s="44" t="s">
        <v>20072</v>
      </c>
      <c r="AK188" s="43">
        <v>0</v>
      </c>
      <c r="AL188" s="44">
        <v>26</v>
      </c>
      <c r="AM188" s="44">
        <v>58.333333333333336</v>
      </c>
      <c r="AN188" s="44">
        <v>42.223055763940984</v>
      </c>
      <c r="AO188" s="44">
        <v>43.961864406779704</v>
      </c>
      <c r="AP188" s="46">
        <v>19.100000000000001</v>
      </c>
      <c r="AQ188" s="47">
        <v>5</v>
      </c>
      <c r="AR188" s="47">
        <v>0</v>
      </c>
      <c r="AS188" s="47">
        <v>0</v>
      </c>
      <c r="AT188" s="47">
        <v>0</v>
      </c>
      <c r="AU188" s="46">
        <v>3</v>
      </c>
      <c r="AV188" s="46">
        <v>8</v>
      </c>
      <c r="AW188" s="46">
        <v>5</v>
      </c>
      <c r="AX188" s="47">
        <v>3</v>
      </c>
      <c r="AY188" s="47">
        <v>6</v>
      </c>
      <c r="AZ188" s="47">
        <v>16</v>
      </c>
      <c r="BA188" s="47">
        <v>10</v>
      </c>
      <c r="BB188" s="46">
        <v>40</v>
      </c>
      <c r="BC188" s="48">
        <v>1</v>
      </c>
    </row>
    <row r="189" spans="1:55" s="42" customFormat="1" x14ac:dyDescent="0.2">
      <c r="A189" s="43">
        <v>1223</v>
      </c>
      <c r="B189" s="44" t="s">
        <v>20059</v>
      </c>
      <c r="C189" s="45">
        <v>44082</v>
      </c>
      <c r="D189" s="44" t="s">
        <v>20060</v>
      </c>
      <c r="E189" s="44" t="s">
        <v>21235</v>
      </c>
      <c r="F189" s="44" t="s">
        <v>20062</v>
      </c>
      <c r="G189" s="44">
        <v>0</v>
      </c>
      <c r="H189" s="44" t="s">
        <v>21236</v>
      </c>
      <c r="I189" s="45">
        <v>44044</v>
      </c>
      <c r="J189" s="45">
        <v>45138</v>
      </c>
      <c r="K189" s="44" t="s">
        <v>1214</v>
      </c>
      <c r="L189" s="44" t="s">
        <v>1215</v>
      </c>
      <c r="M189" s="44" t="s">
        <v>292</v>
      </c>
      <c r="N189" s="44" t="s">
        <v>207</v>
      </c>
      <c r="O189" s="44" t="s">
        <v>293</v>
      </c>
      <c r="P189" s="44" t="s">
        <v>224</v>
      </c>
      <c r="Q189" s="44" t="s">
        <v>21237</v>
      </c>
      <c r="R189" s="44" t="s">
        <v>21238</v>
      </c>
      <c r="S189" s="44" t="s">
        <v>21239</v>
      </c>
      <c r="T189" s="44">
        <v>105</v>
      </c>
      <c r="U189" s="44" t="s">
        <v>20067</v>
      </c>
      <c r="V189" s="44" t="s">
        <v>20067</v>
      </c>
      <c r="W189" s="44" t="s">
        <v>20067</v>
      </c>
      <c r="X189" s="44" t="s">
        <v>20068</v>
      </c>
      <c r="Y189" s="44" t="s">
        <v>20068</v>
      </c>
      <c r="Z189" s="44" t="s">
        <v>20089</v>
      </c>
      <c r="AA189" s="44">
        <v>4280</v>
      </c>
      <c r="AB189" s="44" t="s">
        <v>376</v>
      </c>
      <c r="AC189" s="44"/>
      <c r="AD189" s="44" t="s">
        <v>21240</v>
      </c>
      <c r="AE189" s="44" t="s">
        <v>21241</v>
      </c>
      <c r="AF189" s="44" t="s">
        <v>293</v>
      </c>
      <c r="AG189" s="44" t="s">
        <v>20255</v>
      </c>
      <c r="AH189" s="44" t="s">
        <v>20256</v>
      </c>
      <c r="AI189" s="44" t="s">
        <v>18723</v>
      </c>
      <c r="AJ189" s="44" t="s">
        <v>20072</v>
      </c>
      <c r="AK189" s="43">
        <v>0</v>
      </c>
      <c r="AL189" s="44">
        <v>35</v>
      </c>
      <c r="AM189" s="44">
        <v>55.333333333333336</v>
      </c>
      <c r="AN189" s="44">
        <v>52.043318348998781</v>
      </c>
      <c r="AO189" s="44">
        <v>57.330703484549602</v>
      </c>
      <c r="AP189" s="46">
        <v>19.100000000000001</v>
      </c>
      <c r="AQ189" s="47">
        <v>5</v>
      </c>
      <c r="AR189" s="47">
        <v>0</v>
      </c>
      <c r="AS189" s="47">
        <v>0</v>
      </c>
      <c r="AT189" s="47">
        <v>0</v>
      </c>
      <c r="AU189" s="46">
        <v>3</v>
      </c>
      <c r="AV189" s="46">
        <v>8</v>
      </c>
      <c r="AW189" s="46">
        <v>5</v>
      </c>
      <c r="AX189" s="47">
        <v>3</v>
      </c>
      <c r="AY189" s="47">
        <v>6</v>
      </c>
      <c r="AZ189" s="47">
        <v>16</v>
      </c>
      <c r="BA189" s="47">
        <v>10</v>
      </c>
      <c r="BB189" s="46">
        <v>40</v>
      </c>
      <c r="BC189" s="48">
        <v>1</v>
      </c>
    </row>
    <row r="190" spans="1:55" s="42" customFormat="1" x14ac:dyDescent="0.2">
      <c r="A190" s="43">
        <v>1292</v>
      </c>
      <c r="B190" s="44" t="s">
        <v>20059</v>
      </c>
      <c r="C190" s="45">
        <v>44082</v>
      </c>
      <c r="D190" s="44" t="s">
        <v>20060</v>
      </c>
      <c r="E190" s="44" t="s">
        <v>21242</v>
      </c>
      <c r="F190" s="44" t="s">
        <v>20062</v>
      </c>
      <c r="G190" s="44">
        <v>0</v>
      </c>
      <c r="H190" s="44" t="s">
        <v>21243</v>
      </c>
      <c r="I190" s="45">
        <v>43313</v>
      </c>
      <c r="J190" s="45">
        <v>44408</v>
      </c>
      <c r="K190" s="44" t="s">
        <v>1216</v>
      </c>
      <c r="L190" s="44" t="s">
        <v>1217</v>
      </c>
      <c r="M190" s="44" t="s">
        <v>1044</v>
      </c>
      <c r="N190" s="44" t="s">
        <v>207</v>
      </c>
      <c r="O190" s="44" t="s">
        <v>1218</v>
      </c>
      <c r="P190" s="44" t="s">
        <v>221</v>
      </c>
      <c r="Q190" s="44" t="s">
        <v>21244</v>
      </c>
      <c r="R190" s="44" t="s">
        <v>21245</v>
      </c>
      <c r="S190" s="44" t="s">
        <v>20131</v>
      </c>
      <c r="T190" s="44">
        <v>59</v>
      </c>
      <c r="U190" s="44" t="s">
        <v>20067</v>
      </c>
      <c r="V190" s="44" t="s">
        <v>20067</v>
      </c>
      <c r="W190" s="44" t="s">
        <v>20068</v>
      </c>
      <c r="X190" s="44" t="s">
        <v>20068</v>
      </c>
      <c r="Y190" s="44" t="s">
        <v>20067</v>
      </c>
      <c r="Z190" s="44" t="s">
        <v>20069</v>
      </c>
      <c r="AA190" s="44">
        <v>4443</v>
      </c>
      <c r="AB190" s="44" t="s">
        <v>1046</v>
      </c>
      <c r="AC190" s="44"/>
      <c r="AD190" s="44" t="s">
        <v>21246</v>
      </c>
      <c r="AE190" s="44" t="s">
        <v>21247</v>
      </c>
      <c r="AF190" s="44" t="s">
        <v>1218</v>
      </c>
      <c r="AG190" s="44" t="s">
        <v>7934</v>
      </c>
      <c r="AH190" s="44" t="s">
        <v>1598</v>
      </c>
      <c r="AI190" s="44" t="s">
        <v>18723</v>
      </c>
      <c r="AJ190" s="44" t="s">
        <v>20072</v>
      </c>
      <c r="AK190" s="43">
        <v>0</v>
      </c>
      <c r="AL190" s="44">
        <v>64</v>
      </c>
      <c r="AM190" s="44">
        <v>53</v>
      </c>
      <c r="AN190" s="44">
        <v>27.658360281529387</v>
      </c>
      <c r="AO190" s="44">
        <v>28.420310296191801</v>
      </c>
      <c r="AP190" s="46">
        <v>47.9</v>
      </c>
      <c r="AQ190" s="47">
        <v>3</v>
      </c>
      <c r="AR190" s="47">
        <v>0</v>
      </c>
      <c r="AS190" s="47">
        <v>0</v>
      </c>
      <c r="AT190" s="47">
        <v>0</v>
      </c>
      <c r="AU190" s="46">
        <v>5</v>
      </c>
      <c r="AV190" s="46">
        <v>8</v>
      </c>
      <c r="AW190" s="46">
        <v>3</v>
      </c>
      <c r="AX190" s="47">
        <v>5</v>
      </c>
      <c r="AY190" s="47">
        <v>10</v>
      </c>
      <c r="AZ190" s="47">
        <v>16</v>
      </c>
      <c r="BA190" s="47">
        <v>6</v>
      </c>
      <c r="BB190" s="46">
        <v>40</v>
      </c>
      <c r="BC190" s="48">
        <v>1</v>
      </c>
    </row>
    <row r="191" spans="1:55" s="42" customFormat="1" x14ac:dyDescent="0.2">
      <c r="A191" s="43">
        <v>1348</v>
      </c>
      <c r="B191" s="44" t="s">
        <v>20059</v>
      </c>
      <c r="C191" s="45">
        <v>44082</v>
      </c>
      <c r="D191" s="44" t="s">
        <v>20060</v>
      </c>
      <c r="E191" s="44" t="s">
        <v>21248</v>
      </c>
      <c r="F191" s="44" t="s">
        <v>20062</v>
      </c>
      <c r="G191" s="44">
        <v>0</v>
      </c>
      <c r="H191" s="44" t="s">
        <v>21249</v>
      </c>
      <c r="I191" s="45">
        <v>43264</v>
      </c>
      <c r="J191" s="45">
        <v>44347</v>
      </c>
      <c r="K191" s="44" t="s">
        <v>1219</v>
      </c>
      <c r="L191" s="44" t="s">
        <v>1220</v>
      </c>
      <c r="M191" s="44" t="s">
        <v>222</v>
      </c>
      <c r="N191" s="44" t="s">
        <v>207</v>
      </c>
      <c r="O191" s="44" t="s">
        <v>266</v>
      </c>
      <c r="P191" s="44" t="s">
        <v>224</v>
      </c>
      <c r="Q191" s="44" t="s">
        <v>21250</v>
      </c>
      <c r="R191" s="44" t="s">
        <v>21251</v>
      </c>
      <c r="S191" s="44" t="s">
        <v>20131</v>
      </c>
      <c r="T191" s="44">
        <v>325</v>
      </c>
      <c r="U191" s="44" t="s">
        <v>20067</v>
      </c>
      <c r="V191" s="44" t="s">
        <v>20067</v>
      </c>
      <c r="W191" s="44" t="s">
        <v>20067</v>
      </c>
      <c r="X191" s="44" t="s">
        <v>20068</v>
      </c>
      <c r="Y191" s="44" t="s">
        <v>20068</v>
      </c>
      <c r="Z191" s="44" t="s">
        <v>20089</v>
      </c>
      <c r="AA191" s="44">
        <v>4279</v>
      </c>
      <c r="AB191" s="44" t="s">
        <v>328</v>
      </c>
      <c r="AC191" s="44"/>
      <c r="AD191" s="44" t="s">
        <v>21252</v>
      </c>
      <c r="AE191" s="44" t="s">
        <v>21253</v>
      </c>
      <c r="AF191" s="44" t="s">
        <v>266</v>
      </c>
      <c r="AG191" s="44" t="s">
        <v>20092</v>
      </c>
      <c r="AH191" s="44" t="s">
        <v>20205</v>
      </c>
      <c r="AI191" s="44" t="s">
        <v>18723</v>
      </c>
      <c r="AJ191" s="44" t="s">
        <v>20072</v>
      </c>
      <c r="AK191" s="43">
        <v>0</v>
      </c>
      <c r="AL191" s="44">
        <v>36.85</v>
      </c>
      <c r="AM191" s="44">
        <v>59.333333333333336</v>
      </c>
      <c r="AN191" s="44">
        <v>39.348752282410224</v>
      </c>
      <c r="AO191" s="44">
        <v>52.566653402307999</v>
      </c>
      <c r="AP191" s="46">
        <v>19.100000000000001</v>
      </c>
      <c r="AQ191" s="47">
        <v>5</v>
      </c>
      <c r="AR191" s="47">
        <v>0</v>
      </c>
      <c r="AS191" s="47">
        <v>0</v>
      </c>
      <c r="AT191" s="47">
        <v>0</v>
      </c>
      <c r="AU191" s="46">
        <v>3</v>
      </c>
      <c r="AV191" s="46">
        <v>8</v>
      </c>
      <c r="AW191" s="46">
        <v>5</v>
      </c>
      <c r="AX191" s="47">
        <v>3</v>
      </c>
      <c r="AY191" s="47">
        <v>6</v>
      </c>
      <c r="AZ191" s="47">
        <v>16</v>
      </c>
      <c r="BA191" s="47">
        <v>10</v>
      </c>
      <c r="BB191" s="46">
        <v>40</v>
      </c>
      <c r="BC191" s="48">
        <v>1</v>
      </c>
    </row>
    <row r="192" spans="1:55" s="42" customFormat="1" x14ac:dyDescent="0.2">
      <c r="A192" s="43">
        <v>1365</v>
      </c>
      <c r="B192" s="44" t="s">
        <v>20059</v>
      </c>
      <c r="C192" s="45">
        <v>44082</v>
      </c>
      <c r="D192" s="44" t="s">
        <v>20060</v>
      </c>
      <c r="E192" s="44" t="s">
        <v>21254</v>
      </c>
      <c r="F192" s="44" t="s">
        <v>20062</v>
      </c>
      <c r="G192" s="44">
        <v>90796</v>
      </c>
      <c r="H192" s="44" t="s">
        <v>21255</v>
      </c>
      <c r="I192" s="45">
        <v>43435</v>
      </c>
      <c r="J192" s="45">
        <v>44530</v>
      </c>
      <c r="K192" s="44" t="s">
        <v>1221</v>
      </c>
      <c r="L192" s="44" t="s">
        <v>1222</v>
      </c>
      <c r="M192" s="44" t="s">
        <v>222</v>
      </c>
      <c r="N192" s="44" t="s">
        <v>207</v>
      </c>
      <c r="O192" s="44" t="s">
        <v>679</v>
      </c>
      <c r="P192" s="44" t="s">
        <v>224</v>
      </c>
      <c r="Q192" s="44" t="s">
        <v>21256</v>
      </c>
      <c r="R192" s="44" t="s">
        <v>21257</v>
      </c>
      <c r="S192" s="44" t="s">
        <v>21258</v>
      </c>
      <c r="T192" s="44">
        <v>115</v>
      </c>
      <c r="U192" s="44" t="s">
        <v>20330</v>
      </c>
      <c r="V192" s="44" t="s">
        <v>21259</v>
      </c>
      <c r="W192" s="44" t="s">
        <v>20068</v>
      </c>
      <c r="X192" s="44" t="s">
        <v>20068</v>
      </c>
      <c r="Y192" s="44" t="s">
        <v>20068</v>
      </c>
      <c r="Z192" s="44" t="s">
        <v>20089</v>
      </c>
      <c r="AA192" s="44">
        <v>4263</v>
      </c>
      <c r="AB192" s="44" t="s">
        <v>346</v>
      </c>
      <c r="AC192" s="44"/>
      <c r="AD192" s="44" t="s">
        <v>21260</v>
      </c>
      <c r="AE192" s="44" t="s">
        <v>21261</v>
      </c>
      <c r="AF192" s="44" t="s">
        <v>291</v>
      </c>
      <c r="AG192" s="44" t="s">
        <v>20092</v>
      </c>
      <c r="AH192" s="44" t="s">
        <v>21262</v>
      </c>
      <c r="AI192" s="44" t="s">
        <v>18723</v>
      </c>
      <c r="AJ192" s="44" t="s">
        <v>20072</v>
      </c>
      <c r="AK192" s="43">
        <v>0</v>
      </c>
      <c r="AL192" s="44">
        <v>36</v>
      </c>
      <c r="AM192" s="44">
        <v>58</v>
      </c>
      <c r="AN192" s="44">
        <v>39.682539682539684</v>
      </c>
      <c r="AO192" s="44">
        <v>45.405078597339802</v>
      </c>
      <c r="AP192" s="46">
        <v>19.100000000000001</v>
      </c>
      <c r="AQ192" s="47">
        <v>5</v>
      </c>
      <c r="AR192" s="47">
        <v>0</v>
      </c>
      <c r="AS192" s="47">
        <v>0</v>
      </c>
      <c r="AT192" s="47">
        <v>0</v>
      </c>
      <c r="AU192" s="46">
        <v>3</v>
      </c>
      <c r="AV192" s="46">
        <v>8</v>
      </c>
      <c r="AW192" s="46">
        <v>5</v>
      </c>
      <c r="AX192" s="47">
        <v>3</v>
      </c>
      <c r="AY192" s="47">
        <v>6</v>
      </c>
      <c r="AZ192" s="47">
        <v>16</v>
      </c>
      <c r="BA192" s="47">
        <v>10</v>
      </c>
      <c r="BB192" s="46">
        <v>40</v>
      </c>
      <c r="BC192" s="48">
        <v>1</v>
      </c>
    </row>
    <row r="193" spans="1:55" s="42" customFormat="1" x14ac:dyDescent="0.2">
      <c r="A193" s="43">
        <v>1371</v>
      </c>
      <c r="B193" s="44" t="s">
        <v>20059</v>
      </c>
      <c r="C193" s="45">
        <v>44082</v>
      </c>
      <c r="D193" s="44" t="s">
        <v>20060</v>
      </c>
      <c r="E193" s="44" t="s">
        <v>21263</v>
      </c>
      <c r="F193" s="44" t="s">
        <v>20062</v>
      </c>
      <c r="G193" s="44">
        <v>80731</v>
      </c>
      <c r="H193" s="44" t="s">
        <v>21264</v>
      </c>
      <c r="I193" s="45">
        <v>44044</v>
      </c>
      <c r="J193" s="45">
        <v>45138</v>
      </c>
      <c r="K193" s="44" t="s">
        <v>1223</v>
      </c>
      <c r="L193" s="44" t="s">
        <v>1224</v>
      </c>
      <c r="M193" s="44" t="s">
        <v>292</v>
      </c>
      <c r="N193" s="44" t="s">
        <v>207</v>
      </c>
      <c r="O193" s="44" t="s">
        <v>293</v>
      </c>
      <c r="P193" s="44" t="s">
        <v>224</v>
      </c>
      <c r="Q193" s="44" t="s">
        <v>21265</v>
      </c>
      <c r="R193" s="44" t="s">
        <v>21266</v>
      </c>
      <c r="S193" s="44" t="s">
        <v>21267</v>
      </c>
      <c r="T193" s="44">
        <v>177</v>
      </c>
      <c r="U193" s="44" t="s">
        <v>20263</v>
      </c>
      <c r="V193" s="44" t="s">
        <v>20263</v>
      </c>
      <c r="W193" s="44" t="s">
        <v>20068</v>
      </c>
      <c r="X193" s="44" t="s">
        <v>20068</v>
      </c>
      <c r="Y193" s="44" t="s">
        <v>20068</v>
      </c>
      <c r="Z193" s="44" t="s">
        <v>20089</v>
      </c>
      <c r="AA193" s="44">
        <v>4271</v>
      </c>
      <c r="AB193" s="44" t="s">
        <v>347</v>
      </c>
      <c r="AC193" s="44"/>
      <c r="AD193" s="44" t="s">
        <v>21176</v>
      </c>
      <c r="AE193" s="44" t="s">
        <v>21268</v>
      </c>
      <c r="AF193" s="44" t="s">
        <v>293</v>
      </c>
      <c r="AG193" s="44" t="s">
        <v>20255</v>
      </c>
      <c r="AH193" s="44" t="s">
        <v>20256</v>
      </c>
      <c r="AI193" s="44" t="s">
        <v>18723</v>
      </c>
      <c r="AJ193" s="44" t="s">
        <v>20072</v>
      </c>
      <c r="AK193" s="43">
        <v>0</v>
      </c>
      <c r="AL193" s="44">
        <v>40</v>
      </c>
      <c r="AM193" s="44">
        <v>53.333333333333336</v>
      </c>
      <c r="AN193" s="44">
        <v>54.936896807720856</v>
      </c>
      <c r="AO193" s="44">
        <v>60.882956878850102</v>
      </c>
      <c r="AP193" s="46">
        <v>19.100000000000001</v>
      </c>
      <c r="AQ193" s="47">
        <v>5</v>
      </c>
      <c r="AR193" s="47">
        <v>0</v>
      </c>
      <c r="AS193" s="47">
        <v>0</v>
      </c>
      <c r="AT193" s="47">
        <v>0</v>
      </c>
      <c r="AU193" s="46">
        <v>3</v>
      </c>
      <c r="AV193" s="46">
        <v>8</v>
      </c>
      <c r="AW193" s="46">
        <v>5</v>
      </c>
      <c r="AX193" s="47">
        <v>3</v>
      </c>
      <c r="AY193" s="47">
        <v>6</v>
      </c>
      <c r="AZ193" s="47">
        <v>16</v>
      </c>
      <c r="BA193" s="47">
        <v>10</v>
      </c>
      <c r="BB193" s="46">
        <v>40</v>
      </c>
      <c r="BC193" s="48">
        <v>1</v>
      </c>
    </row>
    <row r="194" spans="1:55" s="42" customFormat="1" x14ac:dyDescent="0.2">
      <c r="A194" s="43">
        <v>1419</v>
      </c>
      <c r="B194" s="44" t="s">
        <v>20059</v>
      </c>
      <c r="C194" s="45">
        <v>44082</v>
      </c>
      <c r="D194" s="44" t="s">
        <v>20060</v>
      </c>
      <c r="E194" s="44" t="s">
        <v>21269</v>
      </c>
      <c r="F194" s="44" t="s">
        <v>20062</v>
      </c>
      <c r="G194" s="44">
        <v>0</v>
      </c>
      <c r="H194" s="44" t="s">
        <v>21270</v>
      </c>
      <c r="I194" s="45">
        <v>43647</v>
      </c>
      <c r="J194" s="45">
        <v>44742</v>
      </c>
      <c r="K194" s="44" t="s">
        <v>1225</v>
      </c>
      <c r="L194" s="44" t="s">
        <v>1226</v>
      </c>
      <c r="M194" s="44" t="s">
        <v>222</v>
      </c>
      <c r="N194" s="44" t="s">
        <v>207</v>
      </c>
      <c r="O194" s="44" t="s">
        <v>1227</v>
      </c>
      <c r="P194" s="44" t="s">
        <v>224</v>
      </c>
      <c r="Q194" s="44" t="s">
        <v>21271</v>
      </c>
      <c r="R194" s="44" t="s">
        <v>21272</v>
      </c>
      <c r="S194" s="44" t="s">
        <v>21273</v>
      </c>
      <c r="T194" s="44">
        <v>249</v>
      </c>
      <c r="U194" s="44" t="s">
        <v>21259</v>
      </c>
      <c r="V194" s="44" t="s">
        <v>20370</v>
      </c>
      <c r="W194" s="44" t="s">
        <v>20068</v>
      </c>
      <c r="X194" s="44" t="s">
        <v>20068</v>
      </c>
      <c r="Y194" s="44" t="s">
        <v>20068</v>
      </c>
      <c r="Z194" s="44" t="s">
        <v>20089</v>
      </c>
      <c r="AA194" s="44">
        <v>4260</v>
      </c>
      <c r="AB194" s="44" t="s">
        <v>353</v>
      </c>
      <c r="AC194" s="44"/>
      <c r="AD194" s="44" t="s">
        <v>21274</v>
      </c>
      <c r="AE194" s="44" t="s">
        <v>21275</v>
      </c>
      <c r="AF194" s="44" t="s">
        <v>1227</v>
      </c>
      <c r="AG194" s="44" t="s">
        <v>20125</v>
      </c>
      <c r="AH194" s="44" t="s">
        <v>21276</v>
      </c>
      <c r="AI194" s="44" t="s">
        <v>18723</v>
      </c>
      <c r="AJ194" s="44" t="s">
        <v>20072</v>
      </c>
      <c r="AK194" s="43">
        <v>0</v>
      </c>
      <c r="AL194" s="44">
        <v>61</v>
      </c>
      <c r="AM194" s="44">
        <v>44.333333333333336</v>
      </c>
      <c r="AN194" s="44">
        <v>25.424112191811808</v>
      </c>
      <c r="AO194" s="44">
        <v>46.404341926729998</v>
      </c>
      <c r="AP194" s="46">
        <v>19.100000000000001</v>
      </c>
      <c r="AQ194" s="47">
        <v>5</v>
      </c>
      <c r="AR194" s="47">
        <v>0</v>
      </c>
      <c r="AS194" s="47">
        <v>0</v>
      </c>
      <c r="AT194" s="47">
        <v>0</v>
      </c>
      <c r="AU194" s="46">
        <v>5</v>
      </c>
      <c r="AV194" s="46">
        <v>6</v>
      </c>
      <c r="AW194" s="46">
        <v>5</v>
      </c>
      <c r="AX194" s="47">
        <v>3</v>
      </c>
      <c r="AY194" s="47">
        <v>10</v>
      </c>
      <c r="AZ194" s="47">
        <v>12</v>
      </c>
      <c r="BA194" s="47">
        <v>10</v>
      </c>
      <c r="BB194" s="46">
        <v>40</v>
      </c>
      <c r="BC194" s="48">
        <v>1</v>
      </c>
    </row>
    <row r="195" spans="1:55" s="42" customFormat="1" x14ac:dyDescent="0.2">
      <c r="A195" s="43">
        <v>1545</v>
      </c>
      <c r="B195" s="44" t="s">
        <v>20059</v>
      </c>
      <c r="C195" s="45">
        <v>44082</v>
      </c>
      <c r="D195" s="44" t="s">
        <v>20073</v>
      </c>
      <c r="E195" s="44" t="s">
        <v>21277</v>
      </c>
      <c r="F195" s="44" t="s">
        <v>20075</v>
      </c>
      <c r="G195" s="44">
        <v>0</v>
      </c>
      <c r="H195" s="44" t="s">
        <v>21278</v>
      </c>
      <c r="I195" s="45">
        <v>43709</v>
      </c>
      <c r="J195" s="45">
        <v>44804</v>
      </c>
      <c r="K195" s="44" t="s">
        <v>1228</v>
      </c>
      <c r="L195" s="44" t="s">
        <v>1229</v>
      </c>
      <c r="M195" s="44" t="s">
        <v>1230</v>
      </c>
      <c r="N195" s="44" t="s">
        <v>207</v>
      </c>
      <c r="O195" s="44" t="s">
        <v>538</v>
      </c>
      <c r="P195" s="44" t="s">
        <v>224</v>
      </c>
      <c r="Q195" s="44" t="s">
        <v>21279</v>
      </c>
      <c r="R195" s="44" t="s">
        <v>21280</v>
      </c>
      <c r="S195" s="44" t="s">
        <v>21281</v>
      </c>
      <c r="T195" s="44">
        <v>275</v>
      </c>
      <c r="U195" s="44" t="s">
        <v>20067</v>
      </c>
      <c r="V195" s="44" t="s">
        <v>20067</v>
      </c>
      <c r="W195" s="44" t="s">
        <v>20067</v>
      </c>
      <c r="X195" s="44" t="s">
        <v>20068</v>
      </c>
      <c r="Y195" s="44" t="s">
        <v>20068</v>
      </c>
      <c r="Z195" s="44" t="s">
        <v>20089</v>
      </c>
      <c r="AA195" s="44">
        <v>4269</v>
      </c>
      <c r="AB195" s="44" t="s">
        <v>535</v>
      </c>
      <c r="AC195" s="44"/>
      <c r="AD195" s="44" t="s">
        <v>21282</v>
      </c>
      <c r="AE195" s="44" t="s">
        <v>21283</v>
      </c>
      <c r="AF195" s="44" t="s">
        <v>538</v>
      </c>
      <c r="AG195" s="44" t="s">
        <v>20141</v>
      </c>
      <c r="AH195" s="44" t="s">
        <v>527</v>
      </c>
      <c r="AI195" s="44" t="s">
        <v>18723</v>
      </c>
      <c r="AJ195" s="44" t="s">
        <v>20072</v>
      </c>
      <c r="AK195" s="43">
        <v>0</v>
      </c>
      <c r="AL195" s="44">
        <v>33</v>
      </c>
      <c r="AM195" s="44">
        <v>52.333333333333336</v>
      </c>
      <c r="AN195" s="44">
        <v>39.184575215906811</v>
      </c>
      <c r="AO195" s="44">
        <v>44.771634615384599</v>
      </c>
      <c r="AP195" s="46">
        <v>19.100000000000001</v>
      </c>
      <c r="AQ195" s="47">
        <v>5</v>
      </c>
      <c r="AR195" s="47">
        <v>0</v>
      </c>
      <c r="AS195" s="47">
        <v>0</v>
      </c>
      <c r="AT195" s="47">
        <v>0</v>
      </c>
      <c r="AU195" s="46">
        <v>3</v>
      </c>
      <c r="AV195" s="46">
        <v>8</v>
      </c>
      <c r="AW195" s="46">
        <v>5</v>
      </c>
      <c r="AX195" s="47">
        <v>3</v>
      </c>
      <c r="AY195" s="47">
        <v>6</v>
      </c>
      <c r="AZ195" s="47">
        <v>16</v>
      </c>
      <c r="BA195" s="47">
        <v>10</v>
      </c>
      <c r="BB195" s="46">
        <v>40</v>
      </c>
      <c r="BC195" s="48">
        <v>1</v>
      </c>
    </row>
    <row r="196" spans="1:55" s="42" customFormat="1" x14ac:dyDescent="0.2">
      <c r="A196" s="43">
        <v>1557</v>
      </c>
      <c r="B196" s="44" t="s">
        <v>20059</v>
      </c>
      <c r="C196" s="45">
        <v>44082</v>
      </c>
      <c r="D196" s="44" t="s">
        <v>20073</v>
      </c>
      <c r="E196" s="44" t="s">
        <v>21284</v>
      </c>
      <c r="F196" s="44" t="s">
        <v>20075</v>
      </c>
      <c r="G196" s="44">
        <v>0</v>
      </c>
      <c r="H196" s="44" t="s">
        <v>21285</v>
      </c>
      <c r="I196" s="45">
        <v>43313</v>
      </c>
      <c r="J196" s="45">
        <v>44408</v>
      </c>
      <c r="K196" s="44" t="s">
        <v>1231</v>
      </c>
      <c r="L196" s="44" t="s">
        <v>1232</v>
      </c>
      <c r="M196" s="44" t="s">
        <v>222</v>
      </c>
      <c r="N196" s="44" t="s">
        <v>207</v>
      </c>
      <c r="O196" s="44" t="s">
        <v>679</v>
      </c>
      <c r="P196" s="44" t="s">
        <v>224</v>
      </c>
      <c r="Q196" s="44" t="s">
        <v>21286</v>
      </c>
      <c r="R196" s="44" t="s">
        <v>21287</v>
      </c>
      <c r="S196" s="44" t="s">
        <v>21288</v>
      </c>
      <c r="T196" s="44">
        <v>110</v>
      </c>
      <c r="U196" s="44" t="s">
        <v>20067</v>
      </c>
      <c r="V196" s="44" t="s">
        <v>20067</v>
      </c>
      <c r="W196" s="44" t="s">
        <v>20067</v>
      </c>
      <c r="X196" s="44" t="s">
        <v>20068</v>
      </c>
      <c r="Y196" s="44" t="s">
        <v>20067</v>
      </c>
      <c r="Z196" s="44" t="s">
        <v>20089</v>
      </c>
      <c r="AA196" s="44">
        <v>4263</v>
      </c>
      <c r="AB196" s="44" t="s">
        <v>346</v>
      </c>
      <c r="AC196" s="44"/>
      <c r="AD196" s="44" t="s">
        <v>21289</v>
      </c>
      <c r="AE196" s="44" t="s">
        <v>21290</v>
      </c>
      <c r="AF196" s="44" t="s">
        <v>679</v>
      </c>
      <c r="AG196" s="44" t="s">
        <v>20092</v>
      </c>
      <c r="AH196" s="44" t="s">
        <v>21234</v>
      </c>
      <c r="AI196" s="44" t="s">
        <v>18723</v>
      </c>
      <c r="AJ196" s="44" t="s">
        <v>20072</v>
      </c>
      <c r="AK196" s="43">
        <v>0</v>
      </c>
      <c r="AL196" s="44">
        <v>36</v>
      </c>
      <c r="AM196" s="44">
        <v>58</v>
      </c>
      <c r="AN196" s="44">
        <v>37.613808801213963</v>
      </c>
      <c r="AO196" s="44">
        <v>50.191407911527001</v>
      </c>
      <c r="AP196" s="46">
        <v>19.100000000000001</v>
      </c>
      <c r="AQ196" s="47">
        <v>5</v>
      </c>
      <c r="AR196" s="47">
        <v>0</v>
      </c>
      <c r="AS196" s="47">
        <v>0</v>
      </c>
      <c r="AT196" s="47">
        <v>0</v>
      </c>
      <c r="AU196" s="46">
        <v>3</v>
      </c>
      <c r="AV196" s="46">
        <v>8</v>
      </c>
      <c r="AW196" s="46">
        <v>5</v>
      </c>
      <c r="AX196" s="47">
        <v>3</v>
      </c>
      <c r="AY196" s="47">
        <v>6</v>
      </c>
      <c r="AZ196" s="47">
        <v>16</v>
      </c>
      <c r="BA196" s="47">
        <v>10</v>
      </c>
      <c r="BB196" s="46">
        <v>40</v>
      </c>
      <c r="BC196" s="48">
        <v>1</v>
      </c>
    </row>
    <row r="197" spans="1:55" s="42" customFormat="1" x14ac:dyDescent="0.2">
      <c r="A197" s="43">
        <v>1578</v>
      </c>
      <c r="B197" s="44" t="s">
        <v>20059</v>
      </c>
      <c r="C197" s="45">
        <v>44082</v>
      </c>
      <c r="D197" s="44" t="s">
        <v>20073</v>
      </c>
      <c r="E197" s="44" t="s">
        <v>21291</v>
      </c>
      <c r="F197" s="44" t="s">
        <v>20075</v>
      </c>
      <c r="G197" s="44">
        <v>0</v>
      </c>
      <c r="H197" s="44" t="s">
        <v>21292</v>
      </c>
      <c r="I197" s="45">
        <v>43831</v>
      </c>
      <c r="J197" s="45">
        <v>44926</v>
      </c>
      <c r="K197" s="44" t="s">
        <v>38</v>
      </c>
      <c r="L197" s="44" t="s">
        <v>139</v>
      </c>
      <c r="M197" s="44" t="s">
        <v>227</v>
      </c>
      <c r="N197" s="44" t="s">
        <v>207</v>
      </c>
      <c r="O197" s="44" t="s">
        <v>228</v>
      </c>
      <c r="P197" s="44" t="s">
        <v>218</v>
      </c>
      <c r="Q197" s="44" t="s">
        <v>21293</v>
      </c>
      <c r="R197" s="44" t="s">
        <v>21294</v>
      </c>
      <c r="S197" s="44" t="s">
        <v>20131</v>
      </c>
      <c r="T197" s="44">
        <v>20</v>
      </c>
      <c r="U197" s="44" t="s">
        <v>20067</v>
      </c>
      <c r="V197" s="44" t="s">
        <v>20067</v>
      </c>
      <c r="W197" s="44" t="s">
        <v>20067</v>
      </c>
      <c r="X197" s="44" t="s">
        <v>20068</v>
      </c>
      <c r="Y197" s="44" t="s">
        <v>20067</v>
      </c>
      <c r="Z197" s="44" t="s">
        <v>20069</v>
      </c>
      <c r="AA197" s="44">
        <v>4158</v>
      </c>
      <c r="AB197" s="44" t="s">
        <v>318</v>
      </c>
      <c r="AC197" s="44"/>
      <c r="AD197" s="44" t="s">
        <v>20429</v>
      </c>
      <c r="AE197" s="44" t="s">
        <v>20430</v>
      </c>
      <c r="AF197" s="44" t="s">
        <v>228</v>
      </c>
      <c r="AG197" s="44" t="s">
        <v>20082</v>
      </c>
      <c r="AH197" s="44" t="s">
        <v>20082</v>
      </c>
      <c r="AI197" s="44" t="s">
        <v>18723</v>
      </c>
      <c r="AJ197" s="44" t="s">
        <v>20083</v>
      </c>
      <c r="AK197" s="43">
        <v>1</v>
      </c>
      <c r="AL197" s="44">
        <v>12</v>
      </c>
      <c r="AM197" s="44">
        <v>59.333333333333336</v>
      </c>
      <c r="AN197" s="44">
        <v>61.93181818181818</v>
      </c>
      <c r="AO197" s="44">
        <v>45.209176788124203</v>
      </c>
      <c r="AP197" s="46">
        <v>49.1</v>
      </c>
      <c r="AQ197" s="47">
        <v>1</v>
      </c>
      <c r="AR197" s="47">
        <v>0</v>
      </c>
      <c r="AS197" s="47">
        <v>1</v>
      </c>
      <c r="AT197" s="47">
        <v>5</v>
      </c>
      <c r="AU197" s="46">
        <v>1</v>
      </c>
      <c r="AV197" s="46">
        <v>8</v>
      </c>
      <c r="AW197" s="46">
        <v>5</v>
      </c>
      <c r="AX197" s="47">
        <v>5</v>
      </c>
      <c r="AY197" s="47">
        <v>2</v>
      </c>
      <c r="AZ197" s="47">
        <v>16</v>
      </c>
      <c r="BA197" s="47">
        <v>10</v>
      </c>
      <c r="BB197" s="46">
        <v>40</v>
      </c>
      <c r="BC197" s="48">
        <v>1</v>
      </c>
    </row>
    <row r="198" spans="1:55" s="42" customFormat="1" x14ac:dyDescent="0.2">
      <c r="A198" s="43">
        <v>1580</v>
      </c>
      <c r="B198" s="44" t="s">
        <v>20059</v>
      </c>
      <c r="C198" s="45">
        <v>44082</v>
      </c>
      <c r="D198" s="44" t="s">
        <v>20073</v>
      </c>
      <c r="E198" s="44" t="s">
        <v>21295</v>
      </c>
      <c r="F198" s="44" t="s">
        <v>20075</v>
      </c>
      <c r="G198" s="44">
        <v>0</v>
      </c>
      <c r="H198" s="44" t="s">
        <v>21296</v>
      </c>
      <c r="I198" s="45">
        <v>43983</v>
      </c>
      <c r="J198" s="45">
        <v>45077</v>
      </c>
      <c r="K198" s="44" t="s">
        <v>39</v>
      </c>
      <c r="L198" s="44" t="s">
        <v>139</v>
      </c>
      <c r="M198" s="44" t="s">
        <v>227</v>
      </c>
      <c r="N198" s="44" t="s">
        <v>207</v>
      </c>
      <c r="O198" s="44" t="s">
        <v>265</v>
      </c>
      <c r="P198" s="44" t="s">
        <v>218</v>
      </c>
      <c r="Q198" s="44" t="s">
        <v>21297</v>
      </c>
      <c r="R198" s="44" t="s">
        <v>21298</v>
      </c>
      <c r="S198" s="44" t="s">
        <v>21299</v>
      </c>
      <c r="T198" s="44">
        <v>20</v>
      </c>
      <c r="U198" s="44" t="s">
        <v>20067</v>
      </c>
      <c r="V198" s="44" t="s">
        <v>20067</v>
      </c>
      <c r="W198" s="44" t="s">
        <v>20067</v>
      </c>
      <c r="X198" s="44" t="s">
        <v>20068</v>
      </c>
      <c r="Y198" s="44" t="s">
        <v>20067</v>
      </c>
      <c r="Z198" s="44" t="s">
        <v>20069</v>
      </c>
      <c r="AA198" s="44">
        <v>4158</v>
      </c>
      <c r="AB198" s="44" t="s">
        <v>318</v>
      </c>
      <c r="AC198" s="44"/>
      <c r="AD198" s="44" t="s">
        <v>21300</v>
      </c>
      <c r="AE198" s="44" t="s">
        <v>21301</v>
      </c>
      <c r="AF198" s="44" t="s">
        <v>265</v>
      </c>
      <c r="AG198" s="44" t="s">
        <v>20082</v>
      </c>
      <c r="AH198" s="44" t="s">
        <v>20082</v>
      </c>
      <c r="AI198" s="44" t="s">
        <v>18723</v>
      </c>
      <c r="AJ198" s="44" t="s">
        <v>20083</v>
      </c>
      <c r="AK198" s="43">
        <v>1</v>
      </c>
      <c r="AL198" s="44">
        <v>12</v>
      </c>
      <c r="AM198" s="44">
        <v>59.333333333333336</v>
      </c>
      <c r="AN198" s="44">
        <v>57.901748542880938</v>
      </c>
      <c r="AO198" s="44">
        <v>50</v>
      </c>
      <c r="AP198" s="46">
        <v>49.1</v>
      </c>
      <c r="AQ198" s="47">
        <v>1</v>
      </c>
      <c r="AR198" s="47">
        <v>0</v>
      </c>
      <c r="AS198" s="47">
        <v>1</v>
      </c>
      <c r="AT198" s="47">
        <v>5</v>
      </c>
      <c r="AU198" s="46">
        <v>1</v>
      </c>
      <c r="AV198" s="46">
        <v>8</v>
      </c>
      <c r="AW198" s="46">
        <v>5</v>
      </c>
      <c r="AX198" s="47">
        <v>5</v>
      </c>
      <c r="AY198" s="47">
        <v>2</v>
      </c>
      <c r="AZ198" s="47">
        <v>16</v>
      </c>
      <c r="BA198" s="47">
        <v>10</v>
      </c>
      <c r="BB198" s="46">
        <v>40</v>
      </c>
      <c r="BC198" s="48">
        <v>1</v>
      </c>
    </row>
    <row r="199" spans="1:55" s="42" customFormat="1" x14ac:dyDescent="0.2">
      <c r="A199" s="43">
        <v>1619</v>
      </c>
      <c r="B199" s="44" t="s">
        <v>20059</v>
      </c>
      <c r="C199" s="45">
        <v>44082</v>
      </c>
      <c r="D199" s="44" t="s">
        <v>20073</v>
      </c>
      <c r="E199" s="44" t="s">
        <v>21302</v>
      </c>
      <c r="F199" s="44" t="s">
        <v>20075</v>
      </c>
      <c r="G199" s="44">
        <v>0</v>
      </c>
      <c r="H199" s="44" t="s">
        <v>21303</v>
      </c>
      <c r="I199" s="45">
        <v>43199</v>
      </c>
      <c r="J199" s="45">
        <v>44286</v>
      </c>
      <c r="K199" s="44" t="s">
        <v>1233</v>
      </c>
      <c r="L199" s="44" t="s">
        <v>1185</v>
      </c>
      <c r="M199" s="44" t="s">
        <v>222</v>
      </c>
      <c r="N199" s="44" t="s">
        <v>207</v>
      </c>
      <c r="O199" s="44" t="s">
        <v>556</v>
      </c>
      <c r="P199" s="44" t="s">
        <v>224</v>
      </c>
      <c r="Q199" s="44" t="s">
        <v>21304</v>
      </c>
      <c r="R199" s="44" t="s">
        <v>20433</v>
      </c>
      <c r="S199" s="44" t="s">
        <v>20434</v>
      </c>
      <c r="T199" s="44">
        <v>305</v>
      </c>
      <c r="U199" s="44" t="s">
        <v>20067</v>
      </c>
      <c r="V199" s="44" t="s">
        <v>20067</v>
      </c>
      <c r="W199" s="44" t="s">
        <v>20067</v>
      </c>
      <c r="X199" s="44" t="s">
        <v>20068</v>
      </c>
      <c r="Y199" s="44" t="s">
        <v>20067</v>
      </c>
      <c r="Z199" s="44" t="s">
        <v>20089</v>
      </c>
      <c r="AA199" s="44">
        <v>4282</v>
      </c>
      <c r="AB199" s="44" t="s">
        <v>334</v>
      </c>
      <c r="AC199" s="44"/>
      <c r="AD199" s="44" t="s">
        <v>21138</v>
      </c>
      <c r="AE199" s="44" t="s">
        <v>21139</v>
      </c>
      <c r="AF199" s="44" t="s">
        <v>556</v>
      </c>
      <c r="AG199" s="44" t="s">
        <v>20092</v>
      </c>
      <c r="AH199" s="44" t="s">
        <v>20126</v>
      </c>
      <c r="AI199" s="44" t="s">
        <v>18723</v>
      </c>
      <c r="AJ199" s="44" t="s">
        <v>20072</v>
      </c>
      <c r="AK199" s="43">
        <v>0</v>
      </c>
      <c r="AL199" s="44">
        <v>58</v>
      </c>
      <c r="AM199" s="44">
        <v>54.666666666666664</v>
      </c>
      <c r="AN199" s="44">
        <v>47.227272727272727</v>
      </c>
      <c r="AO199" s="44">
        <v>41.178797468354396</v>
      </c>
      <c r="AP199" s="46">
        <v>19.100000000000001</v>
      </c>
      <c r="AQ199" s="47">
        <v>5</v>
      </c>
      <c r="AR199" s="47">
        <v>0</v>
      </c>
      <c r="AS199" s="47">
        <v>0</v>
      </c>
      <c r="AT199" s="47">
        <v>0</v>
      </c>
      <c r="AU199" s="46">
        <v>5</v>
      </c>
      <c r="AV199" s="46">
        <v>8</v>
      </c>
      <c r="AW199" s="46">
        <v>3</v>
      </c>
      <c r="AX199" s="47">
        <v>3</v>
      </c>
      <c r="AY199" s="47">
        <v>10</v>
      </c>
      <c r="AZ199" s="47">
        <v>16</v>
      </c>
      <c r="BA199" s="47">
        <v>6</v>
      </c>
      <c r="BB199" s="46">
        <v>40</v>
      </c>
      <c r="BC199" s="48">
        <v>1</v>
      </c>
    </row>
    <row r="200" spans="1:55" s="42" customFormat="1" x14ac:dyDescent="0.2">
      <c r="A200" s="43">
        <v>1935</v>
      </c>
      <c r="B200" s="44" t="s">
        <v>20059</v>
      </c>
      <c r="C200" s="45">
        <v>44082</v>
      </c>
      <c r="D200" s="44" t="s">
        <v>20073</v>
      </c>
      <c r="E200" s="44" t="s">
        <v>21305</v>
      </c>
      <c r="F200" s="44" t="s">
        <v>20075</v>
      </c>
      <c r="G200" s="44">
        <v>0</v>
      </c>
      <c r="H200" s="44" t="s">
        <v>21306</v>
      </c>
      <c r="I200" s="45">
        <v>43221</v>
      </c>
      <c r="J200" s="45">
        <v>44316</v>
      </c>
      <c r="K200" s="44" t="s">
        <v>1234</v>
      </c>
      <c r="L200" s="44" t="s">
        <v>1235</v>
      </c>
      <c r="M200" s="44" t="s">
        <v>239</v>
      </c>
      <c r="N200" s="44" t="s">
        <v>207</v>
      </c>
      <c r="O200" s="44" t="s">
        <v>240</v>
      </c>
      <c r="P200" s="44" t="s">
        <v>209</v>
      </c>
      <c r="Q200" s="44" t="s">
        <v>21307</v>
      </c>
      <c r="R200" s="44" t="s">
        <v>21308</v>
      </c>
      <c r="S200" s="44" t="s">
        <v>21309</v>
      </c>
      <c r="T200" s="44">
        <v>59</v>
      </c>
      <c r="U200" s="44" t="s">
        <v>20067</v>
      </c>
      <c r="V200" s="44" t="s">
        <v>20067</v>
      </c>
      <c r="W200" s="44" t="s">
        <v>20067</v>
      </c>
      <c r="X200" s="44" t="s">
        <v>20068</v>
      </c>
      <c r="Y200" s="44" t="s">
        <v>20068</v>
      </c>
      <c r="Z200" s="44" t="s">
        <v>20069</v>
      </c>
      <c r="AA200" s="44">
        <v>4196</v>
      </c>
      <c r="AB200" s="44" t="s">
        <v>324</v>
      </c>
      <c r="AC200" s="44"/>
      <c r="AD200" s="44" t="s">
        <v>20181</v>
      </c>
      <c r="AE200" s="44" t="s">
        <v>21310</v>
      </c>
      <c r="AF200" s="44" t="s">
        <v>240</v>
      </c>
      <c r="AG200" s="44" t="s">
        <v>2654</v>
      </c>
      <c r="AH200" s="44" t="s">
        <v>19418</v>
      </c>
      <c r="AI200" s="44" t="s">
        <v>18723</v>
      </c>
      <c r="AJ200" s="44" t="s">
        <v>20072</v>
      </c>
      <c r="AK200" s="43">
        <v>0</v>
      </c>
      <c r="AL200" s="44">
        <v>56</v>
      </c>
      <c r="AM200" s="44">
        <v>61.333333333333336</v>
      </c>
      <c r="AN200" s="44">
        <v>22.254680653299694</v>
      </c>
      <c r="AO200" s="44">
        <v>18.8057040998217</v>
      </c>
      <c r="AP200" s="46">
        <v>41.1</v>
      </c>
      <c r="AQ200" s="47">
        <v>3</v>
      </c>
      <c r="AR200" s="47">
        <v>0</v>
      </c>
      <c r="AS200" s="47">
        <v>0</v>
      </c>
      <c r="AT200" s="47">
        <v>0</v>
      </c>
      <c r="AU200" s="46">
        <v>5</v>
      </c>
      <c r="AV200" s="46">
        <v>8</v>
      </c>
      <c r="AW200" s="46">
        <v>3</v>
      </c>
      <c r="AX200" s="47">
        <v>5</v>
      </c>
      <c r="AY200" s="47">
        <v>10</v>
      </c>
      <c r="AZ200" s="47">
        <v>16</v>
      </c>
      <c r="BA200" s="47">
        <v>6</v>
      </c>
      <c r="BB200" s="46">
        <v>40</v>
      </c>
      <c r="BC200" s="48">
        <v>1</v>
      </c>
    </row>
    <row r="201" spans="1:55" s="42" customFormat="1" x14ac:dyDescent="0.2">
      <c r="A201" s="43">
        <v>2014</v>
      </c>
      <c r="B201" s="44" t="s">
        <v>20059</v>
      </c>
      <c r="C201" s="45">
        <v>44082</v>
      </c>
      <c r="D201" s="44" t="s">
        <v>20073</v>
      </c>
      <c r="E201" s="44" t="s">
        <v>21311</v>
      </c>
      <c r="F201" s="44" t="s">
        <v>20075</v>
      </c>
      <c r="G201" s="44">
        <v>0</v>
      </c>
      <c r="H201" s="44" t="s">
        <v>21312</v>
      </c>
      <c r="I201" s="45">
        <v>43678</v>
      </c>
      <c r="J201" s="45">
        <v>44773</v>
      </c>
      <c r="K201" s="44" t="s">
        <v>1236</v>
      </c>
      <c r="L201" s="44" t="s">
        <v>1237</v>
      </c>
      <c r="M201" s="44" t="s">
        <v>1238</v>
      </c>
      <c r="N201" s="44" t="s">
        <v>207</v>
      </c>
      <c r="O201" s="44" t="s">
        <v>370</v>
      </c>
      <c r="P201" s="44" t="s">
        <v>245</v>
      </c>
      <c r="Q201" s="44" t="s">
        <v>15107</v>
      </c>
      <c r="R201" s="44" t="s">
        <v>21313</v>
      </c>
      <c r="S201" s="44" t="s">
        <v>21314</v>
      </c>
      <c r="T201" s="44">
        <v>20</v>
      </c>
      <c r="U201" s="44" t="s">
        <v>20067</v>
      </c>
      <c r="V201" s="44" t="s">
        <v>20067</v>
      </c>
      <c r="W201" s="44" t="s">
        <v>20067</v>
      </c>
      <c r="X201" s="44" t="s">
        <v>20068</v>
      </c>
      <c r="Y201" s="44" t="s">
        <v>20067</v>
      </c>
      <c r="Z201" s="44" t="s">
        <v>20089</v>
      </c>
      <c r="AA201" s="44">
        <v>4514</v>
      </c>
      <c r="AB201" s="44" t="s">
        <v>366</v>
      </c>
      <c r="AC201" s="44"/>
      <c r="AD201" s="44" t="s">
        <v>20730</v>
      </c>
      <c r="AE201" s="44" t="s">
        <v>21315</v>
      </c>
      <c r="AF201" s="44" t="s">
        <v>370</v>
      </c>
      <c r="AG201" s="44" t="s">
        <v>20732</v>
      </c>
      <c r="AH201" s="44" t="s">
        <v>20733</v>
      </c>
      <c r="AI201" s="44" t="s">
        <v>18715</v>
      </c>
      <c r="AJ201" s="44" t="s">
        <v>20083</v>
      </c>
      <c r="AK201" s="43">
        <v>0</v>
      </c>
      <c r="AL201" s="44">
        <v>0</v>
      </c>
      <c r="AM201" s="44">
        <v>70.666666666666671</v>
      </c>
      <c r="AN201" s="44">
        <v>25.02102607232969</v>
      </c>
      <c r="AO201" s="44">
        <v>17.5913396481732</v>
      </c>
      <c r="AP201" s="46">
        <v>56.1</v>
      </c>
      <c r="AQ201" s="47">
        <v>1</v>
      </c>
      <c r="AR201" s="47">
        <v>5</v>
      </c>
      <c r="AS201" s="47">
        <v>1</v>
      </c>
      <c r="AT201" s="47">
        <v>0</v>
      </c>
      <c r="AU201" s="46">
        <v>1</v>
      </c>
      <c r="AV201" s="46">
        <v>10</v>
      </c>
      <c r="AW201" s="46">
        <v>3</v>
      </c>
      <c r="AX201" s="47">
        <v>5</v>
      </c>
      <c r="AY201" s="47">
        <v>2</v>
      </c>
      <c r="AZ201" s="47">
        <v>20</v>
      </c>
      <c r="BA201" s="47">
        <v>6</v>
      </c>
      <c r="BB201" s="46">
        <v>40</v>
      </c>
      <c r="BC201" s="48">
        <v>1</v>
      </c>
    </row>
    <row r="202" spans="1:55" s="42" customFormat="1" x14ac:dyDescent="0.2">
      <c r="A202" s="43">
        <v>2148</v>
      </c>
      <c r="B202" s="44" t="s">
        <v>20059</v>
      </c>
      <c r="C202" s="45">
        <v>44082</v>
      </c>
      <c r="D202" s="44" t="s">
        <v>20073</v>
      </c>
      <c r="E202" s="44" t="s">
        <v>21316</v>
      </c>
      <c r="F202" s="44" t="s">
        <v>20075</v>
      </c>
      <c r="G202" s="44">
        <v>0</v>
      </c>
      <c r="H202" s="44" t="s">
        <v>21317</v>
      </c>
      <c r="I202" s="45">
        <v>42979</v>
      </c>
      <c r="J202" s="45">
        <v>44074</v>
      </c>
      <c r="K202" s="44" t="s">
        <v>1239</v>
      </c>
      <c r="L202" s="44" t="s">
        <v>1240</v>
      </c>
      <c r="M202" s="44" t="s">
        <v>222</v>
      </c>
      <c r="N202" s="44" t="s">
        <v>207</v>
      </c>
      <c r="O202" s="44" t="s">
        <v>951</v>
      </c>
      <c r="P202" s="44" t="s">
        <v>224</v>
      </c>
      <c r="Q202" s="44" t="s">
        <v>21009</v>
      </c>
      <c r="R202" s="44" t="s">
        <v>21318</v>
      </c>
      <c r="S202" s="44" t="s">
        <v>21319</v>
      </c>
      <c r="T202" s="44">
        <v>242</v>
      </c>
      <c r="U202" s="44" t="s">
        <v>20067</v>
      </c>
      <c r="V202" s="44" t="s">
        <v>20067</v>
      </c>
      <c r="W202" s="44" t="s">
        <v>20067</v>
      </c>
      <c r="X202" s="44" t="s">
        <v>20068</v>
      </c>
      <c r="Y202" s="44" t="s">
        <v>20068</v>
      </c>
      <c r="Z202" s="44" t="s">
        <v>20089</v>
      </c>
      <c r="AA202" s="44">
        <v>4260</v>
      </c>
      <c r="AB202" s="44" t="s">
        <v>353</v>
      </c>
      <c r="AC202" s="44"/>
      <c r="AD202" s="44" t="s">
        <v>21320</v>
      </c>
      <c r="AE202" s="44" t="s">
        <v>21321</v>
      </c>
      <c r="AF202" s="44" t="s">
        <v>951</v>
      </c>
      <c r="AG202" s="44" t="s">
        <v>20125</v>
      </c>
      <c r="AH202" s="44" t="s">
        <v>20222</v>
      </c>
      <c r="AI202" s="44" t="s">
        <v>18723</v>
      </c>
      <c r="AJ202" s="44" t="s">
        <v>20072</v>
      </c>
      <c r="AK202" s="43">
        <v>0</v>
      </c>
      <c r="AL202" s="44">
        <v>61</v>
      </c>
      <c r="AM202" s="44">
        <v>44.333333333333336</v>
      </c>
      <c r="AN202" s="44">
        <v>40.088774675855625</v>
      </c>
      <c r="AO202" s="44">
        <v>52.631578947368403</v>
      </c>
      <c r="AP202" s="46">
        <v>19.100000000000001</v>
      </c>
      <c r="AQ202" s="47">
        <v>5</v>
      </c>
      <c r="AR202" s="47">
        <v>0</v>
      </c>
      <c r="AS202" s="47">
        <v>0</v>
      </c>
      <c r="AT202" s="47">
        <v>0</v>
      </c>
      <c r="AU202" s="46">
        <v>5</v>
      </c>
      <c r="AV202" s="46">
        <v>6</v>
      </c>
      <c r="AW202" s="46">
        <v>5</v>
      </c>
      <c r="AX202" s="47">
        <v>3</v>
      </c>
      <c r="AY202" s="47">
        <v>10</v>
      </c>
      <c r="AZ202" s="47">
        <v>12</v>
      </c>
      <c r="BA202" s="47">
        <v>10</v>
      </c>
      <c r="BB202" s="46">
        <v>40</v>
      </c>
      <c r="BC202" s="48">
        <v>1</v>
      </c>
    </row>
    <row r="203" spans="1:55" s="42" customFormat="1" x14ac:dyDescent="0.2">
      <c r="A203" s="43">
        <v>2152</v>
      </c>
      <c r="B203" s="44" t="s">
        <v>20059</v>
      </c>
      <c r="C203" s="45">
        <v>44082</v>
      </c>
      <c r="D203" s="44" t="s">
        <v>20073</v>
      </c>
      <c r="E203" s="44" t="s">
        <v>21322</v>
      </c>
      <c r="F203" s="44" t="s">
        <v>20075</v>
      </c>
      <c r="G203" s="44">
        <v>0</v>
      </c>
      <c r="H203" s="44" t="s">
        <v>21323</v>
      </c>
      <c r="I203" s="45">
        <v>43040</v>
      </c>
      <c r="J203" s="45">
        <v>44135</v>
      </c>
      <c r="K203" s="44" t="s">
        <v>1241</v>
      </c>
      <c r="L203" s="44" t="s">
        <v>1242</v>
      </c>
      <c r="M203" s="44" t="s">
        <v>222</v>
      </c>
      <c r="N203" s="44" t="s">
        <v>207</v>
      </c>
      <c r="O203" s="44" t="s">
        <v>304</v>
      </c>
      <c r="P203" s="44" t="s">
        <v>224</v>
      </c>
      <c r="Q203" s="44" t="s">
        <v>21324</v>
      </c>
      <c r="R203" s="44" t="s">
        <v>21325</v>
      </c>
      <c r="S203" s="44" t="s">
        <v>21018</v>
      </c>
      <c r="T203" s="44">
        <v>105</v>
      </c>
      <c r="U203" s="44" t="s">
        <v>20067</v>
      </c>
      <c r="V203" s="44" t="s">
        <v>20067</v>
      </c>
      <c r="W203" s="44" t="s">
        <v>20067</v>
      </c>
      <c r="X203" s="44" t="s">
        <v>20068</v>
      </c>
      <c r="Y203" s="44" t="s">
        <v>20068</v>
      </c>
      <c r="Z203" s="44" t="s">
        <v>20089</v>
      </c>
      <c r="AA203" s="44">
        <v>4260</v>
      </c>
      <c r="AB203" s="44" t="s">
        <v>353</v>
      </c>
      <c r="AC203" s="44"/>
      <c r="AD203" s="44" t="s">
        <v>21326</v>
      </c>
      <c r="AE203" s="44" t="s">
        <v>21327</v>
      </c>
      <c r="AF203" s="44" t="s">
        <v>304</v>
      </c>
      <c r="AG203" s="44" t="s">
        <v>20125</v>
      </c>
      <c r="AH203" s="44" t="s">
        <v>20222</v>
      </c>
      <c r="AI203" s="44" t="s">
        <v>18723</v>
      </c>
      <c r="AJ203" s="44" t="s">
        <v>20072</v>
      </c>
      <c r="AK203" s="43">
        <v>0</v>
      </c>
      <c r="AL203" s="44">
        <v>61</v>
      </c>
      <c r="AM203" s="44">
        <v>44.333333333333336</v>
      </c>
      <c r="AN203" s="44">
        <v>32.003444316877157</v>
      </c>
      <c r="AO203" s="44">
        <v>51.976374375284003</v>
      </c>
      <c r="AP203" s="46">
        <v>19.100000000000001</v>
      </c>
      <c r="AQ203" s="47">
        <v>5</v>
      </c>
      <c r="AR203" s="47">
        <v>0</v>
      </c>
      <c r="AS203" s="47">
        <v>0</v>
      </c>
      <c r="AT203" s="47">
        <v>0</v>
      </c>
      <c r="AU203" s="46">
        <v>5</v>
      </c>
      <c r="AV203" s="46">
        <v>6</v>
      </c>
      <c r="AW203" s="46">
        <v>5</v>
      </c>
      <c r="AX203" s="47">
        <v>3</v>
      </c>
      <c r="AY203" s="47">
        <v>10</v>
      </c>
      <c r="AZ203" s="47">
        <v>12</v>
      </c>
      <c r="BA203" s="47">
        <v>10</v>
      </c>
      <c r="BB203" s="46">
        <v>40</v>
      </c>
      <c r="BC203" s="48">
        <v>1</v>
      </c>
    </row>
    <row r="204" spans="1:55" s="42" customFormat="1" x14ac:dyDescent="0.2">
      <c r="A204" s="43">
        <v>2154</v>
      </c>
      <c r="B204" s="44" t="s">
        <v>20059</v>
      </c>
      <c r="C204" s="45">
        <v>44082</v>
      </c>
      <c r="D204" s="44" t="s">
        <v>20073</v>
      </c>
      <c r="E204" s="44" t="s">
        <v>21328</v>
      </c>
      <c r="F204" s="44" t="s">
        <v>20075</v>
      </c>
      <c r="G204" s="44">
        <v>0</v>
      </c>
      <c r="H204" s="44" t="s">
        <v>21329</v>
      </c>
      <c r="I204" s="45">
        <v>43070</v>
      </c>
      <c r="J204" s="45">
        <v>44165</v>
      </c>
      <c r="K204" s="44" t="s">
        <v>1243</v>
      </c>
      <c r="L204" s="44" t="s">
        <v>1244</v>
      </c>
      <c r="M204" s="44" t="s">
        <v>222</v>
      </c>
      <c r="N204" s="44" t="s">
        <v>207</v>
      </c>
      <c r="O204" s="44" t="s">
        <v>1140</v>
      </c>
      <c r="P204" s="44" t="s">
        <v>224</v>
      </c>
      <c r="Q204" s="44" t="s">
        <v>21009</v>
      </c>
      <c r="R204" s="44" t="s">
        <v>21330</v>
      </c>
      <c r="S204" s="44" t="s">
        <v>21011</v>
      </c>
      <c r="T204" s="44">
        <v>266</v>
      </c>
      <c r="U204" s="44" t="s">
        <v>20067</v>
      </c>
      <c r="V204" s="44" t="s">
        <v>20067</v>
      </c>
      <c r="W204" s="44" t="s">
        <v>20067</v>
      </c>
      <c r="X204" s="44" t="s">
        <v>20068</v>
      </c>
      <c r="Y204" s="44" t="s">
        <v>20068</v>
      </c>
      <c r="Z204" s="44" t="s">
        <v>20089</v>
      </c>
      <c r="AA204" s="44">
        <v>4260</v>
      </c>
      <c r="AB204" s="44" t="s">
        <v>353</v>
      </c>
      <c r="AC204" s="44"/>
      <c r="AD204" s="44" t="s">
        <v>21331</v>
      </c>
      <c r="AE204" s="44" t="s">
        <v>21332</v>
      </c>
      <c r="AF204" s="44" t="s">
        <v>1140</v>
      </c>
      <c r="AG204" s="44" t="s">
        <v>20125</v>
      </c>
      <c r="AH204" s="44" t="s">
        <v>20311</v>
      </c>
      <c r="AI204" s="44" t="s">
        <v>18723</v>
      </c>
      <c r="AJ204" s="44" t="s">
        <v>20072</v>
      </c>
      <c r="AK204" s="43">
        <v>0</v>
      </c>
      <c r="AL204" s="44">
        <v>61</v>
      </c>
      <c r="AM204" s="44">
        <v>44.333333333333336</v>
      </c>
      <c r="AN204" s="44">
        <v>37.188099808061423</v>
      </c>
      <c r="AO204" s="44">
        <v>51.734539969834103</v>
      </c>
      <c r="AP204" s="46">
        <v>19.100000000000001</v>
      </c>
      <c r="AQ204" s="47">
        <v>5</v>
      </c>
      <c r="AR204" s="47">
        <v>0</v>
      </c>
      <c r="AS204" s="47">
        <v>0</v>
      </c>
      <c r="AT204" s="47">
        <v>0</v>
      </c>
      <c r="AU204" s="46">
        <v>5</v>
      </c>
      <c r="AV204" s="46">
        <v>6</v>
      </c>
      <c r="AW204" s="46">
        <v>5</v>
      </c>
      <c r="AX204" s="47">
        <v>3</v>
      </c>
      <c r="AY204" s="47">
        <v>10</v>
      </c>
      <c r="AZ204" s="47">
        <v>12</v>
      </c>
      <c r="BA204" s="47">
        <v>10</v>
      </c>
      <c r="BB204" s="46">
        <v>40</v>
      </c>
      <c r="BC204" s="48">
        <v>1</v>
      </c>
    </row>
    <row r="205" spans="1:55" s="42" customFormat="1" x14ac:dyDescent="0.2">
      <c r="A205" s="43">
        <v>2229</v>
      </c>
      <c r="B205" s="44" t="s">
        <v>20059</v>
      </c>
      <c r="C205" s="45">
        <v>44082</v>
      </c>
      <c r="D205" s="44" t="s">
        <v>20142</v>
      </c>
      <c r="E205" s="44" t="s">
        <v>21333</v>
      </c>
      <c r="F205" s="44" t="s">
        <v>20144</v>
      </c>
      <c r="G205" s="44">
        <v>0</v>
      </c>
      <c r="H205" s="44" t="s">
        <v>21334</v>
      </c>
      <c r="I205" s="45">
        <v>43739</v>
      </c>
      <c r="J205" s="45">
        <v>44834</v>
      </c>
      <c r="K205" s="44" t="s">
        <v>1245</v>
      </c>
      <c r="L205" s="44" t="s">
        <v>1246</v>
      </c>
      <c r="M205" s="44" t="s">
        <v>222</v>
      </c>
      <c r="N205" s="44" t="s">
        <v>207</v>
      </c>
      <c r="O205" s="44" t="s">
        <v>262</v>
      </c>
      <c r="P205" s="44" t="s">
        <v>224</v>
      </c>
      <c r="Q205" s="44" t="s">
        <v>21335</v>
      </c>
      <c r="R205" s="44" t="s">
        <v>21336</v>
      </c>
      <c r="S205" s="44" t="s">
        <v>21337</v>
      </c>
      <c r="T205" s="44">
        <v>10</v>
      </c>
      <c r="U205" s="44" t="s">
        <v>20068</v>
      </c>
      <c r="V205" s="44" t="s">
        <v>20068</v>
      </c>
      <c r="W205" s="44" t="s">
        <v>20067</v>
      </c>
      <c r="X205" s="44" t="s">
        <v>20067</v>
      </c>
      <c r="Y205" s="44" t="s">
        <v>20068</v>
      </c>
      <c r="Z205" s="44" t="s">
        <v>20089</v>
      </c>
      <c r="AA205" s="44">
        <v>4282</v>
      </c>
      <c r="AB205" s="44" t="s">
        <v>334</v>
      </c>
      <c r="AC205" s="44"/>
      <c r="AD205" s="44" t="s">
        <v>20337</v>
      </c>
      <c r="AE205" s="44" t="s">
        <v>20643</v>
      </c>
      <c r="AF205" s="44" t="s">
        <v>262</v>
      </c>
      <c r="AG205" s="44" t="s">
        <v>20092</v>
      </c>
      <c r="AH205" s="44" t="s">
        <v>20126</v>
      </c>
      <c r="AI205" s="44" t="s">
        <v>18723</v>
      </c>
      <c r="AJ205" s="44" t="s">
        <v>20072</v>
      </c>
      <c r="AK205" s="43">
        <v>0</v>
      </c>
      <c r="AL205" s="44">
        <v>58</v>
      </c>
      <c r="AM205" s="44">
        <v>54.666666666666664</v>
      </c>
      <c r="AN205" s="44">
        <v>56.787564766839381</v>
      </c>
      <c r="AO205" s="44">
        <v>55.827702702702702</v>
      </c>
      <c r="AP205" s="46">
        <v>19.100000000000001</v>
      </c>
      <c r="AQ205" s="47">
        <v>1</v>
      </c>
      <c r="AR205" s="47">
        <v>0</v>
      </c>
      <c r="AS205" s="47">
        <v>0</v>
      </c>
      <c r="AT205" s="47">
        <v>0</v>
      </c>
      <c r="AU205" s="46">
        <v>5</v>
      </c>
      <c r="AV205" s="46">
        <v>8</v>
      </c>
      <c r="AW205" s="46">
        <v>5</v>
      </c>
      <c r="AX205" s="47">
        <v>3</v>
      </c>
      <c r="AY205" s="47">
        <v>10</v>
      </c>
      <c r="AZ205" s="47">
        <v>16</v>
      </c>
      <c r="BA205" s="47">
        <v>10</v>
      </c>
      <c r="BB205" s="46">
        <v>40</v>
      </c>
      <c r="BC205" s="48">
        <v>1</v>
      </c>
    </row>
    <row r="206" spans="1:55" s="42" customFormat="1" x14ac:dyDescent="0.2">
      <c r="A206" s="43">
        <v>2316</v>
      </c>
      <c r="B206" s="44" t="s">
        <v>20059</v>
      </c>
      <c r="C206" s="45">
        <v>44082</v>
      </c>
      <c r="D206" s="44" t="s">
        <v>20142</v>
      </c>
      <c r="E206" s="44" t="s">
        <v>21338</v>
      </c>
      <c r="F206" s="44" t="s">
        <v>20144</v>
      </c>
      <c r="G206" s="44">
        <v>0</v>
      </c>
      <c r="H206" s="44" t="s">
        <v>21339</v>
      </c>
      <c r="I206" s="45">
        <v>43556</v>
      </c>
      <c r="J206" s="45">
        <v>44651</v>
      </c>
      <c r="K206" s="44" t="s">
        <v>1247</v>
      </c>
      <c r="L206" s="44" t="s">
        <v>1248</v>
      </c>
      <c r="M206" s="44" t="s">
        <v>222</v>
      </c>
      <c r="N206" s="44" t="s">
        <v>207</v>
      </c>
      <c r="O206" s="44" t="s">
        <v>223</v>
      </c>
      <c r="P206" s="44" t="s">
        <v>224</v>
      </c>
      <c r="Q206" s="44" t="s">
        <v>21340</v>
      </c>
      <c r="R206" s="44" t="s">
        <v>21341</v>
      </c>
      <c r="S206" s="44" t="s">
        <v>20131</v>
      </c>
      <c r="T206" s="44">
        <v>10</v>
      </c>
      <c r="U206" s="44" t="s">
        <v>20068</v>
      </c>
      <c r="V206" s="44" t="s">
        <v>20068</v>
      </c>
      <c r="W206" s="44" t="s">
        <v>20067</v>
      </c>
      <c r="X206" s="44" t="s">
        <v>20067</v>
      </c>
      <c r="Y206" s="44" t="s">
        <v>20068</v>
      </c>
      <c r="Z206" s="44" t="s">
        <v>20089</v>
      </c>
      <c r="AA206" s="44">
        <v>4282</v>
      </c>
      <c r="AB206" s="44" t="s">
        <v>334</v>
      </c>
      <c r="AC206" s="44"/>
      <c r="AD206" s="44" t="s">
        <v>21342</v>
      </c>
      <c r="AE206" s="44" t="s">
        <v>21343</v>
      </c>
      <c r="AF206" s="44" t="s">
        <v>223</v>
      </c>
      <c r="AG206" s="44" t="s">
        <v>20092</v>
      </c>
      <c r="AH206" s="44" t="s">
        <v>20126</v>
      </c>
      <c r="AI206" s="44" t="s">
        <v>18723</v>
      </c>
      <c r="AJ206" s="44" t="s">
        <v>20072</v>
      </c>
      <c r="AK206" s="43">
        <v>0</v>
      </c>
      <c r="AL206" s="44">
        <v>58</v>
      </c>
      <c r="AM206" s="44">
        <v>54.666666666666664</v>
      </c>
      <c r="AN206" s="44">
        <v>57.079694926494973</v>
      </c>
      <c r="AO206" s="44">
        <v>61.761858664085203</v>
      </c>
      <c r="AP206" s="46">
        <v>19.100000000000001</v>
      </c>
      <c r="AQ206" s="47">
        <v>1</v>
      </c>
      <c r="AR206" s="47">
        <v>0</v>
      </c>
      <c r="AS206" s="47">
        <v>0</v>
      </c>
      <c r="AT206" s="47">
        <v>0</v>
      </c>
      <c r="AU206" s="46">
        <v>5</v>
      </c>
      <c r="AV206" s="46">
        <v>8</v>
      </c>
      <c r="AW206" s="46">
        <v>5</v>
      </c>
      <c r="AX206" s="47">
        <v>3</v>
      </c>
      <c r="AY206" s="47">
        <v>10</v>
      </c>
      <c r="AZ206" s="47">
        <v>16</v>
      </c>
      <c r="BA206" s="47">
        <v>10</v>
      </c>
      <c r="BB206" s="46">
        <v>40</v>
      </c>
      <c r="BC206" s="48">
        <v>1</v>
      </c>
    </row>
    <row r="207" spans="1:55" s="42" customFormat="1" x14ac:dyDescent="0.2">
      <c r="A207" s="43">
        <v>2374</v>
      </c>
      <c r="B207" s="44" t="s">
        <v>20059</v>
      </c>
      <c r="C207" s="45">
        <v>44082</v>
      </c>
      <c r="D207" s="44" t="s">
        <v>20142</v>
      </c>
      <c r="E207" s="44" t="s">
        <v>21344</v>
      </c>
      <c r="F207" s="44" t="s">
        <v>20144</v>
      </c>
      <c r="G207" s="44">
        <v>0</v>
      </c>
      <c r="H207" s="44" t="s">
        <v>21345</v>
      </c>
      <c r="I207" s="45">
        <v>43497</v>
      </c>
      <c r="J207" s="45">
        <v>44592</v>
      </c>
      <c r="K207" s="44" t="s">
        <v>1249</v>
      </c>
      <c r="L207" s="44" t="s">
        <v>1250</v>
      </c>
      <c r="M207" s="44" t="s">
        <v>222</v>
      </c>
      <c r="N207" s="44" t="s">
        <v>207</v>
      </c>
      <c r="O207" s="44" t="s">
        <v>223</v>
      </c>
      <c r="P207" s="44" t="s">
        <v>224</v>
      </c>
      <c r="Q207" s="44" t="s">
        <v>21346</v>
      </c>
      <c r="R207" s="44" t="s">
        <v>21347</v>
      </c>
      <c r="S207" s="44" t="s">
        <v>21348</v>
      </c>
      <c r="T207" s="44">
        <v>10</v>
      </c>
      <c r="U207" s="44" t="s">
        <v>20068</v>
      </c>
      <c r="V207" s="44" t="s">
        <v>20068</v>
      </c>
      <c r="W207" s="44" t="s">
        <v>20067</v>
      </c>
      <c r="X207" s="44" t="s">
        <v>20067</v>
      </c>
      <c r="Y207" s="44" t="s">
        <v>20068</v>
      </c>
      <c r="Z207" s="44" t="s">
        <v>20089</v>
      </c>
      <c r="AA207" s="44">
        <v>4282</v>
      </c>
      <c r="AB207" s="44" t="s">
        <v>334</v>
      </c>
      <c r="AC207" s="44"/>
      <c r="AD207" s="44" t="s">
        <v>20378</v>
      </c>
      <c r="AE207" s="44" t="s">
        <v>21349</v>
      </c>
      <c r="AF207" s="44" t="s">
        <v>223</v>
      </c>
      <c r="AG207" s="44" t="s">
        <v>20092</v>
      </c>
      <c r="AH207" s="44" t="s">
        <v>20126</v>
      </c>
      <c r="AI207" s="44" t="s">
        <v>18723</v>
      </c>
      <c r="AJ207" s="44" t="s">
        <v>20072</v>
      </c>
      <c r="AK207" s="43">
        <v>0</v>
      </c>
      <c r="AL207" s="44">
        <v>58</v>
      </c>
      <c r="AM207" s="44">
        <v>54.666666666666664</v>
      </c>
      <c r="AN207" s="44">
        <v>47.020739602765282</v>
      </c>
      <c r="AO207" s="44">
        <v>66.0123966942149</v>
      </c>
      <c r="AP207" s="46">
        <v>19.100000000000001</v>
      </c>
      <c r="AQ207" s="47">
        <v>1</v>
      </c>
      <c r="AR207" s="47">
        <v>0</v>
      </c>
      <c r="AS207" s="47">
        <v>0</v>
      </c>
      <c r="AT207" s="47">
        <v>0</v>
      </c>
      <c r="AU207" s="46">
        <v>5</v>
      </c>
      <c r="AV207" s="46">
        <v>8</v>
      </c>
      <c r="AW207" s="46">
        <v>5</v>
      </c>
      <c r="AX207" s="47">
        <v>3</v>
      </c>
      <c r="AY207" s="47">
        <v>10</v>
      </c>
      <c r="AZ207" s="47">
        <v>16</v>
      </c>
      <c r="BA207" s="47">
        <v>10</v>
      </c>
      <c r="BB207" s="46">
        <v>40</v>
      </c>
      <c r="BC207" s="48">
        <v>1</v>
      </c>
    </row>
    <row r="208" spans="1:55" s="42" customFormat="1" x14ac:dyDescent="0.2">
      <c r="A208" s="43">
        <v>2437</v>
      </c>
      <c r="B208" s="44"/>
      <c r="C208" s="45">
        <v>44082</v>
      </c>
      <c r="D208" s="44" t="s">
        <v>20060</v>
      </c>
      <c r="E208" s="44" t="s">
        <v>21350</v>
      </c>
      <c r="F208" s="44" t="s">
        <v>20062</v>
      </c>
      <c r="G208" s="44">
        <v>0</v>
      </c>
      <c r="H208" s="44" t="s">
        <v>21351</v>
      </c>
      <c r="I208" s="45">
        <v>43871</v>
      </c>
      <c r="J208" s="45">
        <v>44957</v>
      </c>
      <c r="K208" s="44" t="s">
        <v>1251</v>
      </c>
      <c r="L208" s="44" t="s">
        <v>1252</v>
      </c>
      <c r="M208" s="44" t="s">
        <v>222</v>
      </c>
      <c r="N208" s="44" t="s">
        <v>207</v>
      </c>
      <c r="O208" s="44" t="s">
        <v>235</v>
      </c>
      <c r="P208" s="44" t="s">
        <v>224</v>
      </c>
      <c r="Q208" s="44" t="s">
        <v>21352</v>
      </c>
      <c r="R208" s="44" t="s">
        <v>21353</v>
      </c>
      <c r="S208" s="44" t="s">
        <v>20131</v>
      </c>
      <c r="T208" s="44">
        <v>126</v>
      </c>
      <c r="U208" s="44" t="s">
        <v>20067</v>
      </c>
      <c r="V208" s="44" t="s">
        <v>20067</v>
      </c>
      <c r="W208" s="44" t="s">
        <v>20067</v>
      </c>
      <c r="X208" s="44" t="s">
        <v>20067</v>
      </c>
      <c r="Y208" s="44" t="s">
        <v>20068</v>
      </c>
      <c r="Z208" s="44" t="s">
        <v>20089</v>
      </c>
      <c r="AA208" s="44">
        <v>4259</v>
      </c>
      <c r="AB208" s="44" t="s">
        <v>316</v>
      </c>
      <c r="AC208" s="44"/>
      <c r="AD208" s="44" t="s">
        <v>21068</v>
      </c>
      <c r="AE208" s="44" t="s">
        <v>21354</v>
      </c>
      <c r="AF208" s="44" t="s">
        <v>235</v>
      </c>
      <c r="AG208" s="44" t="s">
        <v>20092</v>
      </c>
      <c r="AH208" s="44" t="s">
        <v>20126</v>
      </c>
      <c r="AI208" s="44" t="s">
        <v>18723</v>
      </c>
      <c r="AJ208" s="44" t="s">
        <v>20072</v>
      </c>
      <c r="AK208" s="43">
        <v>0</v>
      </c>
      <c r="AL208" s="44">
        <v>39</v>
      </c>
      <c r="AM208" s="44">
        <v>65.333333333333329</v>
      </c>
      <c r="AN208" s="44">
        <v>36.389394859340214</v>
      </c>
      <c r="AO208" s="44">
        <v>39.786737754081997</v>
      </c>
      <c r="AP208" s="46">
        <v>19.100000000000001</v>
      </c>
      <c r="AQ208" s="47">
        <v>5</v>
      </c>
      <c r="AR208" s="47">
        <v>0</v>
      </c>
      <c r="AS208" s="47">
        <v>0</v>
      </c>
      <c r="AT208" s="47">
        <v>0</v>
      </c>
      <c r="AU208" s="46">
        <v>3</v>
      </c>
      <c r="AV208" s="46">
        <v>10</v>
      </c>
      <c r="AW208" s="46">
        <v>3</v>
      </c>
      <c r="AX208" s="47">
        <v>3</v>
      </c>
      <c r="AY208" s="47">
        <v>6</v>
      </c>
      <c r="AZ208" s="47">
        <v>20</v>
      </c>
      <c r="BA208" s="47">
        <v>6</v>
      </c>
      <c r="BB208" s="46">
        <v>40</v>
      </c>
      <c r="BC208" s="48">
        <v>1</v>
      </c>
    </row>
    <row r="209" spans="1:55" s="42" customFormat="1" x14ac:dyDescent="0.2">
      <c r="A209" s="43">
        <v>2448</v>
      </c>
      <c r="B209" s="44"/>
      <c r="C209" s="45">
        <v>44082</v>
      </c>
      <c r="D209" s="44" t="s">
        <v>20060</v>
      </c>
      <c r="E209" s="44" t="s">
        <v>21355</v>
      </c>
      <c r="F209" s="44" t="s">
        <v>20062</v>
      </c>
      <c r="G209" s="44">
        <v>0</v>
      </c>
      <c r="H209" s="44" t="s">
        <v>21356</v>
      </c>
      <c r="I209" s="45">
        <v>44018</v>
      </c>
      <c r="J209" s="45">
        <v>45107</v>
      </c>
      <c r="K209" s="44" t="s">
        <v>1253</v>
      </c>
      <c r="L209" s="44" t="s">
        <v>1254</v>
      </c>
      <c r="M209" s="44" t="s">
        <v>1044</v>
      </c>
      <c r="N209" s="44" t="s">
        <v>207</v>
      </c>
      <c r="O209" s="44" t="s">
        <v>1045</v>
      </c>
      <c r="P209" s="44" t="s">
        <v>221</v>
      </c>
      <c r="Q209" s="44" t="s">
        <v>21357</v>
      </c>
      <c r="R209" s="44" t="s">
        <v>21358</v>
      </c>
      <c r="S209" s="44" t="s">
        <v>20131</v>
      </c>
      <c r="T209" s="44">
        <v>59</v>
      </c>
      <c r="U209" s="44" t="s">
        <v>20683</v>
      </c>
      <c r="V209" s="44" t="s">
        <v>20330</v>
      </c>
      <c r="W209" s="44" t="s">
        <v>20068</v>
      </c>
      <c r="X209" s="44" t="s">
        <v>20068</v>
      </c>
      <c r="Y209" s="44" t="s">
        <v>20068</v>
      </c>
      <c r="Z209" s="44" t="s">
        <v>20069</v>
      </c>
      <c r="AA209" s="44">
        <v>4443</v>
      </c>
      <c r="AB209" s="44" t="s">
        <v>1046</v>
      </c>
      <c r="AC209" s="44"/>
      <c r="AD209" s="44" t="s">
        <v>21088</v>
      </c>
      <c r="AE209" s="44" t="s">
        <v>21089</v>
      </c>
      <c r="AF209" s="44" t="s">
        <v>1045</v>
      </c>
      <c r="AG209" s="44" t="s">
        <v>7934</v>
      </c>
      <c r="AH209" s="44" t="s">
        <v>1598</v>
      </c>
      <c r="AI209" s="44" t="s">
        <v>18723</v>
      </c>
      <c r="AJ209" s="44" t="s">
        <v>20072</v>
      </c>
      <c r="AK209" s="43">
        <v>0</v>
      </c>
      <c r="AL209" s="44">
        <v>64</v>
      </c>
      <c r="AM209" s="44">
        <v>53</v>
      </c>
      <c r="AN209" s="44">
        <v>21.524288107202679</v>
      </c>
      <c r="AO209" s="44">
        <v>23.479370480646502</v>
      </c>
      <c r="AP209" s="46">
        <v>47.9</v>
      </c>
      <c r="AQ209" s="47">
        <v>3</v>
      </c>
      <c r="AR209" s="47">
        <v>0</v>
      </c>
      <c r="AS209" s="47">
        <v>0</v>
      </c>
      <c r="AT209" s="47">
        <v>0</v>
      </c>
      <c r="AU209" s="46">
        <v>5</v>
      </c>
      <c r="AV209" s="46">
        <v>8</v>
      </c>
      <c r="AW209" s="46">
        <v>3</v>
      </c>
      <c r="AX209" s="47">
        <v>5</v>
      </c>
      <c r="AY209" s="47">
        <v>10</v>
      </c>
      <c r="AZ209" s="47">
        <v>16</v>
      </c>
      <c r="BA209" s="47">
        <v>6</v>
      </c>
      <c r="BB209" s="46">
        <v>40</v>
      </c>
      <c r="BC209" s="4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CC1D-B7A0-4FA7-9666-4F8F37E7443D}">
  <sheetPr>
    <tabColor rgb="FFFF0000"/>
  </sheetPr>
  <dimension ref="A1:F211"/>
  <sheetViews>
    <sheetView tabSelected="1" topLeftCell="A37" zoomScale="148" zoomScaleNormal="148" workbookViewId="0">
      <selection activeCell="B143" sqref="B143"/>
    </sheetView>
  </sheetViews>
  <sheetFormatPr defaultRowHeight="15" x14ac:dyDescent="0.25"/>
  <cols>
    <col min="1" max="1" width="12.85546875" style="30" customWidth="1"/>
    <col min="2" max="2" width="10.42578125" style="30" customWidth="1"/>
    <col min="3" max="3" width="41.7109375" style="37" customWidth="1"/>
    <col min="4" max="4" width="17.42578125" style="30" customWidth="1"/>
    <col min="5" max="5" width="10.85546875" style="30" customWidth="1"/>
    <col min="6" max="6" width="50.28515625" style="37" customWidth="1"/>
  </cols>
  <sheetData>
    <row r="1" spans="1:6" s="5" customFormat="1" ht="24.75" customHeight="1" x14ac:dyDescent="0.2">
      <c r="A1" s="29" t="s">
        <v>1607</v>
      </c>
      <c r="B1" s="29" t="s">
        <v>1608</v>
      </c>
      <c r="C1" s="4" t="s">
        <v>310</v>
      </c>
      <c r="D1" s="38" t="s">
        <v>1609</v>
      </c>
      <c r="E1" s="38" t="s">
        <v>1610</v>
      </c>
      <c r="F1" s="39" t="s">
        <v>1611</v>
      </c>
    </row>
    <row r="2" spans="1:6" s="2" customFormat="1" ht="12.75" x14ac:dyDescent="0.2">
      <c r="A2" s="35" t="s">
        <v>19960</v>
      </c>
      <c r="B2" s="34">
        <v>1000172</v>
      </c>
      <c r="C2" s="36" t="s">
        <v>19961</v>
      </c>
      <c r="D2" s="35" t="s">
        <v>19962</v>
      </c>
      <c r="E2" s="34">
        <v>1000176</v>
      </c>
      <c r="F2" s="36" t="s">
        <v>22</v>
      </c>
    </row>
    <row r="3" spans="1:6" s="2" customFormat="1" ht="12.75" x14ac:dyDescent="0.2">
      <c r="A3" s="35" t="s">
        <v>19919</v>
      </c>
      <c r="B3" s="34">
        <v>9018</v>
      </c>
      <c r="C3" s="36" t="s">
        <v>19918</v>
      </c>
      <c r="D3" s="35" t="s">
        <v>19917</v>
      </c>
      <c r="E3" s="34">
        <v>9019</v>
      </c>
      <c r="F3" s="36" t="s">
        <v>1160</v>
      </c>
    </row>
    <row r="4" spans="1:6" s="2" customFormat="1" ht="12.75" x14ac:dyDescent="0.2">
      <c r="A4" s="34">
        <v>113023000</v>
      </c>
      <c r="B4" s="34">
        <v>91321</v>
      </c>
      <c r="C4" s="36" t="s">
        <v>16769</v>
      </c>
      <c r="D4" s="34">
        <f>VLOOKUP(E4,'ADE EOS CC list'!A:E,5,0)</f>
        <v>113023001</v>
      </c>
      <c r="E4" s="34">
        <v>91322</v>
      </c>
      <c r="F4" s="36" t="s">
        <v>1036</v>
      </c>
    </row>
    <row r="5" spans="1:6" s="2" customFormat="1" ht="12.75" x14ac:dyDescent="0.2">
      <c r="A5" s="34" t="str">
        <f>VLOOKUP(B5,'SchoolInfo (3)'!A:C,3,0)</f>
        <v>'070468000</v>
      </c>
      <c r="B5" s="34">
        <v>4280</v>
      </c>
      <c r="C5" s="36" t="s">
        <v>376</v>
      </c>
      <c r="D5" s="34" t="str">
        <f>'SchoolInfo (3)'!C1961</f>
        <v>'070468101</v>
      </c>
      <c r="E5" s="34">
        <f>'SchoolInfo (3)'!A1961</f>
        <v>5381</v>
      </c>
      <c r="F5" s="36" t="s">
        <v>19802</v>
      </c>
    </row>
    <row r="6" spans="1:6" s="2" customFormat="1" ht="12.75" x14ac:dyDescent="0.2">
      <c r="A6" s="34" t="str">
        <f>VLOOKUP(B6,'SchoolInfo (3)'!A:C,3,0)</f>
        <v>'070468000</v>
      </c>
      <c r="B6" s="34">
        <v>4280</v>
      </c>
      <c r="C6" s="36" t="s">
        <v>376</v>
      </c>
      <c r="D6" s="35" t="s">
        <v>19812</v>
      </c>
      <c r="E6" s="34">
        <v>1000261</v>
      </c>
      <c r="F6" s="36" t="s">
        <v>19813</v>
      </c>
    </row>
    <row r="7" spans="1:6" s="2" customFormat="1" ht="12.75" x14ac:dyDescent="0.2">
      <c r="A7" s="35" t="s">
        <v>19836</v>
      </c>
      <c r="B7" s="34">
        <v>9509</v>
      </c>
      <c r="C7" s="36" t="s">
        <v>15573</v>
      </c>
      <c r="D7" s="35" t="s">
        <v>19835</v>
      </c>
      <c r="E7" s="34">
        <v>9511</v>
      </c>
      <c r="F7" s="36" t="s">
        <v>32</v>
      </c>
    </row>
    <row r="8" spans="1:6" s="28" customFormat="1" ht="12.75" x14ac:dyDescent="0.25">
      <c r="A8" s="32" t="str">
        <f>VLOOKUP(B8,'SchoolInfo (3)'!A:C,3,0)</f>
        <v>'110243000</v>
      </c>
      <c r="B8" s="32">
        <v>4443</v>
      </c>
      <c r="C8" s="33" t="s">
        <v>1046</v>
      </c>
      <c r="D8" s="32" t="e">
        <f>VLOOKUP(E8,'ADE EOS CC list'!A:E,5,0)</f>
        <v>#N/A</v>
      </c>
      <c r="E8" s="32"/>
      <c r="F8" s="33" t="s">
        <v>19819</v>
      </c>
    </row>
    <row r="9" spans="1:6" s="2" customFormat="1" ht="12.75" x14ac:dyDescent="0.2">
      <c r="A9" s="34" t="str">
        <f>VLOOKUP(B9,'SchoolInfo (3)'!A:C,3,0)</f>
        <v>'070444000</v>
      </c>
      <c r="B9" s="34">
        <v>4272</v>
      </c>
      <c r="C9" s="36" t="s">
        <v>342</v>
      </c>
      <c r="D9" s="35" t="s">
        <v>19824</v>
      </c>
      <c r="E9" s="34">
        <v>5349</v>
      </c>
      <c r="F9" s="36" t="s">
        <v>19823</v>
      </c>
    </row>
    <row r="10" spans="1:6" s="2" customFormat="1" ht="15" customHeight="1" x14ac:dyDescent="0.2">
      <c r="A10" s="34">
        <v>143026000</v>
      </c>
      <c r="B10" s="34">
        <v>90918</v>
      </c>
      <c r="C10" s="50" t="s">
        <v>19879</v>
      </c>
      <c r="D10" s="34"/>
      <c r="E10" s="34"/>
      <c r="F10" s="36"/>
    </row>
    <row r="11" spans="1:6" s="31" customFormat="1" ht="12.75" x14ac:dyDescent="0.25">
      <c r="A11" s="32" t="str">
        <f>VLOOKUP(B11,'SchoolInfo (3)'!A:C,3,0)</f>
        <v>'070433000</v>
      </c>
      <c r="B11" s="32">
        <v>4269</v>
      </c>
      <c r="C11" s="33" t="s">
        <v>535</v>
      </c>
      <c r="D11" s="32" t="e">
        <f>VLOOKUP(E11,'ADE EOS CC list'!A:E,5,0)</f>
        <v>#N/A</v>
      </c>
      <c r="E11" s="32">
        <v>0</v>
      </c>
      <c r="F11" s="33" t="s">
        <v>19831</v>
      </c>
    </row>
    <row r="12" spans="1:6" s="2" customFormat="1" ht="12.75" x14ac:dyDescent="0.2">
      <c r="A12" s="35" t="s">
        <v>19862</v>
      </c>
      <c r="B12" s="34">
        <v>9175</v>
      </c>
      <c r="C12" s="36" t="s">
        <v>15396</v>
      </c>
      <c r="D12" s="35" t="s">
        <v>19861</v>
      </c>
      <c r="E12" s="34">
        <v>9176</v>
      </c>
      <c r="F12" s="36" t="s">
        <v>1202</v>
      </c>
    </row>
    <row r="13" spans="1:6" s="2" customFormat="1" ht="19.5" customHeight="1" x14ac:dyDescent="0.2">
      <c r="A13" s="51" t="s">
        <v>19806</v>
      </c>
      <c r="B13" s="32">
        <v>80030</v>
      </c>
      <c r="C13" s="33" t="s">
        <v>19807</v>
      </c>
      <c r="D13" s="51" t="s">
        <v>19805</v>
      </c>
      <c r="E13" s="32">
        <v>80031</v>
      </c>
      <c r="F13" s="33" t="s">
        <v>1081</v>
      </c>
    </row>
    <row r="14" spans="1:6" s="28" customFormat="1" ht="12.75" x14ac:dyDescent="0.25">
      <c r="A14" s="32" t="str">
        <f>VLOOKUP(B14,'SchoolInfo (3)'!A:C,3,0)</f>
        <v>'070483000</v>
      </c>
      <c r="B14" s="32">
        <v>4282</v>
      </c>
      <c r="C14" s="33" t="s">
        <v>334</v>
      </c>
      <c r="D14" s="32" t="e">
        <f>VLOOKUP(E14,'ADE EOS CC list'!A:E,5,0)</f>
        <v>#N/A</v>
      </c>
      <c r="E14" s="32">
        <v>0</v>
      </c>
      <c r="F14" s="33" t="s">
        <v>35</v>
      </c>
    </row>
    <row r="15" spans="1:6" s="2" customFormat="1" ht="12.75" x14ac:dyDescent="0.2">
      <c r="A15" s="34" t="str">
        <f>VLOOKUP(B15,'SchoolInfo (3)'!A:C,3,0)</f>
        <v>'070483000</v>
      </c>
      <c r="B15" s="34">
        <v>4282</v>
      </c>
      <c r="C15" s="36" t="s">
        <v>334</v>
      </c>
      <c r="D15" s="35" t="s">
        <v>19839</v>
      </c>
      <c r="E15" s="34">
        <v>5408</v>
      </c>
      <c r="F15" s="36" t="s">
        <v>19838</v>
      </c>
    </row>
    <row r="16" spans="1:6" s="28" customFormat="1" ht="25.5" x14ac:dyDescent="0.25">
      <c r="A16" s="32" t="str">
        <f>VLOOKUP(B16,'SchoolInfo (3)'!A:C,3,0)</f>
        <v>'070483000</v>
      </c>
      <c r="B16" s="32">
        <v>4282</v>
      </c>
      <c r="C16" s="33" t="s">
        <v>334</v>
      </c>
      <c r="D16" s="32" t="e">
        <f>VLOOKUP(E16,'ADE EOS CC list'!A:E,5,0)</f>
        <v>#N/A</v>
      </c>
      <c r="E16" s="32">
        <v>0</v>
      </c>
      <c r="F16" s="33" t="s">
        <v>54</v>
      </c>
    </row>
    <row r="17" spans="1:6" s="2" customFormat="1" ht="12.75" x14ac:dyDescent="0.2">
      <c r="A17" s="34" t="str">
        <f>VLOOKUP(B17,'SchoolInfo (3)'!A:C,3,0)</f>
        <v>'070483000</v>
      </c>
      <c r="B17" s="34">
        <v>4282</v>
      </c>
      <c r="C17" s="36" t="s">
        <v>334</v>
      </c>
      <c r="D17" s="34" t="e">
        <f>VLOOKUP(E17,'ADE EOS CC list'!A:E,5,0)</f>
        <v>#N/A</v>
      </c>
      <c r="E17" s="34">
        <v>0</v>
      </c>
      <c r="F17" s="36" t="s">
        <v>1183</v>
      </c>
    </row>
    <row r="18" spans="1:6" s="2" customFormat="1" ht="12.75" x14ac:dyDescent="0.2">
      <c r="A18" s="34" t="str">
        <f>VLOOKUP(B18,'SchoolInfo (3)'!A:C,3,0)</f>
        <v>'070483000</v>
      </c>
      <c r="B18" s="34">
        <v>4282</v>
      </c>
      <c r="C18" s="36" t="s">
        <v>334</v>
      </c>
      <c r="D18" s="34" t="e">
        <f>VLOOKUP(E18,'ADE EOS CC list'!A:E,5,0)</f>
        <v>#N/A</v>
      </c>
      <c r="E18" s="34">
        <v>0</v>
      </c>
      <c r="F18" s="36" t="s">
        <v>1184</v>
      </c>
    </row>
    <row r="19" spans="1:6" s="2" customFormat="1" ht="12.75" x14ac:dyDescent="0.2">
      <c r="A19" s="34" t="str">
        <f>VLOOKUP(B19,'SchoolInfo (3)'!A:C,3,0)</f>
        <v>'070483000</v>
      </c>
      <c r="B19" s="34">
        <v>4282</v>
      </c>
      <c r="C19" s="36" t="s">
        <v>334</v>
      </c>
      <c r="D19" s="34" t="e">
        <f>VLOOKUP(E19,'ADE EOS CC list'!A:E,5,0)</f>
        <v>#N/A</v>
      </c>
      <c r="E19" s="34">
        <v>0</v>
      </c>
      <c r="F19" s="36" t="s">
        <v>19840</v>
      </c>
    </row>
    <row r="20" spans="1:6" s="2" customFormat="1" ht="12.75" x14ac:dyDescent="0.2">
      <c r="A20" s="34" t="str">
        <f>VLOOKUP(B20,'SchoolInfo (3)'!A:C,3,0)</f>
        <v>'070483000</v>
      </c>
      <c r="B20" s="34">
        <v>4282</v>
      </c>
      <c r="C20" s="36" t="s">
        <v>334</v>
      </c>
      <c r="D20" s="34" t="e">
        <f>#REF!</f>
        <v>#REF!</v>
      </c>
      <c r="E20" s="34">
        <v>0</v>
      </c>
      <c r="F20" s="36" t="s">
        <v>19837</v>
      </c>
    </row>
    <row r="21" spans="1:6" s="8" customFormat="1" ht="12.75" x14ac:dyDescent="0.2">
      <c r="A21" s="34" t="str">
        <f>VLOOKUP(B21,'SchoolInfo (3)'!A:C,3,0)</f>
        <v>'110404000</v>
      </c>
      <c r="B21" s="34">
        <v>4446</v>
      </c>
      <c r="C21" s="36" t="s">
        <v>321</v>
      </c>
      <c r="D21" s="35" t="s">
        <v>19845</v>
      </c>
      <c r="E21" s="34">
        <v>10086</v>
      </c>
      <c r="F21" s="36" t="s">
        <v>13</v>
      </c>
    </row>
    <row r="22" spans="1:6" s="2" customFormat="1" ht="12.75" x14ac:dyDescent="0.2">
      <c r="A22" s="35" t="s">
        <v>19867</v>
      </c>
      <c r="B22" s="34">
        <v>8929</v>
      </c>
      <c r="C22" s="36" t="s">
        <v>18960</v>
      </c>
      <c r="D22" s="35" t="s">
        <v>19869</v>
      </c>
      <c r="E22" s="34">
        <v>80638</v>
      </c>
      <c r="F22" s="36" t="s">
        <v>19868</v>
      </c>
    </row>
    <row r="23" spans="1:6" s="2" customFormat="1" ht="12.75" x14ac:dyDescent="0.2">
      <c r="A23" s="35" t="s">
        <v>19867</v>
      </c>
      <c r="B23" s="34">
        <v>8929</v>
      </c>
      <c r="C23" s="36" t="s">
        <v>18960</v>
      </c>
      <c r="D23" s="35" t="s">
        <v>19870</v>
      </c>
      <c r="E23" s="34">
        <v>259405</v>
      </c>
      <c r="F23" s="36" t="s">
        <v>23</v>
      </c>
    </row>
    <row r="24" spans="1:6" s="2" customFormat="1" ht="12.75" x14ac:dyDescent="0.2">
      <c r="A24" s="35" t="s">
        <v>19867</v>
      </c>
      <c r="B24" s="34">
        <v>8929</v>
      </c>
      <c r="C24" s="36" t="s">
        <v>18960</v>
      </c>
      <c r="D24" s="35" t="s">
        <v>19871</v>
      </c>
      <c r="E24" s="34">
        <v>80639</v>
      </c>
      <c r="F24" s="36" t="s">
        <v>19872</v>
      </c>
    </row>
    <row r="25" spans="1:6" s="2" customFormat="1" ht="12.75" x14ac:dyDescent="0.2">
      <c r="A25" s="35" t="s">
        <v>19867</v>
      </c>
      <c r="B25" s="34">
        <v>8929</v>
      </c>
      <c r="C25" s="36" t="s">
        <v>18960</v>
      </c>
      <c r="D25" s="35" t="s">
        <v>19875</v>
      </c>
      <c r="E25" s="34">
        <v>91180</v>
      </c>
      <c r="F25" s="36" t="s">
        <v>19876</v>
      </c>
    </row>
    <row r="26" spans="1:6" s="28" customFormat="1" ht="12.75" x14ac:dyDescent="0.25">
      <c r="A26" s="51" t="s">
        <v>19867</v>
      </c>
      <c r="B26" s="32">
        <v>8929</v>
      </c>
      <c r="C26" s="33" t="s">
        <v>18960</v>
      </c>
      <c r="D26" s="32" t="e">
        <f>VLOOKUP(E26,'ADE EOS CC list'!A:E,5,0)</f>
        <v>#N/A</v>
      </c>
      <c r="E26" s="32">
        <v>0</v>
      </c>
      <c r="F26" s="33" t="s">
        <v>1172</v>
      </c>
    </row>
    <row r="27" spans="1:6" s="2" customFormat="1" ht="12.75" x14ac:dyDescent="0.2">
      <c r="A27" s="35" t="s">
        <v>19867</v>
      </c>
      <c r="B27" s="34">
        <v>8929</v>
      </c>
      <c r="C27" s="36" t="s">
        <v>18960</v>
      </c>
      <c r="D27" s="35" t="s">
        <v>19927</v>
      </c>
      <c r="E27" s="34">
        <v>92696</v>
      </c>
      <c r="F27" s="36" t="s">
        <v>19928</v>
      </c>
    </row>
    <row r="28" spans="1:6" s="2" customFormat="1" ht="12.75" x14ac:dyDescent="0.2">
      <c r="A28" s="34">
        <v>102601000</v>
      </c>
      <c r="B28" s="34">
        <v>7927</v>
      </c>
      <c r="C28" s="36" t="s">
        <v>19931</v>
      </c>
      <c r="D28" s="34">
        <v>102601028</v>
      </c>
      <c r="E28" s="34">
        <v>9849</v>
      </c>
      <c r="F28" s="36" t="s">
        <v>83</v>
      </c>
    </row>
    <row r="29" spans="1:6" s="2" customFormat="1" ht="12.75" x14ac:dyDescent="0.2">
      <c r="A29" s="35" t="s">
        <v>19801</v>
      </c>
      <c r="B29" s="34">
        <v>79761</v>
      </c>
      <c r="C29" s="36" t="s">
        <v>15991</v>
      </c>
      <c r="D29" s="35" t="s">
        <v>19800</v>
      </c>
      <c r="E29" s="34">
        <v>79765</v>
      </c>
      <c r="F29" s="36" t="s">
        <v>18679</v>
      </c>
    </row>
    <row r="30" spans="1:6" s="2" customFormat="1" ht="12.75" x14ac:dyDescent="0.2">
      <c r="A30" s="35" t="s">
        <v>19890</v>
      </c>
      <c r="B30" s="34">
        <v>7363</v>
      </c>
      <c r="C30" s="36" t="s">
        <v>19891</v>
      </c>
      <c r="D30" s="35" t="s">
        <v>19889</v>
      </c>
      <c r="E30" s="34">
        <v>7364</v>
      </c>
      <c r="F30" s="36" t="s">
        <v>1147</v>
      </c>
    </row>
    <row r="31" spans="1:6" s="2" customFormat="1" ht="12.75" x14ac:dyDescent="0.2">
      <c r="A31" s="35" t="s">
        <v>19999</v>
      </c>
      <c r="B31" s="34">
        <v>90078</v>
      </c>
      <c r="C31" s="36" t="s">
        <v>19998</v>
      </c>
      <c r="D31" s="35" t="s">
        <v>19997</v>
      </c>
      <c r="E31" s="34">
        <v>90079</v>
      </c>
      <c r="F31" s="36" t="s">
        <v>1176</v>
      </c>
    </row>
    <row r="32" spans="1:6" s="2" customFormat="1" ht="12.75" x14ac:dyDescent="0.2">
      <c r="A32" s="34" t="str">
        <f>VLOOKUP(B32,'SchoolInfo (3)'!A:C,3,0)</f>
        <v>'010224000</v>
      </c>
      <c r="B32" s="34">
        <v>4158</v>
      </c>
      <c r="C32" s="36" t="s">
        <v>318</v>
      </c>
      <c r="D32" s="35" t="s">
        <v>19853</v>
      </c>
      <c r="E32" s="34">
        <v>4732</v>
      </c>
      <c r="F32" s="36" t="s">
        <v>19846</v>
      </c>
    </row>
    <row r="33" spans="1:6" s="2" customFormat="1" ht="12.75" x14ac:dyDescent="0.2">
      <c r="A33" s="34" t="str">
        <f>VLOOKUP(B33,'SchoolInfo (3)'!A:C,3,0)</f>
        <v>'010224000</v>
      </c>
      <c r="B33" s="34">
        <v>4158</v>
      </c>
      <c r="C33" s="36" t="s">
        <v>318</v>
      </c>
      <c r="D33" s="35" t="s">
        <v>19852</v>
      </c>
      <c r="E33" s="34">
        <v>4735</v>
      </c>
      <c r="F33" s="36" t="s">
        <v>19851</v>
      </c>
    </row>
    <row r="34" spans="1:6" s="2" customFormat="1" ht="12.75" x14ac:dyDescent="0.2">
      <c r="A34" s="34" t="str">
        <f>VLOOKUP(B34,'SchoolInfo (3)'!A:C,3,0)</f>
        <v>'010224000</v>
      </c>
      <c r="B34" s="34">
        <v>4158</v>
      </c>
      <c r="C34" s="36" t="s">
        <v>318</v>
      </c>
      <c r="D34" s="35" t="s">
        <v>19850</v>
      </c>
      <c r="E34" s="34">
        <v>4733</v>
      </c>
      <c r="F34" s="36" t="s">
        <v>19847</v>
      </c>
    </row>
    <row r="35" spans="1:6" s="2" customFormat="1" ht="12.75" x14ac:dyDescent="0.2">
      <c r="A35" s="34" t="str">
        <f>VLOOKUP(B35,'SchoolInfo (3)'!A:C,3,0)</f>
        <v>'010224000</v>
      </c>
      <c r="B35" s="34">
        <v>4158</v>
      </c>
      <c r="C35" s="36" t="s">
        <v>318</v>
      </c>
      <c r="D35" s="35" t="s">
        <v>19849</v>
      </c>
      <c r="E35" s="34">
        <v>4734</v>
      </c>
      <c r="F35" s="36" t="s">
        <v>19848</v>
      </c>
    </row>
    <row r="36" spans="1:6" s="28" customFormat="1" ht="25.5" x14ac:dyDescent="0.25">
      <c r="A36" s="32">
        <v>110221000</v>
      </c>
      <c r="B36" s="32">
        <v>4442</v>
      </c>
      <c r="C36" s="33" t="s">
        <v>315</v>
      </c>
      <c r="D36" s="32">
        <v>112602002</v>
      </c>
      <c r="E36" s="32">
        <v>10087</v>
      </c>
      <c r="F36" s="33" t="s">
        <v>1040</v>
      </c>
    </row>
    <row r="37" spans="1:6" s="2" customFormat="1" ht="12.75" x14ac:dyDescent="0.2">
      <c r="A37" s="34" t="str">
        <f>VLOOKUP(B37,'SchoolInfo (3)'!A:C,3,0)</f>
        <v>'110221000</v>
      </c>
      <c r="B37" s="34">
        <v>4442</v>
      </c>
      <c r="C37" s="36" t="s">
        <v>315</v>
      </c>
      <c r="D37" s="34" t="e">
        <f>VLOOKUP(E37,'ADE EOS CC list'!A:E,5,0)</f>
        <v>#N/A</v>
      </c>
      <c r="E37" s="34">
        <v>0</v>
      </c>
      <c r="F37" s="36" t="s">
        <v>1062</v>
      </c>
    </row>
    <row r="38" spans="1:6" s="2" customFormat="1" ht="12.75" x14ac:dyDescent="0.2">
      <c r="A38" s="34" t="str">
        <f>VLOOKUP(B38,'SchoolInfo (3)'!A:C,3,0)</f>
        <v>'070414000</v>
      </c>
      <c r="B38" s="34">
        <v>4263</v>
      </c>
      <c r="C38" s="36" t="s">
        <v>346</v>
      </c>
      <c r="D38" s="35" t="s">
        <v>19866</v>
      </c>
      <c r="E38" s="34">
        <v>6023</v>
      </c>
      <c r="F38" s="36" t="s">
        <v>19865</v>
      </c>
    </row>
    <row r="39" spans="1:6" s="2" customFormat="1" ht="12.75" x14ac:dyDescent="0.2">
      <c r="A39" s="34">
        <v>103101000</v>
      </c>
      <c r="B39" s="34">
        <v>10028</v>
      </c>
      <c r="C39" s="36" t="s">
        <v>19987</v>
      </c>
      <c r="D39" s="34">
        <f>VLOOKUP(E39,'ADE EOS CC list'!A:E,5,0)</f>
        <v>103101001</v>
      </c>
      <c r="E39" s="34">
        <v>10029</v>
      </c>
      <c r="F39" s="36" t="s">
        <v>19986</v>
      </c>
    </row>
    <row r="40" spans="1:6" s="2" customFormat="1" ht="12.75" x14ac:dyDescent="0.2">
      <c r="A40" s="35" t="s">
        <v>19857</v>
      </c>
      <c r="B40" s="34">
        <v>89412</v>
      </c>
      <c r="C40" s="36" t="s">
        <v>9441</v>
      </c>
      <c r="D40" s="35" t="s">
        <v>19858</v>
      </c>
      <c r="E40" s="34">
        <v>89413</v>
      </c>
      <c r="F40" s="36" t="s">
        <v>1105</v>
      </c>
    </row>
    <row r="41" spans="1:6" s="2" customFormat="1" ht="12.75" x14ac:dyDescent="0.2">
      <c r="A41" s="34">
        <v>142209000</v>
      </c>
      <c r="B41" s="34">
        <v>92799</v>
      </c>
      <c r="C41" s="36" t="s">
        <v>16925</v>
      </c>
      <c r="D41" s="34">
        <f>VLOOKUP(E41,'ADE EOS CC list'!A:E,5,0)</f>
        <v>142209001</v>
      </c>
      <c r="E41" s="34">
        <v>92800</v>
      </c>
      <c r="F41" s="36" t="s">
        <v>101</v>
      </c>
    </row>
    <row r="42" spans="1:6" s="2" customFormat="1" ht="12.75" x14ac:dyDescent="0.2">
      <c r="A42" s="34" t="str">
        <f>VLOOKUP(B42,'SchoolInfo (3)'!A:C,3,0)</f>
        <v>'030201000</v>
      </c>
      <c r="B42" s="34">
        <v>4192</v>
      </c>
      <c r="C42" s="36" t="s">
        <v>311</v>
      </c>
      <c r="D42" s="34" t="e">
        <f>#REF!</f>
        <v>#REF!</v>
      </c>
      <c r="E42" s="34">
        <v>0</v>
      </c>
      <c r="F42" s="36" t="s">
        <v>19874</v>
      </c>
    </row>
    <row r="43" spans="1:6" s="2" customFormat="1" ht="12.75" x14ac:dyDescent="0.2">
      <c r="A43" s="35" t="s">
        <v>19909</v>
      </c>
      <c r="B43" s="34">
        <v>9173</v>
      </c>
      <c r="C43" s="36" t="s">
        <v>19908</v>
      </c>
      <c r="D43" s="35" t="s">
        <v>19907</v>
      </c>
      <c r="E43" s="34">
        <v>9174</v>
      </c>
      <c r="F43" s="36" t="s">
        <v>34</v>
      </c>
    </row>
    <row r="44" spans="1:6" s="2" customFormat="1" ht="12.75" x14ac:dyDescent="0.2">
      <c r="A44" s="34">
        <v>140432000</v>
      </c>
      <c r="B44" s="34">
        <v>4505</v>
      </c>
      <c r="C44" s="36" t="s">
        <v>354</v>
      </c>
      <c r="D44" s="34">
        <v>140432104</v>
      </c>
      <c r="E44" s="34">
        <v>6186</v>
      </c>
      <c r="F44" s="36" t="s">
        <v>19878</v>
      </c>
    </row>
    <row r="45" spans="1:6" s="28" customFormat="1" ht="12.75" x14ac:dyDescent="0.25">
      <c r="A45" s="32" t="str">
        <f>VLOOKUP(B45,'SchoolInfo (3)'!A:C,3,0)</f>
        <v>'010220000</v>
      </c>
      <c r="B45" s="32">
        <v>4157</v>
      </c>
      <c r="C45" s="33" t="s">
        <v>323</v>
      </c>
      <c r="D45" s="32" t="e">
        <f>#REF!</f>
        <v>#REF!</v>
      </c>
      <c r="E45" s="32">
        <v>0</v>
      </c>
      <c r="F45" s="33" t="s">
        <v>19880</v>
      </c>
    </row>
    <row r="46" spans="1:6" s="27" customFormat="1" ht="12.75" x14ac:dyDescent="0.2">
      <c r="A46" s="34" t="str">
        <f>VLOOKUP(B46,'SchoolInfo (3)'!A:C,3,0)</f>
        <v>'070224000</v>
      </c>
      <c r="B46" s="34">
        <v>4238</v>
      </c>
      <c r="C46" s="36" t="s">
        <v>319</v>
      </c>
      <c r="D46" s="34" t="e">
        <f>#REF!</f>
        <v>#REF!</v>
      </c>
      <c r="E46" s="34">
        <v>0</v>
      </c>
      <c r="F46" s="36" t="s">
        <v>19881</v>
      </c>
    </row>
    <row r="47" spans="1:6" s="2" customFormat="1" ht="12.75" x14ac:dyDescent="0.2">
      <c r="A47" s="34" t="str">
        <f>VLOOKUP(B47,'SchoolInfo (3)'!A:C,3,0)</f>
        <v>'070440000</v>
      </c>
      <c r="B47" s="34">
        <v>4271</v>
      </c>
      <c r="C47" s="36" t="s">
        <v>347</v>
      </c>
      <c r="D47" s="35" t="s">
        <v>19887</v>
      </c>
      <c r="E47" s="34">
        <v>5333</v>
      </c>
      <c r="F47" s="36" t="s">
        <v>19886</v>
      </c>
    </row>
    <row r="48" spans="1:6" s="28" customFormat="1" ht="12.75" x14ac:dyDescent="0.25">
      <c r="A48" s="32" t="str">
        <f>VLOOKUP(B48,'SchoolInfo (3)'!A:C,3,0)</f>
        <v>'070440000</v>
      </c>
      <c r="B48" s="32">
        <v>4271</v>
      </c>
      <c r="C48" s="33" t="s">
        <v>347</v>
      </c>
      <c r="D48" s="32" t="e">
        <f>#REF!</f>
        <v>#REF!</v>
      </c>
      <c r="E48" s="32">
        <v>0</v>
      </c>
      <c r="F48" s="33" t="s">
        <v>19888</v>
      </c>
    </row>
    <row r="49" spans="1:6" s="2" customFormat="1" ht="12.75" x14ac:dyDescent="0.2">
      <c r="A49" s="34" t="str">
        <f>VLOOKUP(B49,'SchoolInfo (3)'!A:C,3,0)</f>
        <v>'040201000</v>
      </c>
      <c r="B49" s="34">
        <v>4208</v>
      </c>
      <c r="C49" s="36" t="s">
        <v>348</v>
      </c>
      <c r="D49" s="35" t="s">
        <v>19899</v>
      </c>
      <c r="E49" s="34">
        <v>4854</v>
      </c>
      <c r="F49" s="36" t="s">
        <v>19898</v>
      </c>
    </row>
    <row r="50" spans="1:6" s="2" customFormat="1" ht="12.75" x14ac:dyDescent="0.2">
      <c r="A50" s="35" t="s">
        <v>19903</v>
      </c>
      <c r="B50" s="34">
        <v>92784</v>
      </c>
      <c r="C50" s="36" t="s">
        <v>19902</v>
      </c>
      <c r="D50" s="35" t="s">
        <v>19901</v>
      </c>
      <c r="E50" s="34">
        <v>784213</v>
      </c>
      <c r="F50" s="36" t="s">
        <v>7</v>
      </c>
    </row>
    <row r="51" spans="1:6" s="2" customFormat="1" ht="12.75" x14ac:dyDescent="0.2">
      <c r="A51" s="35" t="s">
        <v>19912</v>
      </c>
      <c r="B51" s="34">
        <v>88410</v>
      </c>
      <c r="C51" s="36" t="s">
        <v>19911</v>
      </c>
      <c r="D51" s="34" t="e">
        <f>#REF!</f>
        <v>#REF!</v>
      </c>
      <c r="E51" s="34" t="e">
        <f>#REF!</f>
        <v>#REF!</v>
      </c>
      <c r="F51" s="36" t="s">
        <v>1089</v>
      </c>
    </row>
    <row r="52" spans="1:6" s="2" customFormat="1" ht="12.75" x14ac:dyDescent="0.2">
      <c r="A52" s="35" t="s">
        <v>19820</v>
      </c>
      <c r="B52" s="34">
        <v>89784</v>
      </c>
      <c r="C52" s="36" t="s">
        <v>66</v>
      </c>
      <c r="D52" s="35" t="s">
        <v>19821</v>
      </c>
      <c r="E52" s="34">
        <v>89785</v>
      </c>
      <c r="F52" s="36" t="s">
        <v>66</v>
      </c>
    </row>
    <row r="53" spans="1:6" s="28" customFormat="1" ht="12.75" x14ac:dyDescent="0.25">
      <c r="A53" s="32" t="str">
        <f>VLOOKUP(B53,'SchoolInfo (3)'!A:C,3,0)</f>
        <v>'070405000</v>
      </c>
      <c r="B53" s="32">
        <v>4259</v>
      </c>
      <c r="C53" s="33" t="s">
        <v>316</v>
      </c>
      <c r="D53" s="32" t="e">
        <f>#REF!</f>
        <v>#REF!</v>
      </c>
      <c r="E53" s="32">
        <v>0</v>
      </c>
      <c r="F53" s="33" t="s">
        <v>19913</v>
      </c>
    </row>
    <row r="54" spans="1:6" s="31" customFormat="1" ht="12.75" x14ac:dyDescent="0.25">
      <c r="A54" s="32"/>
      <c r="B54" s="32"/>
      <c r="C54" s="33"/>
      <c r="D54" s="32" t="e">
        <f>VLOOKUP(E54,'ADE EOS CC list'!A:E,5,0)</f>
        <v>#N/A</v>
      </c>
      <c r="E54" s="32">
        <v>0</v>
      </c>
      <c r="F54" s="33" t="s">
        <v>52</v>
      </c>
    </row>
    <row r="55" spans="1:6" s="8" customFormat="1" ht="35.25" customHeight="1" x14ac:dyDescent="0.2">
      <c r="A55" s="34"/>
      <c r="B55" s="34"/>
      <c r="C55" s="36"/>
      <c r="D55" s="34" t="e">
        <f>VLOOKUP(E55,'ADE EOS CC list'!A:E,5,0)</f>
        <v>#N/A</v>
      </c>
      <c r="E55" s="34">
        <v>0</v>
      </c>
      <c r="F55" s="36" t="s">
        <v>53</v>
      </c>
    </row>
    <row r="56" spans="1:6" s="8" customFormat="1" ht="28.5" customHeight="1" x14ac:dyDescent="0.2">
      <c r="A56" s="34"/>
      <c r="B56" s="34"/>
      <c r="C56" s="36"/>
      <c r="D56" s="34" t="e">
        <f>VLOOKUP(E56,'ADE EOS CC list'!A:E,5,0)</f>
        <v>#N/A</v>
      </c>
      <c r="E56" s="34">
        <v>0</v>
      </c>
      <c r="F56" s="36" t="s">
        <v>55</v>
      </c>
    </row>
    <row r="57" spans="1:6" s="8" customFormat="1" ht="40.5" customHeight="1" x14ac:dyDescent="0.2">
      <c r="A57" s="34"/>
      <c r="B57" s="34"/>
      <c r="C57" s="36"/>
      <c r="D57" s="34" t="e">
        <f>VLOOKUP(E57,'ADE EOS CC list'!A:E,5,0)</f>
        <v>#N/A</v>
      </c>
      <c r="E57" s="34">
        <v>0</v>
      </c>
      <c r="F57" s="36" t="s">
        <v>1182</v>
      </c>
    </row>
    <row r="58" spans="1:6" s="8" customFormat="1" ht="12.75" x14ac:dyDescent="0.2">
      <c r="A58" s="34"/>
      <c r="B58" s="34"/>
      <c r="C58" s="36"/>
      <c r="D58" s="34" t="e">
        <f>VLOOKUP(E58,'ADE EOS CC list'!A:E,5,0)</f>
        <v>#N/A</v>
      </c>
      <c r="E58" s="34">
        <v>0</v>
      </c>
      <c r="F58" s="36" t="s">
        <v>1186</v>
      </c>
    </row>
    <row r="59" spans="1:6" s="2" customFormat="1" ht="12.75" x14ac:dyDescent="0.2">
      <c r="A59" s="35" t="s">
        <v>19906</v>
      </c>
      <c r="B59" s="34">
        <v>80921</v>
      </c>
      <c r="C59" s="36" t="s">
        <v>19905</v>
      </c>
      <c r="D59" s="35" t="s">
        <v>19904</v>
      </c>
      <c r="E59" s="34">
        <v>80922</v>
      </c>
      <c r="F59" s="36" t="s">
        <v>31</v>
      </c>
    </row>
    <row r="60" spans="1:6" s="28" customFormat="1" ht="12.75" x14ac:dyDescent="0.25">
      <c r="A60" s="32" t="str">
        <f>VLOOKUP(B60,'SchoolInfo (3)'!A:C,3,0)</f>
        <v>'090227000</v>
      </c>
      <c r="B60" s="32">
        <v>4396</v>
      </c>
      <c r="C60" s="33" t="s">
        <v>320</v>
      </c>
      <c r="D60" s="32" t="e">
        <f>#REF!</f>
        <v>#REF!</v>
      </c>
      <c r="E60" s="32">
        <v>0</v>
      </c>
      <c r="F60" s="33" t="s">
        <v>19923</v>
      </c>
    </row>
    <row r="61" spans="1:6" s="28" customFormat="1" ht="12.75" x14ac:dyDescent="0.25">
      <c r="A61" s="32" t="str">
        <f>VLOOKUP(B61,'SchoolInfo (3)'!A:C,3,0)</f>
        <v>'090227000</v>
      </c>
      <c r="B61" s="32">
        <v>4396</v>
      </c>
      <c r="C61" s="33" t="s">
        <v>320</v>
      </c>
      <c r="D61" s="32" t="e">
        <f>#REF!</f>
        <v>#REF!</v>
      </c>
      <c r="E61" s="32">
        <v>0</v>
      </c>
      <c r="F61" s="33" t="s">
        <v>19925</v>
      </c>
    </row>
    <row r="62" spans="1:6" s="2" customFormat="1" ht="12.75" x14ac:dyDescent="0.2">
      <c r="A62" s="35" t="s">
        <v>19893</v>
      </c>
      <c r="B62" s="34">
        <v>9030</v>
      </c>
      <c r="C62" s="36" t="s">
        <v>19894</v>
      </c>
      <c r="D62" s="35" t="s">
        <v>19892</v>
      </c>
      <c r="E62" s="34">
        <v>87901</v>
      </c>
      <c r="F62" s="36" t="s">
        <v>1194</v>
      </c>
    </row>
    <row r="63" spans="1:6" s="28" customFormat="1" ht="12.75" x14ac:dyDescent="0.25">
      <c r="A63" s="32">
        <v>103105000</v>
      </c>
      <c r="B63" s="32">
        <v>10040</v>
      </c>
      <c r="C63" s="33" t="s">
        <v>19992</v>
      </c>
      <c r="D63" s="32">
        <f>VLOOKUP(E63,'ADE EOS CC list'!A:E,5,0)</f>
        <v>103105009</v>
      </c>
      <c r="E63" s="32">
        <v>80578</v>
      </c>
      <c r="F63" s="33" t="s">
        <v>19991</v>
      </c>
    </row>
    <row r="64" spans="1:6" s="2" customFormat="1" ht="12.75" x14ac:dyDescent="0.2">
      <c r="A64" s="35" t="s">
        <v>19803</v>
      </c>
      <c r="B64" s="34">
        <v>92700</v>
      </c>
      <c r="C64" s="36" t="s">
        <v>16901</v>
      </c>
      <c r="D64" s="35" t="s">
        <v>19804</v>
      </c>
      <c r="E64" s="34">
        <v>92701</v>
      </c>
      <c r="F64" s="36" t="s">
        <v>1073</v>
      </c>
    </row>
    <row r="65" spans="1:6" s="28" customFormat="1" ht="12.75" x14ac:dyDescent="0.25">
      <c r="A65" s="32">
        <v>103114000</v>
      </c>
      <c r="B65" s="32">
        <v>80496</v>
      </c>
      <c r="C65" s="33" t="s">
        <v>19822</v>
      </c>
      <c r="D65" s="32">
        <f>VLOOKUP(E65,'ADE EOS CC list'!A:E,5,0)</f>
        <v>103114015</v>
      </c>
      <c r="E65" s="32">
        <v>90082</v>
      </c>
      <c r="F65" s="33" t="s">
        <v>16530</v>
      </c>
    </row>
    <row r="66" spans="1:6" s="2" customFormat="1" ht="12.75" x14ac:dyDescent="0.2">
      <c r="A66" s="35" t="s">
        <v>19855</v>
      </c>
      <c r="B66" s="34">
        <v>150723</v>
      </c>
      <c r="C66" s="36" t="s">
        <v>16971</v>
      </c>
      <c r="D66" s="35" t="s">
        <v>19854</v>
      </c>
      <c r="E66" s="34">
        <v>460999</v>
      </c>
      <c r="F66" s="36" t="s">
        <v>1051</v>
      </c>
    </row>
    <row r="67" spans="1:6" s="2" customFormat="1" ht="12.75" x14ac:dyDescent="0.2">
      <c r="A67" s="34">
        <v>113027000</v>
      </c>
      <c r="B67" s="34">
        <v>272472</v>
      </c>
      <c r="C67" s="36" t="s">
        <v>16977</v>
      </c>
      <c r="D67" s="34">
        <f>VLOOKUP(E67,'ADE EOS CC list'!A:E,5,0)</f>
        <v>113027001</v>
      </c>
      <c r="E67" s="34">
        <v>934629</v>
      </c>
      <c r="F67" s="36" t="s">
        <v>1055</v>
      </c>
    </row>
    <row r="68" spans="1:6" s="28" customFormat="1" ht="12.75" x14ac:dyDescent="0.25">
      <c r="A68" s="51" t="s">
        <v>19818</v>
      </c>
      <c r="B68" s="32">
        <v>92405</v>
      </c>
      <c r="C68" s="33" t="s">
        <v>16865</v>
      </c>
      <c r="D68" s="32" t="e">
        <f>#REF!</f>
        <v>#REF!</v>
      </c>
      <c r="E68" s="32"/>
      <c r="F68" s="33" t="s">
        <v>1113</v>
      </c>
    </row>
    <row r="69" spans="1:6" s="2" customFormat="1" ht="12.75" x14ac:dyDescent="0.2">
      <c r="A69" s="34">
        <v>103079000</v>
      </c>
      <c r="B69" s="34">
        <v>9974</v>
      </c>
      <c r="C69" s="36" t="s">
        <v>46</v>
      </c>
      <c r="D69" s="34">
        <v>103079001</v>
      </c>
      <c r="E69" s="34">
        <v>9975</v>
      </c>
      <c r="F69" s="36" t="s">
        <v>19983</v>
      </c>
    </row>
    <row r="70" spans="1:6" s="2" customFormat="1" ht="12.75" x14ac:dyDescent="0.2">
      <c r="A70" s="34">
        <v>122001000</v>
      </c>
      <c r="B70" s="34">
        <v>10126</v>
      </c>
      <c r="C70" s="36" t="s">
        <v>19929</v>
      </c>
      <c r="D70" s="34">
        <v>122001001</v>
      </c>
      <c r="E70" s="34">
        <v>80261</v>
      </c>
      <c r="F70" s="36" t="s">
        <v>70</v>
      </c>
    </row>
    <row r="71" spans="1:6" s="2" customFormat="1" ht="12.75" x14ac:dyDescent="0.2">
      <c r="A71" s="35" t="s">
        <v>19825</v>
      </c>
      <c r="B71" s="34">
        <v>9416</v>
      </c>
      <c r="C71" s="36" t="s">
        <v>15516</v>
      </c>
      <c r="D71" s="35" t="s">
        <v>19826</v>
      </c>
      <c r="E71" s="34">
        <v>9417</v>
      </c>
      <c r="F71" s="36" t="s">
        <v>19827</v>
      </c>
    </row>
    <row r="72" spans="1:6" s="2" customFormat="1" ht="12.75" x14ac:dyDescent="0.2">
      <c r="A72" s="34" t="str">
        <f>VLOOKUP(B72,'SchoolInfo (3)'!A:C,3,0)</f>
        <v>'110208000</v>
      </c>
      <c r="B72" s="34">
        <v>4439</v>
      </c>
      <c r="C72" s="36" t="s">
        <v>338</v>
      </c>
      <c r="D72" s="34" t="e">
        <f>VLOOKUP(E72,'ADE EOS CC list'!A:E,5,0)</f>
        <v>#N/A</v>
      </c>
      <c r="E72" s="34">
        <v>0</v>
      </c>
      <c r="F72" s="36" t="s">
        <v>19924</v>
      </c>
    </row>
    <row r="73" spans="1:6" s="2" customFormat="1" ht="12.75" x14ac:dyDescent="0.2">
      <c r="A73" s="35" t="s">
        <v>19844</v>
      </c>
      <c r="B73" s="34">
        <v>91885</v>
      </c>
      <c r="C73" s="36" t="s">
        <v>16811</v>
      </c>
      <c r="D73" s="35" t="s">
        <v>19842</v>
      </c>
      <c r="E73" s="34">
        <v>91886</v>
      </c>
      <c r="F73" s="36" t="s">
        <v>1164</v>
      </c>
    </row>
    <row r="74" spans="1:6" s="2" customFormat="1" ht="12.75" x14ac:dyDescent="0.2">
      <c r="A74" s="51" t="s">
        <v>19811</v>
      </c>
      <c r="B74" s="32">
        <v>90861</v>
      </c>
      <c r="C74" s="33" t="s">
        <v>9194</v>
      </c>
      <c r="D74" s="51" t="s">
        <v>19810</v>
      </c>
      <c r="E74" s="32">
        <v>91781</v>
      </c>
      <c r="F74" s="33" t="s">
        <v>1130</v>
      </c>
    </row>
    <row r="75" spans="1:6" s="2" customFormat="1" ht="12.75" x14ac:dyDescent="0.2">
      <c r="A75" s="34" t="str">
        <f>VLOOKUP(B75,'SchoolInfo (3)'!A:C,3,0)</f>
        <v>'070421000</v>
      </c>
      <c r="B75" s="34">
        <v>4265</v>
      </c>
      <c r="C75" s="36" t="s">
        <v>322</v>
      </c>
      <c r="D75" s="35" t="s">
        <v>19926</v>
      </c>
      <c r="E75" s="34">
        <v>89583</v>
      </c>
      <c r="F75" s="36" t="s">
        <v>1153</v>
      </c>
    </row>
    <row r="76" spans="1:6" s="28" customFormat="1" ht="12.75" x14ac:dyDescent="0.25">
      <c r="A76" s="32" t="str">
        <f>VLOOKUP(B76,'SchoolInfo (3)'!A:C,3,0)</f>
        <v>'070421000</v>
      </c>
      <c r="B76" s="32">
        <v>4265</v>
      </c>
      <c r="C76" s="33" t="s">
        <v>322</v>
      </c>
      <c r="D76" s="32" t="e">
        <f>#REF!</f>
        <v>#REF!</v>
      </c>
      <c r="E76" s="32">
        <v>0</v>
      </c>
      <c r="F76" s="33" t="s">
        <v>14</v>
      </c>
    </row>
    <row r="77" spans="1:6" s="2" customFormat="1" ht="12.75" x14ac:dyDescent="0.2">
      <c r="A77" s="34" t="str">
        <f>VLOOKUP(B77,'SchoolInfo (3)'!A:C,3,0)</f>
        <v>'070421000</v>
      </c>
      <c r="B77" s="34">
        <v>4265</v>
      </c>
      <c r="C77" s="36" t="s">
        <v>322</v>
      </c>
      <c r="D77" s="34" t="e">
        <f>#REF!</f>
        <v>#REF!</v>
      </c>
      <c r="E77" s="34">
        <v>0</v>
      </c>
      <c r="F77" s="36" t="s">
        <v>59</v>
      </c>
    </row>
    <row r="78" spans="1:6" s="2" customFormat="1" ht="12.75" x14ac:dyDescent="0.2">
      <c r="A78" s="34" t="str">
        <f>VLOOKUP(B78,'SchoolInfo (3)'!A:C,3,0)</f>
        <v>'070421000</v>
      </c>
      <c r="B78" s="34">
        <v>4265</v>
      </c>
      <c r="C78" s="36" t="s">
        <v>322</v>
      </c>
      <c r="D78" s="34" t="e">
        <f>#REF!</f>
        <v>#REF!</v>
      </c>
      <c r="E78" s="34">
        <v>0</v>
      </c>
      <c r="F78" s="36" t="s">
        <v>60</v>
      </c>
    </row>
    <row r="79" spans="1:6" s="2" customFormat="1" ht="12.75" x14ac:dyDescent="0.2">
      <c r="A79" s="35" t="s">
        <v>19971</v>
      </c>
      <c r="B79" s="34">
        <v>91376</v>
      </c>
      <c r="C79" s="36" t="s">
        <v>19970</v>
      </c>
      <c r="D79" s="35" t="s">
        <v>19969</v>
      </c>
      <c r="E79" s="34">
        <v>91380</v>
      </c>
      <c r="F79" s="36" t="s">
        <v>96</v>
      </c>
    </row>
    <row r="80" spans="1:6" s="28" customFormat="1" ht="25.5" x14ac:dyDescent="0.25">
      <c r="A80" s="32"/>
      <c r="B80" s="32">
        <v>6719</v>
      </c>
      <c r="C80" s="33" t="s">
        <v>19832</v>
      </c>
      <c r="D80" s="51" t="s">
        <v>19833</v>
      </c>
      <c r="E80" s="32">
        <v>6720</v>
      </c>
      <c r="F80" s="33" t="s">
        <v>19834</v>
      </c>
    </row>
    <row r="81" spans="1:6" s="28" customFormat="1" ht="25.5" x14ac:dyDescent="0.25">
      <c r="A81" s="51" t="s">
        <v>19938</v>
      </c>
      <c r="B81" s="51">
        <v>6719</v>
      </c>
      <c r="C81" s="33" t="s">
        <v>19937</v>
      </c>
      <c r="D81" s="51" t="s">
        <v>19939</v>
      </c>
      <c r="E81" s="32">
        <v>6728</v>
      </c>
      <c r="F81" s="33" t="s">
        <v>19940</v>
      </c>
    </row>
    <row r="82" spans="1:6" s="28" customFormat="1" ht="25.5" x14ac:dyDescent="0.25">
      <c r="A82" s="51" t="s">
        <v>19938</v>
      </c>
      <c r="B82" s="32">
        <v>6719</v>
      </c>
      <c r="C82" s="33" t="s">
        <v>19832</v>
      </c>
      <c r="D82" s="51" t="s">
        <v>20008</v>
      </c>
      <c r="E82" s="32">
        <v>90880</v>
      </c>
      <c r="F82" s="33" t="s">
        <v>20007</v>
      </c>
    </row>
    <row r="83" spans="1:6" s="2" customFormat="1" ht="12.75" x14ac:dyDescent="0.2">
      <c r="A83" s="34" t="str">
        <f>VLOOKUP(B83,'SchoolInfo (3)'!A:C,3,0)</f>
        <v>'110302000</v>
      </c>
      <c r="B83" s="34">
        <v>4444</v>
      </c>
      <c r="C83" s="36" t="s">
        <v>352</v>
      </c>
      <c r="D83" s="34">
        <v>110302102</v>
      </c>
      <c r="E83" s="34">
        <v>5927</v>
      </c>
      <c r="F83" s="36" t="s">
        <v>19932</v>
      </c>
    </row>
    <row r="84" spans="1:6" s="2" customFormat="1" ht="12.75" x14ac:dyDescent="0.2">
      <c r="A84" s="35" t="s">
        <v>19922</v>
      </c>
      <c r="B84" s="34">
        <v>9534</v>
      </c>
      <c r="C84" s="36" t="s">
        <v>19921</v>
      </c>
      <c r="D84" s="35" t="s">
        <v>19920</v>
      </c>
      <c r="E84" s="34">
        <v>80542</v>
      </c>
      <c r="F84" s="36" t="s">
        <v>1204</v>
      </c>
    </row>
    <row r="85" spans="1:6" s="28" customFormat="1" ht="12.75" x14ac:dyDescent="0.25">
      <c r="A85" s="32" t="str">
        <f>VLOOKUP(B85,'SchoolInfo (3)'!A:C,3,0)</f>
        <v>'030208000</v>
      </c>
      <c r="B85" s="32">
        <v>4196</v>
      </c>
      <c r="C85" s="33" t="s">
        <v>324</v>
      </c>
      <c r="D85" s="32" t="e">
        <f>#REF!</f>
        <v>#REF!</v>
      </c>
      <c r="E85" s="32">
        <v>0</v>
      </c>
      <c r="F85" s="33" t="s">
        <v>19936</v>
      </c>
    </row>
    <row r="86" spans="1:6" s="2" customFormat="1" ht="12.75" x14ac:dyDescent="0.2">
      <c r="A86" s="34" t="str">
        <f>VLOOKUP(B86,'SchoolInfo (3)'!A:C,3,0)</f>
        <v>'030208000</v>
      </c>
      <c r="B86" s="34">
        <v>4196</v>
      </c>
      <c r="C86" s="36" t="s">
        <v>324</v>
      </c>
      <c r="D86" s="35" t="s">
        <v>19941</v>
      </c>
      <c r="E86" s="34">
        <v>4830</v>
      </c>
      <c r="F86" s="36" t="s">
        <v>2870</v>
      </c>
    </row>
    <row r="87" spans="1:6" s="28" customFormat="1" ht="12.75" x14ac:dyDescent="0.25">
      <c r="A87" s="32" t="str">
        <f>VLOOKUP(B87,'SchoolInfo (3)'!A:C,3,0)</f>
        <v>'070394000</v>
      </c>
      <c r="B87" s="32">
        <v>4255</v>
      </c>
      <c r="C87" s="33" t="s">
        <v>336</v>
      </c>
      <c r="D87" s="32" t="e">
        <f>#REF!</f>
        <v>#REF!</v>
      </c>
      <c r="E87" s="32">
        <v>0</v>
      </c>
      <c r="F87" s="33" t="s">
        <v>19942</v>
      </c>
    </row>
    <row r="88" spans="1:6" s="2" customFormat="1" ht="12.75" x14ac:dyDescent="0.2">
      <c r="A88" s="35" t="s">
        <v>19957</v>
      </c>
      <c r="B88" s="34">
        <v>8679</v>
      </c>
      <c r="C88" s="36" t="s">
        <v>15191</v>
      </c>
      <c r="D88" s="35" t="s">
        <v>19955</v>
      </c>
      <c r="E88" s="34">
        <v>8680</v>
      </c>
      <c r="F88" s="36" t="s">
        <v>19956</v>
      </c>
    </row>
    <row r="89" spans="1:6" s="2" customFormat="1" ht="12.75" x14ac:dyDescent="0.2">
      <c r="A89" s="34" t="str">
        <f>VLOOKUP(B89,'SchoolInfo (3)'!A:C,3,0)</f>
        <v>'070401000</v>
      </c>
      <c r="B89" s="34">
        <v>4256</v>
      </c>
      <c r="C89" s="36" t="s">
        <v>343</v>
      </c>
      <c r="D89" s="35" t="s">
        <v>19954</v>
      </c>
      <c r="E89" s="34">
        <v>5195</v>
      </c>
      <c r="F89" s="36" t="s">
        <v>19947</v>
      </c>
    </row>
    <row r="90" spans="1:6" s="2" customFormat="1" ht="12.75" x14ac:dyDescent="0.2">
      <c r="A90" s="34" t="str">
        <f>VLOOKUP(B90,'SchoolInfo (3)'!A:C,3,0)</f>
        <v>'070401000</v>
      </c>
      <c r="B90" s="34">
        <v>4256</v>
      </c>
      <c r="C90" s="36" t="s">
        <v>343</v>
      </c>
      <c r="D90" s="35" t="s">
        <v>19953</v>
      </c>
      <c r="E90" s="34">
        <v>5198</v>
      </c>
      <c r="F90" s="36" t="s">
        <v>19948</v>
      </c>
    </row>
    <row r="91" spans="1:6" s="2" customFormat="1" ht="12.75" x14ac:dyDescent="0.2">
      <c r="A91" s="34" t="str">
        <f>VLOOKUP(B91,'SchoolInfo (3)'!A:C,3,0)</f>
        <v>'070401000</v>
      </c>
      <c r="B91" s="34">
        <v>4256</v>
      </c>
      <c r="C91" s="36" t="s">
        <v>343</v>
      </c>
      <c r="D91" s="35" t="s">
        <v>19952</v>
      </c>
      <c r="E91" s="34">
        <v>5204</v>
      </c>
      <c r="F91" s="36" t="s">
        <v>19949</v>
      </c>
    </row>
    <row r="92" spans="1:6" s="2" customFormat="1" ht="12.75" x14ac:dyDescent="0.2">
      <c r="A92" s="34" t="str">
        <f>VLOOKUP(B92,'SchoolInfo (3)'!A:C,3,0)</f>
        <v>'070401000</v>
      </c>
      <c r="B92" s="34">
        <v>4256</v>
      </c>
      <c r="C92" s="36" t="s">
        <v>343</v>
      </c>
      <c r="D92" s="35" t="s">
        <v>19951</v>
      </c>
      <c r="E92" s="52" t="s">
        <v>19950</v>
      </c>
      <c r="F92" s="36" t="s">
        <v>735</v>
      </c>
    </row>
    <row r="93" spans="1:6" s="2" customFormat="1" ht="12.75" x14ac:dyDescent="0.2">
      <c r="A93" s="34" t="str">
        <f>VLOOKUP(B93,'SchoolInfo (3)'!A:C,3,0)</f>
        <v>'090204000</v>
      </c>
      <c r="B93" s="34">
        <v>4390</v>
      </c>
      <c r="C93" s="36" t="s">
        <v>312</v>
      </c>
      <c r="D93" s="35" t="s">
        <v>19959</v>
      </c>
      <c r="E93" s="34">
        <v>5611</v>
      </c>
      <c r="F93" s="36" t="s">
        <v>19958</v>
      </c>
    </row>
    <row r="94" spans="1:6" s="2" customFormat="1" ht="12.75" x14ac:dyDescent="0.2">
      <c r="A94" s="34">
        <v>133025000</v>
      </c>
      <c r="B94" s="34">
        <v>90726</v>
      </c>
      <c r="C94" s="36" t="s">
        <v>16671</v>
      </c>
      <c r="D94" s="34">
        <f>VLOOKUP(E94,'ADE EOS CC list'!A:E,5,0)</f>
        <v>133025001</v>
      </c>
      <c r="E94" s="34">
        <v>90727</v>
      </c>
      <c r="F94" s="36" t="s">
        <v>1116</v>
      </c>
    </row>
    <row r="95" spans="1:6" s="28" customFormat="1" ht="12.75" x14ac:dyDescent="0.25">
      <c r="A95" s="32" t="str">
        <f>VLOOKUP(B95,'SchoolInfo (3)'!A:C,3,0)</f>
        <v>'010227000</v>
      </c>
      <c r="B95" s="32">
        <v>4159</v>
      </c>
      <c r="C95" s="33" t="s">
        <v>325</v>
      </c>
      <c r="D95" s="32" t="e">
        <f>#REF!</f>
        <v>#REF!</v>
      </c>
      <c r="E95" s="32">
        <v>0</v>
      </c>
      <c r="F95" s="33" t="s">
        <v>19</v>
      </c>
    </row>
    <row r="96" spans="1:6" s="28" customFormat="1" x14ac:dyDescent="0.25">
      <c r="A96" s="51" t="s">
        <v>19963</v>
      </c>
      <c r="B96" s="32">
        <v>937473</v>
      </c>
      <c r="C96" s="53" t="s">
        <v>16981</v>
      </c>
      <c r="D96" s="32" t="e">
        <f>VLOOKUP(E96,'ADE EOS CC list'!A:E,5,0)</f>
        <v>#N/A</v>
      </c>
      <c r="E96" s="32">
        <v>0</v>
      </c>
      <c r="F96" s="54" t="s">
        <v>16981</v>
      </c>
    </row>
    <row r="97" spans="1:6" s="28" customFormat="1" ht="25.5" x14ac:dyDescent="0.25">
      <c r="A97" s="51" t="s">
        <v>19883</v>
      </c>
      <c r="B97" s="32"/>
      <c r="C97" s="55" t="s">
        <v>16147</v>
      </c>
      <c r="D97" s="51" t="s">
        <v>19882</v>
      </c>
      <c r="E97" s="32">
        <v>80622</v>
      </c>
      <c r="F97" s="33" t="s">
        <v>76</v>
      </c>
    </row>
    <row r="98" spans="1:6" s="2" customFormat="1" ht="12.75" x14ac:dyDescent="0.2">
      <c r="A98" s="32" t="str">
        <f>VLOOKUP(B98,'SchoolInfo (3)'!A:C,3,0)</f>
        <v>'070466000</v>
      </c>
      <c r="B98" s="32">
        <v>4279</v>
      </c>
      <c r="C98" s="33" t="s">
        <v>328</v>
      </c>
      <c r="D98" s="32" t="e">
        <f>#REF!</f>
        <v>#REF!</v>
      </c>
      <c r="E98" s="32">
        <v>0</v>
      </c>
      <c r="F98" s="33" t="s">
        <v>50</v>
      </c>
    </row>
    <row r="99" spans="1:6" s="2" customFormat="1" ht="12.75" x14ac:dyDescent="0.2">
      <c r="A99" s="34">
        <v>132005000</v>
      </c>
      <c r="B99" s="34">
        <v>91905</v>
      </c>
      <c r="C99" s="36" t="s">
        <v>19930</v>
      </c>
      <c r="D99" s="34">
        <v>132005001</v>
      </c>
      <c r="E99" s="34">
        <v>91906</v>
      </c>
      <c r="F99" s="36" t="s">
        <v>73</v>
      </c>
    </row>
    <row r="100" spans="1:6" s="2" customFormat="1" ht="12.75" x14ac:dyDescent="0.2">
      <c r="A100" s="35" t="s">
        <v>19897</v>
      </c>
      <c r="B100" s="34">
        <v>80730</v>
      </c>
      <c r="C100" s="36" t="s">
        <v>19896</v>
      </c>
      <c r="D100" s="35" t="s">
        <v>19895</v>
      </c>
      <c r="E100" s="34">
        <v>80731</v>
      </c>
      <c r="F100" s="36" t="s">
        <v>1223</v>
      </c>
    </row>
    <row r="101" spans="1:6" s="2" customFormat="1" ht="12.75" x14ac:dyDescent="0.2">
      <c r="A101" s="34" t="str">
        <f>VLOOKUP(B101,'SchoolInfo (3)'!A:C,3,0)</f>
        <v>'150430000</v>
      </c>
      <c r="B101" s="34">
        <v>4514</v>
      </c>
      <c r="C101" s="36" t="s">
        <v>366</v>
      </c>
      <c r="D101" s="35" t="s">
        <v>19974</v>
      </c>
      <c r="E101" s="34">
        <v>6202</v>
      </c>
      <c r="F101" s="36" t="s">
        <v>19973</v>
      </c>
    </row>
    <row r="102" spans="1:6" s="2" customFormat="1" ht="12.75" x14ac:dyDescent="0.2">
      <c r="A102" s="34" t="str">
        <f>VLOOKUP(B102,'SchoolInfo (3)'!A:C,3,0)</f>
        <v>'010218000</v>
      </c>
      <c r="B102" s="34">
        <v>4156</v>
      </c>
      <c r="C102" s="36" t="s">
        <v>314</v>
      </c>
      <c r="D102" s="35" t="s">
        <v>19976</v>
      </c>
      <c r="E102" s="34">
        <v>4722</v>
      </c>
      <c r="F102" s="36" t="s">
        <v>19975</v>
      </c>
    </row>
    <row r="103" spans="1:6" s="2" customFormat="1" ht="12.75" x14ac:dyDescent="0.2">
      <c r="A103" s="35" t="s">
        <v>19830</v>
      </c>
      <c r="B103" s="34">
        <v>8870</v>
      </c>
      <c r="C103" s="36" t="s">
        <v>18874</v>
      </c>
      <c r="D103" s="35" t="s">
        <v>19829</v>
      </c>
      <c r="E103" s="34">
        <v>91234</v>
      </c>
      <c r="F103" s="36" t="s">
        <v>19828</v>
      </c>
    </row>
    <row r="104" spans="1:6" s="28" customFormat="1" ht="12.75" x14ac:dyDescent="0.25">
      <c r="A104" s="51" t="s">
        <v>20001</v>
      </c>
      <c r="B104" s="32">
        <v>80168</v>
      </c>
      <c r="C104" s="33" t="s">
        <v>20002</v>
      </c>
      <c r="D104" s="51" t="s">
        <v>20000</v>
      </c>
      <c r="E104" s="32">
        <v>80169</v>
      </c>
      <c r="F104" s="33" t="s">
        <v>1208</v>
      </c>
    </row>
    <row r="105" spans="1:6" s="2" customFormat="1" ht="12.75" x14ac:dyDescent="0.2">
      <c r="A105" s="35" t="s">
        <v>19965</v>
      </c>
      <c r="B105" s="34">
        <v>80172</v>
      </c>
      <c r="C105" s="36" t="s">
        <v>19966</v>
      </c>
      <c r="D105" s="35" t="s">
        <v>19968</v>
      </c>
      <c r="E105" s="34">
        <v>80173</v>
      </c>
      <c r="F105" s="36" t="s">
        <v>19967</v>
      </c>
    </row>
    <row r="106" spans="1:6" s="2" customFormat="1" ht="12.75" x14ac:dyDescent="0.2">
      <c r="A106" s="56" t="s">
        <v>19816</v>
      </c>
      <c r="B106" s="56">
        <v>91814</v>
      </c>
      <c r="C106" s="33" t="s">
        <v>19815</v>
      </c>
      <c r="D106" s="56" t="s">
        <v>19817</v>
      </c>
      <c r="E106" s="56">
        <v>91849</v>
      </c>
      <c r="F106" s="33" t="s">
        <v>1214</v>
      </c>
    </row>
    <row r="107" spans="1:6" s="2" customFormat="1" ht="12.75" x14ac:dyDescent="0.2">
      <c r="A107" s="35" t="s">
        <v>19946</v>
      </c>
      <c r="B107" s="34">
        <v>88301</v>
      </c>
      <c r="C107" s="36" t="s">
        <v>19945</v>
      </c>
      <c r="D107" s="35" t="s">
        <v>19943</v>
      </c>
      <c r="E107" s="34">
        <v>91846</v>
      </c>
      <c r="F107" s="36" t="s">
        <v>19944</v>
      </c>
    </row>
    <row r="108" spans="1:6" s="2" customFormat="1" ht="12.75" x14ac:dyDescent="0.2">
      <c r="A108" s="34" t="str">
        <f>VLOOKUP(B108,'SchoolInfo (3)'!A:C,3,0)</f>
        <v>'110424000</v>
      </c>
      <c r="B108" s="34">
        <v>4451</v>
      </c>
      <c r="C108" s="36" t="s">
        <v>317</v>
      </c>
      <c r="D108" s="34">
        <v>110424000</v>
      </c>
      <c r="E108" s="34">
        <v>4451</v>
      </c>
      <c r="F108" s="36" t="s">
        <v>19977</v>
      </c>
    </row>
    <row r="109" spans="1:6" s="2" customFormat="1" ht="12.75" x14ac:dyDescent="0.2">
      <c r="A109" s="34" t="str">
        <f>VLOOKUP(B109,'SchoolInfo (3)'!A:C,3,0)</f>
        <v>'100212000</v>
      </c>
      <c r="B109" s="34">
        <v>4407</v>
      </c>
      <c r="C109" s="36" t="s">
        <v>331</v>
      </c>
      <c r="D109" s="34">
        <v>100212134</v>
      </c>
      <c r="E109" s="34">
        <v>5825</v>
      </c>
      <c r="F109" s="36" t="s">
        <v>19978</v>
      </c>
    </row>
    <row r="110" spans="1:6" s="28" customFormat="1" ht="12.75" x14ac:dyDescent="0.25">
      <c r="A110" s="32" t="str">
        <f>VLOOKUP(B110,'SchoolInfo (3)'!A:C,3,0)</f>
        <v>'100212000</v>
      </c>
      <c r="B110" s="32">
        <v>4407</v>
      </c>
      <c r="C110" s="33" t="s">
        <v>331</v>
      </c>
      <c r="D110" s="32" t="e">
        <f>VLOOKUP(E110,'ADE EOS CC list'!A:E,5,0)</f>
        <v>#N/A</v>
      </c>
      <c r="E110" s="32">
        <v>0</v>
      </c>
      <c r="F110" s="33" t="s">
        <v>19979</v>
      </c>
    </row>
    <row r="111" spans="1:6" s="2" customFormat="1" ht="12.75" x14ac:dyDescent="0.2">
      <c r="A111" s="35" t="s">
        <v>19935</v>
      </c>
      <c r="B111" s="34">
        <v>87306</v>
      </c>
      <c r="C111" s="52" t="s">
        <v>19934</v>
      </c>
      <c r="D111" s="35" t="s">
        <v>19933</v>
      </c>
      <c r="E111" s="34">
        <v>87305</v>
      </c>
      <c r="F111" s="36" t="s">
        <v>1145</v>
      </c>
    </row>
    <row r="112" spans="1:6" s="2" customFormat="1" ht="12.75" x14ac:dyDescent="0.2">
      <c r="A112" s="35" t="s">
        <v>19799</v>
      </c>
      <c r="B112" s="34">
        <v>79827</v>
      </c>
      <c r="C112" s="36" t="s">
        <v>16017</v>
      </c>
      <c r="D112" s="35" t="s">
        <v>19798</v>
      </c>
      <c r="E112" s="34">
        <v>90463</v>
      </c>
      <c r="F112" s="36" t="s">
        <v>1030</v>
      </c>
    </row>
    <row r="113" spans="1:6" s="2" customFormat="1" ht="12.75" x14ac:dyDescent="0.2">
      <c r="A113" s="35"/>
      <c r="B113" s="34">
        <v>79827</v>
      </c>
      <c r="C113" s="36" t="s">
        <v>16017</v>
      </c>
      <c r="D113" s="35" t="s">
        <v>19910</v>
      </c>
      <c r="E113" s="34">
        <v>79828</v>
      </c>
      <c r="F113" s="36" t="s">
        <v>37</v>
      </c>
    </row>
    <row r="114" spans="1:6" s="2" customFormat="1" ht="12.75" x14ac:dyDescent="0.2">
      <c r="A114" s="35" t="s">
        <v>19996</v>
      </c>
      <c r="B114" s="34">
        <v>1000061</v>
      </c>
      <c r="C114" s="36" t="s">
        <v>19995</v>
      </c>
      <c r="D114" s="35" t="s">
        <v>19994</v>
      </c>
      <c r="E114" s="34">
        <v>1000062</v>
      </c>
      <c r="F114" s="36" t="s">
        <v>1162</v>
      </c>
    </row>
    <row r="115" spans="1:6" s="2" customFormat="1" ht="12.75" x14ac:dyDescent="0.2">
      <c r="A115" s="35" t="s">
        <v>19863</v>
      </c>
      <c r="B115" s="34">
        <v>90795</v>
      </c>
      <c r="C115" s="36" t="s">
        <v>16685</v>
      </c>
      <c r="D115" s="35" t="s">
        <v>19864</v>
      </c>
      <c r="E115" s="34">
        <v>90796</v>
      </c>
      <c r="F115" s="36" t="s">
        <v>1221</v>
      </c>
    </row>
    <row r="116" spans="1:6" s="28" customFormat="1" ht="25.5" x14ac:dyDescent="0.25">
      <c r="A116" s="32" t="str">
        <f>VLOOKUP(B116,'SchoolInfo (3)'!A:C,3,0)</f>
        <v>'030215000</v>
      </c>
      <c r="B116" s="32">
        <v>4197</v>
      </c>
      <c r="C116" s="33" t="s">
        <v>333</v>
      </c>
      <c r="D116" s="32" t="e">
        <f>#REF!</f>
        <v>#REF!</v>
      </c>
      <c r="E116" s="32">
        <v>0</v>
      </c>
      <c r="F116" s="33" t="s">
        <v>19984</v>
      </c>
    </row>
    <row r="117" spans="1:6" s="2" customFormat="1" ht="12.75" x14ac:dyDescent="0.2">
      <c r="A117" s="35" t="s">
        <v>19809</v>
      </c>
      <c r="B117" s="34">
        <v>9280</v>
      </c>
      <c r="C117" s="36" t="s">
        <v>15444</v>
      </c>
      <c r="D117" s="35" t="s">
        <v>19808</v>
      </c>
      <c r="E117" s="34">
        <v>9281</v>
      </c>
      <c r="F117" s="36" t="s">
        <v>1085</v>
      </c>
    </row>
    <row r="118" spans="1:6" s="2" customFormat="1" ht="12.75" x14ac:dyDescent="0.2">
      <c r="A118" s="35" t="s">
        <v>19841</v>
      </c>
      <c r="B118" s="34">
        <v>1000330</v>
      </c>
      <c r="C118" s="36" t="s">
        <v>17140</v>
      </c>
      <c r="D118" s="35" t="s">
        <v>19843</v>
      </c>
      <c r="E118" s="34">
        <v>1000331</v>
      </c>
      <c r="F118" s="36" t="s">
        <v>57</v>
      </c>
    </row>
    <row r="119" spans="1:6" s="2" customFormat="1" ht="12.75" x14ac:dyDescent="0.2">
      <c r="A119" s="35" t="s">
        <v>19916</v>
      </c>
      <c r="B119" s="34">
        <v>1001130</v>
      </c>
      <c r="C119" s="36" t="s">
        <v>19915</v>
      </c>
      <c r="D119" s="35" t="s">
        <v>19914</v>
      </c>
      <c r="E119" s="34">
        <v>1001132</v>
      </c>
      <c r="F119" s="36" t="s">
        <v>47</v>
      </c>
    </row>
    <row r="120" spans="1:6" s="2" customFormat="1" ht="12.75" x14ac:dyDescent="0.2">
      <c r="A120" s="34" t="str">
        <f>VLOOKUP(B120,'SchoolInfo (3)'!A:C,3,0)</f>
        <v>'070406000</v>
      </c>
      <c r="B120" s="34">
        <v>4260</v>
      </c>
      <c r="C120" s="36" t="s">
        <v>353</v>
      </c>
      <c r="D120" s="35" t="s">
        <v>19989</v>
      </c>
      <c r="E120" s="34">
        <v>5275</v>
      </c>
      <c r="F120" s="36" t="s">
        <v>19988</v>
      </c>
    </row>
    <row r="121" spans="1:6" s="2" customFormat="1" ht="12.75" x14ac:dyDescent="0.2">
      <c r="A121" s="34" t="str">
        <f>VLOOKUP(B121,'SchoolInfo (3)'!A:C,3,0)</f>
        <v>'070406000</v>
      </c>
      <c r="B121" s="34">
        <v>4260</v>
      </c>
      <c r="C121" s="36" t="s">
        <v>353</v>
      </c>
      <c r="D121" s="34" t="e">
        <f>VLOOKUP(E121,'ADE EOS CC list'!A:E,5,0)</f>
        <v>#N/A</v>
      </c>
      <c r="E121" s="34">
        <v>0</v>
      </c>
      <c r="F121" s="36" t="s">
        <v>1156</v>
      </c>
    </row>
    <row r="122" spans="1:6" s="2" customFormat="1" ht="12.75" x14ac:dyDescent="0.2">
      <c r="A122" s="34" t="str">
        <f>VLOOKUP(B122,'SchoolInfo (3)'!A:C,3,0)</f>
        <v>'070406000</v>
      </c>
      <c r="B122" s="34">
        <v>4260</v>
      </c>
      <c r="C122" s="36" t="s">
        <v>353</v>
      </c>
      <c r="D122" s="34" t="e">
        <f>VLOOKUP(E122,'ADE EOS CC list'!A:E,5,0)</f>
        <v>#N/A</v>
      </c>
      <c r="E122" s="34">
        <v>0</v>
      </c>
      <c r="F122" s="36" t="s">
        <v>1158</v>
      </c>
    </row>
    <row r="123" spans="1:6" s="2" customFormat="1" ht="12.75" x14ac:dyDescent="0.2">
      <c r="A123" s="34" t="str">
        <f>VLOOKUP(B123,'SchoolInfo (3)'!A:C,3,0)</f>
        <v>'070406000</v>
      </c>
      <c r="B123" s="34">
        <v>4260</v>
      </c>
      <c r="C123" s="36" t="s">
        <v>353</v>
      </c>
      <c r="D123" s="34" t="e">
        <f>VLOOKUP(E123,'ADE EOS CC list'!A:E,5,0)</f>
        <v>#N/A</v>
      </c>
      <c r="E123" s="34">
        <v>0</v>
      </c>
      <c r="F123" s="36" t="s">
        <v>1239</v>
      </c>
    </row>
    <row r="124" spans="1:6" s="2" customFormat="1" ht="12.75" x14ac:dyDescent="0.2">
      <c r="A124" s="34" t="str">
        <f>VLOOKUP(B124,'SchoolInfo (3)'!A:C,3,0)</f>
        <v>'070406000</v>
      </c>
      <c r="B124" s="34">
        <v>4260</v>
      </c>
      <c r="C124" s="36" t="s">
        <v>353</v>
      </c>
      <c r="D124" s="34" t="e">
        <f>VLOOKUP(E124,'ADE EOS CC list'!A:E,5,0)</f>
        <v>#N/A</v>
      </c>
      <c r="E124" s="34">
        <v>0</v>
      </c>
      <c r="F124" s="36" t="s">
        <v>1241</v>
      </c>
    </row>
    <row r="125" spans="1:6" s="2" customFormat="1" ht="12.75" x14ac:dyDescent="0.2">
      <c r="A125" s="34" t="str">
        <f>VLOOKUP(B125,'SchoolInfo (3)'!A:C,3,0)</f>
        <v>'070406000</v>
      </c>
      <c r="B125" s="34">
        <v>4260</v>
      </c>
      <c r="C125" s="36" t="s">
        <v>353</v>
      </c>
      <c r="D125" s="34" t="e">
        <f>VLOOKUP(E125,'ADE EOS CC list'!A:E,5,0)</f>
        <v>#N/A</v>
      </c>
      <c r="E125" s="34">
        <v>0</v>
      </c>
      <c r="F125" s="36" t="s">
        <v>1243</v>
      </c>
    </row>
    <row r="126" spans="1:6" s="2" customFormat="1" ht="12.75" x14ac:dyDescent="0.2">
      <c r="A126" s="34" t="str">
        <f>VLOOKUP(B126,'SchoolInfo (3)'!A:C,3,0)</f>
        <v>'150419000</v>
      </c>
      <c r="B126" s="34">
        <v>4512</v>
      </c>
      <c r="C126" s="36" t="s">
        <v>326</v>
      </c>
      <c r="D126" s="35" t="s">
        <v>20004</v>
      </c>
      <c r="E126" s="34">
        <v>6200</v>
      </c>
      <c r="F126" s="36" t="s">
        <v>20003</v>
      </c>
    </row>
    <row r="127" spans="1:6" s="2" customFormat="1" ht="12.75" x14ac:dyDescent="0.2">
      <c r="A127" s="34">
        <v>142607000</v>
      </c>
      <c r="B127" s="34">
        <v>10187</v>
      </c>
      <c r="C127" s="36" t="s">
        <v>20009</v>
      </c>
      <c r="D127" s="34">
        <v>142607011</v>
      </c>
      <c r="E127" s="34">
        <v>10196</v>
      </c>
      <c r="F127" s="36" t="s">
        <v>20010</v>
      </c>
    </row>
    <row r="128" spans="1:6" s="2" customFormat="1" ht="12.75" x14ac:dyDescent="0.2">
      <c r="A128" s="35">
        <v>142607000</v>
      </c>
      <c r="B128" s="34">
        <v>10187</v>
      </c>
      <c r="C128" s="36" t="s">
        <v>18886</v>
      </c>
      <c r="D128" s="34">
        <v>142607002</v>
      </c>
      <c r="E128" s="34">
        <v>10189</v>
      </c>
      <c r="F128" s="36" t="s">
        <v>19877</v>
      </c>
    </row>
    <row r="129" spans="1:6" s="28" customFormat="1" ht="12.75" x14ac:dyDescent="0.25">
      <c r="A129" s="32" t="str">
        <f>VLOOKUP(B129,'SchoolInfo (3)'!A:C,3,0)</f>
        <v>'010208000</v>
      </c>
      <c r="B129" s="32">
        <v>4154</v>
      </c>
      <c r="C129" s="33" t="s">
        <v>327</v>
      </c>
      <c r="D129" s="32" t="e">
        <f>#REF!</f>
        <v>#REF!</v>
      </c>
      <c r="E129" s="32">
        <v>0</v>
      </c>
      <c r="F129" s="33" t="s">
        <v>20006</v>
      </c>
    </row>
    <row r="130" spans="1:6" s="28" customFormat="1" ht="12.75" x14ac:dyDescent="0.25">
      <c r="A130" s="32">
        <v>143025000</v>
      </c>
      <c r="B130" s="32">
        <v>90855</v>
      </c>
      <c r="C130" s="33" t="s">
        <v>20012</v>
      </c>
      <c r="D130" s="32">
        <v>143025001</v>
      </c>
      <c r="E130" s="32">
        <v>90856</v>
      </c>
      <c r="F130" s="33" t="s">
        <v>20011</v>
      </c>
    </row>
    <row r="131" spans="1:6" s="2" customFormat="1" ht="12.75" x14ac:dyDescent="0.2">
      <c r="A131" s="34">
        <v>102245000</v>
      </c>
      <c r="B131" s="34">
        <v>9769</v>
      </c>
      <c r="C131" s="52" t="s">
        <v>15662</v>
      </c>
      <c r="D131" s="34">
        <f>VLOOKUP(E131,'ADE EOS CC list'!A:E,5,0)</f>
        <v>102245001</v>
      </c>
      <c r="E131" s="34">
        <v>9770</v>
      </c>
      <c r="F131" s="36" t="s">
        <v>19985</v>
      </c>
    </row>
    <row r="132" spans="1:6" s="2" customFormat="1" ht="12.75" x14ac:dyDescent="0.2">
      <c r="A132" s="34">
        <v>102256000</v>
      </c>
      <c r="B132" s="34">
        <v>9805</v>
      </c>
      <c r="C132" s="36" t="s">
        <v>19982</v>
      </c>
      <c r="D132" s="34">
        <f>VLOOKUP(E132,'ADE EOS CC list'!A:E,5,0)</f>
        <v>102256005</v>
      </c>
      <c r="E132" s="34">
        <v>9806</v>
      </c>
      <c r="F132" s="36" t="s">
        <v>85</v>
      </c>
    </row>
    <row r="133" spans="1:6" s="8" customFormat="1" ht="12.75" x14ac:dyDescent="0.2">
      <c r="A133" s="32"/>
      <c r="B133" s="32"/>
      <c r="C133" s="33"/>
      <c r="D133" s="32"/>
      <c r="E133" s="32"/>
      <c r="F133" s="33"/>
    </row>
    <row r="134" spans="1:6" ht="55.5" customHeight="1" x14ac:dyDescent="0.25">
      <c r="A134" s="60"/>
      <c r="B134" s="60"/>
      <c r="C134" s="62" t="s">
        <v>21359</v>
      </c>
      <c r="D134" s="63"/>
      <c r="E134" s="63"/>
      <c r="F134" s="61"/>
    </row>
    <row r="135" spans="1:6" s="28" customFormat="1" ht="12.75" x14ac:dyDescent="0.25">
      <c r="A135" s="32"/>
      <c r="B135" s="32"/>
      <c r="C135" s="33"/>
      <c r="D135" s="51" t="s">
        <v>19814</v>
      </c>
      <c r="E135" s="32" t="e">
        <f>#REF!</f>
        <v>#REF!</v>
      </c>
      <c r="F135" s="33" t="s">
        <v>1192</v>
      </c>
    </row>
    <row r="136" spans="1:6" s="28" customFormat="1" ht="12.75" x14ac:dyDescent="0.25">
      <c r="A136" s="32"/>
      <c r="B136" s="32"/>
      <c r="C136" s="33"/>
      <c r="D136" s="32">
        <v>113011001</v>
      </c>
      <c r="E136" s="32">
        <v>10123</v>
      </c>
      <c r="F136" s="33" t="s">
        <v>1118</v>
      </c>
    </row>
    <row r="137" spans="1:6" s="28" customFormat="1" ht="12.75" x14ac:dyDescent="0.25">
      <c r="A137" s="32"/>
      <c r="B137" s="32"/>
      <c r="C137" s="33"/>
      <c r="D137" s="32" t="e">
        <f>VLOOKUP(E137,'ADE EOS CC list'!A:E,5,0)</f>
        <v>#N/A</v>
      </c>
      <c r="E137" s="32"/>
      <c r="F137" s="33" t="s">
        <v>1174</v>
      </c>
    </row>
    <row r="138" spans="1:6" s="2" customFormat="1" ht="12.75" x14ac:dyDescent="0.2">
      <c r="A138" s="34"/>
      <c r="B138" s="59"/>
      <c r="C138" s="33"/>
      <c r="D138" s="59" t="e">
        <f>VLOOKUP(E138,'ADE EOS CC list'!A:E,5,0)</f>
        <v>#N/A</v>
      </c>
      <c r="E138" s="59"/>
      <c r="F138" s="33" t="s">
        <v>1216</v>
      </c>
    </row>
    <row r="139" spans="1:6" s="28" customFormat="1" ht="12.75" x14ac:dyDescent="0.25">
      <c r="A139" s="32"/>
      <c r="B139" s="32"/>
      <c r="C139" s="33"/>
      <c r="D139" s="32" t="e">
        <f>VLOOKUP(E139,'ADE EOS CC list'!A:E,5,0)</f>
        <v>#N/A</v>
      </c>
      <c r="E139" s="32"/>
      <c r="F139" s="33" t="s">
        <v>1253</v>
      </c>
    </row>
    <row r="140" spans="1:6" s="28" customFormat="1" ht="12.75" x14ac:dyDescent="0.25">
      <c r="A140" s="32"/>
      <c r="B140" s="32"/>
      <c r="C140" s="33"/>
      <c r="D140" s="32" t="e">
        <f>VLOOKUP(E140,'ADE EOS CC list'!A:E,5,0)</f>
        <v>#N/A</v>
      </c>
      <c r="E140" s="32">
        <v>0</v>
      </c>
      <c r="F140" s="33" t="s">
        <v>1225</v>
      </c>
    </row>
    <row r="141" spans="1:6" s="31" customFormat="1" ht="12.75" x14ac:dyDescent="0.25">
      <c r="A141" s="32"/>
      <c r="B141" s="32"/>
      <c r="C141" s="33"/>
      <c r="D141" s="32" t="e">
        <f>VLOOKUP(E141,'ADE EOS CC list'!A:E,5,0)</f>
        <v>#N/A</v>
      </c>
      <c r="E141" s="32">
        <v>0</v>
      </c>
      <c r="F141" s="33" t="s">
        <v>1178</v>
      </c>
    </row>
    <row r="142" spans="1:6" s="28" customFormat="1" ht="12.75" x14ac:dyDescent="0.25">
      <c r="A142" s="32"/>
      <c r="B142" s="32"/>
      <c r="C142" s="33"/>
      <c r="D142" s="32" t="e">
        <f>VLOOKUP(E142,'ADE EOS CC list'!A:E,5,0)</f>
        <v>#N/A</v>
      </c>
      <c r="E142" s="32">
        <v>0</v>
      </c>
      <c r="F142" s="33" t="s">
        <v>72</v>
      </c>
    </row>
    <row r="143" spans="1:6" s="28" customFormat="1" ht="12.75" x14ac:dyDescent="0.25">
      <c r="A143" s="32"/>
      <c r="B143" s="32"/>
      <c r="C143" s="33"/>
      <c r="D143" s="32" t="e">
        <f>VLOOKUP(E143,'ADE EOS CC list'!A:E,5,0)</f>
        <v>#N/A</v>
      </c>
      <c r="E143" s="32">
        <v>0</v>
      </c>
      <c r="F143" s="33" t="s">
        <v>1065</v>
      </c>
    </row>
    <row r="144" spans="1:6" s="28" customFormat="1" ht="12.75" x14ac:dyDescent="0.25">
      <c r="A144" s="32"/>
      <c r="B144" s="32"/>
      <c r="C144" s="33"/>
      <c r="D144" s="32" t="e">
        <f>VLOOKUP(E144,'ADE EOS CC list'!A:E,5,0)</f>
        <v>#N/A</v>
      </c>
      <c r="E144" s="32">
        <v>0</v>
      </c>
      <c r="F144" s="33" t="s">
        <v>33</v>
      </c>
    </row>
    <row r="145" spans="1:6" s="28" customFormat="1" ht="12.75" x14ac:dyDescent="0.25">
      <c r="A145" s="32"/>
      <c r="B145" s="32"/>
      <c r="C145" s="33"/>
      <c r="D145" s="32" t="e">
        <f>VLOOKUP(E145,'ADE EOS CC list'!A:E,5,0)</f>
        <v>#N/A</v>
      </c>
      <c r="E145" s="32">
        <v>0</v>
      </c>
      <c r="F145" s="33" t="s">
        <v>1123</v>
      </c>
    </row>
    <row r="146" spans="1:6" s="28" customFormat="1" ht="12.75" x14ac:dyDescent="0.25">
      <c r="A146" s="32"/>
      <c r="B146" s="32"/>
      <c r="C146" s="33"/>
      <c r="D146" s="32" t="e">
        <f>VLOOKUP(E146,'ADE EOS CC list'!A:E,5,0)</f>
        <v>#N/A</v>
      </c>
      <c r="E146" s="32">
        <v>0</v>
      </c>
      <c r="F146" s="33" t="s">
        <v>1134</v>
      </c>
    </row>
    <row r="147" spans="1:6" s="28" customFormat="1" ht="12.75" x14ac:dyDescent="0.25">
      <c r="A147" s="32"/>
      <c r="B147" s="32"/>
      <c r="C147" s="33"/>
      <c r="D147" s="32" t="e">
        <f>VLOOKUP(E147,'ADE EOS CC list'!A:E,5,0)</f>
        <v>#N/A</v>
      </c>
      <c r="E147" s="32">
        <v>0</v>
      </c>
      <c r="F147" s="33" t="s">
        <v>1247</v>
      </c>
    </row>
    <row r="148" spans="1:6" s="28" customFormat="1" ht="12.75" x14ac:dyDescent="0.25">
      <c r="A148" s="32"/>
      <c r="B148" s="32"/>
      <c r="C148" s="33"/>
      <c r="D148" s="32" t="e">
        <f>VLOOKUP(E148,'ADE EOS CC list'!A:E,5,0)</f>
        <v>#N/A</v>
      </c>
      <c r="E148" s="32">
        <v>0</v>
      </c>
      <c r="F148" s="33" t="s">
        <v>1249</v>
      </c>
    </row>
    <row r="149" spans="1:6" s="28" customFormat="1" ht="12.75" x14ac:dyDescent="0.25">
      <c r="A149" s="32"/>
      <c r="B149" s="32"/>
      <c r="C149" s="33"/>
      <c r="D149" s="51" t="s">
        <v>19993</v>
      </c>
      <c r="E149" s="32">
        <v>90388</v>
      </c>
      <c r="F149" s="33" t="s">
        <v>1143</v>
      </c>
    </row>
    <row r="150" spans="1:6" s="28" customFormat="1" ht="12.75" x14ac:dyDescent="0.25">
      <c r="A150" s="32"/>
      <c r="B150" s="32"/>
      <c r="C150" s="33"/>
      <c r="D150" s="32" t="e">
        <f>VLOOKUP(E150,'ADE EOS CC list'!A:E,5,0)</f>
        <v>#N/A</v>
      </c>
      <c r="E150" s="32">
        <v>0</v>
      </c>
      <c r="F150" s="33" t="s">
        <v>27</v>
      </c>
    </row>
    <row r="151" spans="1:6" s="28" customFormat="1" ht="12.75" x14ac:dyDescent="0.25">
      <c r="A151" s="32"/>
      <c r="B151" s="32"/>
      <c r="C151" s="33"/>
      <c r="D151" s="32" t="e">
        <f>VLOOKUP(E151,'ADE EOS CC list'!A:E,5,0)</f>
        <v>#N/A</v>
      </c>
      <c r="E151" s="32">
        <v>0</v>
      </c>
      <c r="F151" s="33" t="s">
        <v>1047</v>
      </c>
    </row>
    <row r="152" spans="1:6" s="28" customFormat="1" ht="12.75" x14ac:dyDescent="0.25">
      <c r="A152" s="32"/>
      <c r="B152" s="32"/>
      <c r="C152" s="33"/>
      <c r="D152" s="32" t="e">
        <f>VLOOKUP(E152,'ADE EOS CC list'!A:E,5,0)</f>
        <v>#N/A</v>
      </c>
      <c r="E152" s="32">
        <v>0</v>
      </c>
      <c r="F152" s="33" t="s">
        <v>1049</v>
      </c>
    </row>
    <row r="153" spans="1:6" s="28" customFormat="1" ht="12.75" x14ac:dyDescent="0.25">
      <c r="A153" s="32"/>
      <c r="B153" s="32"/>
      <c r="C153" s="33"/>
      <c r="D153" s="32" t="e">
        <f>VLOOKUP(E153,'ADE EOS CC list'!A:E,5,0)</f>
        <v>#N/A</v>
      </c>
      <c r="E153" s="32">
        <v>0</v>
      </c>
      <c r="F153" s="33" t="s">
        <v>1057</v>
      </c>
    </row>
    <row r="154" spans="1:6" s="28" customFormat="1" ht="12.75" x14ac:dyDescent="0.25">
      <c r="A154" s="32"/>
      <c r="B154" s="32"/>
      <c r="C154" s="33"/>
      <c r="D154" s="32" t="e">
        <f>VLOOKUP(E154,'ADE EOS CC list'!A:E,5,0)</f>
        <v>#N/A</v>
      </c>
      <c r="E154" s="32">
        <v>0</v>
      </c>
      <c r="F154" s="33" t="s">
        <v>1060</v>
      </c>
    </row>
    <row r="155" spans="1:6" s="2" customFormat="1" ht="12.75" x14ac:dyDescent="0.2">
      <c r="A155" s="34"/>
      <c r="B155" s="34"/>
      <c r="C155" s="36"/>
      <c r="D155" s="35" t="s">
        <v>19990</v>
      </c>
      <c r="E155" s="34">
        <v>9216</v>
      </c>
      <c r="F155" s="36" t="s">
        <v>1136</v>
      </c>
    </row>
    <row r="156" spans="1:6" s="28" customFormat="1" ht="12.75" x14ac:dyDescent="0.25">
      <c r="A156" s="32"/>
      <c r="B156" s="32"/>
      <c r="C156" s="33"/>
      <c r="D156" s="32" t="e">
        <f>VLOOKUP(E156,'ADE EOS CC list'!A:E,5,0)</f>
        <v>#N/A</v>
      </c>
      <c r="E156" s="32">
        <v>0</v>
      </c>
      <c r="F156" s="33" t="s">
        <v>1107</v>
      </c>
    </row>
    <row r="157" spans="1:6" s="28" customFormat="1" ht="12.75" x14ac:dyDescent="0.25">
      <c r="A157" s="32"/>
      <c r="B157" s="32"/>
      <c r="C157" s="33"/>
      <c r="D157" s="32" t="e">
        <f>VLOOKUP(E157,'ADE EOS CC list'!A:E,5,0)</f>
        <v>#N/A</v>
      </c>
      <c r="E157" s="32">
        <v>0</v>
      </c>
      <c r="F157" s="33" t="s">
        <v>28</v>
      </c>
    </row>
    <row r="158" spans="1:6" s="28" customFormat="1" ht="12.75" x14ac:dyDescent="0.25">
      <c r="A158" s="32"/>
      <c r="B158" s="32"/>
      <c r="C158" s="33"/>
      <c r="D158" s="32" t="e">
        <f>VLOOKUP(E158,'ADE EOS CC list'!A:E,5,0)</f>
        <v>#N/A</v>
      </c>
      <c r="E158" s="32">
        <v>0</v>
      </c>
      <c r="F158" s="33" t="s">
        <v>1111</v>
      </c>
    </row>
    <row r="159" spans="1:6" s="28" customFormat="1" ht="12.75" x14ac:dyDescent="0.25">
      <c r="A159" s="32"/>
      <c r="B159" s="32"/>
      <c r="C159" s="33"/>
      <c r="D159" s="32" t="e">
        <f>VLOOKUP(E159,'ADE EOS CC list'!A:E,5,0)</f>
        <v>#N/A</v>
      </c>
      <c r="E159" s="32">
        <v>0</v>
      </c>
      <c r="F159" s="33" t="s">
        <v>1180</v>
      </c>
    </row>
    <row r="160" spans="1:6" s="2" customFormat="1" ht="12.75" x14ac:dyDescent="0.2">
      <c r="A160" s="34"/>
      <c r="B160" s="34"/>
      <c r="C160" s="36"/>
      <c r="D160" s="34">
        <v>113018001</v>
      </c>
      <c r="E160" s="34">
        <v>84654</v>
      </c>
      <c r="F160" s="36" t="s">
        <v>84</v>
      </c>
    </row>
    <row r="161" spans="1:6" s="2" customFormat="1" ht="12.75" x14ac:dyDescent="0.2">
      <c r="A161" s="34"/>
      <c r="B161" s="34"/>
      <c r="C161" s="36"/>
      <c r="D161" s="34" t="e">
        <f>VLOOKUP(E161,'ADE EOS CC list'!A:E,5,0)</f>
        <v>#N/A</v>
      </c>
      <c r="E161" s="34">
        <v>0</v>
      </c>
      <c r="F161" s="36" t="s">
        <v>1069</v>
      </c>
    </row>
    <row r="162" spans="1:6" s="28" customFormat="1" ht="12.75" x14ac:dyDescent="0.25">
      <c r="A162" s="32"/>
      <c r="B162" s="32"/>
      <c r="C162" s="33"/>
      <c r="D162" s="32" t="e">
        <f>VLOOKUP(E162,'ADE EOS CC list'!A:E,5,0)</f>
        <v>#N/A</v>
      </c>
      <c r="E162" s="32">
        <v>0</v>
      </c>
      <c r="F162" s="33" t="s">
        <v>1188</v>
      </c>
    </row>
    <row r="163" spans="1:6" s="28" customFormat="1" ht="12.75" x14ac:dyDescent="0.25">
      <c r="A163" s="32"/>
      <c r="B163" s="32"/>
      <c r="C163" s="33"/>
      <c r="D163" s="51" t="s">
        <v>19884</v>
      </c>
      <c r="E163" s="32">
        <v>91192</v>
      </c>
      <c r="F163" s="33" t="s">
        <v>1075</v>
      </c>
    </row>
    <row r="164" spans="1:6" s="28" customFormat="1" ht="12.75" x14ac:dyDescent="0.25">
      <c r="A164" s="32"/>
      <c r="B164" s="32"/>
      <c r="C164" s="33"/>
      <c r="D164" s="32" t="e">
        <f>VLOOKUP(E164,'ADE EOS CC list'!A:E,5,0)</f>
        <v>#N/A</v>
      </c>
      <c r="E164" s="32">
        <v>0</v>
      </c>
      <c r="F164" s="33" t="s">
        <v>1141</v>
      </c>
    </row>
    <row r="165" spans="1:6" s="28" customFormat="1" ht="12.75" x14ac:dyDescent="0.25">
      <c r="A165" s="32"/>
      <c r="B165" s="32"/>
      <c r="C165" s="33"/>
      <c r="D165" s="51" t="s">
        <v>19900</v>
      </c>
      <c r="E165" s="32">
        <v>195785</v>
      </c>
      <c r="F165" s="33" t="s">
        <v>36</v>
      </c>
    </row>
    <row r="166" spans="1:6" s="2" customFormat="1" ht="12.75" x14ac:dyDescent="0.2">
      <c r="A166" s="34"/>
      <c r="B166" s="34"/>
      <c r="C166" s="36"/>
      <c r="D166" s="34" t="e">
        <f>VLOOKUP(E166,'ADE EOS CC list'!A:E,5,0)</f>
        <v>#N/A</v>
      </c>
      <c r="E166" s="34">
        <v>0</v>
      </c>
      <c r="F166" s="36" t="s">
        <v>102</v>
      </c>
    </row>
    <row r="167" spans="1:6" s="2" customFormat="1" ht="12.75" x14ac:dyDescent="0.2">
      <c r="A167" s="34"/>
      <c r="B167" s="34"/>
      <c r="C167" s="36"/>
      <c r="D167" s="34" t="e">
        <f>VLOOKUP(E167,'ADE EOS CC list'!A:E,5,0)</f>
        <v>#N/A</v>
      </c>
      <c r="E167" s="34">
        <v>0</v>
      </c>
      <c r="F167" s="36" t="s">
        <v>56</v>
      </c>
    </row>
    <row r="168" spans="1:6" s="28" customFormat="1" ht="12.75" x14ac:dyDescent="0.25">
      <c r="A168" s="32"/>
      <c r="B168" s="32"/>
      <c r="C168" s="33"/>
      <c r="D168" s="32" t="e">
        <f>VLOOKUP(E168,'ADE EOS CC list'!A:E,5,0)</f>
        <v>#N/A</v>
      </c>
      <c r="E168" s="32">
        <v>0</v>
      </c>
      <c r="F168" s="33" t="s">
        <v>65</v>
      </c>
    </row>
    <row r="169" spans="1:6" s="28" customFormat="1" ht="12.75" x14ac:dyDescent="0.25">
      <c r="A169" s="32"/>
      <c r="B169" s="32"/>
      <c r="C169" s="33"/>
      <c r="D169" s="32" t="e">
        <f>VLOOKUP(E169,'ADE EOS CC list'!A:E,5,0)</f>
        <v>#N/A</v>
      </c>
      <c r="E169" s="32">
        <v>0</v>
      </c>
      <c r="F169" s="33" t="s">
        <v>18680</v>
      </c>
    </row>
    <row r="170" spans="1:6" s="2" customFormat="1" ht="12.75" x14ac:dyDescent="0.2">
      <c r="A170" s="34"/>
      <c r="B170" s="34"/>
      <c r="C170" s="36"/>
      <c r="D170" s="34" t="e">
        <f>VLOOKUP(E170,'ADE EOS CC list'!A:E,5,0)</f>
        <v>#N/A</v>
      </c>
      <c r="E170" s="34">
        <v>0</v>
      </c>
      <c r="F170" s="36" t="s">
        <v>4</v>
      </c>
    </row>
    <row r="171" spans="1:6" s="2" customFormat="1" ht="12.75" x14ac:dyDescent="0.2">
      <c r="A171" s="34"/>
      <c r="B171" s="34"/>
      <c r="C171" s="36"/>
      <c r="D171" s="34" t="e">
        <f>VLOOKUP(E171,'ADE EOS CC list'!A:E,5,0)</f>
        <v>#N/A</v>
      </c>
      <c r="E171" s="34">
        <v>0</v>
      </c>
      <c r="F171" s="36" t="s">
        <v>74</v>
      </c>
    </row>
    <row r="172" spans="1:6" s="2" customFormat="1" ht="12.75" x14ac:dyDescent="0.2">
      <c r="A172" s="34"/>
      <c r="B172" s="34"/>
      <c r="C172" s="36"/>
      <c r="D172" s="34" t="e">
        <f>VLOOKUP(E172,'ADE EOS CC list'!A:E,5,0)</f>
        <v>#N/A</v>
      </c>
      <c r="E172" s="34">
        <v>0</v>
      </c>
      <c r="F172" s="36" t="s">
        <v>1128</v>
      </c>
    </row>
    <row r="173" spans="1:6" s="28" customFormat="1" ht="12.75" x14ac:dyDescent="0.25">
      <c r="A173" s="32"/>
      <c r="B173" s="32"/>
      <c r="C173" s="33"/>
      <c r="D173" s="32" t="e">
        <f>VLOOKUP(E173,'ADE EOS CC list'!A:E,5,0)</f>
        <v>#N/A</v>
      </c>
      <c r="E173" s="32">
        <v>0</v>
      </c>
      <c r="F173" s="33" t="s">
        <v>99</v>
      </c>
    </row>
    <row r="174" spans="1:6" s="28" customFormat="1" ht="12.75" x14ac:dyDescent="0.25">
      <c r="A174" s="32"/>
      <c r="B174" s="32"/>
      <c r="C174" s="33"/>
      <c r="D174" s="32" t="e">
        <f>VLOOKUP(E174,'ADE EOS CC list'!A:E,5,0)</f>
        <v>#N/A</v>
      </c>
      <c r="E174" s="32">
        <v>0</v>
      </c>
      <c r="F174" s="33" t="s">
        <v>79</v>
      </c>
    </row>
    <row r="175" spans="1:6" s="28" customFormat="1" ht="12.75" x14ac:dyDescent="0.25">
      <c r="A175" s="32"/>
      <c r="B175" s="32"/>
      <c r="C175" s="33"/>
      <c r="D175" s="32" t="e">
        <f>VLOOKUP(E175,'ADE EOS CC list'!A:E,5,0)</f>
        <v>#N/A</v>
      </c>
      <c r="E175" s="32">
        <v>0</v>
      </c>
      <c r="F175" s="33" t="s">
        <v>94</v>
      </c>
    </row>
    <row r="176" spans="1:6" s="28" customFormat="1" ht="12.75" x14ac:dyDescent="0.25">
      <c r="A176" s="32"/>
      <c r="B176" s="32"/>
      <c r="C176" s="33"/>
      <c r="D176" s="32" t="e">
        <f>VLOOKUP(E176,'ADE EOS CC list'!A:E,5,0)</f>
        <v>#N/A</v>
      </c>
      <c r="E176" s="32">
        <v>0</v>
      </c>
      <c r="F176" s="33" t="s">
        <v>97</v>
      </c>
    </row>
    <row r="177" spans="1:6" s="28" customFormat="1" ht="12.75" x14ac:dyDescent="0.25">
      <c r="A177" s="32"/>
      <c r="B177" s="32"/>
      <c r="C177" s="33"/>
      <c r="D177" s="32" t="e">
        <f>VLOOKUP(E177,'ADE EOS CC list'!A:E,5,0)</f>
        <v>#N/A</v>
      </c>
      <c r="E177" s="32">
        <v>0</v>
      </c>
      <c r="F177" s="33" t="s">
        <v>98</v>
      </c>
    </row>
    <row r="178" spans="1:6" s="28" customFormat="1" ht="12.75" x14ac:dyDescent="0.25">
      <c r="A178" s="32"/>
      <c r="B178" s="32"/>
      <c r="C178" s="33"/>
      <c r="D178" s="51" t="s">
        <v>19964</v>
      </c>
      <c r="E178" s="32">
        <v>91963</v>
      </c>
      <c r="F178" s="33" t="s">
        <v>48</v>
      </c>
    </row>
    <row r="179" spans="1:6" s="2" customFormat="1" ht="12.75" x14ac:dyDescent="0.2">
      <c r="A179" s="34"/>
      <c r="B179" s="34"/>
      <c r="C179" s="36"/>
      <c r="D179" s="34" t="e">
        <f>VLOOKUP(E179,'ADE EOS CC list'!A:E,5,0)</f>
        <v>#N/A</v>
      </c>
      <c r="E179" s="34">
        <v>0</v>
      </c>
      <c r="F179" s="36" t="s">
        <v>95</v>
      </c>
    </row>
    <row r="180" spans="1:6" s="31" customFormat="1" ht="12.75" x14ac:dyDescent="0.25">
      <c r="A180" s="32"/>
      <c r="B180" s="32"/>
      <c r="C180" s="33"/>
      <c r="D180" s="32" t="e">
        <f>VLOOKUP(E180,'ADE EOS CC list'!A:E,5,0)</f>
        <v>#N/A</v>
      </c>
      <c r="E180" s="32">
        <v>0</v>
      </c>
      <c r="F180" s="33" t="s">
        <v>1210</v>
      </c>
    </row>
    <row r="181" spans="1:6" s="28" customFormat="1" ht="25.5" x14ac:dyDescent="0.25">
      <c r="A181" s="32"/>
      <c r="B181" s="32"/>
      <c r="C181" s="33"/>
      <c r="D181" s="51" t="s">
        <v>19972</v>
      </c>
      <c r="E181" s="32">
        <v>91777</v>
      </c>
      <c r="F181" s="33" t="s">
        <v>1219</v>
      </c>
    </row>
    <row r="182" spans="1:6" s="28" customFormat="1" ht="25.5" x14ac:dyDescent="0.25">
      <c r="A182" s="32"/>
      <c r="B182" s="32"/>
      <c r="C182" s="33"/>
      <c r="D182" s="51" t="s">
        <v>19981</v>
      </c>
      <c r="E182" s="32">
        <v>90519</v>
      </c>
      <c r="F182" s="33" t="s">
        <v>19980</v>
      </c>
    </row>
    <row r="183" spans="1:6" s="28" customFormat="1" ht="12.75" x14ac:dyDescent="0.25">
      <c r="A183" s="32"/>
      <c r="B183" s="32"/>
      <c r="C183" s="33"/>
      <c r="D183" s="32">
        <v>112602010</v>
      </c>
      <c r="E183" s="32" t="e">
        <f>#REF!</f>
        <v>#REF!</v>
      </c>
      <c r="F183" s="33" t="s">
        <v>1166</v>
      </c>
    </row>
    <row r="184" spans="1:6" s="2" customFormat="1" ht="12.75" x14ac:dyDescent="0.2">
      <c r="A184" s="34"/>
      <c r="B184" s="34"/>
      <c r="C184" s="36"/>
      <c r="D184" s="34">
        <v>112602040</v>
      </c>
      <c r="E184" s="34">
        <v>8070</v>
      </c>
      <c r="F184" s="36" t="s">
        <v>6</v>
      </c>
    </row>
    <row r="185" spans="1:6" s="28" customFormat="1" ht="26.25" customHeight="1" x14ac:dyDescent="0.25">
      <c r="A185" s="51"/>
      <c r="B185" s="32"/>
      <c r="C185" s="33"/>
      <c r="D185" s="51" t="s">
        <v>19860</v>
      </c>
      <c r="E185" s="32">
        <v>79758</v>
      </c>
      <c r="F185" s="33" t="s">
        <v>19859</v>
      </c>
    </row>
    <row r="186" spans="1:6" s="28" customFormat="1" ht="12.75" x14ac:dyDescent="0.25">
      <c r="A186" s="32"/>
      <c r="B186" s="32"/>
      <c r="C186" s="33"/>
      <c r="D186" s="51">
        <v>112602060</v>
      </c>
      <c r="E186" s="32">
        <v>8072</v>
      </c>
      <c r="F186" s="33" t="s">
        <v>19873</v>
      </c>
    </row>
    <row r="187" spans="1:6" s="28" customFormat="1" ht="12.75" x14ac:dyDescent="0.25">
      <c r="A187" s="32"/>
      <c r="B187" s="32"/>
      <c r="C187" s="33"/>
      <c r="D187" s="32" t="e">
        <f>VLOOKUP(E187,'ADE EOS CC list'!A:E,5,0)</f>
        <v>#N/A</v>
      </c>
      <c r="E187" s="32">
        <v>0</v>
      </c>
      <c r="F187" s="33" t="s">
        <v>1071</v>
      </c>
    </row>
    <row r="188" spans="1:6" s="28" customFormat="1" ht="12.75" x14ac:dyDescent="0.25">
      <c r="A188" s="32"/>
      <c r="B188" s="32"/>
      <c r="C188" s="33"/>
      <c r="D188" s="51" t="s">
        <v>19885</v>
      </c>
      <c r="E188" s="32">
        <v>7447</v>
      </c>
      <c r="F188" s="33" t="s">
        <v>1087</v>
      </c>
    </row>
    <row r="189" spans="1:6" s="28" customFormat="1" ht="12.75" x14ac:dyDescent="0.25">
      <c r="A189" s="32"/>
      <c r="B189" s="32"/>
      <c r="C189" s="33"/>
      <c r="D189" s="32" t="e">
        <f>VLOOKUP(E189,'ADE EOS CC list'!A:E,5,0)</f>
        <v>#N/A</v>
      </c>
      <c r="E189" s="32">
        <v>7936</v>
      </c>
      <c r="F189" s="33" t="s">
        <v>45</v>
      </c>
    </row>
    <row r="190" spans="1:6" s="28" customFormat="1" ht="12.75" x14ac:dyDescent="0.25">
      <c r="A190" s="32"/>
      <c r="B190" s="32"/>
      <c r="C190" s="33"/>
      <c r="D190" s="32" t="e">
        <f>VLOOKUP(E190,'ADE EOS CC list'!A:E,5,0)</f>
        <v>#N/A</v>
      </c>
      <c r="E190" s="32">
        <v>8077</v>
      </c>
      <c r="F190" s="33" t="s">
        <v>8</v>
      </c>
    </row>
    <row r="191" spans="1:6" s="28" customFormat="1" ht="12.75" x14ac:dyDescent="0.25">
      <c r="A191" s="32"/>
      <c r="B191" s="32"/>
      <c r="C191" s="33"/>
      <c r="D191" s="32" t="e">
        <f>VLOOKUP(E191,'ADE EOS CC list'!A:E,5,0)</f>
        <v>#N/A</v>
      </c>
      <c r="E191" s="32"/>
      <c r="F191" s="33" t="s">
        <v>80</v>
      </c>
    </row>
    <row r="192" spans="1:6" s="2" customFormat="1" ht="12.75" x14ac:dyDescent="0.2">
      <c r="A192" s="32"/>
      <c r="B192" s="32"/>
      <c r="C192" s="33"/>
      <c r="D192" s="51" t="s">
        <v>20005</v>
      </c>
      <c r="E192" s="32">
        <v>1000052</v>
      </c>
      <c r="F192" s="33" t="s">
        <v>1125</v>
      </c>
    </row>
    <row r="193" spans="1:6" s="2" customFormat="1" ht="12.75" x14ac:dyDescent="0.2">
      <c r="A193" s="32"/>
      <c r="B193" s="32"/>
      <c r="C193" s="33"/>
      <c r="D193" s="32" t="e">
        <f>VLOOKUP(E193,'ADE EOS CC list'!A:E,5,0)</f>
        <v>#N/A</v>
      </c>
      <c r="E193" s="32"/>
      <c r="F193" s="33" t="s">
        <v>1132</v>
      </c>
    </row>
    <row r="194" spans="1:6" s="2" customFormat="1" ht="12.75" x14ac:dyDescent="0.2">
      <c r="A194" s="32"/>
      <c r="B194" s="32"/>
      <c r="C194" s="33"/>
      <c r="D194" s="32" t="e">
        <f>VLOOKUP(E194,'ADE EOS CC list'!A:E,5,0)</f>
        <v>#N/A</v>
      </c>
      <c r="E194" s="32"/>
      <c r="F194" s="33" t="s">
        <v>1206</v>
      </c>
    </row>
    <row r="195" spans="1:6" s="2" customFormat="1" ht="25.5" x14ac:dyDescent="0.2">
      <c r="A195" s="32"/>
      <c r="B195" s="32"/>
      <c r="C195" s="33"/>
      <c r="D195" s="32" t="e">
        <f>VLOOKUP(E195,'ADE EOS CC list'!A:E,5,0)</f>
        <v>#N/A</v>
      </c>
      <c r="E195" s="32"/>
      <c r="F195" s="33" t="s">
        <v>1042</v>
      </c>
    </row>
    <row r="196" spans="1:6" s="28" customFormat="1" ht="12.75" x14ac:dyDescent="0.25">
      <c r="A196" s="32"/>
      <c r="B196" s="32"/>
      <c r="C196" s="33"/>
      <c r="D196" s="32" t="e">
        <f>VLOOKUP(E196,'ADE EOS CC list'!A:E,5,0)</f>
        <v>#N/A</v>
      </c>
      <c r="E196" s="32">
        <v>0</v>
      </c>
      <c r="F196" s="33" t="s">
        <v>82</v>
      </c>
    </row>
    <row r="197" spans="1:6" s="28" customFormat="1" ht="12.75" x14ac:dyDescent="0.25">
      <c r="A197" s="32"/>
      <c r="B197" s="32"/>
      <c r="C197" s="33"/>
      <c r="D197" s="32" t="e">
        <f>VLOOKUP(E197,'ADE EOS CC list'!A:E,5,0)</f>
        <v>#N/A</v>
      </c>
      <c r="E197" s="32">
        <v>0</v>
      </c>
      <c r="F197" s="33" t="s">
        <v>43</v>
      </c>
    </row>
    <row r="198" spans="1:6" s="2" customFormat="1" ht="12.75" x14ac:dyDescent="0.2">
      <c r="A198" s="34"/>
      <c r="B198" s="34"/>
      <c r="C198" s="36"/>
      <c r="D198" s="34" t="e">
        <f>VLOOKUP(E198,'ADE EOS CC list'!A:E,5,0)</f>
        <v>#N/A</v>
      </c>
      <c r="E198" s="34">
        <v>0</v>
      </c>
      <c r="F198" s="36" t="s">
        <v>44</v>
      </c>
    </row>
    <row r="199" spans="1:6" s="28" customFormat="1" ht="12.75" x14ac:dyDescent="0.25">
      <c r="A199" s="32"/>
      <c r="B199" s="32"/>
      <c r="C199" s="33"/>
      <c r="D199" s="32" t="e">
        <f>VLOOKUP(E199,'ADE EOS CC list'!A:E,5,0)</f>
        <v>#N/A</v>
      </c>
      <c r="E199" s="32">
        <v>0</v>
      </c>
      <c r="F199" s="33" t="s">
        <v>1190</v>
      </c>
    </row>
    <row r="200" spans="1:6" s="28" customFormat="1" ht="12.75" x14ac:dyDescent="0.25">
      <c r="A200" s="32"/>
      <c r="B200" s="32"/>
      <c r="C200" s="33"/>
      <c r="D200" s="32" t="e">
        <f>VLOOKUP(E200,'ADE EOS CC list'!A:E,5,0)</f>
        <v>#N/A</v>
      </c>
      <c r="E200" s="32">
        <v>0</v>
      </c>
      <c r="F200" s="33" t="s">
        <v>1251</v>
      </c>
    </row>
    <row r="201" spans="1:6" s="28" customFormat="1" ht="12.75" x14ac:dyDescent="0.25">
      <c r="A201" s="32"/>
      <c r="B201" s="32"/>
      <c r="C201" s="33"/>
      <c r="D201" s="32" t="e">
        <f>VLOOKUP(E201,'ADE EOS CC list'!A:E,5,0)</f>
        <v>#N/A</v>
      </c>
      <c r="E201" s="32">
        <v>0</v>
      </c>
      <c r="F201" s="33" t="s">
        <v>1196</v>
      </c>
    </row>
    <row r="202" spans="1:6" s="28" customFormat="1" ht="12.75" x14ac:dyDescent="0.25">
      <c r="A202" s="32"/>
      <c r="B202" s="32"/>
      <c r="C202" s="33"/>
      <c r="D202" s="32" t="e">
        <f>VLOOKUP(E202,'ADE EOS CC list'!A:E,5,0)</f>
        <v>#N/A</v>
      </c>
      <c r="E202" s="32">
        <v>0</v>
      </c>
      <c r="F202" s="33" t="s">
        <v>78</v>
      </c>
    </row>
    <row r="203" spans="1:6" s="28" customFormat="1" ht="12.75" x14ac:dyDescent="0.25">
      <c r="A203" s="51"/>
      <c r="B203" s="32"/>
      <c r="C203" s="33"/>
      <c r="D203" s="32" t="e">
        <f>VLOOKUP(E203,'ADE EOS CC list'!A:E,5,0)</f>
        <v>#N/A</v>
      </c>
      <c r="E203" s="32">
        <v>0</v>
      </c>
      <c r="F203" s="33" t="s">
        <v>1109</v>
      </c>
    </row>
    <row r="204" spans="1:6" s="2" customFormat="1" ht="12.75" x14ac:dyDescent="0.2">
      <c r="A204" s="34"/>
      <c r="B204" s="34"/>
      <c r="C204" s="36"/>
      <c r="D204" s="35" t="s">
        <v>19856</v>
      </c>
      <c r="E204" s="34">
        <v>9661</v>
      </c>
      <c r="F204" s="36" t="s">
        <v>1064</v>
      </c>
    </row>
    <row r="205" spans="1:6" s="28" customFormat="1" ht="12.75" x14ac:dyDescent="0.25">
      <c r="A205" s="32"/>
      <c r="B205" s="32"/>
      <c r="C205" s="33"/>
      <c r="D205" s="32"/>
      <c r="E205" s="32"/>
      <c r="F205" s="33" t="s">
        <v>62</v>
      </c>
    </row>
    <row r="206" spans="1:6" s="31" customFormat="1" ht="12.75" x14ac:dyDescent="0.25">
      <c r="A206" s="32"/>
      <c r="B206" s="32"/>
      <c r="C206" s="33"/>
      <c r="D206" s="32" t="e">
        <f>VLOOKUP(E206,'ADE EOS CC list'!A:E,5,0)</f>
        <v>#N/A</v>
      </c>
      <c r="E206" s="32">
        <v>0</v>
      </c>
      <c r="F206" s="33" t="s">
        <v>1245</v>
      </c>
    </row>
    <row r="207" spans="1:6" s="28" customFormat="1" ht="25.5" x14ac:dyDescent="0.25">
      <c r="A207" s="32"/>
      <c r="B207" s="32"/>
      <c r="C207" s="33"/>
      <c r="D207" s="32" t="e">
        <f>#REF!</f>
        <v>#REF!</v>
      </c>
      <c r="E207" s="32">
        <v>0</v>
      </c>
      <c r="F207" s="33" t="s">
        <v>1083</v>
      </c>
    </row>
    <row r="208" spans="1:6" s="28" customFormat="1" ht="12.75" x14ac:dyDescent="0.25">
      <c r="A208" s="32"/>
      <c r="B208" s="32"/>
      <c r="C208" s="33"/>
      <c r="D208" s="32" t="e">
        <f>#REF!</f>
        <v>#REF!</v>
      </c>
      <c r="E208" s="32">
        <v>0</v>
      </c>
      <c r="F208" s="33" t="s">
        <v>1091</v>
      </c>
    </row>
    <row r="209" spans="1:6" s="28" customFormat="1" ht="12.75" x14ac:dyDescent="0.25">
      <c r="A209" s="32"/>
      <c r="B209" s="32"/>
      <c r="C209" s="33"/>
      <c r="D209" s="32" t="e">
        <f>VLOOKUP(E209,'ADE EOS CC list'!A:E,5,0)</f>
        <v>#N/A</v>
      </c>
      <c r="E209" s="32">
        <v>0</v>
      </c>
      <c r="F209" s="33" t="s">
        <v>81</v>
      </c>
    </row>
    <row r="210" spans="1:6" x14ac:dyDescent="0.25">
      <c r="A210" s="57"/>
      <c r="B210" s="57"/>
      <c r="C210" s="58"/>
      <c r="D210" s="57"/>
      <c r="E210" s="57"/>
      <c r="F210" s="58"/>
    </row>
    <row r="211" spans="1:6" x14ac:dyDescent="0.25">
      <c r="A211" s="57"/>
      <c r="B211" s="57"/>
      <c r="C211" s="58"/>
      <c r="D211" s="57"/>
      <c r="E211" s="57"/>
      <c r="F211" s="58"/>
    </row>
  </sheetData>
  <sortState xmlns:xlrd2="http://schemas.microsoft.com/office/spreadsheetml/2017/richdata2" ref="A2:C196">
    <sortCondition ref="C2:C196"/>
  </sortState>
  <mergeCells count="1">
    <mergeCell ref="C134:E1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57D3-4B21-4E12-9939-4B09DBF0BB07}">
  <sheetPr>
    <tabColor theme="0"/>
  </sheetPr>
  <dimension ref="A1:H296"/>
  <sheetViews>
    <sheetView workbookViewId="0">
      <selection activeCell="C20" sqref="C20"/>
    </sheetView>
  </sheetViews>
  <sheetFormatPr defaultColWidth="9.140625" defaultRowHeight="12.75" x14ac:dyDescent="0.2"/>
  <cols>
    <col min="1" max="1" width="12.7109375" style="2" bestFit="1" customWidth="1"/>
    <col min="2" max="2" width="12.140625" style="2" bestFit="1" customWidth="1"/>
    <col min="3" max="3" width="69.140625" style="2" bestFit="1" customWidth="1"/>
    <col min="4" max="4" width="65" style="2" bestFit="1" customWidth="1"/>
    <col min="5" max="5" width="32.140625" style="2" bestFit="1" customWidth="1"/>
    <col min="6" max="6" width="15.140625" style="2" bestFit="1" customWidth="1"/>
    <col min="7" max="7" width="6.140625" style="2" bestFit="1" customWidth="1"/>
    <col min="8" max="8" width="6" style="2" bestFit="1" customWidth="1"/>
    <col min="9" max="16384" width="9.140625" style="2"/>
  </cols>
  <sheetData>
    <row r="1" spans="1:8" x14ac:dyDescent="0.2">
      <c r="A1" s="1" t="s">
        <v>355</v>
      </c>
      <c r="B1" s="1" t="s">
        <v>356</v>
      </c>
      <c r="C1" s="1" t="s">
        <v>310</v>
      </c>
      <c r="D1" s="1" t="s">
        <v>357</v>
      </c>
      <c r="E1" s="1" t="s">
        <v>358</v>
      </c>
      <c r="F1" s="1" t="s">
        <v>359</v>
      </c>
      <c r="G1" s="1" t="s">
        <v>360</v>
      </c>
      <c r="H1" s="1" t="s">
        <v>204</v>
      </c>
    </row>
    <row r="2" spans="1:8" x14ac:dyDescent="0.2">
      <c r="A2" s="2">
        <v>4510</v>
      </c>
      <c r="B2" s="2">
        <v>6196</v>
      </c>
      <c r="C2" s="2" t="s">
        <v>361</v>
      </c>
      <c r="D2" s="2" t="s">
        <v>362</v>
      </c>
      <c r="E2" s="2" t="s">
        <v>363</v>
      </c>
      <c r="F2" s="2" t="s">
        <v>364</v>
      </c>
      <c r="G2" s="2" t="s">
        <v>207</v>
      </c>
      <c r="H2" s="2" t="s">
        <v>365</v>
      </c>
    </row>
    <row r="3" spans="1:8" x14ac:dyDescent="0.2">
      <c r="A3" s="2">
        <v>4514</v>
      </c>
      <c r="B3" s="2">
        <v>6202</v>
      </c>
      <c r="C3" s="2" t="s">
        <v>366</v>
      </c>
      <c r="D3" s="2" t="s">
        <v>367</v>
      </c>
      <c r="E3" s="2" t="s">
        <v>368</v>
      </c>
      <c r="F3" s="2" t="s">
        <v>369</v>
      </c>
      <c r="G3" s="2" t="s">
        <v>207</v>
      </c>
      <c r="H3" s="2" t="s">
        <v>370</v>
      </c>
    </row>
    <row r="4" spans="1:8" x14ac:dyDescent="0.2">
      <c r="A4" s="2">
        <v>4369</v>
      </c>
      <c r="B4" s="2">
        <v>5566</v>
      </c>
      <c r="C4" s="2" t="s">
        <v>371</v>
      </c>
      <c r="D4" s="2" t="s">
        <v>372</v>
      </c>
      <c r="E4" s="2" t="s">
        <v>373</v>
      </c>
      <c r="F4" s="2" t="s">
        <v>374</v>
      </c>
      <c r="G4" s="2" t="s">
        <v>207</v>
      </c>
      <c r="H4" s="2" t="s">
        <v>375</v>
      </c>
    </row>
    <row r="5" spans="1:8" x14ac:dyDescent="0.2">
      <c r="A5" s="2">
        <v>4280</v>
      </c>
      <c r="B5" s="2">
        <v>5384</v>
      </c>
      <c r="C5" s="2" t="s">
        <v>376</v>
      </c>
      <c r="D5" s="2" t="s">
        <v>377</v>
      </c>
      <c r="E5" s="2" t="s">
        <v>378</v>
      </c>
      <c r="F5" s="2" t="s">
        <v>379</v>
      </c>
      <c r="G5" s="2" t="s">
        <v>207</v>
      </c>
      <c r="H5" s="2" t="s">
        <v>293</v>
      </c>
    </row>
    <row r="6" spans="1:8" x14ac:dyDescent="0.2">
      <c r="A6" s="2">
        <v>4412</v>
      </c>
      <c r="B6" s="2">
        <v>5846</v>
      </c>
      <c r="C6" s="2" t="s">
        <v>380</v>
      </c>
      <c r="D6" s="2" t="s">
        <v>381</v>
      </c>
      <c r="E6" s="2" t="s">
        <v>382</v>
      </c>
      <c r="F6" s="2" t="s">
        <v>383</v>
      </c>
      <c r="G6" s="2" t="s">
        <v>207</v>
      </c>
      <c r="H6" s="2" t="s">
        <v>384</v>
      </c>
    </row>
    <row r="7" spans="1:8" x14ac:dyDescent="0.2">
      <c r="A7" s="2">
        <v>4412</v>
      </c>
      <c r="B7" s="2">
        <v>5844</v>
      </c>
      <c r="C7" s="2" t="s">
        <v>380</v>
      </c>
      <c r="D7" s="2" t="s">
        <v>385</v>
      </c>
      <c r="E7" s="2" t="s">
        <v>386</v>
      </c>
      <c r="F7" s="2" t="s">
        <v>387</v>
      </c>
      <c r="G7" s="2" t="s">
        <v>207</v>
      </c>
      <c r="H7" s="2" t="s">
        <v>384</v>
      </c>
    </row>
    <row r="8" spans="1:8" x14ac:dyDescent="0.2">
      <c r="A8" s="2">
        <v>4470</v>
      </c>
      <c r="B8" s="2">
        <v>6099</v>
      </c>
      <c r="C8" s="2" t="s">
        <v>388</v>
      </c>
      <c r="D8" s="2" t="s">
        <v>389</v>
      </c>
      <c r="E8" s="2" t="s">
        <v>390</v>
      </c>
      <c r="F8" s="2" t="s">
        <v>391</v>
      </c>
      <c r="G8" s="2" t="s">
        <v>207</v>
      </c>
      <c r="H8" s="2" t="s">
        <v>392</v>
      </c>
    </row>
    <row r="9" spans="1:8" x14ac:dyDescent="0.2">
      <c r="A9" s="2">
        <v>4449</v>
      </c>
      <c r="B9" s="2">
        <v>5943</v>
      </c>
      <c r="C9" s="2" t="s">
        <v>393</v>
      </c>
      <c r="D9" s="2" t="s">
        <v>394</v>
      </c>
      <c r="E9" s="2" t="s">
        <v>395</v>
      </c>
      <c r="F9" s="2" t="s">
        <v>396</v>
      </c>
      <c r="G9" s="2" t="s">
        <v>207</v>
      </c>
      <c r="H9" s="2" t="s">
        <v>397</v>
      </c>
    </row>
    <row r="10" spans="1:8" x14ac:dyDescent="0.2">
      <c r="A10" s="2">
        <v>4449</v>
      </c>
      <c r="B10" s="2">
        <v>5944</v>
      </c>
      <c r="C10" s="2" t="s">
        <v>393</v>
      </c>
      <c r="D10" s="2" t="s">
        <v>398</v>
      </c>
      <c r="E10" s="2" t="s">
        <v>395</v>
      </c>
      <c r="F10" s="2" t="s">
        <v>396</v>
      </c>
      <c r="G10" s="2" t="s">
        <v>207</v>
      </c>
      <c r="H10" s="2" t="s">
        <v>397</v>
      </c>
    </row>
    <row r="11" spans="1:8" x14ac:dyDescent="0.2">
      <c r="A11" s="2">
        <v>4197</v>
      </c>
      <c r="B11" s="2">
        <v>4834</v>
      </c>
      <c r="C11" s="2" t="s">
        <v>399</v>
      </c>
      <c r="D11" s="2" t="s">
        <v>400</v>
      </c>
      <c r="E11" s="2" t="s">
        <v>401</v>
      </c>
      <c r="F11" s="2" t="s">
        <v>402</v>
      </c>
      <c r="G11" s="2" t="s">
        <v>207</v>
      </c>
      <c r="H11" s="2" t="s">
        <v>403</v>
      </c>
    </row>
    <row r="12" spans="1:8" x14ac:dyDescent="0.2">
      <c r="A12" s="2">
        <v>4197</v>
      </c>
      <c r="B12" s="2">
        <v>4833</v>
      </c>
      <c r="C12" s="2" t="s">
        <v>399</v>
      </c>
      <c r="D12" s="2" t="s">
        <v>404</v>
      </c>
      <c r="E12" s="2" t="s">
        <v>405</v>
      </c>
      <c r="F12" s="2" t="s">
        <v>406</v>
      </c>
      <c r="G12" s="2" t="s">
        <v>207</v>
      </c>
      <c r="H12" s="2" t="s">
        <v>261</v>
      </c>
    </row>
    <row r="13" spans="1:8" x14ac:dyDescent="0.2">
      <c r="A13" s="2">
        <v>4197</v>
      </c>
      <c r="B13" s="2">
        <v>4835</v>
      </c>
      <c r="C13" s="2" t="s">
        <v>399</v>
      </c>
      <c r="D13" s="2" t="s">
        <v>407</v>
      </c>
      <c r="E13" s="2" t="s">
        <v>408</v>
      </c>
      <c r="F13" s="2" t="s">
        <v>406</v>
      </c>
      <c r="G13" s="2" t="s">
        <v>207</v>
      </c>
      <c r="H13" s="2" t="s">
        <v>261</v>
      </c>
    </row>
    <row r="14" spans="1:8" x14ac:dyDescent="0.2">
      <c r="A14" s="2">
        <v>4197</v>
      </c>
      <c r="B14" s="2">
        <v>4837</v>
      </c>
      <c r="C14" s="2" t="s">
        <v>399</v>
      </c>
      <c r="D14" s="2" t="s">
        <v>409</v>
      </c>
      <c r="E14" s="2" t="s">
        <v>410</v>
      </c>
      <c r="F14" s="2" t="s">
        <v>406</v>
      </c>
      <c r="G14" s="2" t="s">
        <v>207</v>
      </c>
      <c r="H14" s="2" t="s">
        <v>261</v>
      </c>
    </row>
    <row r="15" spans="1:8" x14ac:dyDescent="0.2">
      <c r="A15" s="2">
        <v>4457</v>
      </c>
      <c r="B15" s="2">
        <v>6071</v>
      </c>
      <c r="C15" s="2" t="s">
        <v>344</v>
      </c>
      <c r="D15" s="2" t="s">
        <v>411</v>
      </c>
      <c r="E15" s="2" t="s">
        <v>412</v>
      </c>
      <c r="F15" s="2" t="s">
        <v>413</v>
      </c>
      <c r="G15" s="2" t="s">
        <v>207</v>
      </c>
      <c r="H15" s="2" t="s">
        <v>288</v>
      </c>
    </row>
    <row r="16" spans="1:8" x14ac:dyDescent="0.2">
      <c r="A16" s="2">
        <v>4210</v>
      </c>
      <c r="B16" s="2">
        <v>89776</v>
      </c>
      <c r="C16" s="2" t="s">
        <v>414</v>
      </c>
      <c r="D16" s="2" t="s">
        <v>415</v>
      </c>
      <c r="E16" s="2" t="s">
        <v>416</v>
      </c>
      <c r="F16" s="2" t="s">
        <v>417</v>
      </c>
      <c r="G16" s="2" t="s">
        <v>207</v>
      </c>
      <c r="H16" s="2" t="s">
        <v>418</v>
      </c>
    </row>
    <row r="17" spans="1:8" x14ac:dyDescent="0.2">
      <c r="A17" s="2">
        <v>4210</v>
      </c>
      <c r="B17" s="2">
        <v>5989</v>
      </c>
      <c r="C17" s="2" t="s">
        <v>414</v>
      </c>
      <c r="D17" s="2" t="s">
        <v>419</v>
      </c>
      <c r="E17" s="2" t="s">
        <v>420</v>
      </c>
      <c r="F17" s="2" t="s">
        <v>417</v>
      </c>
      <c r="G17" s="2" t="s">
        <v>207</v>
      </c>
      <c r="H17" s="2" t="s">
        <v>418</v>
      </c>
    </row>
    <row r="18" spans="1:8" x14ac:dyDescent="0.2">
      <c r="A18" s="2">
        <v>4396</v>
      </c>
      <c r="B18" s="2">
        <v>5642</v>
      </c>
      <c r="C18" s="2" t="s">
        <v>421</v>
      </c>
      <c r="D18" s="2" t="s">
        <v>422</v>
      </c>
      <c r="E18" s="2" t="s">
        <v>423</v>
      </c>
      <c r="F18" s="2" t="s">
        <v>424</v>
      </c>
      <c r="G18" s="2" t="s">
        <v>207</v>
      </c>
      <c r="H18" s="2" t="s">
        <v>232</v>
      </c>
    </row>
    <row r="19" spans="1:8" x14ac:dyDescent="0.2">
      <c r="A19" s="2">
        <v>4390</v>
      </c>
      <c r="B19" s="2">
        <v>5612</v>
      </c>
      <c r="C19" s="2" t="s">
        <v>312</v>
      </c>
      <c r="D19" s="2" t="s">
        <v>425</v>
      </c>
      <c r="E19" s="2" t="s">
        <v>426</v>
      </c>
      <c r="F19" s="2" t="s">
        <v>427</v>
      </c>
      <c r="G19" s="2" t="s">
        <v>207</v>
      </c>
      <c r="H19" s="2" t="s">
        <v>211</v>
      </c>
    </row>
    <row r="20" spans="1:8" x14ac:dyDescent="0.2">
      <c r="A20" s="2">
        <v>4390</v>
      </c>
      <c r="B20" s="2">
        <v>5611</v>
      </c>
      <c r="C20" s="2" t="s">
        <v>312</v>
      </c>
      <c r="D20" s="2" t="s">
        <v>428</v>
      </c>
      <c r="E20" s="2" t="s">
        <v>426</v>
      </c>
      <c r="F20" s="2" t="s">
        <v>427</v>
      </c>
      <c r="G20" s="2" t="s">
        <v>207</v>
      </c>
      <c r="H20" s="2" t="s">
        <v>211</v>
      </c>
    </row>
    <row r="21" spans="1:8" x14ac:dyDescent="0.2">
      <c r="A21" s="2">
        <v>4395</v>
      </c>
      <c r="B21" s="2">
        <v>5638</v>
      </c>
      <c r="C21" s="2" t="s">
        <v>429</v>
      </c>
      <c r="D21" s="2" t="s">
        <v>430</v>
      </c>
      <c r="E21" s="2" t="s">
        <v>431</v>
      </c>
      <c r="F21" s="2" t="s">
        <v>432</v>
      </c>
      <c r="G21" s="2" t="s">
        <v>207</v>
      </c>
      <c r="H21" s="2" t="s">
        <v>433</v>
      </c>
    </row>
    <row r="22" spans="1:8" x14ac:dyDescent="0.2">
      <c r="A22" s="2">
        <v>4389</v>
      </c>
      <c r="B22" s="2">
        <v>79377</v>
      </c>
      <c r="C22" s="2" t="s">
        <v>434</v>
      </c>
      <c r="D22" s="2" t="s">
        <v>435</v>
      </c>
      <c r="E22" s="2" t="s">
        <v>436</v>
      </c>
      <c r="F22" s="2" t="s">
        <v>437</v>
      </c>
      <c r="G22" s="2" t="s">
        <v>207</v>
      </c>
      <c r="H22" s="2" t="s">
        <v>438</v>
      </c>
    </row>
    <row r="23" spans="1:8" x14ac:dyDescent="0.2">
      <c r="A23" s="2">
        <v>4394</v>
      </c>
      <c r="B23" s="2">
        <v>79698</v>
      </c>
      <c r="C23" s="2" t="s">
        <v>439</v>
      </c>
      <c r="D23" s="2" t="s">
        <v>440</v>
      </c>
      <c r="E23" s="2" t="s">
        <v>441</v>
      </c>
      <c r="F23" s="2" t="s">
        <v>442</v>
      </c>
      <c r="G23" s="2" t="s">
        <v>207</v>
      </c>
      <c r="H23" s="2" t="s">
        <v>443</v>
      </c>
    </row>
    <row r="24" spans="1:8" x14ac:dyDescent="0.2">
      <c r="A24" s="2">
        <v>4394</v>
      </c>
      <c r="B24" s="2">
        <v>5635</v>
      </c>
      <c r="C24" s="2" t="s">
        <v>439</v>
      </c>
      <c r="D24" s="2" t="s">
        <v>444</v>
      </c>
      <c r="E24" s="2" t="s">
        <v>445</v>
      </c>
      <c r="F24" s="2" t="s">
        <v>442</v>
      </c>
      <c r="G24" s="2" t="s">
        <v>207</v>
      </c>
      <c r="H24" s="2" t="s">
        <v>443</v>
      </c>
    </row>
    <row r="25" spans="1:8" x14ac:dyDescent="0.2">
      <c r="A25" s="2">
        <v>4394</v>
      </c>
      <c r="B25" s="2">
        <v>5636</v>
      </c>
      <c r="C25" s="2" t="s">
        <v>439</v>
      </c>
      <c r="D25" s="2" t="s">
        <v>446</v>
      </c>
      <c r="E25" s="2" t="s">
        <v>447</v>
      </c>
      <c r="F25" s="2" t="s">
        <v>442</v>
      </c>
      <c r="G25" s="2" t="s">
        <v>207</v>
      </c>
      <c r="H25" s="2" t="s">
        <v>443</v>
      </c>
    </row>
    <row r="26" spans="1:8" x14ac:dyDescent="0.2">
      <c r="A26" s="2">
        <v>4157</v>
      </c>
      <c r="B26" s="2">
        <v>4725</v>
      </c>
      <c r="C26" s="2" t="s">
        <v>448</v>
      </c>
      <c r="D26" s="2" t="s">
        <v>449</v>
      </c>
      <c r="E26" s="2" t="s">
        <v>450</v>
      </c>
      <c r="F26" s="2" t="s">
        <v>451</v>
      </c>
      <c r="G26" s="2" t="s">
        <v>207</v>
      </c>
      <c r="H26" s="2" t="s">
        <v>238</v>
      </c>
    </row>
    <row r="27" spans="1:8" x14ac:dyDescent="0.2">
      <c r="A27" s="2">
        <v>4157</v>
      </c>
      <c r="B27" s="2">
        <v>4727</v>
      </c>
      <c r="C27" s="2" t="s">
        <v>448</v>
      </c>
      <c r="D27" s="2" t="s">
        <v>452</v>
      </c>
      <c r="E27" s="2" t="s">
        <v>450</v>
      </c>
      <c r="F27" s="2" t="s">
        <v>451</v>
      </c>
      <c r="G27" s="2" t="s">
        <v>207</v>
      </c>
      <c r="H27" s="2" t="s">
        <v>238</v>
      </c>
    </row>
    <row r="28" spans="1:8" x14ac:dyDescent="0.2">
      <c r="A28" s="2">
        <v>4160</v>
      </c>
      <c r="B28" s="2">
        <v>4742</v>
      </c>
      <c r="C28" s="2" t="s">
        <v>453</v>
      </c>
      <c r="D28" s="2" t="s">
        <v>454</v>
      </c>
      <c r="E28" s="2" t="s">
        <v>455</v>
      </c>
      <c r="F28" s="2" t="s">
        <v>456</v>
      </c>
      <c r="G28" s="2" t="s">
        <v>207</v>
      </c>
      <c r="H28" s="2" t="s">
        <v>457</v>
      </c>
    </row>
    <row r="29" spans="1:8" x14ac:dyDescent="0.2">
      <c r="A29" s="2">
        <v>4158</v>
      </c>
      <c r="B29" s="2">
        <v>4734</v>
      </c>
      <c r="C29" s="2" t="s">
        <v>318</v>
      </c>
      <c r="D29" s="2" t="s">
        <v>458</v>
      </c>
      <c r="E29" s="2" t="s">
        <v>459</v>
      </c>
      <c r="F29" s="2" t="s">
        <v>460</v>
      </c>
      <c r="G29" s="2" t="s">
        <v>207</v>
      </c>
      <c r="H29" s="2" t="s">
        <v>265</v>
      </c>
    </row>
    <row r="30" spans="1:8" x14ac:dyDescent="0.2">
      <c r="A30" s="2">
        <v>4158</v>
      </c>
      <c r="B30" s="2">
        <v>4733</v>
      </c>
      <c r="C30" s="2" t="s">
        <v>318</v>
      </c>
      <c r="D30" s="2" t="s">
        <v>461</v>
      </c>
      <c r="E30" s="2" t="s">
        <v>462</v>
      </c>
      <c r="F30" s="2" t="s">
        <v>463</v>
      </c>
      <c r="G30" s="2" t="s">
        <v>207</v>
      </c>
      <c r="H30" s="2" t="s">
        <v>228</v>
      </c>
    </row>
    <row r="31" spans="1:8" x14ac:dyDescent="0.2">
      <c r="A31" s="2">
        <v>4158</v>
      </c>
      <c r="B31" s="2">
        <v>4736</v>
      </c>
      <c r="C31" s="2" t="s">
        <v>318</v>
      </c>
      <c r="D31" s="2" t="s">
        <v>464</v>
      </c>
      <c r="E31" s="2" t="s">
        <v>462</v>
      </c>
      <c r="F31" s="2" t="s">
        <v>463</v>
      </c>
      <c r="G31" s="2" t="s">
        <v>207</v>
      </c>
      <c r="H31" s="2" t="s">
        <v>228</v>
      </c>
    </row>
    <row r="32" spans="1:8" x14ac:dyDescent="0.2">
      <c r="A32" s="2">
        <v>4158</v>
      </c>
      <c r="B32" s="2">
        <v>4731</v>
      </c>
      <c r="C32" s="2" t="s">
        <v>318</v>
      </c>
      <c r="D32" s="2" t="s">
        <v>465</v>
      </c>
      <c r="E32" s="2" t="s">
        <v>466</v>
      </c>
      <c r="F32" s="2" t="s">
        <v>463</v>
      </c>
      <c r="G32" s="2" t="s">
        <v>207</v>
      </c>
      <c r="H32" s="2" t="s">
        <v>228</v>
      </c>
    </row>
    <row r="33" spans="1:8" x14ac:dyDescent="0.2">
      <c r="A33" s="2">
        <v>4159</v>
      </c>
      <c r="B33" s="2">
        <v>4739</v>
      </c>
      <c r="C33" s="2" t="s">
        <v>325</v>
      </c>
      <c r="D33" s="2" t="s">
        <v>467</v>
      </c>
      <c r="E33" s="2" t="s">
        <v>468</v>
      </c>
      <c r="F33" s="2" t="s">
        <v>469</v>
      </c>
      <c r="G33" s="2" t="s">
        <v>207</v>
      </c>
      <c r="H33" s="2" t="s">
        <v>470</v>
      </c>
    </row>
    <row r="34" spans="1:8" x14ac:dyDescent="0.2">
      <c r="A34" s="2">
        <v>4156</v>
      </c>
      <c r="B34" s="2">
        <v>4723</v>
      </c>
      <c r="C34" s="2" t="s">
        <v>314</v>
      </c>
      <c r="D34" s="2" t="s">
        <v>471</v>
      </c>
      <c r="E34" s="2" t="s">
        <v>472</v>
      </c>
      <c r="F34" s="2" t="s">
        <v>473</v>
      </c>
      <c r="G34" s="2" t="s">
        <v>207</v>
      </c>
      <c r="H34" s="2" t="s">
        <v>217</v>
      </c>
    </row>
    <row r="35" spans="1:8" x14ac:dyDescent="0.2">
      <c r="A35" s="2">
        <v>4158</v>
      </c>
      <c r="B35" s="2">
        <v>4735</v>
      </c>
      <c r="C35" s="2" t="s">
        <v>318</v>
      </c>
      <c r="D35" s="2" t="s">
        <v>474</v>
      </c>
      <c r="E35" s="2" t="s">
        <v>475</v>
      </c>
      <c r="F35" s="2" t="s">
        <v>476</v>
      </c>
      <c r="G35" s="2" t="s">
        <v>207</v>
      </c>
      <c r="H35" s="2" t="s">
        <v>236</v>
      </c>
    </row>
    <row r="36" spans="1:8" x14ac:dyDescent="0.2">
      <c r="A36" s="2">
        <v>4154</v>
      </c>
      <c r="B36" s="2">
        <v>4714</v>
      </c>
      <c r="C36" s="2" t="s">
        <v>327</v>
      </c>
      <c r="D36" s="2" t="s">
        <v>477</v>
      </c>
      <c r="E36" s="2" t="s">
        <v>478</v>
      </c>
      <c r="F36" s="2" t="s">
        <v>479</v>
      </c>
      <c r="G36" s="2" t="s">
        <v>207</v>
      </c>
      <c r="H36" s="2" t="s">
        <v>247</v>
      </c>
    </row>
    <row r="37" spans="1:8" x14ac:dyDescent="0.2">
      <c r="A37" s="2">
        <v>4159</v>
      </c>
      <c r="B37" s="2">
        <v>4738</v>
      </c>
      <c r="C37" s="2" t="s">
        <v>325</v>
      </c>
      <c r="D37" s="2" t="s">
        <v>480</v>
      </c>
      <c r="E37" s="2" t="s">
        <v>481</v>
      </c>
      <c r="F37" s="2" t="s">
        <v>482</v>
      </c>
      <c r="G37" s="2" t="s">
        <v>207</v>
      </c>
      <c r="H37" s="2" t="s">
        <v>242</v>
      </c>
    </row>
    <row r="38" spans="1:8" x14ac:dyDescent="0.2">
      <c r="A38" s="2">
        <v>4154</v>
      </c>
      <c r="B38" s="2">
        <v>4716</v>
      </c>
      <c r="C38" s="2" t="s">
        <v>327</v>
      </c>
      <c r="D38" s="2" t="s">
        <v>483</v>
      </c>
      <c r="E38" s="2" t="s">
        <v>484</v>
      </c>
      <c r="F38" s="2" t="s">
        <v>479</v>
      </c>
      <c r="G38" s="2" t="s">
        <v>207</v>
      </c>
      <c r="H38" s="2" t="s">
        <v>247</v>
      </c>
    </row>
    <row r="39" spans="1:8" x14ac:dyDescent="0.2">
      <c r="A39" s="2">
        <v>4154</v>
      </c>
      <c r="B39" s="2">
        <v>85882</v>
      </c>
      <c r="C39" s="2" t="s">
        <v>327</v>
      </c>
      <c r="D39" s="2" t="s">
        <v>485</v>
      </c>
      <c r="E39" s="2" t="s">
        <v>486</v>
      </c>
      <c r="F39" s="2" t="s">
        <v>487</v>
      </c>
      <c r="G39" s="2" t="s">
        <v>207</v>
      </c>
      <c r="H39" s="2" t="s">
        <v>488</v>
      </c>
    </row>
    <row r="40" spans="1:8" x14ac:dyDescent="0.2">
      <c r="A40" s="2">
        <v>4157</v>
      </c>
      <c r="B40" s="2">
        <v>4726</v>
      </c>
      <c r="C40" s="2" t="s">
        <v>448</v>
      </c>
      <c r="D40" s="2" t="s">
        <v>489</v>
      </c>
      <c r="E40" s="2" t="s">
        <v>450</v>
      </c>
      <c r="F40" s="2" t="s">
        <v>451</v>
      </c>
      <c r="G40" s="2" t="s">
        <v>207</v>
      </c>
      <c r="H40" s="2" t="s">
        <v>238</v>
      </c>
    </row>
    <row r="41" spans="1:8" x14ac:dyDescent="0.2">
      <c r="A41" s="2">
        <v>4412</v>
      </c>
      <c r="B41" s="2">
        <v>948673</v>
      </c>
      <c r="C41" s="2" t="s">
        <v>380</v>
      </c>
      <c r="D41" s="2" t="s">
        <v>490</v>
      </c>
      <c r="E41" s="2" t="s">
        <v>491</v>
      </c>
      <c r="F41" s="2" t="s">
        <v>387</v>
      </c>
      <c r="G41" s="2" t="s">
        <v>207</v>
      </c>
      <c r="H41" s="2" t="s">
        <v>384</v>
      </c>
    </row>
    <row r="42" spans="1:8" x14ac:dyDescent="0.2">
      <c r="A42" s="2">
        <v>92985</v>
      </c>
      <c r="B42" s="2">
        <v>829726</v>
      </c>
      <c r="C42" s="2" t="s">
        <v>492</v>
      </c>
      <c r="D42" s="2" t="s">
        <v>493</v>
      </c>
      <c r="E42" s="2" t="s">
        <v>494</v>
      </c>
      <c r="F42" s="2" t="s">
        <v>495</v>
      </c>
      <c r="G42" s="2" t="s">
        <v>207</v>
      </c>
      <c r="H42" s="2" t="s">
        <v>262</v>
      </c>
    </row>
    <row r="43" spans="1:8" x14ac:dyDescent="0.2">
      <c r="A43" s="2">
        <v>4505</v>
      </c>
      <c r="B43" s="2">
        <v>6184</v>
      </c>
      <c r="C43" s="2" t="s">
        <v>354</v>
      </c>
      <c r="D43" s="2" t="s">
        <v>497</v>
      </c>
      <c r="E43" s="2" t="s">
        <v>498</v>
      </c>
      <c r="F43" s="2" t="s">
        <v>499</v>
      </c>
      <c r="G43" s="2" t="s">
        <v>207</v>
      </c>
      <c r="H43" s="2" t="s">
        <v>308</v>
      </c>
    </row>
    <row r="44" spans="1:8" x14ac:dyDescent="0.2">
      <c r="A44" s="2">
        <v>4505</v>
      </c>
      <c r="B44" s="2">
        <v>6185</v>
      </c>
      <c r="C44" s="2" t="s">
        <v>354</v>
      </c>
      <c r="D44" s="2" t="s">
        <v>500</v>
      </c>
      <c r="E44" s="2" t="s">
        <v>501</v>
      </c>
      <c r="F44" s="2" t="s">
        <v>499</v>
      </c>
      <c r="G44" s="2" t="s">
        <v>207</v>
      </c>
      <c r="H44" s="2" t="s">
        <v>308</v>
      </c>
    </row>
    <row r="45" spans="1:8" x14ac:dyDescent="0.2">
      <c r="A45" s="2">
        <v>4505</v>
      </c>
      <c r="B45" s="2">
        <v>6187</v>
      </c>
      <c r="C45" s="2" t="s">
        <v>354</v>
      </c>
      <c r="D45" s="2" t="s">
        <v>502</v>
      </c>
      <c r="E45" s="2" t="s">
        <v>503</v>
      </c>
      <c r="F45" s="2" t="s">
        <v>499</v>
      </c>
      <c r="G45" s="2" t="s">
        <v>207</v>
      </c>
      <c r="H45" s="2" t="s">
        <v>308</v>
      </c>
    </row>
    <row r="46" spans="1:8" x14ac:dyDescent="0.2">
      <c r="A46" s="2">
        <v>4505</v>
      </c>
      <c r="B46" s="2">
        <v>6183</v>
      </c>
      <c r="C46" s="2" t="s">
        <v>354</v>
      </c>
      <c r="D46" s="2" t="s">
        <v>504</v>
      </c>
      <c r="E46" s="2" t="s">
        <v>505</v>
      </c>
      <c r="F46" s="2" t="s">
        <v>506</v>
      </c>
      <c r="G46" s="2" t="s">
        <v>207</v>
      </c>
      <c r="H46" s="2" t="s">
        <v>507</v>
      </c>
    </row>
    <row r="47" spans="1:8" x14ac:dyDescent="0.2">
      <c r="A47" s="2">
        <v>4501</v>
      </c>
      <c r="B47" s="2">
        <v>85834</v>
      </c>
      <c r="C47" s="2" t="s">
        <v>509</v>
      </c>
      <c r="D47" s="2" t="s">
        <v>510</v>
      </c>
      <c r="E47" s="2" t="s">
        <v>511</v>
      </c>
      <c r="F47" s="2" t="s">
        <v>496</v>
      </c>
      <c r="G47" s="2" t="s">
        <v>207</v>
      </c>
      <c r="H47" s="2" t="s">
        <v>512</v>
      </c>
    </row>
    <row r="48" spans="1:8" x14ac:dyDescent="0.2">
      <c r="A48" s="2">
        <v>4499</v>
      </c>
      <c r="B48" s="2">
        <v>6154</v>
      </c>
      <c r="C48" s="2" t="s">
        <v>513</v>
      </c>
      <c r="D48" s="2" t="s">
        <v>514</v>
      </c>
      <c r="E48" s="2" t="s">
        <v>515</v>
      </c>
      <c r="F48" s="2" t="s">
        <v>496</v>
      </c>
      <c r="G48" s="2" t="s">
        <v>207</v>
      </c>
      <c r="H48" s="2" t="s">
        <v>512</v>
      </c>
    </row>
    <row r="49" spans="1:8" x14ac:dyDescent="0.2">
      <c r="A49" s="2">
        <v>4499</v>
      </c>
      <c r="B49" s="2">
        <v>6148</v>
      </c>
      <c r="C49" s="2" t="s">
        <v>513</v>
      </c>
      <c r="D49" s="2" t="s">
        <v>516</v>
      </c>
      <c r="E49" s="2" t="s">
        <v>517</v>
      </c>
      <c r="F49" s="2" t="s">
        <v>496</v>
      </c>
      <c r="G49" s="2" t="s">
        <v>207</v>
      </c>
      <c r="H49" s="2" t="s">
        <v>512</v>
      </c>
    </row>
    <row r="50" spans="1:8" x14ac:dyDescent="0.2">
      <c r="A50" s="2">
        <v>4499</v>
      </c>
      <c r="B50" s="2">
        <v>6155</v>
      </c>
      <c r="C50" s="2" t="s">
        <v>513</v>
      </c>
      <c r="D50" s="2" t="s">
        <v>518</v>
      </c>
      <c r="E50" s="2" t="s">
        <v>519</v>
      </c>
      <c r="F50" s="2" t="s">
        <v>496</v>
      </c>
      <c r="G50" s="2" t="s">
        <v>207</v>
      </c>
      <c r="H50" s="2" t="s">
        <v>512</v>
      </c>
    </row>
    <row r="51" spans="1:8" x14ac:dyDescent="0.2">
      <c r="A51" s="2">
        <v>79598</v>
      </c>
      <c r="B51" s="2">
        <v>5575</v>
      </c>
      <c r="C51" s="2" t="s">
        <v>351</v>
      </c>
      <c r="D51" s="2" t="s">
        <v>520</v>
      </c>
      <c r="E51" s="2" t="s">
        <v>521</v>
      </c>
      <c r="F51" s="2" t="s">
        <v>522</v>
      </c>
      <c r="G51" s="2" t="s">
        <v>207</v>
      </c>
      <c r="H51" s="2" t="s">
        <v>523</v>
      </c>
    </row>
    <row r="52" spans="1:8" x14ac:dyDescent="0.2">
      <c r="A52" s="2">
        <v>4255</v>
      </c>
      <c r="B52" s="2">
        <v>5193</v>
      </c>
      <c r="C52" s="2" t="s">
        <v>336</v>
      </c>
      <c r="D52" s="2" t="s">
        <v>524</v>
      </c>
      <c r="E52" s="2" t="s">
        <v>525</v>
      </c>
      <c r="F52" s="2" t="s">
        <v>526</v>
      </c>
      <c r="G52" s="2" t="s">
        <v>207</v>
      </c>
      <c r="H52" s="2" t="s">
        <v>230</v>
      </c>
    </row>
    <row r="53" spans="1:8" x14ac:dyDescent="0.2">
      <c r="A53" s="2">
        <v>4238</v>
      </c>
      <c r="B53" s="2">
        <v>5018</v>
      </c>
      <c r="C53" s="2" t="s">
        <v>319</v>
      </c>
      <c r="D53" s="2" t="s">
        <v>528</v>
      </c>
      <c r="E53" s="2" t="s">
        <v>529</v>
      </c>
      <c r="F53" s="2" t="s">
        <v>526</v>
      </c>
      <c r="G53" s="2" t="s">
        <v>207</v>
      </c>
      <c r="H53" s="2" t="s">
        <v>230</v>
      </c>
    </row>
    <row r="54" spans="1:8" x14ac:dyDescent="0.2">
      <c r="A54" s="2">
        <v>4236</v>
      </c>
      <c r="B54" s="2">
        <v>6001</v>
      </c>
      <c r="C54" s="2" t="s">
        <v>530</v>
      </c>
      <c r="D54" s="2" t="s">
        <v>531</v>
      </c>
      <c r="E54" s="2" t="s">
        <v>532</v>
      </c>
      <c r="F54" s="2" t="s">
        <v>533</v>
      </c>
      <c r="G54" s="2" t="s">
        <v>207</v>
      </c>
      <c r="H54" s="2" t="s">
        <v>534</v>
      </c>
    </row>
    <row r="55" spans="1:8" x14ac:dyDescent="0.2">
      <c r="A55" s="2">
        <v>4269</v>
      </c>
      <c r="B55" s="2">
        <v>87473</v>
      </c>
      <c r="C55" s="2" t="s">
        <v>535</v>
      </c>
      <c r="D55" s="2" t="s">
        <v>536</v>
      </c>
      <c r="E55" s="2" t="s">
        <v>537</v>
      </c>
      <c r="F55" s="2" t="s">
        <v>527</v>
      </c>
      <c r="G55" s="2" t="s">
        <v>207</v>
      </c>
      <c r="H55" s="2" t="s">
        <v>538</v>
      </c>
    </row>
    <row r="56" spans="1:8" x14ac:dyDescent="0.2">
      <c r="A56" s="2">
        <v>4272</v>
      </c>
      <c r="B56" s="2">
        <v>5349</v>
      </c>
      <c r="C56" s="2" t="s">
        <v>342</v>
      </c>
      <c r="D56" s="2" t="s">
        <v>539</v>
      </c>
      <c r="E56" s="2" t="s">
        <v>540</v>
      </c>
      <c r="F56" s="2" t="s">
        <v>541</v>
      </c>
      <c r="G56" s="2" t="s">
        <v>207</v>
      </c>
      <c r="H56" s="2" t="s">
        <v>283</v>
      </c>
    </row>
    <row r="57" spans="1:8" x14ac:dyDescent="0.2">
      <c r="A57" s="2">
        <v>4272</v>
      </c>
      <c r="B57" s="2">
        <v>5348</v>
      </c>
      <c r="C57" s="2" t="s">
        <v>342</v>
      </c>
      <c r="D57" s="2" t="s">
        <v>542</v>
      </c>
      <c r="E57" s="2" t="s">
        <v>543</v>
      </c>
      <c r="F57" s="2" t="s">
        <v>544</v>
      </c>
      <c r="G57" s="2" t="s">
        <v>207</v>
      </c>
      <c r="H57" s="2" t="s">
        <v>545</v>
      </c>
    </row>
    <row r="58" spans="1:8" x14ac:dyDescent="0.2">
      <c r="A58" s="2">
        <v>4469</v>
      </c>
      <c r="B58" s="2">
        <v>6094</v>
      </c>
      <c r="C58" s="2" t="s">
        <v>546</v>
      </c>
      <c r="D58" s="2" t="s">
        <v>547</v>
      </c>
      <c r="E58" s="2" t="s">
        <v>548</v>
      </c>
      <c r="F58" s="2" t="s">
        <v>549</v>
      </c>
      <c r="G58" s="2" t="s">
        <v>207</v>
      </c>
      <c r="H58" s="2" t="s">
        <v>550</v>
      </c>
    </row>
    <row r="59" spans="1:8" x14ac:dyDescent="0.2">
      <c r="A59" s="2">
        <v>4278</v>
      </c>
      <c r="B59" s="2">
        <v>5360</v>
      </c>
      <c r="C59" s="2" t="s">
        <v>551</v>
      </c>
      <c r="D59" s="2" t="s">
        <v>552</v>
      </c>
      <c r="E59" s="2" t="s">
        <v>553</v>
      </c>
      <c r="F59" s="2" t="s">
        <v>541</v>
      </c>
      <c r="G59" s="2" t="s">
        <v>207</v>
      </c>
      <c r="H59" s="2" t="s">
        <v>283</v>
      </c>
    </row>
    <row r="60" spans="1:8" x14ac:dyDescent="0.2">
      <c r="A60" s="2">
        <v>4282</v>
      </c>
      <c r="B60" s="2">
        <v>81109</v>
      </c>
      <c r="C60" s="2" t="s">
        <v>334</v>
      </c>
      <c r="D60" s="2" t="s">
        <v>554</v>
      </c>
      <c r="E60" s="2" t="s">
        <v>555</v>
      </c>
      <c r="F60" s="2" t="s">
        <v>495</v>
      </c>
      <c r="G60" s="2" t="s">
        <v>207</v>
      </c>
      <c r="H60" s="2" t="s">
        <v>556</v>
      </c>
    </row>
    <row r="61" spans="1:8" x14ac:dyDescent="0.2">
      <c r="A61" s="2">
        <v>4282</v>
      </c>
      <c r="B61" s="2">
        <v>89955</v>
      </c>
      <c r="C61" s="2" t="s">
        <v>334</v>
      </c>
      <c r="D61" s="2" t="s">
        <v>557</v>
      </c>
      <c r="E61" s="2" t="s">
        <v>558</v>
      </c>
      <c r="F61" s="2" t="s">
        <v>495</v>
      </c>
      <c r="G61" s="2" t="s">
        <v>207</v>
      </c>
      <c r="H61" s="2" t="s">
        <v>556</v>
      </c>
    </row>
    <row r="62" spans="1:8" x14ac:dyDescent="0.2">
      <c r="A62" s="2">
        <v>4271</v>
      </c>
      <c r="B62" s="2">
        <v>79816</v>
      </c>
      <c r="C62" s="2" t="s">
        <v>347</v>
      </c>
      <c r="D62" s="2" t="s">
        <v>559</v>
      </c>
      <c r="E62" s="2" t="s">
        <v>560</v>
      </c>
      <c r="F62" s="2" t="s">
        <v>379</v>
      </c>
      <c r="G62" s="2" t="s">
        <v>207</v>
      </c>
      <c r="H62" s="2" t="s">
        <v>561</v>
      </c>
    </row>
    <row r="63" spans="1:8" x14ac:dyDescent="0.2">
      <c r="A63" s="2">
        <v>4271</v>
      </c>
      <c r="B63" s="2">
        <v>5345</v>
      </c>
      <c r="C63" s="2" t="s">
        <v>347</v>
      </c>
      <c r="D63" s="2" t="s">
        <v>562</v>
      </c>
      <c r="E63" s="2" t="s">
        <v>563</v>
      </c>
      <c r="F63" s="2" t="s">
        <v>379</v>
      </c>
      <c r="G63" s="2" t="s">
        <v>207</v>
      </c>
      <c r="H63" s="2" t="s">
        <v>561</v>
      </c>
    </row>
    <row r="64" spans="1:8" x14ac:dyDescent="0.2">
      <c r="A64" s="2">
        <v>88367</v>
      </c>
      <c r="B64" s="2">
        <v>88368</v>
      </c>
      <c r="C64" s="2" t="s">
        <v>564</v>
      </c>
      <c r="D64" s="2" t="s">
        <v>565</v>
      </c>
      <c r="E64" s="2" t="s">
        <v>566</v>
      </c>
      <c r="F64" s="2" t="s">
        <v>495</v>
      </c>
      <c r="G64" s="2" t="s">
        <v>207</v>
      </c>
      <c r="H64" s="2" t="s">
        <v>556</v>
      </c>
    </row>
    <row r="65" spans="1:8" x14ac:dyDescent="0.2">
      <c r="A65" s="2">
        <v>4271</v>
      </c>
      <c r="B65" s="2">
        <v>5336</v>
      </c>
      <c r="C65" s="2" t="s">
        <v>347</v>
      </c>
      <c r="D65" s="2" t="s">
        <v>567</v>
      </c>
      <c r="E65" s="2" t="s">
        <v>568</v>
      </c>
      <c r="F65" s="2" t="s">
        <v>379</v>
      </c>
      <c r="G65" s="2" t="s">
        <v>207</v>
      </c>
      <c r="H65" s="2" t="s">
        <v>293</v>
      </c>
    </row>
    <row r="66" spans="1:8" x14ac:dyDescent="0.2">
      <c r="A66" s="2">
        <v>4271</v>
      </c>
      <c r="B66" s="2">
        <v>5334</v>
      </c>
      <c r="C66" s="2" t="s">
        <v>347</v>
      </c>
      <c r="D66" s="2" t="s">
        <v>569</v>
      </c>
      <c r="E66" s="2" t="s">
        <v>570</v>
      </c>
      <c r="F66" s="2" t="s">
        <v>379</v>
      </c>
      <c r="G66" s="2" t="s">
        <v>207</v>
      </c>
      <c r="H66" s="2" t="s">
        <v>293</v>
      </c>
    </row>
    <row r="67" spans="1:8" x14ac:dyDescent="0.2">
      <c r="A67" s="2">
        <v>4271</v>
      </c>
      <c r="B67" s="2">
        <v>5339</v>
      </c>
      <c r="C67" s="2" t="s">
        <v>347</v>
      </c>
      <c r="D67" s="2" t="s">
        <v>571</v>
      </c>
      <c r="E67" s="2" t="s">
        <v>572</v>
      </c>
      <c r="F67" s="2" t="s">
        <v>379</v>
      </c>
      <c r="G67" s="2" t="s">
        <v>207</v>
      </c>
      <c r="H67" s="2" t="s">
        <v>573</v>
      </c>
    </row>
    <row r="68" spans="1:8" x14ac:dyDescent="0.2">
      <c r="A68" s="2">
        <v>4271</v>
      </c>
      <c r="B68" s="2">
        <v>5332</v>
      </c>
      <c r="C68" s="2" t="s">
        <v>347</v>
      </c>
      <c r="D68" s="2" t="s">
        <v>574</v>
      </c>
      <c r="E68" s="2" t="s">
        <v>575</v>
      </c>
      <c r="F68" s="2" t="s">
        <v>379</v>
      </c>
      <c r="G68" s="2" t="s">
        <v>207</v>
      </c>
      <c r="H68" s="2" t="s">
        <v>293</v>
      </c>
    </row>
    <row r="69" spans="1:8" x14ac:dyDescent="0.2">
      <c r="A69" s="2">
        <v>4271</v>
      </c>
      <c r="B69" s="2">
        <v>5333</v>
      </c>
      <c r="C69" s="2" t="s">
        <v>347</v>
      </c>
      <c r="D69" s="2" t="s">
        <v>576</v>
      </c>
      <c r="E69" s="2" t="s">
        <v>577</v>
      </c>
      <c r="F69" s="2" t="s">
        <v>379</v>
      </c>
      <c r="G69" s="2" t="s">
        <v>207</v>
      </c>
      <c r="H69" s="2" t="s">
        <v>293</v>
      </c>
    </row>
    <row r="70" spans="1:8" x14ac:dyDescent="0.2">
      <c r="A70" s="2">
        <v>4282</v>
      </c>
      <c r="B70" s="2">
        <v>5405</v>
      </c>
      <c r="C70" s="2" t="s">
        <v>334</v>
      </c>
      <c r="D70" s="2" t="s">
        <v>578</v>
      </c>
      <c r="E70" s="2" t="s">
        <v>579</v>
      </c>
      <c r="F70" s="2" t="s">
        <v>495</v>
      </c>
      <c r="G70" s="2" t="s">
        <v>207</v>
      </c>
      <c r="H70" s="2" t="s">
        <v>556</v>
      </c>
    </row>
    <row r="71" spans="1:8" x14ac:dyDescent="0.2">
      <c r="A71" s="2">
        <v>4280</v>
      </c>
      <c r="B71" s="2">
        <v>5383</v>
      </c>
      <c r="C71" s="2" t="s">
        <v>376</v>
      </c>
      <c r="D71" s="2" t="s">
        <v>580</v>
      </c>
      <c r="E71" s="2" t="s">
        <v>581</v>
      </c>
      <c r="F71" s="2" t="s">
        <v>495</v>
      </c>
      <c r="G71" s="2" t="s">
        <v>207</v>
      </c>
      <c r="H71" s="2" t="s">
        <v>223</v>
      </c>
    </row>
    <row r="72" spans="1:8" x14ac:dyDescent="0.2">
      <c r="A72" s="2">
        <v>4271</v>
      </c>
      <c r="B72" s="2">
        <v>5335</v>
      </c>
      <c r="C72" s="2" t="s">
        <v>347</v>
      </c>
      <c r="D72" s="2" t="s">
        <v>582</v>
      </c>
      <c r="E72" s="2" t="s">
        <v>583</v>
      </c>
      <c r="F72" s="2" t="s">
        <v>379</v>
      </c>
      <c r="G72" s="2" t="s">
        <v>207</v>
      </c>
      <c r="H72" s="2" t="s">
        <v>293</v>
      </c>
    </row>
    <row r="73" spans="1:8" x14ac:dyDescent="0.2">
      <c r="A73" s="2">
        <v>4259</v>
      </c>
      <c r="B73" s="2">
        <v>5238</v>
      </c>
      <c r="C73" s="2" t="s">
        <v>316</v>
      </c>
      <c r="D73" s="2" t="s">
        <v>584</v>
      </c>
      <c r="E73" s="2" t="s">
        <v>585</v>
      </c>
      <c r="F73" s="2" t="s">
        <v>495</v>
      </c>
      <c r="G73" s="2" t="s">
        <v>207</v>
      </c>
      <c r="H73" s="2" t="s">
        <v>556</v>
      </c>
    </row>
    <row r="74" spans="1:8" x14ac:dyDescent="0.2">
      <c r="A74" s="2">
        <v>4280</v>
      </c>
      <c r="B74" s="2">
        <v>6030</v>
      </c>
      <c r="C74" s="2" t="s">
        <v>376</v>
      </c>
      <c r="D74" s="2" t="s">
        <v>586</v>
      </c>
      <c r="E74" s="2" t="s">
        <v>587</v>
      </c>
      <c r="F74" s="2" t="s">
        <v>379</v>
      </c>
      <c r="G74" s="2" t="s">
        <v>207</v>
      </c>
      <c r="H74" s="2" t="s">
        <v>293</v>
      </c>
    </row>
    <row r="75" spans="1:8" x14ac:dyDescent="0.2">
      <c r="A75" s="2">
        <v>10968</v>
      </c>
      <c r="B75" s="2">
        <v>78811</v>
      </c>
      <c r="C75" s="2" t="s">
        <v>588</v>
      </c>
      <c r="D75" s="2" t="s">
        <v>588</v>
      </c>
      <c r="E75" s="2" t="s">
        <v>589</v>
      </c>
      <c r="F75" s="2" t="s">
        <v>495</v>
      </c>
      <c r="G75" s="2" t="s">
        <v>207</v>
      </c>
      <c r="H75" s="2" t="s">
        <v>223</v>
      </c>
    </row>
    <row r="76" spans="1:8" x14ac:dyDescent="0.2">
      <c r="A76" s="2">
        <v>4259</v>
      </c>
      <c r="B76" s="2">
        <v>5237</v>
      </c>
      <c r="C76" s="2" t="s">
        <v>316</v>
      </c>
      <c r="D76" s="2" t="s">
        <v>590</v>
      </c>
      <c r="E76" s="2" t="s">
        <v>591</v>
      </c>
      <c r="F76" s="2" t="s">
        <v>495</v>
      </c>
      <c r="G76" s="2" t="s">
        <v>207</v>
      </c>
      <c r="H76" s="2" t="s">
        <v>235</v>
      </c>
    </row>
    <row r="77" spans="1:8" x14ac:dyDescent="0.2">
      <c r="A77" s="2">
        <v>4259</v>
      </c>
      <c r="B77" s="2">
        <v>5243</v>
      </c>
      <c r="C77" s="2" t="s">
        <v>316</v>
      </c>
      <c r="D77" s="2" t="s">
        <v>592</v>
      </c>
      <c r="E77" s="2" t="s">
        <v>593</v>
      </c>
      <c r="F77" s="2" t="s">
        <v>495</v>
      </c>
      <c r="G77" s="2" t="s">
        <v>207</v>
      </c>
      <c r="H77" s="2" t="s">
        <v>235</v>
      </c>
    </row>
    <row r="78" spans="1:8" x14ac:dyDescent="0.2">
      <c r="A78" s="2">
        <v>4280</v>
      </c>
      <c r="B78" s="2">
        <v>5390</v>
      </c>
      <c r="C78" s="2" t="s">
        <v>376</v>
      </c>
      <c r="D78" s="2" t="s">
        <v>595</v>
      </c>
      <c r="E78" s="2" t="s">
        <v>596</v>
      </c>
      <c r="F78" s="2" t="s">
        <v>495</v>
      </c>
      <c r="G78" s="2" t="s">
        <v>207</v>
      </c>
      <c r="H78" s="2" t="s">
        <v>594</v>
      </c>
    </row>
    <row r="79" spans="1:8" x14ac:dyDescent="0.2">
      <c r="A79" s="2">
        <v>4259</v>
      </c>
      <c r="B79" s="2">
        <v>5234</v>
      </c>
      <c r="C79" s="2" t="s">
        <v>316</v>
      </c>
      <c r="D79" s="2" t="s">
        <v>597</v>
      </c>
      <c r="E79" s="2" t="s">
        <v>598</v>
      </c>
      <c r="F79" s="2" t="s">
        <v>495</v>
      </c>
      <c r="G79" s="2" t="s">
        <v>207</v>
      </c>
      <c r="H79" s="2" t="s">
        <v>235</v>
      </c>
    </row>
    <row r="80" spans="1:8" x14ac:dyDescent="0.2">
      <c r="A80" s="2">
        <v>4259</v>
      </c>
      <c r="B80" s="2">
        <v>78934</v>
      </c>
      <c r="C80" s="2" t="s">
        <v>316</v>
      </c>
      <c r="D80" s="2" t="s">
        <v>599</v>
      </c>
      <c r="E80" s="2" t="s">
        <v>600</v>
      </c>
      <c r="F80" s="2" t="s">
        <v>495</v>
      </c>
      <c r="G80" s="2" t="s">
        <v>207</v>
      </c>
      <c r="H80" s="2" t="s">
        <v>235</v>
      </c>
    </row>
    <row r="81" spans="1:8" x14ac:dyDescent="0.2">
      <c r="A81" s="2">
        <v>4259</v>
      </c>
      <c r="B81" s="2">
        <v>5236</v>
      </c>
      <c r="C81" s="2" t="s">
        <v>316</v>
      </c>
      <c r="D81" s="2" t="s">
        <v>601</v>
      </c>
      <c r="E81" s="2" t="s">
        <v>600</v>
      </c>
      <c r="F81" s="2" t="s">
        <v>495</v>
      </c>
      <c r="G81" s="2" t="s">
        <v>207</v>
      </c>
      <c r="H81" s="2" t="s">
        <v>235</v>
      </c>
    </row>
    <row r="82" spans="1:8" x14ac:dyDescent="0.2">
      <c r="A82" s="2">
        <v>4259</v>
      </c>
      <c r="B82" s="2">
        <v>5235</v>
      </c>
      <c r="C82" s="2" t="s">
        <v>316</v>
      </c>
      <c r="D82" s="2" t="s">
        <v>602</v>
      </c>
      <c r="E82" s="2" t="s">
        <v>603</v>
      </c>
      <c r="F82" s="2" t="s">
        <v>495</v>
      </c>
      <c r="G82" s="2" t="s">
        <v>207</v>
      </c>
      <c r="H82" s="2" t="s">
        <v>235</v>
      </c>
    </row>
    <row r="83" spans="1:8" x14ac:dyDescent="0.2">
      <c r="A83" s="2">
        <v>4280</v>
      </c>
      <c r="B83" s="2">
        <v>5391</v>
      </c>
      <c r="C83" s="2" t="s">
        <v>376</v>
      </c>
      <c r="D83" s="2" t="s">
        <v>604</v>
      </c>
      <c r="E83" s="2" t="s">
        <v>605</v>
      </c>
      <c r="F83" s="2" t="s">
        <v>495</v>
      </c>
      <c r="G83" s="2" t="s">
        <v>207</v>
      </c>
      <c r="H83" s="2" t="s">
        <v>606</v>
      </c>
    </row>
    <row r="84" spans="1:8" x14ac:dyDescent="0.2">
      <c r="A84" s="2">
        <v>4280</v>
      </c>
      <c r="B84" s="2">
        <v>5392</v>
      </c>
      <c r="C84" s="2" t="s">
        <v>376</v>
      </c>
      <c r="D84" s="2" t="s">
        <v>607</v>
      </c>
      <c r="E84" s="2" t="s">
        <v>608</v>
      </c>
      <c r="F84" s="2" t="s">
        <v>495</v>
      </c>
      <c r="G84" s="2" t="s">
        <v>207</v>
      </c>
      <c r="H84" s="2" t="s">
        <v>606</v>
      </c>
    </row>
    <row r="85" spans="1:8" x14ac:dyDescent="0.2">
      <c r="A85" s="2">
        <v>4265</v>
      </c>
      <c r="B85" s="2">
        <v>5290</v>
      </c>
      <c r="C85" s="2" t="s">
        <v>322</v>
      </c>
      <c r="D85" s="2" t="s">
        <v>609</v>
      </c>
      <c r="E85" s="2" t="s">
        <v>610</v>
      </c>
      <c r="F85" s="2" t="s">
        <v>495</v>
      </c>
      <c r="G85" s="2" t="s">
        <v>207</v>
      </c>
      <c r="H85" s="2" t="s">
        <v>235</v>
      </c>
    </row>
    <row r="86" spans="1:8" x14ac:dyDescent="0.2">
      <c r="A86" s="2">
        <v>4260</v>
      </c>
      <c r="B86" s="2">
        <v>5257</v>
      </c>
      <c r="C86" s="2" t="s">
        <v>611</v>
      </c>
      <c r="D86" s="2" t="s">
        <v>612</v>
      </c>
      <c r="E86" s="2" t="s">
        <v>613</v>
      </c>
      <c r="F86" s="2" t="s">
        <v>495</v>
      </c>
      <c r="G86" s="2" t="s">
        <v>207</v>
      </c>
      <c r="H86" s="2" t="s">
        <v>606</v>
      </c>
    </row>
    <row r="87" spans="1:8" x14ac:dyDescent="0.2">
      <c r="A87" s="2">
        <v>79994</v>
      </c>
      <c r="B87" s="2">
        <v>5526</v>
      </c>
      <c r="C87" s="2" t="s">
        <v>614</v>
      </c>
      <c r="D87" s="2" t="s">
        <v>614</v>
      </c>
      <c r="E87" s="2" t="s">
        <v>615</v>
      </c>
      <c r="F87" s="2" t="s">
        <v>495</v>
      </c>
      <c r="G87" s="2" t="s">
        <v>207</v>
      </c>
      <c r="H87" s="2" t="s">
        <v>606</v>
      </c>
    </row>
    <row r="88" spans="1:8" x14ac:dyDescent="0.2">
      <c r="A88" s="2">
        <v>88365</v>
      </c>
      <c r="B88" s="2">
        <v>88366</v>
      </c>
      <c r="C88" s="2" t="s">
        <v>616</v>
      </c>
      <c r="D88" s="2" t="s">
        <v>617</v>
      </c>
      <c r="E88" s="2" t="s">
        <v>618</v>
      </c>
      <c r="F88" s="2" t="s">
        <v>495</v>
      </c>
      <c r="G88" s="2" t="s">
        <v>207</v>
      </c>
      <c r="H88" s="2" t="s">
        <v>606</v>
      </c>
    </row>
    <row r="89" spans="1:8" x14ac:dyDescent="0.2">
      <c r="A89" s="2">
        <v>89561</v>
      </c>
      <c r="B89" s="2">
        <v>89562</v>
      </c>
      <c r="C89" s="2" t="s">
        <v>619</v>
      </c>
      <c r="D89" s="2" t="s">
        <v>620</v>
      </c>
      <c r="E89" s="2" t="s">
        <v>618</v>
      </c>
      <c r="F89" s="2" t="s">
        <v>495</v>
      </c>
      <c r="G89" s="2" t="s">
        <v>207</v>
      </c>
      <c r="H89" s="2" t="s">
        <v>606</v>
      </c>
    </row>
    <row r="90" spans="1:8" x14ac:dyDescent="0.2">
      <c r="A90" s="2">
        <v>4260</v>
      </c>
      <c r="B90" s="2">
        <v>5266</v>
      </c>
      <c r="C90" s="2" t="s">
        <v>611</v>
      </c>
      <c r="D90" s="2" t="s">
        <v>621</v>
      </c>
      <c r="E90" s="2" t="s">
        <v>622</v>
      </c>
      <c r="F90" s="2" t="s">
        <v>495</v>
      </c>
      <c r="G90" s="2" t="s">
        <v>207</v>
      </c>
      <c r="H90" s="2" t="s">
        <v>623</v>
      </c>
    </row>
    <row r="91" spans="1:8" x14ac:dyDescent="0.2">
      <c r="A91" s="2">
        <v>4260</v>
      </c>
      <c r="B91" s="2">
        <v>5262</v>
      </c>
      <c r="C91" s="2" t="s">
        <v>611</v>
      </c>
      <c r="D91" s="2" t="s">
        <v>624</v>
      </c>
      <c r="E91" s="2" t="s">
        <v>625</v>
      </c>
      <c r="F91" s="2" t="s">
        <v>495</v>
      </c>
      <c r="G91" s="2" t="s">
        <v>207</v>
      </c>
      <c r="H91" s="2" t="s">
        <v>623</v>
      </c>
    </row>
    <row r="92" spans="1:8" x14ac:dyDescent="0.2">
      <c r="A92" s="2">
        <v>4279</v>
      </c>
      <c r="B92" s="2">
        <v>5377</v>
      </c>
      <c r="C92" s="2" t="s">
        <v>328</v>
      </c>
      <c r="D92" s="2" t="s">
        <v>626</v>
      </c>
      <c r="E92" s="2" t="s">
        <v>627</v>
      </c>
      <c r="F92" s="2" t="s">
        <v>495</v>
      </c>
      <c r="G92" s="2" t="s">
        <v>207</v>
      </c>
      <c r="H92" s="2" t="s">
        <v>305</v>
      </c>
    </row>
    <row r="93" spans="1:8" x14ac:dyDescent="0.2">
      <c r="A93" s="2">
        <v>4262</v>
      </c>
      <c r="B93" s="2">
        <v>5281</v>
      </c>
      <c r="C93" s="2" t="s">
        <v>628</v>
      </c>
      <c r="D93" s="2" t="s">
        <v>629</v>
      </c>
      <c r="E93" s="2" t="s">
        <v>630</v>
      </c>
      <c r="F93" s="2" t="s">
        <v>495</v>
      </c>
      <c r="G93" s="2" t="s">
        <v>207</v>
      </c>
      <c r="H93" s="2" t="s">
        <v>606</v>
      </c>
    </row>
    <row r="94" spans="1:8" x14ac:dyDescent="0.2">
      <c r="A94" s="2">
        <v>4262</v>
      </c>
      <c r="B94" s="2">
        <v>5280</v>
      </c>
      <c r="C94" s="2" t="s">
        <v>628</v>
      </c>
      <c r="D94" s="2" t="s">
        <v>631</v>
      </c>
      <c r="E94" s="2" t="s">
        <v>632</v>
      </c>
      <c r="F94" s="2" t="s">
        <v>495</v>
      </c>
      <c r="G94" s="2" t="s">
        <v>207</v>
      </c>
      <c r="H94" s="2" t="s">
        <v>633</v>
      </c>
    </row>
    <row r="95" spans="1:8" x14ac:dyDescent="0.2">
      <c r="A95" s="2">
        <v>4279</v>
      </c>
      <c r="B95" s="2">
        <v>5378</v>
      </c>
      <c r="C95" s="2" t="s">
        <v>328</v>
      </c>
      <c r="D95" s="2" t="s">
        <v>634</v>
      </c>
      <c r="E95" s="2" t="s">
        <v>635</v>
      </c>
      <c r="F95" s="2" t="s">
        <v>495</v>
      </c>
      <c r="G95" s="2" t="s">
        <v>207</v>
      </c>
      <c r="H95" s="2" t="s">
        <v>305</v>
      </c>
    </row>
    <row r="96" spans="1:8" x14ac:dyDescent="0.2">
      <c r="A96" s="2">
        <v>4279</v>
      </c>
      <c r="B96" s="2">
        <v>5373</v>
      </c>
      <c r="C96" s="2" t="s">
        <v>328</v>
      </c>
      <c r="D96" s="2" t="s">
        <v>636</v>
      </c>
      <c r="E96" s="2" t="s">
        <v>637</v>
      </c>
      <c r="F96" s="2" t="s">
        <v>495</v>
      </c>
      <c r="G96" s="2" t="s">
        <v>207</v>
      </c>
      <c r="H96" s="2" t="s">
        <v>305</v>
      </c>
    </row>
    <row r="97" spans="1:8" x14ac:dyDescent="0.2">
      <c r="A97" s="2">
        <v>4256</v>
      </c>
      <c r="B97" s="2">
        <v>5197</v>
      </c>
      <c r="C97" s="2" t="s">
        <v>343</v>
      </c>
      <c r="D97" s="2" t="s">
        <v>638</v>
      </c>
      <c r="E97" s="2" t="s">
        <v>639</v>
      </c>
      <c r="F97" s="2" t="s">
        <v>495</v>
      </c>
      <c r="G97" s="2" t="s">
        <v>207</v>
      </c>
      <c r="H97" s="2" t="s">
        <v>291</v>
      </c>
    </row>
    <row r="98" spans="1:8" x14ac:dyDescent="0.2">
      <c r="A98" s="2">
        <v>81052</v>
      </c>
      <c r="B98" s="2">
        <v>89920</v>
      </c>
      <c r="C98" s="2" t="s">
        <v>640</v>
      </c>
      <c r="D98" s="2" t="s">
        <v>641</v>
      </c>
      <c r="E98" s="2" t="s">
        <v>642</v>
      </c>
      <c r="F98" s="2" t="s">
        <v>495</v>
      </c>
      <c r="G98" s="2" t="s">
        <v>207</v>
      </c>
      <c r="H98" s="2" t="s">
        <v>286</v>
      </c>
    </row>
    <row r="99" spans="1:8" x14ac:dyDescent="0.2">
      <c r="A99" s="2">
        <v>78965</v>
      </c>
      <c r="B99" s="2">
        <v>79178</v>
      </c>
      <c r="C99" s="2" t="s">
        <v>643</v>
      </c>
      <c r="D99" s="2" t="s">
        <v>644</v>
      </c>
      <c r="E99" s="2" t="s">
        <v>645</v>
      </c>
      <c r="F99" s="2" t="s">
        <v>495</v>
      </c>
      <c r="G99" s="2" t="s">
        <v>207</v>
      </c>
      <c r="H99" s="2" t="s">
        <v>248</v>
      </c>
    </row>
    <row r="100" spans="1:8" x14ac:dyDescent="0.2">
      <c r="A100" s="2">
        <v>4303</v>
      </c>
      <c r="B100" s="2">
        <v>6036</v>
      </c>
      <c r="C100" s="2" t="s">
        <v>646</v>
      </c>
      <c r="D100" s="2" t="s">
        <v>647</v>
      </c>
      <c r="E100" s="2" t="s">
        <v>648</v>
      </c>
      <c r="F100" s="2" t="s">
        <v>495</v>
      </c>
      <c r="G100" s="2" t="s">
        <v>207</v>
      </c>
      <c r="H100" s="2" t="s">
        <v>306</v>
      </c>
    </row>
    <row r="101" spans="1:8" x14ac:dyDescent="0.2">
      <c r="A101" s="2">
        <v>92250</v>
      </c>
      <c r="B101" s="2">
        <v>85886</v>
      </c>
      <c r="C101" s="2" t="s">
        <v>649</v>
      </c>
      <c r="D101" s="2" t="s">
        <v>650</v>
      </c>
      <c r="E101" s="2" t="s">
        <v>651</v>
      </c>
      <c r="F101" s="2" t="s">
        <v>495</v>
      </c>
      <c r="G101" s="2" t="s">
        <v>207</v>
      </c>
      <c r="H101" s="2" t="s">
        <v>266</v>
      </c>
    </row>
    <row r="102" spans="1:8" x14ac:dyDescent="0.2">
      <c r="A102" s="2">
        <v>4279</v>
      </c>
      <c r="B102" s="2">
        <v>5379</v>
      </c>
      <c r="C102" s="2" t="s">
        <v>328</v>
      </c>
      <c r="D102" s="2" t="s">
        <v>652</v>
      </c>
      <c r="E102" s="2" t="s">
        <v>653</v>
      </c>
      <c r="F102" s="2" t="s">
        <v>495</v>
      </c>
      <c r="G102" s="2" t="s">
        <v>207</v>
      </c>
      <c r="H102" s="2" t="s">
        <v>248</v>
      </c>
    </row>
    <row r="103" spans="1:8" x14ac:dyDescent="0.2">
      <c r="A103" s="2">
        <v>4279</v>
      </c>
      <c r="B103" s="2">
        <v>5363</v>
      </c>
      <c r="C103" s="2" t="s">
        <v>328</v>
      </c>
      <c r="D103" s="2" t="s">
        <v>654</v>
      </c>
      <c r="E103" s="2" t="s">
        <v>655</v>
      </c>
      <c r="F103" s="2" t="s">
        <v>495</v>
      </c>
      <c r="G103" s="2" t="s">
        <v>207</v>
      </c>
      <c r="H103" s="2" t="s">
        <v>266</v>
      </c>
    </row>
    <row r="104" spans="1:8" x14ac:dyDescent="0.2">
      <c r="A104" s="2">
        <v>4256</v>
      </c>
      <c r="B104" s="2">
        <v>5199</v>
      </c>
      <c r="C104" s="2" t="s">
        <v>343</v>
      </c>
      <c r="D104" s="2" t="s">
        <v>656</v>
      </c>
      <c r="E104" s="2" t="s">
        <v>657</v>
      </c>
      <c r="F104" s="2" t="s">
        <v>495</v>
      </c>
      <c r="G104" s="2" t="s">
        <v>207</v>
      </c>
      <c r="H104" s="2" t="s">
        <v>291</v>
      </c>
    </row>
    <row r="105" spans="1:8" x14ac:dyDescent="0.2">
      <c r="A105" s="2">
        <v>4279</v>
      </c>
      <c r="B105" s="2">
        <v>5374</v>
      </c>
      <c r="C105" s="2" t="s">
        <v>328</v>
      </c>
      <c r="D105" s="2" t="s">
        <v>658</v>
      </c>
      <c r="E105" s="2" t="s">
        <v>659</v>
      </c>
      <c r="F105" s="2" t="s">
        <v>495</v>
      </c>
      <c r="G105" s="2" t="s">
        <v>207</v>
      </c>
      <c r="H105" s="2" t="s">
        <v>248</v>
      </c>
    </row>
    <row r="106" spans="1:8" x14ac:dyDescent="0.2">
      <c r="A106" s="2">
        <v>4256</v>
      </c>
      <c r="B106" s="2">
        <v>5200</v>
      </c>
      <c r="C106" s="2" t="s">
        <v>343</v>
      </c>
      <c r="D106" s="2" t="s">
        <v>660</v>
      </c>
      <c r="E106" s="2" t="s">
        <v>661</v>
      </c>
      <c r="F106" s="2" t="s">
        <v>495</v>
      </c>
      <c r="G106" s="2" t="s">
        <v>207</v>
      </c>
      <c r="H106" s="2" t="s">
        <v>291</v>
      </c>
    </row>
    <row r="107" spans="1:8" x14ac:dyDescent="0.2">
      <c r="A107" s="2">
        <v>79233</v>
      </c>
      <c r="B107" s="2">
        <v>78851</v>
      </c>
      <c r="C107" s="2" t="s">
        <v>662</v>
      </c>
      <c r="D107" s="2" t="s">
        <v>662</v>
      </c>
      <c r="E107" s="2" t="s">
        <v>663</v>
      </c>
      <c r="F107" s="2" t="s">
        <v>495</v>
      </c>
      <c r="G107" s="2" t="s">
        <v>207</v>
      </c>
      <c r="H107" s="2" t="s">
        <v>266</v>
      </c>
    </row>
    <row r="108" spans="1:8" x14ac:dyDescent="0.2">
      <c r="A108" s="2">
        <v>4279</v>
      </c>
      <c r="B108" s="2">
        <v>5372</v>
      </c>
      <c r="C108" s="2" t="s">
        <v>328</v>
      </c>
      <c r="D108" s="2" t="s">
        <v>664</v>
      </c>
      <c r="E108" s="2" t="s">
        <v>665</v>
      </c>
      <c r="F108" s="2" t="s">
        <v>495</v>
      </c>
      <c r="G108" s="2" t="s">
        <v>207</v>
      </c>
      <c r="H108" s="2" t="s">
        <v>248</v>
      </c>
    </row>
    <row r="109" spans="1:8" x14ac:dyDescent="0.2">
      <c r="A109" s="2">
        <v>4263</v>
      </c>
      <c r="B109" s="2">
        <v>5285</v>
      </c>
      <c r="C109" s="2" t="s">
        <v>346</v>
      </c>
      <c r="D109" s="2" t="s">
        <v>666</v>
      </c>
      <c r="E109" s="2" t="s">
        <v>667</v>
      </c>
      <c r="F109" s="2" t="s">
        <v>495</v>
      </c>
      <c r="G109" s="2" t="s">
        <v>207</v>
      </c>
      <c r="H109" s="2" t="s">
        <v>668</v>
      </c>
    </row>
    <row r="110" spans="1:8" x14ac:dyDescent="0.2">
      <c r="A110" s="2">
        <v>4279</v>
      </c>
      <c r="B110" s="2">
        <v>5364</v>
      </c>
      <c r="C110" s="2" t="s">
        <v>328</v>
      </c>
      <c r="D110" s="2" t="s">
        <v>669</v>
      </c>
      <c r="E110" s="2" t="s">
        <v>670</v>
      </c>
      <c r="F110" s="2" t="s">
        <v>495</v>
      </c>
      <c r="G110" s="2" t="s">
        <v>207</v>
      </c>
      <c r="H110" s="2" t="s">
        <v>266</v>
      </c>
    </row>
    <row r="111" spans="1:8" x14ac:dyDescent="0.2">
      <c r="A111" s="2">
        <v>4256</v>
      </c>
      <c r="B111" s="2">
        <v>5198</v>
      </c>
      <c r="C111" s="2" t="s">
        <v>343</v>
      </c>
      <c r="D111" s="2" t="s">
        <v>671</v>
      </c>
      <c r="E111" s="2" t="s">
        <v>672</v>
      </c>
      <c r="F111" s="2" t="s">
        <v>495</v>
      </c>
      <c r="G111" s="2" t="s">
        <v>207</v>
      </c>
      <c r="H111" s="2" t="s">
        <v>291</v>
      </c>
    </row>
    <row r="112" spans="1:8" x14ac:dyDescent="0.2">
      <c r="A112" s="2">
        <v>4263</v>
      </c>
      <c r="B112" s="2">
        <v>5286</v>
      </c>
      <c r="C112" s="2" t="s">
        <v>346</v>
      </c>
      <c r="D112" s="2" t="s">
        <v>673</v>
      </c>
      <c r="E112" s="2" t="s">
        <v>674</v>
      </c>
      <c r="F112" s="2" t="s">
        <v>495</v>
      </c>
      <c r="G112" s="2" t="s">
        <v>207</v>
      </c>
      <c r="H112" s="2" t="s">
        <v>291</v>
      </c>
    </row>
    <row r="113" spans="1:8" x14ac:dyDescent="0.2">
      <c r="A113" s="2">
        <v>4263</v>
      </c>
      <c r="B113" s="2">
        <v>5284</v>
      </c>
      <c r="C113" s="2" t="s">
        <v>346</v>
      </c>
      <c r="D113" s="2" t="s">
        <v>675</v>
      </c>
      <c r="E113" s="2" t="s">
        <v>676</v>
      </c>
      <c r="F113" s="2" t="s">
        <v>495</v>
      </c>
      <c r="G113" s="2" t="s">
        <v>207</v>
      </c>
      <c r="H113" s="2" t="s">
        <v>668</v>
      </c>
    </row>
    <row r="114" spans="1:8" x14ac:dyDescent="0.2">
      <c r="A114" s="2">
        <v>4263</v>
      </c>
      <c r="B114" s="2">
        <v>6023</v>
      </c>
      <c r="C114" s="2" t="s">
        <v>346</v>
      </c>
      <c r="D114" s="2" t="s">
        <v>677</v>
      </c>
      <c r="E114" s="2" t="s">
        <v>678</v>
      </c>
      <c r="F114" s="2" t="s">
        <v>495</v>
      </c>
      <c r="G114" s="2" t="s">
        <v>207</v>
      </c>
      <c r="H114" s="2" t="s">
        <v>679</v>
      </c>
    </row>
    <row r="115" spans="1:8" x14ac:dyDescent="0.2">
      <c r="A115" s="2">
        <v>4263</v>
      </c>
      <c r="B115" s="2">
        <v>5287</v>
      </c>
      <c r="C115" s="2" t="s">
        <v>346</v>
      </c>
      <c r="D115" s="2" t="s">
        <v>680</v>
      </c>
      <c r="E115" s="2" t="s">
        <v>681</v>
      </c>
      <c r="F115" s="2" t="s">
        <v>495</v>
      </c>
      <c r="G115" s="2" t="s">
        <v>207</v>
      </c>
      <c r="H115" s="2" t="s">
        <v>682</v>
      </c>
    </row>
    <row r="116" spans="1:8" x14ac:dyDescent="0.2">
      <c r="A116" s="2">
        <v>4263</v>
      </c>
      <c r="B116" s="2">
        <v>5288</v>
      </c>
      <c r="C116" s="2" t="s">
        <v>346</v>
      </c>
      <c r="D116" s="2" t="s">
        <v>683</v>
      </c>
      <c r="E116" s="2" t="s">
        <v>684</v>
      </c>
      <c r="F116" s="2" t="s">
        <v>495</v>
      </c>
      <c r="G116" s="2" t="s">
        <v>207</v>
      </c>
      <c r="H116" s="2" t="s">
        <v>679</v>
      </c>
    </row>
    <row r="117" spans="1:8" x14ac:dyDescent="0.2">
      <c r="A117" s="2">
        <v>91108</v>
      </c>
      <c r="B117" s="2">
        <v>91109</v>
      </c>
      <c r="C117" s="2" t="s">
        <v>685</v>
      </c>
      <c r="D117" s="2" t="s">
        <v>686</v>
      </c>
      <c r="E117" s="2" t="s">
        <v>687</v>
      </c>
      <c r="F117" s="2" t="s">
        <v>495</v>
      </c>
      <c r="G117" s="2" t="s">
        <v>207</v>
      </c>
      <c r="H117" s="2" t="s">
        <v>266</v>
      </c>
    </row>
    <row r="118" spans="1:8" x14ac:dyDescent="0.2">
      <c r="A118" s="2">
        <v>4268</v>
      </c>
      <c r="B118" s="2">
        <v>5320</v>
      </c>
      <c r="C118" s="2" t="s">
        <v>688</v>
      </c>
      <c r="D118" s="2" t="s">
        <v>689</v>
      </c>
      <c r="E118" s="2" t="s">
        <v>690</v>
      </c>
      <c r="F118" s="2" t="s">
        <v>495</v>
      </c>
      <c r="G118" s="2" t="s">
        <v>207</v>
      </c>
      <c r="H118" s="2" t="s">
        <v>679</v>
      </c>
    </row>
    <row r="119" spans="1:8" x14ac:dyDescent="0.2">
      <c r="A119" s="2">
        <v>4268</v>
      </c>
      <c r="B119" s="2">
        <v>5319</v>
      </c>
      <c r="C119" s="2" t="s">
        <v>688</v>
      </c>
      <c r="D119" s="2" t="s">
        <v>691</v>
      </c>
      <c r="E119" s="2" t="s">
        <v>692</v>
      </c>
      <c r="F119" s="2" t="s">
        <v>495</v>
      </c>
      <c r="G119" s="2" t="s">
        <v>207</v>
      </c>
      <c r="H119" s="2" t="s">
        <v>679</v>
      </c>
    </row>
    <row r="120" spans="1:8" x14ac:dyDescent="0.2">
      <c r="A120" s="2">
        <v>4268</v>
      </c>
      <c r="B120" s="2">
        <v>81141</v>
      </c>
      <c r="C120" s="2" t="s">
        <v>688</v>
      </c>
      <c r="D120" s="2" t="s">
        <v>693</v>
      </c>
      <c r="E120" s="2" t="s">
        <v>694</v>
      </c>
      <c r="F120" s="2" t="s">
        <v>495</v>
      </c>
      <c r="G120" s="2" t="s">
        <v>207</v>
      </c>
      <c r="H120" s="2" t="s">
        <v>679</v>
      </c>
    </row>
    <row r="121" spans="1:8" x14ac:dyDescent="0.2">
      <c r="A121" s="2">
        <v>4260</v>
      </c>
      <c r="B121" s="2">
        <v>5275</v>
      </c>
      <c r="C121" s="2" t="s">
        <v>611</v>
      </c>
      <c r="D121" s="2" t="s">
        <v>695</v>
      </c>
      <c r="E121" s="2" t="s">
        <v>696</v>
      </c>
      <c r="F121" s="2" t="s">
        <v>495</v>
      </c>
      <c r="G121" s="2" t="s">
        <v>207</v>
      </c>
      <c r="H121" s="2" t="s">
        <v>304</v>
      </c>
    </row>
    <row r="122" spans="1:8" x14ac:dyDescent="0.2">
      <c r="A122" s="2">
        <v>4451</v>
      </c>
      <c r="B122" s="2">
        <v>5946</v>
      </c>
      <c r="C122" s="2" t="s">
        <v>317</v>
      </c>
      <c r="D122" s="2" t="s">
        <v>697</v>
      </c>
      <c r="E122" s="2" t="s">
        <v>698</v>
      </c>
      <c r="F122" s="2" t="s">
        <v>699</v>
      </c>
      <c r="G122" s="2" t="s">
        <v>207</v>
      </c>
      <c r="H122" s="2" t="s">
        <v>700</v>
      </c>
    </row>
    <row r="123" spans="1:8" x14ac:dyDescent="0.2">
      <c r="A123" s="2">
        <v>4258</v>
      </c>
      <c r="B123" s="2">
        <v>5220</v>
      </c>
      <c r="C123" s="2" t="s">
        <v>701</v>
      </c>
      <c r="D123" s="2" t="s">
        <v>702</v>
      </c>
      <c r="E123" s="2" t="s">
        <v>703</v>
      </c>
      <c r="F123" s="2" t="s">
        <v>704</v>
      </c>
      <c r="G123" s="2" t="s">
        <v>207</v>
      </c>
      <c r="H123" s="2" t="s">
        <v>705</v>
      </c>
    </row>
    <row r="124" spans="1:8" x14ac:dyDescent="0.2">
      <c r="A124" s="2">
        <v>91275</v>
      </c>
      <c r="B124" s="2">
        <v>92223</v>
      </c>
      <c r="C124" s="2" t="s">
        <v>706</v>
      </c>
      <c r="D124" s="2" t="s">
        <v>706</v>
      </c>
      <c r="E124" s="2" t="s">
        <v>707</v>
      </c>
      <c r="F124" s="2" t="s">
        <v>708</v>
      </c>
      <c r="G124" s="2" t="s">
        <v>207</v>
      </c>
      <c r="H124" s="2" t="s">
        <v>709</v>
      </c>
    </row>
    <row r="125" spans="1:8" x14ac:dyDescent="0.2">
      <c r="A125" s="2">
        <v>4258</v>
      </c>
      <c r="B125" s="2">
        <v>5216</v>
      </c>
      <c r="C125" s="2" t="s">
        <v>701</v>
      </c>
      <c r="D125" s="2" t="s">
        <v>710</v>
      </c>
      <c r="E125" s="2" t="s">
        <v>711</v>
      </c>
      <c r="F125" s="2" t="s">
        <v>704</v>
      </c>
      <c r="G125" s="2" t="s">
        <v>207</v>
      </c>
      <c r="H125" s="2" t="s">
        <v>705</v>
      </c>
    </row>
    <row r="126" spans="1:8" x14ac:dyDescent="0.2">
      <c r="A126" s="2">
        <v>4235</v>
      </c>
      <c r="B126" s="2">
        <v>4927</v>
      </c>
      <c r="C126" s="2" t="s">
        <v>341</v>
      </c>
      <c r="D126" s="2" t="s">
        <v>712</v>
      </c>
      <c r="E126" s="2" t="s">
        <v>713</v>
      </c>
      <c r="F126" s="2" t="s">
        <v>714</v>
      </c>
      <c r="G126" s="2" t="s">
        <v>207</v>
      </c>
      <c r="H126" s="2" t="s">
        <v>715</v>
      </c>
    </row>
    <row r="127" spans="1:8" x14ac:dyDescent="0.2">
      <c r="A127" s="2">
        <v>4256</v>
      </c>
      <c r="B127" s="2">
        <v>5195</v>
      </c>
      <c r="C127" s="2" t="s">
        <v>343</v>
      </c>
      <c r="D127" s="2" t="s">
        <v>716</v>
      </c>
      <c r="E127" s="2" t="s">
        <v>717</v>
      </c>
      <c r="F127" s="2" t="s">
        <v>495</v>
      </c>
      <c r="G127" s="2" t="s">
        <v>207</v>
      </c>
      <c r="H127" s="2" t="s">
        <v>302</v>
      </c>
    </row>
    <row r="128" spans="1:8" x14ac:dyDescent="0.2">
      <c r="A128" s="2">
        <v>89556</v>
      </c>
      <c r="B128" s="2">
        <v>89557</v>
      </c>
      <c r="C128" s="2" t="s">
        <v>718</v>
      </c>
      <c r="D128" s="2" t="s">
        <v>719</v>
      </c>
      <c r="E128" s="2" t="s">
        <v>720</v>
      </c>
      <c r="F128" s="2" t="s">
        <v>714</v>
      </c>
      <c r="G128" s="2" t="s">
        <v>207</v>
      </c>
      <c r="H128" s="2" t="s">
        <v>715</v>
      </c>
    </row>
    <row r="129" spans="1:8" x14ac:dyDescent="0.2">
      <c r="A129" s="2">
        <v>4242</v>
      </c>
      <c r="B129" s="2">
        <v>5116</v>
      </c>
      <c r="C129" s="2" t="s">
        <v>721</v>
      </c>
      <c r="D129" s="2" t="s">
        <v>722</v>
      </c>
      <c r="E129" s="2" t="s">
        <v>723</v>
      </c>
      <c r="F129" s="2" t="s">
        <v>724</v>
      </c>
      <c r="G129" s="2" t="s">
        <v>207</v>
      </c>
      <c r="H129" s="2" t="s">
        <v>725</v>
      </c>
    </row>
    <row r="130" spans="1:8" x14ac:dyDescent="0.2">
      <c r="A130" s="2">
        <v>4366</v>
      </c>
      <c r="B130" s="2">
        <v>5554</v>
      </c>
      <c r="C130" s="2" t="s">
        <v>726</v>
      </c>
      <c r="D130" s="2" t="s">
        <v>726</v>
      </c>
      <c r="E130" s="2" t="s">
        <v>727</v>
      </c>
      <c r="F130" s="2" t="s">
        <v>714</v>
      </c>
      <c r="G130" s="2" t="s">
        <v>207</v>
      </c>
      <c r="H130" s="2" t="s">
        <v>728</v>
      </c>
    </row>
    <row r="131" spans="1:8" x14ac:dyDescent="0.2">
      <c r="A131" s="2">
        <v>4235</v>
      </c>
      <c r="B131" s="2">
        <v>4970</v>
      </c>
      <c r="C131" s="2" t="s">
        <v>341</v>
      </c>
      <c r="D131" s="2" t="s">
        <v>729</v>
      </c>
      <c r="E131" s="2" t="s">
        <v>730</v>
      </c>
      <c r="F131" s="2" t="s">
        <v>714</v>
      </c>
      <c r="G131" s="2" t="s">
        <v>207</v>
      </c>
      <c r="H131" s="2" t="s">
        <v>731</v>
      </c>
    </row>
    <row r="132" spans="1:8" x14ac:dyDescent="0.2">
      <c r="A132" s="2">
        <v>6446</v>
      </c>
      <c r="B132" s="2">
        <v>79697</v>
      </c>
      <c r="C132" s="2" t="s">
        <v>732</v>
      </c>
      <c r="D132" s="2" t="s">
        <v>733</v>
      </c>
      <c r="E132" s="2" t="s">
        <v>734</v>
      </c>
      <c r="F132" s="2" t="s">
        <v>714</v>
      </c>
      <c r="G132" s="2" t="s">
        <v>207</v>
      </c>
      <c r="H132" s="2" t="s">
        <v>728</v>
      </c>
    </row>
    <row r="133" spans="1:8" x14ac:dyDescent="0.2">
      <c r="A133" s="2">
        <v>4235</v>
      </c>
      <c r="B133" s="2">
        <v>4925</v>
      </c>
      <c r="C133" s="2" t="s">
        <v>341</v>
      </c>
      <c r="D133" s="2" t="s">
        <v>735</v>
      </c>
      <c r="E133" s="2" t="s">
        <v>736</v>
      </c>
      <c r="F133" s="2" t="s">
        <v>714</v>
      </c>
      <c r="G133" s="2" t="s">
        <v>207</v>
      </c>
      <c r="H133" s="2" t="s">
        <v>728</v>
      </c>
    </row>
    <row r="134" spans="1:8" x14ac:dyDescent="0.2">
      <c r="A134" s="2">
        <v>4235</v>
      </c>
      <c r="B134" s="2">
        <v>4922</v>
      </c>
      <c r="C134" s="2" t="s">
        <v>341</v>
      </c>
      <c r="D134" s="2" t="s">
        <v>737</v>
      </c>
      <c r="E134" s="2" t="s">
        <v>738</v>
      </c>
      <c r="F134" s="2" t="s">
        <v>714</v>
      </c>
      <c r="G134" s="2" t="s">
        <v>207</v>
      </c>
      <c r="H134" s="2" t="s">
        <v>731</v>
      </c>
    </row>
    <row r="135" spans="1:8" x14ac:dyDescent="0.2">
      <c r="A135" s="2">
        <v>4235</v>
      </c>
      <c r="B135" s="2">
        <v>4934</v>
      </c>
      <c r="C135" s="2" t="s">
        <v>341</v>
      </c>
      <c r="D135" s="2" t="s">
        <v>739</v>
      </c>
      <c r="E135" s="2" t="s">
        <v>740</v>
      </c>
      <c r="F135" s="2" t="s">
        <v>714</v>
      </c>
      <c r="G135" s="2" t="s">
        <v>207</v>
      </c>
      <c r="H135" s="2" t="s">
        <v>728</v>
      </c>
    </row>
    <row r="136" spans="1:8" x14ac:dyDescent="0.2">
      <c r="A136" s="2">
        <v>91939</v>
      </c>
      <c r="B136" s="2">
        <v>92601</v>
      </c>
      <c r="C136" s="2" t="s">
        <v>741</v>
      </c>
      <c r="D136" s="2" t="s">
        <v>742</v>
      </c>
      <c r="E136" s="2" t="s">
        <v>743</v>
      </c>
      <c r="F136" s="2" t="s">
        <v>714</v>
      </c>
      <c r="G136" s="2" t="s">
        <v>207</v>
      </c>
      <c r="H136" s="2" t="s">
        <v>731</v>
      </c>
    </row>
    <row r="137" spans="1:8" x14ac:dyDescent="0.2">
      <c r="A137" s="2">
        <v>4235</v>
      </c>
      <c r="B137" s="2">
        <v>4924</v>
      </c>
      <c r="C137" s="2" t="s">
        <v>341</v>
      </c>
      <c r="D137" s="2" t="s">
        <v>744</v>
      </c>
      <c r="E137" s="2" t="s">
        <v>745</v>
      </c>
      <c r="F137" s="2" t="s">
        <v>714</v>
      </c>
      <c r="G137" s="2" t="s">
        <v>207</v>
      </c>
      <c r="H137" s="2" t="s">
        <v>728</v>
      </c>
    </row>
    <row r="138" spans="1:8" x14ac:dyDescent="0.2">
      <c r="A138" s="2">
        <v>90330</v>
      </c>
      <c r="B138" s="2">
        <v>89867</v>
      </c>
      <c r="C138" s="2" t="s">
        <v>746</v>
      </c>
      <c r="D138" s="2" t="s">
        <v>746</v>
      </c>
      <c r="E138" s="2" t="s">
        <v>747</v>
      </c>
      <c r="F138" s="2" t="s">
        <v>714</v>
      </c>
      <c r="G138" s="2" t="s">
        <v>207</v>
      </c>
      <c r="H138" s="2" t="s">
        <v>748</v>
      </c>
    </row>
    <row r="139" spans="1:8" x14ac:dyDescent="0.2">
      <c r="A139" s="2">
        <v>4442</v>
      </c>
      <c r="B139" s="2">
        <v>89577</v>
      </c>
      <c r="C139" s="2" t="s">
        <v>315</v>
      </c>
      <c r="D139" s="2" t="s">
        <v>749</v>
      </c>
      <c r="E139" s="2" t="s">
        <v>750</v>
      </c>
      <c r="F139" s="2" t="s">
        <v>751</v>
      </c>
      <c r="G139" s="2" t="s">
        <v>207</v>
      </c>
      <c r="H139" s="2" t="s">
        <v>255</v>
      </c>
    </row>
    <row r="140" spans="1:8" x14ac:dyDescent="0.2">
      <c r="A140" s="2">
        <v>89786</v>
      </c>
      <c r="B140" s="2">
        <v>89787</v>
      </c>
      <c r="C140" s="2" t="s">
        <v>752</v>
      </c>
      <c r="D140" s="2" t="s">
        <v>753</v>
      </c>
      <c r="E140" s="2" t="s">
        <v>754</v>
      </c>
      <c r="F140" s="2" t="s">
        <v>751</v>
      </c>
      <c r="G140" s="2" t="s">
        <v>207</v>
      </c>
      <c r="H140" s="2" t="s">
        <v>220</v>
      </c>
    </row>
    <row r="141" spans="1:8" x14ac:dyDescent="0.2">
      <c r="A141" s="2">
        <v>4452</v>
      </c>
      <c r="B141" s="2">
        <v>5947</v>
      </c>
      <c r="C141" s="2" t="s">
        <v>755</v>
      </c>
      <c r="D141" s="2" t="s">
        <v>756</v>
      </c>
      <c r="E141" s="2" t="s">
        <v>757</v>
      </c>
      <c r="F141" s="2" t="s">
        <v>758</v>
      </c>
      <c r="G141" s="2" t="s">
        <v>207</v>
      </c>
      <c r="H141" s="2" t="s">
        <v>759</v>
      </c>
    </row>
    <row r="142" spans="1:8" x14ac:dyDescent="0.2">
      <c r="A142" s="2">
        <v>4418</v>
      </c>
      <c r="B142" s="2">
        <v>84336</v>
      </c>
      <c r="C142" s="2" t="s">
        <v>761</v>
      </c>
      <c r="D142" s="2" t="s">
        <v>762</v>
      </c>
      <c r="E142" s="2" t="s">
        <v>763</v>
      </c>
      <c r="F142" s="2" t="s">
        <v>764</v>
      </c>
      <c r="G142" s="2" t="s">
        <v>207</v>
      </c>
      <c r="H142" s="2" t="s">
        <v>765</v>
      </c>
    </row>
    <row r="143" spans="1:8" x14ac:dyDescent="0.2">
      <c r="A143" s="2">
        <v>4403</v>
      </c>
      <c r="B143" s="2">
        <v>5694</v>
      </c>
      <c r="C143" s="2" t="s">
        <v>330</v>
      </c>
      <c r="D143" s="2" t="s">
        <v>766</v>
      </c>
      <c r="E143" s="2" t="s">
        <v>767</v>
      </c>
      <c r="F143" s="2" t="s">
        <v>764</v>
      </c>
      <c r="G143" s="2" t="s">
        <v>207</v>
      </c>
      <c r="H143" s="2" t="s">
        <v>768</v>
      </c>
    </row>
    <row r="144" spans="1:8" x14ac:dyDescent="0.2">
      <c r="A144" s="2">
        <v>4411</v>
      </c>
      <c r="B144" s="2">
        <v>5841</v>
      </c>
      <c r="C144" s="2" t="s">
        <v>332</v>
      </c>
      <c r="D144" s="2" t="s">
        <v>769</v>
      </c>
      <c r="E144" s="2" t="s">
        <v>770</v>
      </c>
      <c r="F144" s="2" t="s">
        <v>771</v>
      </c>
      <c r="G144" s="2" t="s">
        <v>207</v>
      </c>
      <c r="H144" s="2" t="s">
        <v>258</v>
      </c>
    </row>
    <row r="145" spans="1:8" x14ac:dyDescent="0.2">
      <c r="A145" s="2">
        <v>4403</v>
      </c>
      <c r="B145" s="2">
        <v>5751</v>
      </c>
      <c r="C145" s="2" t="s">
        <v>330</v>
      </c>
      <c r="D145" s="2" t="s">
        <v>772</v>
      </c>
      <c r="E145" s="2" t="s">
        <v>773</v>
      </c>
      <c r="F145" s="2" t="s">
        <v>764</v>
      </c>
      <c r="G145" s="2" t="s">
        <v>207</v>
      </c>
      <c r="H145" s="2" t="s">
        <v>774</v>
      </c>
    </row>
    <row r="146" spans="1:8" x14ac:dyDescent="0.2">
      <c r="A146" s="2">
        <v>92596</v>
      </c>
      <c r="B146" s="2">
        <v>92597</v>
      </c>
      <c r="C146" s="2" t="s">
        <v>775</v>
      </c>
      <c r="D146" s="2" t="s">
        <v>776</v>
      </c>
      <c r="E146" s="2" t="s">
        <v>777</v>
      </c>
      <c r="F146" s="2" t="s">
        <v>495</v>
      </c>
      <c r="G146" s="2" t="s">
        <v>207</v>
      </c>
      <c r="H146" s="2" t="s">
        <v>778</v>
      </c>
    </row>
    <row r="147" spans="1:8" x14ac:dyDescent="0.2">
      <c r="A147" s="2">
        <v>79881</v>
      </c>
      <c r="B147" s="2">
        <v>79899</v>
      </c>
      <c r="C147" s="2" t="s">
        <v>779</v>
      </c>
      <c r="D147" s="2" t="s">
        <v>780</v>
      </c>
      <c r="E147" s="2" t="s">
        <v>781</v>
      </c>
      <c r="F147" s="2" t="s">
        <v>764</v>
      </c>
      <c r="G147" s="2" t="s">
        <v>207</v>
      </c>
      <c r="H147" s="2" t="s">
        <v>267</v>
      </c>
    </row>
    <row r="148" spans="1:8" x14ac:dyDescent="0.2">
      <c r="A148" s="2">
        <v>4406</v>
      </c>
      <c r="B148" s="2">
        <v>5796</v>
      </c>
      <c r="C148" s="2" t="s">
        <v>337</v>
      </c>
      <c r="D148" s="2" t="s">
        <v>782</v>
      </c>
      <c r="E148" s="2" t="s">
        <v>783</v>
      </c>
      <c r="F148" s="2" t="s">
        <v>764</v>
      </c>
      <c r="G148" s="2" t="s">
        <v>207</v>
      </c>
      <c r="H148" s="2" t="s">
        <v>254</v>
      </c>
    </row>
    <row r="149" spans="1:8" x14ac:dyDescent="0.2">
      <c r="A149" s="2">
        <v>4403</v>
      </c>
      <c r="B149" s="2">
        <v>5705</v>
      </c>
      <c r="C149" s="2" t="s">
        <v>330</v>
      </c>
      <c r="D149" s="2" t="s">
        <v>784</v>
      </c>
      <c r="E149" s="2" t="s">
        <v>785</v>
      </c>
      <c r="F149" s="2" t="s">
        <v>764</v>
      </c>
      <c r="G149" s="2" t="s">
        <v>207</v>
      </c>
      <c r="H149" s="2" t="s">
        <v>268</v>
      </c>
    </row>
    <row r="150" spans="1:8" x14ac:dyDescent="0.2">
      <c r="A150" s="2">
        <v>89864</v>
      </c>
      <c r="B150" s="2">
        <v>89865</v>
      </c>
      <c r="C150" s="2" t="s">
        <v>786</v>
      </c>
      <c r="D150" s="2" t="s">
        <v>787</v>
      </c>
      <c r="E150" s="2" t="s">
        <v>788</v>
      </c>
      <c r="F150" s="2" t="s">
        <v>764</v>
      </c>
      <c r="G150" s="2" t="s">
        <v>207</v>
      </c>
      <c r="H150" s="2" t="s">
        <v>254</v>
      </c>
    </row>
    <row r="151" spans="1:8" x14ac:dyDescent="0.2">
      <c r="A151" s="2">
        <v>4406</v>
      </c>
      <c r="B151" s="2">
        <v>5797</v>
      </c>
      <c r="C151" s="2" t="s">
        <v>337</v>
      </c>
      <c r="D151" s="2" t="s">
        <v>789</v>
      </c>
      <c r="E151" s="2" t="s">
        <v>790</v>
      </c>
      <c r="F151" s="2" t="s">
        <v>764</v>
      </c>
      <c r="G151" s="2" t="s">
        <v>207</v>
      </c>
      <c r="H151" s="2" t="s">
        <v>254</v>
      </c>
    </row>
    <row r="152" spans="1:8" x14ac:dyDescent="0.2">
      <c r="A152" s="2">
        <v>4407</v>
      </c>
      <c r="B152" s="2">
        <v>5809</v>
      </c>
      <c r="C152" s="2" t="s">
        <v>331</v>
      </c>
      <c r="D152" s="2" t="s">
        <v>791</v>
      </c>
      <c r="E152" s="2" t="s">
        <v>792</v>
      </c>
      <c r="F152" s="2" t="s">
        <v>764</v>
      </c>
      <c r="G152" s="2" t="s">
        <v>207</v>
      </c>
      <c r="H152" s="2" t="s">
        <v>257</v>
      </c>
    </row>
    <row r="153" spans="1:8" x14ac:dyDescent="0.2">
      <c r="A153" s="2">
        <v>4403</v>
      </c>
      <c r="B153" s="2">
        <v>5707</v>
      </c>
      <c r="C153" s="2" t="s">
        <v>330</v>
      </c>
      <c r="D153" s="2" t="s">
        <v>793</v>
      </c>
      <c r="E153" s="2" t="s">
        <v>794</v>
      </c>
      <c r="F153" s="2" t="s">
        <v>764</v>
      </c>
      <c r="G153" s="2" t="s">
        <v>207</v>
      </c>
      <c r="H153" s="2" t="s">
        <v>268</v>
      </c>
    </row>
    <row r="154" spans="1:8" x14ac:dyDescent="0.2">
      <c r="A154" s="2">
        <v>4403</v>
      </c>
      <c r="B154" s="2">
        <v>5746</v>
      </c>
      <c r="C154" s="2" t="s">
        <v>330</v>
      </c>
      <c r="D154" s="2" t="s">
        <v>795</v>
      </c>
      <c r="E154" s="2" t="s">
        <v>796</v>
      </c>
      <c r="F154" s="2" t="s">
        <v>764</v>
      </c>
      <c r="G154" s="2" t="s">
        <v>207</v>
      </c>
      <c r="H154" s="2" t="s">
        <v>252</v>
      </c>
    </row>
    <row r="155" spans="1:8" x14ac:dyDescent="0.2">
      <c r="A155" s="2">
        <v>4407</v>
      </c>
      <c r="B155" s="2">
        <v>5812</v>
      </c>
      <c r="C155" s="2" t="s">
        <v>331</v>
      </c>
      <c r="D155" s="2" t="s">
        <v>797</v>
      </c>
      <c r="E155" s="2" t="s">
        <v>798</v>
      </c>
      <c r="F155" s="2" t="s">
        <v>764</v>
      </c>
      <c r="G155" s="2" t="s">
        <v>207</v>
      </c>
      <c r="H155" s="2" t="s">
        <v>257</v>
      </c>
    </row>
    <row r="156" spans="1:8" x14ac:dyDescent="0.2">
      <c r="A156" s="2">
        <v>4403</v>
      </c>
      <c r="B156" s="2">
        <v>5726</v>
      </c>
      <c r="C156" s="2" t="s">
        <v>330</v>
      </c>
      <c r="D156" s="2" t="s">
        <v>799</v>
      </c>
      <c r="E156" s="2" t="s">
        <v>800</v>
      </c>
      <c r="F156" s="2" t="s">
        <v>764</v>
      </c>
      <c r="G156" s="2" t="s">
        <v>207</v>
      </c>
      <c r="H156" s="2" t="s">
        <v>272</v>
      </c>
    </row>
    <row r="157" spans="1:8" x14ac:dyDescent="0.2">
      <c r="A157" s="2">
        <v>4457</v>
      </c>
      <c r="B157" s="2">
        <v>5959</v>
      </c>
      <c r="C157" s="2" t="s">
        <v>344</v>
      </c>
      <c r="D157" s="2" t="s">
        <v>801</v>
      </c>
      <c r="E157" s="2" t="s">
        <v>802</v>
      </c>
      <c r="F157" s="2" t="s">
        <v>413</v>
      </c>
      <c r="G157" s="2" t="s">
        <v>207</v>
      </c>
      <c r="H157" s="2" t="s">
        <v>288</v>
      </c>
    </row>
    <row r="158" spans="1:8" x14ac:dyDescent="0.2">
      <c r="A158" s="2">
        <v>4403</v>
      </c>
      <c r="B158" s="2">
        <v>5686</v>
      </c>
      <c r="C158" s="2" t="s">
        <v>330</v>
      </c>
      <c r="D158" s="2" t="s">
        <v>803</v>
      </c>
      <c r="E158" s="2" t="s">
        <v>804</v>
      </c>
      <c r="F158" s="2" t="s">
        <v>764</v>
      </c>
      <c r="G158" s="2" t="s">
        <v>207</v>
      </c>
      <c r="H158" s="2" t="s">
        <v>268</v>
      </c>
    </row>
    <row r="159" spans="1:8" x14ac:dyDescent="0.2">
      <c r="A159" s="2">
        <v>4407</v>
      </c>
      <c r="B159" s="2">
        <v>5823</v>
      </c>
      <c r="C159" s="2" t="s">
        <v>331</v>
      </c>
      <c r="D159" s="2" t="s">
        <v>805</v>
      </c>
      <c r="E159" s="2" t="s">
        <v>806</v>
      </c>
      <c r="F159" s="2" t="s">
        <v>764</v>
      </c>
      <c r="G159" s="2" t="s">
        <v>207</v>
      </c>
      <c r="H159" s="2" t="s">
        <v>257</v>
      </c>
    </row>
    <row r="160" spans="1:8" x14ac:dyDescent="0.2">
      <c r="A160" s="2">
        <v>79426</v>
      </c>
      <c r="B160" s="2">
        <v>79432</v>
      </c>
      <c r="C160" s="2" t="s">
        <v>807</v>
      </c>
      <c r="D160" s="2" t="s">
        <v>808</v>
      </c>
      <c r="E160" s="2" t="s">
        <v>809</v>
      </c>
      <c r="F160" s="2" t="s">
        <v>764</v>
      </c>
      <c r="G160" s="2" t="s">
        <v>207</v>
      </c>
      <c r="H160" s="2" t="s">
        <v>268</v>
      </c>
    </row>
    <row r="161" spans="1:8" x14ac:dyDescent="0.2">
      <c r="A161" s="2">
        <v>4407</v>
      </c>
      <c r="B161" s="2">
        <v>5825</v>
      </c>
      <c r="C161" s="2" t="s">
        <v>331</v>
      </c>
      <c r="D161" s="2" t="s">
        <v>810</v>
      </c>
      <c r="E161" s="2" t="s">
        <v>811</v>
      </c>
      <c r="F161" s="2" t="s">
        <v>764</v>
      </c>
      <c r="G161" s="2" t="s">
        <v>207</v>
      </c>
      <c r="H161" s="2" t="s">
        <v>257</v>
      </c>
    </row>
    <row r="162" spans="1:8" x14ac:dyDescent="0.2">
      <c r="A162" s="2">
        <v>4457</v>
      </c>
      <c r="B162" s="2">
        <v>5956</v>
      </c>
      <c r="C162" s="2" t="s">
        <v>344</v>
      </c>
      <c r="D162" s="2" t="s">
        <v>812</v>
      </c>
      <c r="E162" s="2" t="s">
        <v>813</v>
      </c>
      <c r="F162" s="2" t="s">
        <v>413</v>
      </c>
      <c r="G162" s="2" t="s">
        <v>207</v>
      </c>
      <c r="H162" s="2" t="s">
        <v>288</v>
      </c>
    </row>
    <row r="163" spans="1:8" x14ac:dyDescent="0.2">
      <c r="A163" s="2">
        <v>4457</v>
      </c>
      <c r="B163" s="2">
        <v>5958</v>
      </c>
      <c r="C163" s="2" t="s">
        <v>344</v>
      </c>
      <c r="D163" s="2" t="s">
        <v>814</v>
      </c>
      <c r="E163" s="2" t="s">
        <v>815</v>
      </c>
      <c r="F163" s="2" t="s">
        <v>413</v>
      </c>
      <c r="G163" s="2" t="s">
        <v>207</v>
      </c>
      <c r="H163" s="2" t="s">
        <v>288</v>
      </c>
    </row>
    <row r="164" spans="1:8" x14ac:dyDescent="0.2">
      <c r="A164" s="2">
        <v>4407</v>
      </c>
      <c r="B164" s="2">
        <v>5818</v>
      </c>
      <c r="C164" s="2" t="s">
        <v>331</v>
      </c>
      <c r="D164" s="2" t="s">
        <v>816</v>
      </c>
      <c r="E164" s="2" t="s">
        <v>817</v>
      </c>
      <c r="F164" s="2" t="s">
        <v>764</v>
      </c>
      <c r="G164" s="2" t="s">
        <v>207</v>
      </c>
      <c r="H164" s="2" t="s">
        <v>257</v>
      </c>
    </row>
    <row r="165" spans="1:8" x14ac:dyDescent="0.2">
      <c r="A165" s="2">
        <v>4457</v>
      </c>
      <c r="B165" s="2">
        <v>5957</v>
      </c>
      <c r="C165" s="2" t="s">
        <v>344</v>
      </c>
      <c r="D165" s="2" t="s">
        <v>818</v>
      </c>
      <c r="E165" s="2" t="s">
        <v>819</v>
      </c>
      <c r="F165" s="2" t="s">
        <v>413</v>
      </c>
      <c r="G165" s="2" t="s">
        <v>207</v>
      </c>
      <c r="H165" s="2" t="s">
        <v>288</v>
      </c>
    </row>
    <row r="166" spans="1:8" x14ac:dyDescent="0.2">
      <c r="A166" s="2">
        <v>4403</v>
      </c>
      <c r="B166" s="2">
        <v>5737</v>
      </c>
      <c r="C166" s="2" t="s">
        <v>330</v>
      </c>
      <c r="D166" s="2" t="s">
        <v>820</v>
      </c>
      <c r="E166" s="2" t="s">
        <v>821</v>
      </c>
      <c r="F166" s="2" t="s">
        <v>764</v>
      </c>
      <c r="G166" s="2" t="s">
        <v>207</v>
      </c>
      <c r="H166" s="2" t="s">
        <v>269</v>
      </c>
    </row>
    <row r="167" spans="1:8" x14ac:dyDescent="0.2">
      <c r="A167" s="2">
        <v>4403</v>
      </c>
      <c r="B167" s="2">
        <v>5733</v>
      </c>
      <c r="C167" s="2" t="s">
        <v>330</v>
      </c>
      <c r="D167" s="2" t="s">
        <v>822</v>
      </c>
      <c r="E167" s="2" t="s">
        <v>823</v>
      </c>
      <c r="F167" s="2" t="s">
        <v>764</v>
      </c>
      <c r="G167" s="2" t="s">
        <v>207</v>
      </c>
      <c r="H167" s="2" t="s">
        <v>271</v>
      </c>
    </row>
    <row r="168" spans="1:8" x14ac:dyDescent="0.2">
      <c r="A168" s="2">
        <v>4403</v>
      </c>
      <c r="B168" s="2">
        <v>5744</v>
      </c>
      <c r="C168" s="2" t="s">
        <v>330</v>
      </c>
      <c r="D168" s="2" t="s">
        <v>824</v>
      </c>
      <c r="E168" s="2" t="s">
        <v>825</v>
      </c>
      <c r="F168" s="2" t="s">
        <v>764</v>
      </c>
      <c r="G168" s="2" t="s">
        <v>207</v>
      </c>
      <c r="H168" s="2" t="s">
        <v>256</v>
      </c>
    </row>
    <row r="169" spans="1:8" x14ac:dyDescent="0.2">
      <c r="A169" s="2">
        <v>4403</v>
      </c>
      <c r="B169" s="2">
        <v>5706</v>
      </c>
      <c r="C169" s="2" t="s">
        <v>330</v>
      </c>
      <c r="D169" s="2" t="s">
        <v>826</v>
      </c>
      <c r="E169" s="2" t="s">
        <v>827</v>
      </c>
      <c r="F169" s="2" t="s">
        <v>764</v>
      </c>
      <c r="G169" s="2" t="s">
        <v>207</v>
      </c>
      <c r="H169" s="2" t="s">
        <v>256</v>
      </c>
    </row>
    <row r="170" spans="1:8" x14ac:dyDescent="0.2">
      <c r="A170" s="2">
        <v>4403</v>
      </c>
      <c r="B170" s="2">
        <v>5673</v>
      </c>
      <c r="C170" s="2" t="s">
        <v>330</v>
      </c>
      <c r="D170" s="2" t="s">
        <v>828</v>
      </c>
      <c r="E170" s="2" t="s">
        <v>829</v>
      </c>
      <c r="F170" s="2" t="s">
        <v>764</v>
      </c>
      <c r="G170" s="2" t="s">
        <v>207</v>
      </c>
      <c r="H170" s="2" t="s">
        <v>830</v>
      </c>
    </row>
    <row r="171" spans="1:8" x14ac:dyDescent="0.2">
      <c r="A171" s="2">
        <v>4403</v>
      </c>
      <c r="B171" s="2">
        <v>5747</v>
      </c>
      <c r="C171" s="2" t="s">
        <v>330</v>
      </c>
      <c r="D171" s="2" t="s">
        <v>831</v>
      </c>
      <c r="E171" s="2" t="s">
        <v>832</v>
      </c>
      <c r="F171" s="2" t="s">
        <v>764</v>
      </c>
      <c r="G171" s="2" t="s">
        <v>207</v>
      </c>
      <c r="H171" s="2" t="s">
        <v>284</v>
      </c>
    </row>
    <row r="172" spans="1:8" x14ac:dyDescent="0.2">
      <c r="A172" s="2">
        <v>4176</v>
      </c>
      <c r="B172" s="2">
        <v>4784</v>
      </c>
      <c r="C172" s="2" t="s">
        <v>313</v>
      </c>
      <c r="D172" s="2" t="s">
        <v>833</v>
      </c>
      <c r="E172" s="2" t="s">
        <v>834</v>
      </c>
      <c r="F172" s="2" t="s">
        <v>835</v>
      </c>
      <c r="G172" s="2" t="s">
        <v>207</v>
      </c>
      <c r="H172" s="2" t="s">
        <v>214</v>
      </c>
    </row>
    <row r="173" spans="1:8" x14ac:dyDescent="0.2">
      <c r="A173" s="2">
        <v>4174</v>
      </c>
      <c r="B173" s="2">
        <v>4767</v>
      </c>
      <c r="C173" s="2" t="s">
        <v>837</v>
      </c>
      <c r="D173" s="2" t="s">
        <v>838</v>
      </c>
      <c r="E173" s="2" t="s">
        <v>839</v>
      </c>
      <c r="F173" s="2" t="s">
        <v>840</v>
      </c>
      <c r="G173" s="2" t="s">
        <v>207</v>
      </c>
      <c r="H173" s="2" t="s">
        <v>841</v>
      </c>
    </row>
    <row r="174" spans="1:8" x14ac:dyDescent="0.2">
      <c r="A174" s="2">
        <v>4263</v>
      </c>
      <c r="B174" s="2">
        <v>79285</v>
      </c>
      <c r="C174" s="2" t="s">
        <v>346</v>
      </c>
      <c r="D174" s="2" t="s">
        <v>842</v>
      </c>
      <c r="E174" s="2" t="s">
        <v>843</v>
      </c>
      <c r="F174" s="2" t="s">
        <v>495</v>
      </c>
      <c r="G174" s="2" t="s">
        <v>207</v>
      </c>
      <c r="H174" s="2" t="s">
        <v>291</v>
      </c>
    </row>
    <row r="175" spans="1:8" x14ac:dyDescent="0.2">
      <c r="A175" s="2">
        <v>4448</v>
      </c>
      <c r="B175" s="2">
        <v>5941</v>
      </c>
      <c r="C175" s="2" t="s">
        <v>329</v>
      </c>
      <c r="D175" s="2" t="s">
        <v>844</v>
      </c>
      <c r="E175" s="2" t="s">
        <v>845</v>
      </c>
      <c r="F175" s="2" t="s">
        <v>760</v>
      </c>
      <c r="G175" s="2" t="s">
        <v>207</v>
      </c>
      <c r="H175" s="2" t="s">
        <v>846</v>
      </c>
    </row>
    <row r="176" spans="1:8" x14ac:dyDescent="0.2">
      <c r="A176" s="2">
        <v>4394</v>
      </c>
      <c r="B176" s="2">
        <v>5633</v>
      </c>
      <c r="C176" s="2" t="s">
        <v>439</v>
      </c>
      <c r="D176" s="2" t="s">
        <v>847</v>
      </c>
      <c r="E176" s="2" t="s">
        <v>848</v>
      </c>
      <c r="F176" s="2" t="s">
        <v>442</v>
      </c>
      <c r="G176" s="2" t="s">
        <v>207</v>
      </c>
      <c r="H176" s="2" t="s">
        <v>443</v>
      </c>
    </row>
    <row r="177" spans="1:8" x14ac:dyDescent="0.2">
      <c r="A177" s="2">
        <v>4163</v>
      </c>
      <c r="B177" s="2">
        <v>4745</v>
      </c>
      <c r="C177" s="2" t="s">
        <v>849</v>
      </c>
      <c r="D177" s="2" t="s">
        <v>850</v>
      </c>
      <c r="E177" s="2" t="s">
        <v>851</v>
      </c>
      <c r="F177" s="2" t="s">
        <v>852</v>
      </c>
      <c r="G177" s="2" t="s">
        <v>207</v>
      </c>
      <c r="H177" s="2" t="s">
        <v>853</v>
      </c>
    </row>
    <row r="178" spans="1:8" x14ac:dyDescent="0.2">
      <c r="A178" s="2">
        <v>4156</v>
      </c>
      <c r="B178" s="2">
        <v>4722</v>
      </c>
      <c r="C178" s="2" t="s">
        <v>314</v>
      </c>
      <c r="D178" s="2" t="s">
        <v>854</v>
      </c>
      <c r="E178" s="2" t="s">
        <v>855</v>
      </c>
      <c r="F178" s="2" t="s">
        <v>473</v>
      </c>
      <c r="G178" s="2" t="s">
        <v>207</v>
      </c>
      <c r="H178" s="2" t="s">
        <v>217</v>
      </c>
    </row>
    <row r="179" spans="1:8" x14ac:dyDescent="0.2">
      <c r="A179" s="2">
        <v>92989</v>
      </c>
      <c r="B179" s="2">
        <v>766437</v>
      </c>
      <c r="C179" s="2" t="s">
        <v>856</v>
      </c>
      <c r="D179" s="2" t="s">
        <v>857</v>
      </c>
      <c r="E179" s="2" t="s">
        <v>858</v>
      </c>
      <c r="F179" s="2" t="s">
        <v>413</v>
      </c>
      <c r="G179" s="2" t="s">
        <v>207</v>
      </c>
      <c r="H179" s="2" t="s">
        <v>288</v>
      </c>
    </row>
    <row r="180" spans="1:8" x14ac:dyDescent="0.2">
      <c r="A180" s="2">
        <v>4221</v>
      </c>
      <c r="B180" s="2">
        <v>92618</v>
      </c>
      <c r="C180" s="2" t="s">
        <v>859</v>
      </c>
      <c r="D180" s="2" t="s">
        <v>860</v>
      </c>
      <c r="E180" s="2" t="s">
        <v>861</v>
      </c>
      <c r="F180" s="2" t="s">
        <v>862</v>
      </c>
      <c r="G180" s="2" t="s">
        <v>207</v>
      </c>
      <c r="H180" s="2" t="s">
        <v>863</v>
      </c>
    </row>
    <row r="181" spans="1:8" x14ac:dyDescent="0.2">
      <c r="A181" s="2">
        <v>4234</v>
      </c>
      <c r="B181" s="2">
        <v>549878</v>
      </c>
      <c r="C181" s="2" t="s">
        <v>864</v>
      </c>
      <c r="D181" s="2" t="s">
        <v>865</v>
      </c>
      <c r="E181" s="2" t="s">
        <v>866</v>
      </c>
      <c r="F181" s="2" t="s">
        <v>704</v>
      </c>
      <c r="G181" s="2" t="s">
        <v>207</v>
      </c>
      <c r="H181" s="2" t="s">
        <v>705</v>
      </c>
    </row>
    <row r="182" spans="1:8" x14ac:dyDescent="0.2">
      <c r="A182" s="2">
        <v>4280</v>
      </c>
      <c r="B182" s="2">
        <v>1000041</v>
      </c>
      <c r="C182" s="2" t="s">
        <v>376</v>
      </c>
      <c r="D182" s="2" t="s">
        <v>867</v>
      </c>
      <c r="E182" s="2" t="s">
        <v>868</v>
      </c>
      <c r="F182" s="2" t="s">
        <v>495</v>
      </c>
      <c r="G182" s="2" t="s">
        <v>207</v>
      </c>
      <c r="H182" s="2" t="s">
        <v>594</v>
      </c>
    </row>
    <row r="183" spans="1:8" x14ac:dyDescent="0.2">
      <c r="A183" s="3">
        <v>4376</v>
      </c>
      <c r="B183" s="3">
        <v>5581</v>
      </c>
      <c r="C183" s="3" t="s">
        <v>1255</v>
      </c>
      <c r="D183" s="3" t="s">
        <v>1256</v>
      </c>
      <c r="E183" s="3" t="s">
        <v>1257</v>
      </c>
      <c r="F183" s="3" t="s">
        <v>1258</v>
      </c>
      <c r="G183" s="3" t="s">
        <v>207</v>
      </c>
      <c r="H183" s="3" t="s">
        <v>1259</v>
      </c>
    </row>
    <row r="184" spans="1:8" x14ac:dyDescent="0.2">
      <c r="A184" s="3">
        <v>4162</v>
      </c>
      <c r="B184" s="3">
        <v>4744</v>
      </c>
      <c r="C184" s="3" t="s">
        <v>1260</v>
      </c>
      <c r="D184" s="3" t="s">
        <v>1261</v>
      </c>
      <c r="E184" s="3" t="s">
        <v>1262</v>
      </c>
      <c r="F184" s="3" t="s">
        <v>1263</v>
      </c>
      <c r="G184" s="3" t="s">
        <v>207</v>
      </c>
      <c r="H184" s="3" t="s">
        <v>1264</v>
      </c>
    </row>
    <row r="185" spans="1:8" x14ac:dyDescent="0.2">
      <c r="A185" s="3">
        <v>4406</v>
      </c>
      <c r="B185" s="3">
        <v>5804</v>
      </c>
      <c r="C185" s="3" t="s">
        <v>337</v>
      </c>
      <c r="D185" s="3" t="s">
        <v>1265</v>
      </c>
      <c r="E185" s="3" t="s">
        <v>1266</v>
      </c>
      <c r="F185" s="3" t="s">
        <v>764</v>
      </c>
      <c r="G185" s="3" t="s">
        <v>207</v>
      </c>
      <c r="H185" s="3" t="s">
        <v>1267</v>
      </c>
    </row>
    <row r="186" spans="1:8" x14ac:dyDescent="0.2">
      <c r="A186" s="3">
        <v>4458</v>
      </c>
      <c r="B186" s="3">
        <v>5963</v>
      </c>
      <c r="C186" s="3" t="s">
        <v>1268</v>
      </c>
      <c r="D186" s="3" t="s">
        <v>1269</v>
      </c>
      <c r="E186" s="3" t="s">
        <v>1270</v>
      </c>
      <c r="F186" s="3" t="s">
        <v>1271</v>
      </c>
      <c r="G186" s="3" t="s">
        <v>207</v>
      </c>
      <c r="H186" s="3" t="s">
        <v>1272</v>
      </c>
    </row>
    <row r="187" spans="1:8" x14ac:dyDescent="0.2">
      <c r="A187" s="3">
        <v>4260</v>
      </c>
      <c r="B187" s="3">
        <v>5258</v>
      </c>
      <c r="C187" s="3" t="s">
        <v>611</v>
      </c>
      <c r="D187" s="3" t="s">
        <v>1274</v>
      </c>
      <c r="E187" s="3" t="s">
        <v>1275</v>
      </c>
      <c r="F187" s="3" t="s">
        <v>495</v>
      </c>
      <c r="G187" s="3" t="s">
        <v>207</v>
      </c>
      <c r="H187" s="3" t="s">
        <v>1140</v>
      </c>
    </row>
    <row r="188" spans="1:8" x14ac:dyDescent="0.2">
      <c r="A188" s="3">
        <v>4503</v>
      </c>
      <c r="B188" s="3">
        <v>6181</v>
      </c>
      <c r="C188" s="3" t="s">
        <v>1276</v>
      </c>
      <c r="D188" s="3" t="s">
        <v>1277</v>
      </c>
      <c r="E188" s="3" t="s">
        <v>1278</v>
      </c>
      <c r="F188" s="3" t="s">
        <v>1279</v>
      </c>
      <c r="G188" s="3" t="s">
        <v>207</v>
      </c>
      <c r="H188" s="3" t="s">
        <v>1280</v>
      </c>
    </row>
    <row r="189" spans="1:8" x14ac:dyDescent="0.2">
      <c r="A189" s="3">
        <v>4264</v>
      </c>
      <c r="B189" s="3">
        <v>10869</v>
      </c>
      <c r="C189" s="3" t="s">
        <v>1281</v>
      </c>
      <c r="D189" s="3" t="s">
        <v>502</v>
      </c>
      <c r="E189" s="3" t="s">
        <v>1282</v>
      </c>
      <c r="F189" s="3" t="s">
        <v>1283</v>
      </c>
      <c r="G189" s="3" t="s">
        <v>207</v>
      </c>
      <c r="H189" s="3" t="s">
        <v>1284</v>
      </c>
    </row>
    <row r="190" spans="1:8" x14ac:dyDescent="0.2">
      <c r="A190" s="3">
        <v>4260</v>
      </c>
      <c r="B190" s="3">
        <v>5265</v>
      </c>
      <c r="C190" s="3" t="s">
        <v>611</v>
      </c>
      <c r="D190" s="3" t="s">
        <v>1285</v>
      </c>
      <c r="E190" s="3" t="s">
        <v>1286</v>
      </c>
      <c r="F190" s="3" t="s">
        <v>495</v>
      </c>
      <c r="G190" s="3" t="s">
        <v>207</v>
      </c>
      <c r="H190" s="3" t="s">
        <v>304</v>
      </c>
    </row>
    <row r="191" spans="1:8" x14ac:dyDescent="0.2">
      <c r="A191" s="3">
        <v>4405</v>
      </c>
      <c r="B191" s="3">
        <v>5788</v>
      </c>
      <c r="C191" s="3" t="s">
        <v>1287</v>
      </c>
      <c r="D191" s="3" t="s">
        <v>1288</v>
      </c>
      <c r="E191" s="3" t="s">
        <v>1289</v>
      </c>
      <c r="F191" s="3" t="s">
        <v>764</v>
      </c>
      <c r="G191" s="3" t="s">
        <v>207</v>
      </c>
      <c r="H191" s="3" t="s">
        <v>254</v>
      </c>
    </row>
    <row r="192" spans="1:8" x14ac:dyDescent="0.2">
      <c r="A192" s="3">
        <v>4194</v>
      </c>
      <c r="B192" s="3">
        <v>4824</v>
      </c>
      <c r="C192" s="3" t="s">
        <v>335</v>
      </c>
      <c r="D192" s="3" t="s">
        <v>1290</v>
      </c>
      <c r="E192" s="3" t="s">
        <v>1291</v>
      </c>
      <c r="F192" s="3" t="s">
        <v>1292</v>
      </c>
      <c r="G192" s="3" t="s">
        <v>207</v>
      </c>
      <c r="H192" s="3" t="s">
        <v>264</v>
      </c>
    </row>
    <row r="193" spans="1:8" x14ac:dyDescent="0.2">
      <c r="A193" s="3">
        <v>4457</v>
      </c>
      <c r="B193" s="3">
        <v>5960</v>
      </c>
      <c r="C193" s="3" t="s">
        <v>344</v>
      </c>
      <c r="D193" s="3" t="s">
        <v>1293</v>
      </c>
      <c r="E193" s="3" t="s">
        <v>1294</v>
      </c>
      <c r="F193" s="3" t="s">
        <v>413</v>
      </c>
      <c r="G193" s="3" t="s">
        <v>207</v>
      </c>
      <c r="H193" s="3" t="s">
        <v>288</v>
      </c>
    </row>
    <row r="194" spans="1:8" x14ac:dyDescent="0.2">
      <c r="A194" s="3">
        <v>4191</v>
      </c>
      <c r="B194" s="3">
        <v>85876</v>
      </c>
      <c r="C194" s="3" t="s">
        <v>1295</v>
      </c>
      <c r="D194" s="3" t="s">
        <v>1296</v>
      </c>
      <c r="E194" s="3" t="s">
        <v>1297</v>
      </c>
      <c r="F194" s="3" t="s">
        <v>1298</v>
      </c>
      <c r="G194" s="3" t="s">
        <v>207</v>
      </c>
      <c r="H194" s="3" t="s">
        <v>1299</v>
      </c>
    </row>
    <row r="195" spans="1:8" x14ac:dyDescent="0.2">
      <c r="A195" s="3">
        <v>4271</v>
      </c>
      <c r="B195" s="3">
        <v>5344</v>
      </c>
      <c r="C195" s="3" t="s">
        <v>347</v>
      </c>
      <c r="D195" s="3" t="s">
        <v>1300</v>
      </c>
      <c r="E195" s="3" t="s">
        <v>1301</v>
      </c>
      <c r="F195" s="3" t="s">
        <v>379</v>
      </c>
      <c r="G195" s="3" t="s">
        <v>207</v>
      </c>
      <c r="H195" s="3" t="s">
        <v>561</v>
      </c>
    </row>
    <row r="196" spans="1:8" x14ac:dyDescent="0.2">
      <c r="A196" s="3">
        <v>78783</v>
      </c>
      <c r="B196" s="3">
        <v>78820</v>
      </c>
      <c r="C196" s="3" t="s">
        <v>1302</v>
      </c>
      <c r="D196" s="3" t="s">
        <v>1303</v>
      </c>
      <c r="E196" s="3" t="s">
        <v>1304</v>
      </c>
      <c r="F196" s="3" t="s">
        <v>495</v>
      </c>
      <c r="G196" s="3" t="s">
        <v>207</v>
      </c>
      <c r="H196" s="3" t="s">
        <v>248</v>
      </c>
    </row>
    <row r="197" spans="1:8" x14ac:dyDescent="0.2">
      <c r="A197" s="3">
        <v>4445</v>
      </c>
      <c r="B197" s="3">
        <v>87489</v>
      </c>
      <c r="C197" s="3" t="s">
        <v>1305</v>
      </c>
      <c r="D197" s="3" t="s">
        <v>1306</v>
      </c>
      <c r="E197" s="3" t="s">
        <v>1307</v>
      </c>
      <c r="F197" s="3" t="s">
        <v>1308</v>
      </c>
      <c r="G197" s="3" t="s">
        <v>207</v>
      </c>
      <c r="H197" s="3" t="s">
        <v>1309</v>
      </c>
    </row>
    <row r="198" spans="1:8" x14ac:dyDescent="0.2">
      <c r="A198" s="3">
        <v>4403</v>
      </c>
      <c r="B198" s="3">
        <v>5660</v>
      </c>
      <c r="C198" s="3" t="s">
        <v>330</v>
      </c>
      <c r="D198" s="3" t="s">
        <v>1310</v>
      </c>
      <c r="E198" s="3" t="s">
        <v>1311</v>
      </c>
      <c r="F198" s="3" t="s">
        <v>764</v>
      </c>
      <c r="G198" s="3" t="s">
        <v>207</v>
      </c>
      <c r="H198" s="3" t="s">
        <v>1312</v>
      </c>
    </row>
    <row r="199" spans="1:8" x14ac:dyDescent="0.2">
      <c r="A199" s="3">
        <v>92374</v>
      </c>
      <c r="B199" s="3">
        <v>92345</v>
      </c>
      <c r="C199" s="3" t="s">
        <v>1313</v>
      </c>
      <c r="D199" s="3" t="s">
        <v>1313</v>
      </c>
      <c r="E199" s="3" t="s">
        <v>1314</v>
      </c>
      <c r="F199" s="3" t="s">
        <v>708</v>
      </c>
      <c r="G199" s="3" t="s">
        <v>207</v>
      </c>
      <c r="H199" s="3" t="s">
        <v>1315</v>
      </c>
    </row>
    <row r="200" spans="1:8" x14ac:dyDescent="0.2">
      <c r="A200" s="3">
        <v>4279</v>
      </c>
      <c r="B200" s="3">
        <v>79012</v>
      </c>
      <c r="C200" s="3" t="s">
        <v>328</v>
      </c>
      <c r="D200" s="3" t="s">
        <v>1316</v>
      </c>
      <c r="E200" s="3" t="s">
        <v>1317</v>
      </c>
      <c r="F200" s="3" t="s">
        <v>495</v>
      </c>
      <c r="G200" s="3" t="s">
        <v>207</v>
      </c>
      <c r="H200" s="3" t="s">
        <v>248</v>
      </c>
    </row>
    <row r="201" spans="1:8" x14ac:dyDescent="0.2">
      <c r="A201" s="3">
        <v>4403</v>
      </c>
      <c r="B201" s="3">
        <v>5661</v>
      </c>
      <c r="C201" s="3" t="s">
        <v>330</v>
      </c>
      <c r="D201" s="3" t="s">
        <v>1318</v>
      </c>
      <c r="E201" s="3" t="s">
        <v>1319</v>
      </c>
      <c r="F201" s="3" t="s">
        <v>764</v>
      </c>
      <c r="G201" s="3" t="s">
        <v>207</v>
      </c>
      <c r="H201" s="3" t="s">
        <v>256</v>
      </c>
    </row>
    <row r="202" spans="1:8" x14ac:dyDescent="0.2">
      <c r="A202" s="3">
        <v>4235</v>
      </c>
      <c r="B202" s="3">
        <v>4940</v>
      </c>
      <c r="C202" s="3" t="s">
        <v>341</v>
      </c>
      <c r="D202" s="3" t="s">
        <v>1320</v>
      </c>
      <c r="E202" s="3" t="s">
        <v>1321</v>
      </c>
      <c r="F202" s="3" t="s">
        <v>714</v>
      </c>
      <c r="G202" s="3" t="s">
        <v>207</v>
      </c>
      <c r="H202" s="3" t="s">
        <v>728</v>
      </c>
    </row>
    <row r="203" spans="1:8" x14ac:dyDescent="0.2">
      <c r="A203" s="3">
        <v>4282</v>
      </c>
      <c r="B203" s="3">
        <v>79283</v>
      </c>
      <c r="C203" s="3" t="s">
        <v>334</v>
      </c>
      <c r="D203" s="3" t="s">
        <v>1322</v>
      </c>
      <c r="E203" s="3" t="s">
        <v>1323</v>
      </c>
      <c r="F203" s="3" t="s">
        <v>495</v>
      </c>
      <c r="G203" s="3" t="s">
        <v>207</v>
      </c>
      <c r="H203" s="3" t="s">
        <v>223</v>
      </c>
    </row>
    <row r="204" spans="1:8" x14ac:dyDescent="0.2">
      <c r="A204" s="3">
        <v>4276</v>
      </c>
      <c r="B204" s="3">
        <v>5356</v>
      </c>
      <c r="C204" s="3" t="s">
        <v>1324</v>
      </c>
      <c r="D204" s="3" t="s">
        <v>1325</v>
      </c>
      <c r="E204" s="3" t="s">
        <v>1326</v>
      </c>
      <c r="F204" s="3" t="s">
        <v>1327</v>
      </c>
      <c r="G204" s="3" t="s">
        <v>207</v>
      </c>
      <c r="H204" s="3" t="s">
        <v>1328</v>
      </c>
    </row>
    <row r="205" spans="1:8" x14ac:dyDescent="0.2">
      <c r="A205" s="3">
        <v>4260</v>
      </c>
      <c r="B205" s="3">
        <v>5247</v>
      </c>
      <c r="C205" s="3" t="s">
        <v>611</v>
      </c>
      <c r="D205" s="3" t="s">
        <v>1329</v>
      </c>
      <c r="E205" s="3" t="s">
        <v>1330</v>
      </c>
      <c r="F205" s="3" t="s">
        <v>495</v>
      </c>
      <c r="G205" s="3" t="s">
        <v>207</v>
      </c>
      <c r="H205" s="3" t="s">
        <v>304</v>
      </c>
    </row>
    <row r="206" spans="1:8" x14ac:dyDescent="0.2">
      <c r="A206" s="3">
        <v>4470</v>
      </c>
      <c r="B206" s="3">
        <v>6098</v>
      </c>
      <c r="C206" s="3" t="s">
        <v>388</v>
      </c>
      <c r="D206" s="3" t="s">
        <v>1331</v>
      </c>
      <c r="E206" s="3" t="s">
        <v>1332</v>
      </c>
      <c r="F206" s="3" t="s">
        <v>391</v>
      </c>
      <c r="G206" s="3" t="s">
        <v>207</v>
      </c>
      <c r="H206" s="3" t="s">
        <v>392</v>
      </c>
    </row>
    <row r="207" spans="1:8" x14ac:dyDescent="0.2">
      <c r="A207" s="3">
        <v>4458</v>
      </c>
      <c r="B207" s="3">
        <v>5965</v>
      </c>
      <c r="C207" s="3" t="s">
        <v>1268</v>
      </c>
      <c r="D207" s="3" t="s">
        <v>1333</v>
      </c>
      <c r="E207" s="3" t="s">
        <v>1334</v>
      </c>
      <c r="F207" s="3" t="s">
        <v>1271</v>
      </c>
      <c r="G207" s="3" t="s">
        <v>207</v>
      </c>
      <c r="H207" s="3" t="s">
        <v>1272</v>
      </c>
    </row>
    <row r="208" spans="1:8" x14ac:dyDescent="0.2">
      <c r="A208" s="3">
        <v>4256</v>
      </c>
      <c r="B208" s="3">
        <v>5196</v>
      </c>
      <c r="C208" s="3" t="s">
        <v>343</v>
      </c>
      <c r="D208" s="3" t="s">
        <v>1335</v>
      </c>
      <c r="E208" s="3" t="s">
        <v>1336</v>
      </c>
      <c r="F208" s="3" t="s">
        <v>495</v>
      </c>
      <c r="G208" s="3" t="s">
        <v>207</v>
      </c>
      <c r="H208" s="3" t="s">
        <v>302</v>
      </c>
    </row>
    <row r="209" spans="1:8" x14ac:dyDescent="0.2">
      <c r="A209" s="3">
        <v>4260</v>
      </c>
      <c r="B209" s="3">
        <v>5251</v>
      </c>
      <c r="C209" s="3" t="s">
        <v>611</v>
      </c>
      <c r="D209" s="3" t="s">
        <v>1337</v>
      </c>
      <c r="E209" s="3" t="s">
        <v>1338</v>
      </c>
      <c r="F209" s="3" t="s">
        <v>495</v>
      </c>
      <c r="G209" s="3" t="s">
        <v>207</v>
      </c>
      <c r="H209" s="3" t="s">
        <v>778</v>
      </c>
    </row>
    <row r="210" spans="1:8" x14ac:dyDescent="0.2">
      <c r="A210" s="3">
        <v>4282</v>
      </c>
      <c r="B210" s="3">
        <v>5400</v>
      </c>
      <c r="C210" s="3" t="s">
        <v>334</v>
      </c>
      <c r="D210" s="3" t="s">
        <v>1339</v>
      </c>
      <c r="E210" s="3" t="s">
        <v>1340</v>
      </c>
      <c r="F210" s="3" t="s">
        <v>495</v>
      </c>
      <c r="G210" s="3" t="s">
        <v>207</v>
      </c>
      <c r="H210" s="3" t="s">
        <v>223</v>
      </c>
    </row>
    <row r="211" spans="1:8" x14ac:dyDescent="0.2">
      <c r="A211" s="3">
        <v>4403</v>
      </c>
      <c r="B211" s="3">
        <v>5684</v>
      </c>
      <c r="C211" s="3" t="s">
        <v>330</v>
      </c>
      <c r="D211" s="3" t="s">
        <v>1341</v>
      </c>
      <c r="E211" s="3" t="s">
        <v>1342</v>
      </c>
      <c r="F211" s="3" t="s">
        <v>764</v>
      </c>
      <c r="G211" s="3" t="s">
        <v>207</v>
      </c>
      <c r="H211" s="3" t="s">
        <v>268</v>
      </c>
    </row>
    <row r="212" spans="1:8" x14ac:dyDescent="0.2">
      <c r="A212" s="3">
        <v>4261</v>
      </c>
      <c r="B212" s="3">
        <v>5276</v>
      </c>
      <c r="C212" s="3" t="s">
        <v>1127</v>
      </c>
      <c r="D212" s="3" t="s">
        <v>1343</v>
      </c>
      <c r="E212" s="3" t="s">
        <v>1344</v>
      </c>
      <c r="F212" s="3" t="s">
        <v>495</v>
      </c>
      <c r="G212" s="3" t="s">
        <v>207</v>
      </c>
      <c r="H212" s="3" t="s">
        <v>679</v>
      </c>
    </row>
    <row r="213" spans="1:8" x14ac:dyDescent="0.2">
      <c r="A213" s="3">
        <v>4262</v>
      </c>
      <c r="B213" s="3">
        <v>5282</v>
      </c>
      <c r="C213" s="3" t="s">
        <v>628</v>
      </c>
      <c r="D213" s="3" t="s">
        <v>1345</v>
      </c>
      <c r="E213" s="3" t="s">
        <v>1346</v>
      </c>
      <c r="F213" s="3" t="s">
        <v>495</v>
      </c>
      <c r="G213" s="3" t="s">
        <v>207</v>
      </c>
      <c r="H213" s="3" t="s">
        <v>1347</v>
      </c>
    </row>
    <row r="214" spans="1:8" x14ac:dyDescent="0.2">
      <c r="A214" s="3">
        <v>4404</v>
      </c>
      <c r="B214" s="3">
        <v>5773</v>
      </c>
      <c r="C214" s="3" t="s">
        <v>1348</v>
      </c>
      <c r="D214" s="3" t="s">
        <v>1285</v>
      </c>
      <c r="E214" s="3" t="s">
        <v>1349</v>
      </c>
      <c r="F214" s="3" t="s">
        <v>1350</v>
      </c>
      <c r="G214" s="3" t="s">
        <v>207</v>
      </c>
      <c r="H214" s="3" t="s">
        <v>1351</v>
      </c>
    </row>
    <row r="215" spans="1:8" x14ac:dyDescent="0.2">
      <c r="A215" s="3">
        <v>4260</v>
      </c>
      <c r="B215" s="3">
        <v>5271</v>
      </c>
      <c r="C215" s="3" t="s">
        <v>611</v>
      </c>
      <c r="D215" s="3" t="s">
        <v>1352</v>
      </c>
      <c r="E215" s="3" t="s">
        <v>1353</v>
      </c>
      <c r="F215" s="3" t="s">
        <v>495</v>
      </c>
      <c r="G215" s="3" t="s">
        <v>207</v>
      </c>
      <c r="H215" s="3" t="s">
        <v>778</v>
      </c>
    </row>
    <row r="216" spans="1:8" x14ac:dyDescent="0.2">
      <c r="A216" s="3">
        <v>4241</v>
      </c>
      <c r="B216" s="3">
        <v>5089</v>
      </c>
      <c r="C216" s="3" t="s">
        <v>1354</v>
      </c>
      <c r="D216" s="3" t="s">
        <v>1355</v>
      </c>
      <c r="E216" s="3" t="s">
        <v>1356</v>
      </c>
      <c r="F216" s="3" t="s">
        <v>495</v>
      </c>
      <c r="G216" s="3" t="s">
        <v>207</v>
      </c>
      <c r="H216" s="3" t="s">
        <v>273</v>
      </c>
    </row>
    <row r="217" spans="1:8" x14ac:dyDescent="0.2">
      <c r="A217" s="3">
        <v>4264</v>
      </c>
      <c r="B217" s="3">
        <v>79402</v>
      </c>
      <c r="C217" s="3" t="s">
        <v>1281</v>
      </c>
      <c r="D217" s="3" t="s">
        <v>1357</v>
      </c>
      <c r="E217" s="3" t="s">
        <v>1358</v>
      </c>
      <c r="F217" s="3" t="s">
        <v>495</v>
      </c>
      <c r="G217" s="3" t="s">
        <v>207</v>
      </c>
      <c r="H217" s="3" t="s">
        <v>1359</v>
      </c>
    </row>
    <row r="218" spans="1:8" x14ac:dyDescent="0.2">
      <c r="A218" s="3">
        <v>4256</v>
      </c>
      <c r="B218" s="3">
        <v>5203</v>
      </c>
      <c r="C218" s="3" t="s">
        <v>343</v>
      </c>
      <c r="D218" s="3" t="s">
        <v>1360</v>
      </c>
      <c r="E218" s="3" t="s">
        <v>1361</v>
      </c>
      <c r="F218" s="3" t="s">
        <v>495</v>
      </c>
      <c r="G218" s="3" t="s">
        <v>207</v>
      </c>
      <c r="H218" s="3" t="s">
        <v>606</v>
      </c>
    </row>
    <row r="219" spans="1:8" x14ac:dyDescent="0.2">
      <c r="A219" s="3">
        <v>4278</v>
      </c>
      <c r="B219" s="3">
        <v>85852</v>
      </c>
      <c r="C219" s="3" t="s">
        <v>551</v>
      </c>
      <c r="D219" s="3" t="s">
        <v>1362</v>
      </c>
      <c r="E219" s="3" t="s">
        <v>1363</v>
      </c>
      <c r="F219" s="3" t="s">
        <v>541</v>
      </c>
      <c r="G219" s="3" t="s">
        <v>207</v>
      </c>
      <c r="H219" s="3" t="s">
        <v>283</v>
      </c>
    </row>
    <row r="220" spans="1:8" x14ac:dyDescent="0.2">
      <c r="A220" s="3">
        <v>4276</v>
      </c>
      <c r="B220" s="3">
        <v>5357</v>
      </c>
      <c r="C220" s="3" t="s">
        <v>1324</v>
      </c>
      <c r="D220" s="3" t="s">
        <v>1364</v>
      </c>
      <c r="E220" s="3" t="s">
        <v>1365</v>
      </c>
      <c r="F220" s="3" t="s">
        <v>495</v>
      </c>
      <c r="G220" s="3" t="s">
        <v>207</v>
      </c>
      <c r="H220" s="3" t="s">
        <v>305</v>
      </c>
    </row>
    <row r="221" spans="1:8" x14ac:dyDescent="0.2">
      <c r="A221" s="3">
        <v>4235</v>
      </c>
      <c r="B221" s="3">
        <v>4933</v>
      </c>
      <c r="C221" s="3" t="s">
        <v>341</v>
      </c>
      <c r="D221" s="3" t="s">
        <v>1366</v>
      </c>
      <c r="E221" s="3" t="s">
        <v>1367</v>
      </c>
      <c r="F221" s="3" t="s">
        <v>714</v>
      </c>
      <c r="G221" s="3" t="s">
        <v>207</v>
      </c>
      <c r="H221" s="3" t="s">
        <v>1368</v>
      </c>
    </row>
    <row r="222" spans="1:8" x14ac:dyDescent="0.2">
      <c r="A222" s="3">
        <v>4406</v>
      </c>
      <c r="B222" s="3">
        <v>5805</v>
      </c>
      <c r="C222" s="3" t="s">
        <v>337</v>
      </c>
      <c r="D222" s="3" t="s">
        <v>1369</v>
      </c>
      <c r="E222" s="3" t="s">
        <v>1370</v>
      </c>
      <c r="F222" s="3" t="s">
        <v>764</v>
      </c>
      <c r="G222" s="3" t="s">
        <v>207</v>
      </c>
      <c r="H222" s="3" t="s">
        <v>254</v>
      </c>
    </row>
    <row r="223" spans="1:8" x14ac:dyDescent="0.2">
      <c r="A223" s="3">
        <v>4260</v>
      </c>
      <c r="B223" s="3">
        <v>5268</v>
      </c>
      <c r="C223" s="3" t="s">
        <v>611</v>
      </c>
      <c r="D223" s="3" t="s">
        <v>1371</v>
      </c>
      <c r="E223" s="3" t="s">
        <v>1372</v>
      </c>
      <c r="F223" s="3" t="s">
        <v>495</v>
      </c>
      <c r="G223" s="3" t="s">
        <v>207</v>
      </c>
      <c r="H223" s="3" t="s">
        <v>1140</v>
      </c>
    </row>
    <row r="224" spans="1:8" x14ac:dyDescent="0.2">
      <c r="A224" s="3">
        <v>4235</v>
      </c>
      <c r="B224" s="3">
        <v>4913</v>
      </c>
      <c r="C224" s="3" t="s">
        <v>341</v>
      </c>
      <c r="D224" s="3" t="s">
        <v>1373</v>
      </c>
      <c r="E224" s="3" t="s">
        <v>1374</v>
      </c>
      <c r="F224" s="3" t="s">
        <v>714</v>
      </c>
      <c r="G224" s="3" t="s">
        <v>207</v>
      </c>
      <c r="H224" s="3" t="s">
        <v>1368</v>
      </c>
    </row>
    <row r="225" spans="1:8" x14ac:dyDescent="0.2">
      <c r="A225" s="3">
        <v>4273</v>
      </c>
      <c r="B225" s="3">
        <v>5351</v>
      </c>
      <c r="C225" s="3" t="s">
        <v>1375</v>
      </c>
      <c r="D225" s="3" t="s">
        <v>1376</v>
      </c>
      <c r="E225" s="3" t="s">
        <v>1377</v>
      </c>
      <c r="F225" s="3" t="s">
        <v>495</v>
      </c>
      <c r="G225" s="3" t="s">
        <v>207</v>
      </c>
      <c r="H225" s="3" t="s">
        <v>270</v>
      </c>
    </row>
    <row r="226" spans="1:8" x14ac:dyDescent="0.2">
      <c r="A226" s="3">
        <v>4192</v>
      </c>
      <c r="B226" s="3">
        <v>4808</v>
      </c>
      <c r="C226" s="3" t="s">
        <v>311</v>
      </c>
      <c r="D226" s="3" t="s">
        <v>1378</v>
      </c>
      <c r="E226" s="3" t="s">
        <v>1379</v>
      </c>
      <c r="F226" s="3" t="s">
        <v>1380</v>
      </c>
      <c r="G226" s="3" t="s">
        <v>207</v>
      </c>
      <c r="H226" s="3" t="s">
        <v>1381</v>
      </c>
    </row>
    <row r="227" spans="1:8" x14ac:dyDescent="0.2">
      <c r="A227" s="3">
        <v>4279</v>
      </c>
      <c r="B227" s="3">
        <v>79013</v>
      </c>
      <c r="C227" s="3" t="s">
        <v>328</v>
      </c>
      <c r="D227" s="3" t="s">
        <v>1382</v>
      </c>
      <c r="E227" s="3" t="s">
        <v>1383</v>
      </c>
      <c r="F227" s="3" t="s">
        <v>495</v>
      </c>
      <c r="G227" s="3" t="s">
        <v>207</v>
      </c>
      <c r="H227" s="3" t="s">
        <v>305</v>
      </c>
    </row>
    <row r="228" spans="1:8" x14ac:dyDescent="0.2">
      <c r="A228" s="3">
        <v>79047</v>
      </c>
      <c r="B228" s="3">
        <v>80050</v>
      </c>
      <c r="C228" s="3" t="s">
        <v>1384</v>
      </c>
      <c r="D228" s="3" t="s">
        <v>1385</v>
      </c>
      <c r="E228" s="3" t="s">
        <v>1386</v>
      </c>
      <c r="F228" s="3" t="s">
        <v>495</v>
      </c>
      <c r="G228" s="3" t="s">
        <v>207</v>
      </c>
      <c r="H228" s="3" t="s">
        <v>682</v>
      </c>
    </row>
    <row r="229" spans="1:8" x14ac:dyDescent="0.2">
      <c r="A229" s="3">
        <v>4258</v>
      </c>
      <c r="B229" s="3">
        <v>5215</v>
      </c>
      <c r="C229" s="3" t="s">
        <v>701</v>
      </c>
      <c r="D229" s="3" t="s">
        <v>1387</v>
      </c>
      <c r="E229" s="3" t="s">
        <v>1388</v>
      </c>
      <c r="F229" s="3" t="s">
        <v>704</v>
      </c>
      <c r="G229" s="3" t="s">
        <v>207</v>
      </c>
      <c r="H229" s="3" t="s">
        <v>705</v>
      </c>
    </row>
    <row r="230" spans="1:8" x14ac:dyDescent="0.2">
      <c r="A230" s="3">
        <v>4446</v>
      </c>
      <c r="B230" s="3">
        <v>5932</v>
      </c>
      <c r="C230" s="3" t="s">
        <v>321</v>
      </c>
      <c r="D230" s="3" t="s">
        <v>1389</v>
      </c>
      <c r="E230" s="3" t="s">
        <v>1390</v>
      </c>
      <c r="F230" s="3" t="s">
        <v>1391</v>
      </c>
      <c r="G230" s="3" t="s">
        <v>207</v>
      </c>
      <c r="H230" s="3" t="s">
        <v>1392</v>
      </c>
    </row>
    <row r="231" spans="1:8" x14ac:dyDescent="0.2">
      <c r="A231" s="3">
        <v>4174</v>
      </c>
      <c r="B231" s="3">
        <v>4768</v>
      </c>
      <c r="C231" s="3" t="s">
        <v>837</v>
      </c>
      <c r="D231" s="3" t="s">
        <v>1393</v>
      </c>
      <c r="E231" s="3" t="s">
        <v>1394</v>
      </c>
      <c r="F231" s="3" t="s">
        <v>1298</v>
      </c>
      <c r="G231" s="3" t="s">
        <v>207</v>
      </c>
      <c r="H231" s="3" t="s">
        <v>1299</v>
      </c>
    </row>
    <row r="232" spans="1:8" x14ac:dyDescent="0.2">
      <c r="A232" s="3">
        <v>4280</v>
      </c>
      <c r="B232" s="3">
        <v>5386</v>
      </c>
      <c r="C232" s="3" t="s">
        <v>376</v>
      </c>
      <c r="D232" s="3" t="s">
        <v>1395</v>
      </c>
      <c r="E232" s="3" t="s">
        <v>1396</v>
      </c>
      <c r="F232" s="3" t="s">
        <v>495</v>
      </c>
      <c r="G232" s="3" t="s">
        <v>207</v>
      </c>
      <c r="H232" s="3" t="s">
        <v>951</v>
      </c>
    </row>
    <row r="233" spans="1:8" x14ac:dyDescent="0.2">
      <c r="A233" s="3">
        <v>4235</v>
      </c>
      <c r="B233" s="3">
        <v>79225</v>
      </c>
      <c r="C233" s="3" t="s">
        <v>341</v>
      </c>
      <c r="D233" s="3" t="s">
        <v>1397</v>
      </c>
      <c r="E233" s="3" t="s">
        <v>1398</v>
      </c>
      <c r="F233" s="3" t="s">
        <v>714</v>
      </c>
      <c r="G233" s="3" t="s">
        <v>207</v>
      </c>
      <c r="H233" s="3" t="s">
        <v>294</v>
      </c>
    </row>
    <row r="234" spans="1:8" x14ac:dyDescent="0.2">
      <c r="A234" s="3">
        <v>4280</v>
      </c>
      <c r="B234" s="3">
        <v>5388</v>
      </c>
      <c r="C234" s="3" t="s">
        <v>376</v>
      </c>
      <c r="D234" s="3" t="s">
        <v>1399</v>
      </c>
      <c r="E234" s="3" t="s">
        <v>1400</v>
      </c>
      <c r="F234" s="3" t="s">
        <v>495</v>
      </c>
      <c r="G234" s="3" t="s">
        <v>207</v>
      </c>
      <c r="H234" s="3" t="s">
        <v>951</v>
      </c>
    </row>
    <row r="235" spans="1:8" x14ac:dyDescent="0.2">
      <c r="A235" s="3">
        <v>4280</v>
      </c>
      <c r="B235" s="3">
        <v>5387</v>
      </c>
      <c r="C235" s="3" t="s">
        <v>376</v>
      </c>
      <c r="D235" s="3" t="s">
        <v>1401</v>
      </c>
      <c r="E235" s="3" t="s">
        <v>1402</v>
      </c>
      <c r="F235" s="3" t="s">
        <v>495</v>
      </c>
      <c r="G235" s="3" t="s">
        <v>207</v>
      </c>
      <c r="H235" s="3" t="s">
        <v>951</v>
      </c>
    </row>
    <row r="236" spans="1:8" x14ac:dyDescent="0.2">
      <c r="A236" s="3">
        <v>4279</v>
      </c>
      <c r="B236" s="3">
        <v>5376</v>
      </c>
      <c r="C236" s="3" t="s">
        <v>328</v>
      </c>
      <c r="D236" s="3" t="s">
        <v>1403</v>
      </c>
      <c r="E236" s="3" t="s">
        <v>1404</v>
      </c>
      <c r="F236" s="3" t="s">
        <v>495</v>
      </c>
      <c r="G236" s="3" t="s">
        <v>207</v>
      </c>
      <c r="H236" s="3" t="s">
        <v>248</v>
      </c>
    </row>
    <row r="237" spans="1:8" x14ac:dyDescent="0.2">
      <c r="A237" s="3">
        <v>4261</v>
      </c>
      <c r="B237" s="3">
        <v>5277</v>
      </c>
      <c r="C237" s="3" t="s">
        <v>1127</v>
      </c>
      <c r="D237" s="3" t="s">
        <v>1405</v>
      </c>
      <c r="E237" s="3" t="s">
        <v>1406</v>
      </c>
      <c r="F237" s="3" t="s">
        <v>495</v>
      </c>
      <c r="G237" s="3" t="s">
        <v>207</v>
      </c>
      <c r="H237" s="3" t="s">
        <v>679</v>
      </c>
    </row>
    <row r="238" spans="1:8" x14ac:dyDescent="0.2">
      <c r="A238" s="3">
        <v>4512</v>
      </c>
      <c r="B238" s="3">
        <v>6200</v>
      </c>
      <c r="C238" s="3" t="s">
        <v>326</v>
      </c>
      <c r="D238" s="3" t="s">
        <v>1407</v>
      </c>
      <c r="E238" s="3" t="s">
        <v>1408</v>
      </c>
      <c r="F238" s="3" t="s">
        <v>1409</v>
      </c>
      <c r="G238" s="3" t="s">
        <v>207</v>
      </c>
      <c r="H238" s="3" t="s">
        <v>244</v>
      </c>
    </row>
    <row r="239" spans="1:8" x14ac:dyDescent="0.2">
      <c r="A239" s="3">
        <v>4260</v>
      </c>
      <c r="B239" s="3">
        <v>5245</v>
      </c>
      <c r="C239" s="3" t="s">
        <v>611</v>
      </c>
      <c r="D239" s="3" t="s">
        <v>1410</v>
      </c>
      <c r="E239" s="3" t="s">
        <v>1411</v>
      </c>
      <c r="F239" s="3" t="s">
        <v>495</v>
      </c>
      <c r="G239" s="3" t="s">
        <v>207</v>
      </c>
      <c r="H239" s="3" t="s">
        <v>304</v>
      </c>
    </row>
    <row r="240" spans="1:8" x14ac:dyDescent="0.2">
      <c r="A240" s="3">
        <v>4260</v>
      </c>
      <c r="B240" s="3">
        <v>5260</v>
      </c>
      <c r="C240" s="3" t="s">
        <v>611</v>
      </c>
      <c r="D240" s="3" t="s">
        <v>547</v>
      </c>
      <c r="E240" s="3" t="s">
        <v>1412</v>
      </c>
      <c r="F240" s="3" t="s">
        <v>495</v>
      </c>
      <c r="G240" s="3" t="s">
        <v>207</v>
      </c>
      <c r="H240" s="3" t="s">
        <v>1140</v>
      </c>
    </row>
    <row r="241" spans="1:8" x14ac:dyDescent="0.2">
      <c r="A241" s="3">
        <v>4241</v>
      </c>
      <c r="B241" s="3">
        <v>5101</v>
      </c>
      <c r="C241" s="3" t="s">
        <v>1354</v>
      </c>
      <c r="D241" s="3" t="s">
        <v>1413</v>
      </c>
      <c r="E241" s="3" t="s">
        <v>1414</v>
      </c>
      <c r="F241" s="3" t="s">
        <v>495</v>
      </c>
      <c r="G241" s="3" t="s">
        <v>207</v>
      </c>
      <c r="H241" s="3" t="s">
        <v>273</v>
      </c>
    </row>
    <row r="242" spans="1:8" x14ac:dyDescent="0.2">
      <c r="A242" s="3">
        <v>4258</v>
      </c>
      <c r="B242" s="3">
        <v>5230</v>
      </c>
      <c r="C242" s="3" t="s">
        <v>701</v>
      </c>
      <c r="D242" s="3" t="s">
        <v>1415</v>
      </c>
      <c r="E242" s="3" t="s">
        <v>1416</v>
      </c>
      <c r="F242" s="3" t="s">
        <v>704</v>
      </c>
      <c r="G242" s="3" t="s">
        <v>207</v>
      </c>
      <c r="H242" s="3" t="s">
        <v>705</v>
      </c>
    </row>
    <row r="243" spans="1:8" x14ac:dyDescent="0.2">
      <c r="A243" s="3">
        <v>4403</v>
      </c>
      <c r="B243" s="3">
        <v>5659</v>
      </c>
      <c r="C243" s="3" t="s">
        <v>330</v>
      </c>
      <c r="D243" s="3" t="s">
        <v>1417</v>
      </c>
      <c r="E243" s="3" t="s">
        <v>1418</v>
      </c>
      <c r="F243" s="3" t="s">
        <v>764</v>
      </c>
      <c r="G243" s="3" t="s">
        <v>207</v>
      </c>
      <c r="H243" s="3" t="s">
        <v>269</v>
      </c>
    </row>
    <row r="244" spans="1:8" x14ac:dyDescent="0.2">
      <c r="A244" s="3">
        <v>4403</v>
      </c>
      <c r="B244" s="3">
        <v>5667</v>
      </c>
      <c r="C244" s="3" t="s">
        <v>330</v>
      </c>
      <c r="D244" s="3" t="s">
        <v>1419</v>
      </c>
      <c r="E244" s="3" t="s">
        <v>1420</v>
      </c>
      <c r="F244" s="3" t="s">
        <v>764</v>
      </c>
      <c r="G244" s="3" t="s">
        <v>207</v>
      </c>
      <c r="H244" s="3" t="s">
        <v>268</v>
      </c>
    </row>
    <row r="245" spans="1:8" x14ac:dyDescent="0.2">
      <c r="A245" s="3">
        <v>4280</v>
      </c>
      <c r="B245" s="3">
        <v>1000042</v>
      </c>
      <c r="C245" s="3" t="s">
        <v>376</v>
      </c>
      <c r="D245" s="3" t="s">
        <v>1421</v>
      </c>
      <c r="E245" s="3" t="s">
        <v>1422</v>
      </c>
      <c r="F245" s="3" t="s">
        <v>495</v>
      </c>
      <c r="G245" s="3" t="s">
        <v>207</v>
      </c>
      <c r="H245" s="3" t="s">
        <v>594</v>
      </c>
    </row>
    <row r="246" spans="1:8" x14ac:dyDescent="0.2">
      <c r="A246" s="3">
        <v>4403</v>
      </c>
      <c r="B246" s="3">
        <v>5683</v>
      </c>
      <c r="C246" s="3" t="s">
        <v>330</v>
      </c>
      <c r="D246" s="3" t="s">
        <v>1423</v>
      </c>
      <c r="E246" s="3" t="s">
        <v>1424</v>
      </c>
      <c r="F246" s="3" t="s">
        <v>764</v>
      </c>
      <c r="G246" s="3" t="s">
        <v>207</v>
      </c>
      <c r="H246" s="3" t="s">
        <v>774</v>
      </c>
    </row>
    <row r="247" spans="1:8" x14ac:dyDescent="0.2">
      <c r="A247" s="3">
        <v>4259</v>
      </c>
      <c r="B247" s="3">
        <v>5240</v>
      </c>
      <c r="C247" s="3" t="s">
        <v>316</v>
      </c>
      <c r="D247" s="3" t="s">
        <v>1425</v>
      </c>
      <c r="E247" s="3" t="s">
        <v>1426</v>
      </c>
      <c r="F247" s="3" t="s">
        <v>495</v>
      </c>
      <c r="G247" s="3" t="s">
        <v>207</v>
      </c>
      <c r="H247" s="3" t="s">
        <v>235</v>
      </c>
    </row>
    <row r="248" spans="1:8" x14ac:dyDescent="0.2">
      <c r="A248" s="3">
        <v>79979</v>
      </c>
      <c r="B248" s="3">
        <v>90045</v>
      </c>
      <c r="C248" s="3" t="s">
        <v>1427</v>
      </c>
      <c r="D248" s="3" t="s">
        <v>1428</v>
      </c>
      <c r="E248" s="3" t="s">
        <v>1429</v>
      </c>
      <c r="F248" s="3" t="s">
        <v>764</v>
      </c>
      <c r="G248" s="3" t="s">
        <v>207</v>
      </c>
      <c r="H248" s="3" t="s">
        <v>267</v>
      </c>
    </row>
    <row r="249" spans="1:8" x14ac:dyDescent="0.2">
      <c r="A249" s="3">
        <v>4407</v>
      </c>
      <c r="B249" s="3">
        <v>5824</v>
      </c>
      <c r="C249" s="3" t="s">
        <v>331</v>
      </c>
      <c r="D249" s="3" t="s">
        <v>1430</v>
      </c>
      <c r="E249" s="3" t="s">
        <v>1431</v>
      </c>
      <c r="F249" s="3" t="s">
        <v>764</v>
      </c>
      <c r="G249" s="3" t="s">
        <v>207</v>
      </c>
      <c r="H249" s="3" t="s">
        <v>257</v>
      </c>
    </row>
    <row r="250" spans="1:8" x14ac:dyDescent="0.2">
      <c r="A250" s="3">
        <v>4241</v>
      </c>
      <c r="B250" s="3">
        <v>5094</v>
      </c>
      <c r="C250" s="3" t="s">
        <v>1354</v>
      </c>
      <c r="D250" s="3" t="s">
        <v>1432</v>
      </c>
      <c r="E250" s="3" t="s">
        <v>1433</v>
      </c>
      <c r="F250" s="3" t="s">
        <v>495</v>
      </c>
      <c r="G250" s="3" t="s">
        <v>207</v>
      </c>
      <c r="H250" s="3" t="s">
        <v>273</v>
      </c>
    </row>
    <row r="251" spans="1:8" x14ac:dyDescent="0.2">
      <c r="A251" s="3">
        <v>4403</v>
      </c>
      <c r="B251" s="3">
        <v>5713</v>
      </c>
      <c r="C251" s="3" t="s">
        <v>330</v>
      </c>
      <c r="D251" s="3" t="s">
        <v>1434</v>
      </c>
      <c r="E251" s="3" t="s">
        <v>1435</v>
      </c>
      <c r="F251" s="3" t="s">
        <v>764</v>
      </c>
      <c r="G251" s="3" t="s">
        <v>207</v>
      </c>
      <c r="H251" s="3" t="s">
        <v>269</v>
      </c>
    </row>
    <row r="252" spans="1:8" x14ac:dyDescent="0.2">
      <c r="A252" s="3">
        <v>4446</v>
      </c>
      <c r="B252" s="3">
        <v>5937</v>
      </c>
      <c r="C252" s="3" t="s">
        <v>321</v>
      </c>
      <c r="D252" s="3" t="s">
        <v>1436</v>
      </c>
      <c r="E252" s="3" t="s">
        <v>1437</v>
      </c>
      <c r="F252" s="3" t="s">
        <v>1391</v>
      </c>
      <c r="G252" s="3" t="s">
        <v>207</v>
      </c>
      <c r="H252" s="3" t="s">
        <v>1392</v>
      </c>
    </row>
    <row r="253" spans="1:8" x14ac:dyDescent="0.2">
      <c r="A253" s="3">
        <v>4192</v>
      </c>
      <c r="B253" s="3">
        <v>4814</v>
      </c>
      <c r="C253" s="3" t="s">
        <v>311</v>
      </c>
      <c r="D253" s="3" t="s">
        <v>1438</v>
      </c>
      <c r="E253" s="3" t="s">
        <v>1439</v>
      </c>
      <c r="F253" s="3" t="s">
        <v>1380</v>
      </c>
      <c r="G253" s="3" t="s">
        <v>207</v>
      </c>
      <c r="H253" s="3" t="s">
        <v>1381</v>
      </c>
    </row>
    <row r="254" spans="1:8" x14ac:dyDescent="0.2">
      <c r="A254" s="3">
        <v>79947</v>
      </c>
      <c r="B254" s="3">
        <v>91805</v>
      </c>
      <c r="C254" s="3" t="s">
        <v>1440</v>
      </c>
      <c r="D254" s="3" t="s">
        <v>1441</v>
      </c>
      <c r="E254" s="3" t="s">
        <v>1442</v>
      </c>
      <c r="F254" s="3" t="s">
        <v>764</v>
      </c>
      <c r="G254" s="3" t="s">
        <v>207</v>
      </c>
      <c r="H254" s="3" t="s">
        <v>257</v>
      </c>
    </row>
    <row r="255" spans="1:8" x14ac:dyDescent="0.2">
      <c r="A255" s="3">
        <v>4283</v>
      </c>
      <c r="B255" s="3">
        <v>5418</v>
      </c>
      <c r="C255" s="3" t="s">
        <v>1443</v>
      </c>
      <c r="D255" s="3" t="s">
        <v>1444</v>
      </c>
      <c r="E255" s="3" t="s">
        <v>1445</v>
      </c>
      <c r="F255" s="3" t="s">
        <v>495</v>
      </c>
      <c r="G255" s="3" t="s">
        <v>207</v>
      </c>
      <c r="H255" s="3" t="s">
        <v>1359</v>
      </c>
    </row>
    <row r="256" spans="1:8" x14ac:dyDescent="0.2">
      <c r="A256" s="3">
        <v>4211</v>
      </c>
      <c r="B256" s="3">
        <v>81122</v>
      </c>
      <c r="C256" s="3" t="s">
        <v>1021</v>
      </c>
      <c r="D256" s="3" t="s">
        <v>1446</v>
      </c>
      <c r="E256" s="3" t="s">
        <v>1447</v>
      </c>
      <c r="F256" s="3" t="s">
        <v>1024</v>
      </c>
      <c r="G256" s="3" t="s">
        <v>207</v>
      </c>
      <c r="H256" s="3" t="s">
        <v>1025</v>
      </c>
    </row>
    <row r="257" spans="1:8" x14ac:dyDescent="0.2">
      <c r="A257" s="3">
        <v>4403</v>
      </c>
      <c r="B257" s="3">
        <v>5749</v>
      </c>
      <c r="C257" s="3" t="s">
        <v>330</v>
      </c>
      <c r="D257" s="3" t="s">
        <v>1448</v>
      </c>
      <c r="E257" s="3" t="s">
        <v>1449</v>
      </c>
      <c r="F257" s="3" t="s">
        <v>764</v>
      </c>
      <c r="G257" s="3" t="s">
        <v>207</v>
      </c>
      <c r="H257" s="3" t="s">
        <v>268</v>
      </c>
    </row>
    <row r="258" spans="1:8" x14ac:dyDescent="0.2">
      <c r="A258" s="3">
        <v>4338</v>
      </c>
      <c r="B258" s="3">
        <v>5512</v>
      </c>
      <c r="C258" s="3" t="s">
        <v>1450</v>
      </c>
      <c r="D258" s="3" t="s">
        <v>1451</v>
      </c>
      <c r="E258" s="3" t="s">
        <v>1452</v>
      </c>
      <c r="F258" s="3" t="s">
        <v>495</v>
      </c>
      <c r="G258" s="3" t="s">
        <v>207</v>
      </c>
      <c r="H258" s="3" t="s">
        <v>668</v>
      </c>
    </row>
    <row r="259" spans="1:8" x14ac:dyDescent="0.2">
      <c r="A259" s="3">
        <v>4446</v>
      </c>
      <c r="B259" s="3">
        <v>5929</v>
      </c>
      <c r="C259" s="3" t="s">
        <v>321</v>
      </c>
      <c r="D259" s="3" t="s">
        <v>1453</v>
      </c>
      <c r="E259" s="3" t="s">
        <v>1454</v>
      </c>
      <c r="F259" s="3" t="s">
        <v>1391</v>
      </c>
      <c r="G259" s="3" t="s">
        <v>207</v>
      </c>
      <c r="H259" s="3" t="s">
        <v>234</v>
      </c>
    </row>
    <row r="260" spans="1:8" x14ac:dyDescent="0.2">
      <c r="A260" s="3">
        <v>4442</v>
      </c>
      <c r="B260" s="3">
        <v>5911</v>
      </c>
      <c r="C260" s="3" t="s">
        <v>315</v>
      </c>
      <c r="D260" s="3" t="s">
        <v>1455</v>
      </c>
      <c r="E260" s="3" t="s">
        <v>1456</v>
      </c>
      <c r="F260" s="3" t="s">
        <v>751</v>
      </c>
      <c r="G260" s="3" t="s">
        <v>207</v>
      </c>
      <c r="H260" s="3" t="s">
        <v>255</v>
      </c>
    </row>
    <row r="261" spans="1:8" x14ac:dyDescent="0.2">
      <c r="A261" s="3">
        <v>4279</v>
      </c>
      <c r="B261" s="3">
        <v>5368</v>
      </c>
      <c r="C261" s="3" t="s">
        <v>328</v>
      </c>
      <c r="D261" s="3" t="s">
        <v>1457</v>
      </c>
      <c r="E261" s="3" t="s">
        <v>1458</v>
      </c>
      <c r="F261" s="3" t="s">
        <v>495</v>
      </c>
      <c r="G261" s="3" t="s">
        <v>207</v>
      </c>
      <c r="H261" s="3" t="s">
        <v>305</v>
      </c>
    </row>
    <row r="262" spans="1:8" x14ac:dyDescent="0.2">
      <c r="A262" s="3">
        <v>4499</v>
      </c>
      <c r="B262" s="3">
        <v>6160</v>
      </c>
      <c r="C262" s="3" t="s">
        <v>513</v>
      </c>
      <c r="D262" s="3" t="s">
        <v>1459</v>
      </c>
      <c r="E262" s="3" t="s">
        <v>1460</v>
      </c>
      <c r="F262" s="3" t="s">
        <v>496</v>
      </c>
      <c r="G262" s="3" t="s">
        <v>207</v>
      </c>
      <c r="H262" s="3" t="s">
        <v>512</v>
      </c>
    </row>
    <row r="263" spans="1:8" x14ac:dyDescent="0.2">
      <c r="A263" s="3">
        <v>4265</v>
      </c>
      <c r="B263" s="3">
        <v>5292</v>
      </c>
      <c r="C263" s="3" t="s">
        <v>322</v>
      </c>
      <c r="D263" s="3" t="s">
        <v>1461</v>
      </c>
      <c r="E263" s="3" t="s">
        <v>1462</v>
      </c>
      <c r="F263" s="3" t="s">
        <v>495</v>
      </c>
      <c r="G263" s="3" t="s">
        <v>207</v>
      </c>
      <c r="H263" s="3" t="s">
        <v>235</v>
      </c>
    </row>
    <row r="264" spans="1:8" x14ac:dyDescent="0.2">
      <c r="A264" s="3">
        <v>6446</v>
      </c>
      <c r="B264" s="3">
        <v>10849</v>
      </c>
      <c r="C264" s="3" t="s">
        <v>732</v>
      </c>
      <c r="D264" s="3" t="s">
        <v>1463</v>
      </c>
      <c r="E264" s="3" t="s">
        <v>734</v>
      </c>
      <c r="F264" s="3" t="s">
        <v>714</v>
      </c>
      <c r="G264" s="3" t="s">
        <v>207</v>
      </c>
      <c r="H264" s="3" t="s">
        <v>728</v>
      </c>
    </row>
    <row r="265" spans="1:8" x14ac:dyDescent="0.2">
      <c r="A265" s="3">
        <v>91992</v>
      </c>
      <c r="B265" s="3">
        <v>92497</v>
      </c>
      <c r="C265" s="3" t="s">
        <v>1464</v>
      </c>
      <c r="D265" s="3" t="s">
        <v>1465</v>
      </c>
      <c r="E265" s="3" t="s">
        <v>1466</v>
      </c>
      <c r="F265" s="3" t="s">
        <v>764</v>
      </c>
      <c r="G265" s="3" t="s">
        <v>207</v>
      </c>
      <c r="H265" s="3" t="s">
        <v>272</v>
      </c>
    </row>
    <row r="266" spans="1:8" x14ac:dyDescent="0.2">
      <c r="A266" s="3">
        <v>79085</v>
      </c>
      <c r="B266" s="3">
        <v>79091</v>
      </c>
      <c r="C266" s="3" t="s">
        <v>1467</v>
      </c>
      <c r="D266" s="3" t="s">
        <v>1468</v>
      </c>
      <c r="E266" s="3" t="s">
        <v>1469</v>
      </c>
      <c r="F266" s="3" t="s">
        <v>764</v>
      </c>
      <c r="G266" s="3" t="s">
        <v>207</v>
      </c>
      <c r="H266" s="3" t="s">
        <v>257</v>
      </c>
    </row>
    <row r="267" spans="1:8" x14ac:dyDescent="0.2">
      <c r="A267" s="3">
        <v>4391</v>
      </c>
      <c r="B267" s="3">
        <v>5614</v>
      </c>
      <c r="C267" s="3" t="s">
        <v>1470</v>
      </c>
      <c r="D267" s="3" t="s">
        <v>1471</v>
      </c>
      <c r="E267" s="3" t="s">
        <v>1472</v>
      </c>
      <c r="F267" s="3" t="s">
        <v>1473</v>
      </c>
      <c r="G267" s="3" t="s">
        <v>207</v>
      </c>
      <c r="H267" s="3" t="s">
        <v>1474</v>
      </c>
    </row>
    <row r="268" spans="1:8" x14ac:dyDescent="0.2">
      <c r="A268" s="3">
        <v>4468</v>
      </c>
      <c r="B268" s="3">
        <v>6088</v>
      </c>
      <c r="C268" s="3" t="s">
        <v>1475</v>
      </c>
      <c r="D268" s="3" t="s">
        <v>1476</v>
      </c>
      <c r="E268" s="3" t="s">
        <v>1477</v>
      </c>
      <c r="F268" s="3" t="s">
        <v>1478</v>
      </c>
      <c r="G268" s="3" t="s">
        <v>207</v>
      </c>
      <c r="H268" s="3" t="s">
        <v>1479</v>
      </c>
    </row>
    <row r="269" spans="1:8" x14ac:dyDescent="0.2">
      <c r="A269" s="3">
        <v>4407</v>
      </c>
      <c r="B269" s="3">
        <v>5816</v>
      </c>
      <c r="C269" s="3" t="s">
        <v>331</v>
      </c>
      <c r="D269" s="3" t="s">
        <v>1480</v>
      </c>
      <c r="E269" s="3" t="s">
        <v>1481</v>
      </c>
      <c r="F269" s="3" t="s">
        <v>764</v>
      </c>
      <c r="G269" s="3" t="s">
        <v>207</v>
      </c>
      <c r="H269" s="3" t="s">
        <v>257</v>
      </c>
    </row>
    <row r="270" spans="1:8" x14ac:dyDescent="0.2">
      <c r="A270" s="3">
        <v>4158</v>
      </c>
      <c r="B270" s="3">
        <v>4732</v>
      </c>
      <c r="C270" s="3" t="s">
        <v>318</v>
      </c>
      <c r="D270" s="3" t="s">
        <v>1482</v>
      </c>
      <c r="E270" s="3" t="s">
        <v>1483</v>
      </c>
      <c r="F270" s="3" t="s">
        <v>463</v>
      </c>
      <c r="G270" s="3" t="s">
        <v>207</v>
      </c>
      <c r="H270" s="3" t="s">
        <v>228</v>
      </c>
    </row>
    <row r="271" spans="1:8" x14ac:dyDescent="0.2">
      <c r="A271" s="3">
        <v>90878</v>
      </c>
      <c r="B271" s="3">
        <v>92197</v>
      </c>
      <c r="C271" s="3" t="s">
        <v>1484</v>
      </c>
      <c r="D271" s="3" t="s">
        <v>1485</v>
      </c>
      <c r="E271" s="3" t="s">
        <v>1486</v>
      </c>
      <c r="F271" s="3" t="s">
        <v>495</v>
      </c>
      <c r="G271" s="3" t="s">
        <v>207</v>
      </c>
      <c r="H271" s="3" t="s">
        <v>951</v>
      </c>
    </row>
    <row r="272" spans="1:8" x14ac:dyDescent="0.2">
      <c r="A272" s="3">
        <v>4249</v>
      </c>
      <c r="B272" s="3">
        <v>5187</v>
      </c>
      <c r="C272" s="3" t="s">
        <v>1487</v>
      </c>
      <c r="D272" s="3" t="s">
        <v>1488</v>
      </c>
      <c r="E272" s="3" t="s">
        <v>1489</v>
      </c>
      <c r="F272" s="3" t="s">
        <v>1490</v>
      </c>
      <c r="G272" s="3" t="s">
        <v>207</v>
      </c>
      <c r="H272" s="3" t="s">
        <v>1491</v>
      </c>
    </row>
    <row r="273" spans="1:8" x14ac:dyDescent="0.2">
      <c r="A273" s="3">
        <v>4269</v>
      </c>
      <c r="B273" s="3">
        <v>88398</v>
      </c>
      <c r="C273" s="3" t="s">
        <v>535</v>
      </c>
      <c r="D273" s="3" t="s">
        <v>1492</v>
      </c>
      <c r="E273" s="3" t="s">
        <v>1493</v>
      </c>
      <c r="F273" s="3" t="s">
        <v>527</v>
      </c>
      <c r="G273" s="3" t="s">
        <v>207</v>
      </c>
      <c r="H273" s="3" t="s">
        <v>538</v>
      </c>
    </row>
    <row r="274" spans="1:8" x14ac:dyDescent="0.2">
      <c r="A274" s="3">
        <v>4242</v>
      </c>
      <c r="B274" s="3">
        <v>5111</v>
      </c>
      <c r="C274" s="3" t="s">
        <v>721</v>
      </c>
      <c r="D274" s="3" t="s">
        <v>1494</v>
      </c>
      <c r="E274" s="3" t="s">
        <v>1495</v>
      </c>
      <c r="F274" s="3" t="s">
        <v>724</v>
      </c>
      <c r="G274" s="3" t="s">
        <v>207</v>
      </c>
      <c r="H274" s="3" t="s">
        <v>725</v>
      </c>
    </row>
    <row r="275" spans="1:8" x14ac:dyDescent="0.2">
      <c r="A275" s="3">
        <v>4484</v>
      </c>
      <c r="B275" s="3">
        <v>6119</v>
      </c>
      <c r="C275" s="3" t="s">
        <v>1496</v>
      </c>
      <c r="D275" s="3" t="s">
        <v>1497</v>
      </c>
      <c r="E275" s="3" t="s">
        <v>1498</v>
      </c>
      <c r="F275" s="3" t="s">
        <v>1499</v>
      </c>
      <c r="G275" s="3" t="s">
        <v>207</v>
      </c>
      <c r="H275" s="3" t="s">
        <v>1500</v>
      </c>
    </row>
    <row r="276" spans="1:8" x14ac:dyDescent="0.2">
      <c r="A276" s="3">
        <v>4256</v>
      </c>
      <c r="B276" s="3">
        <v>5209</v>
      </c>
      <c r="C276" s="3" t="s">
        <v>343</v>
      </c>
      <c r="D276" s="3" t="s">
        <v>1501</v>
      </c>
      <c r="E276" s="3" t="s">
        <v>1502</v>
      </c>
      <c r="F276" s="3" t="s">
        <v>495</v>
      </c>
      <c r="G276" s="3" t="s">
        <v>207</v>
      </c>
      <c r="H276" s="3" t="s">
        <v>291</v>
      </c>
    </row>
    <row r="277" spans="1:8" x14ac:dyDescent="0.2">
      <c r="A277" s="3">
        <v>4283</v>
      </c>
      <c r="B277" s="3">
        <v>79800</v>
      </c>
      <c r="C277" s="3" t="s">
        <v>1443</v>
      </c>
      <c r="D277" s="3" t="s">
        <v>1503</v>
      </c>
      <c r="E277" s="3" t="s">
        <v>1504</v>
      </c>
      <c r="F277" s="3" t="s">
        <v>541</v>
      </c>
      <c r="G277" s="3" t="s">
        <v>207</v>
      </c>
      <c r="H277" s="3" t="s">
        <v>283</v>
      </c>
    </row>
    <row r="278" spans="1:8" x14ac:dyDescent="0.2">
      <c r="A278" s="3">
        <v>4441</v>
      </c>
      <c r="B278" s="3">
        <v>89911</v>
      </c>
      <c r="C278" s="3" t="s">
        <v>1505</v>
      </c>
      <c r="D278" s="3" t="s">
        <v>1506</v>
      </c>
      <c r="E278" s="3" t="s">
        <v>1507</v>
      </c>
      <c r="F278" s="3" t="s">
        <v>1273</v>
      </c>
      <c r="G278" s="3" t="s">
        <v>207</v>
      </c>
      <c r="H278" s="3" t="s">
        <v>1508</v>
      </c>
    </row>
    <row r="279" spans="1:8" x14ac:dyDescent="0.2">
      <c r="A279" s="3">
        <v>4499</v>
      </c>
      <c r="B279" s="3">
        <v>6149</v>
      </c>
      <c r="C279" s="3" t="s">
        <v>513</v>
      </c>
      <c r="D279" s="3" t="s">
        <v>1509</v>
      </c>
      <c r="E279" s="3" t="s">
        <v>1510</v>
      </c>
      <c r="F279" s="3" t="s">
        <v>496</v>
      </c>
      <c r="G279" s="3" t="s">
        <v>207</v>
      </c>
      <c r="H279" s="3" t="s">
        <v>512</v>
      </c>
    </row>
    <row r="280" spans="1:8" x14ac:dyDescent="0.2">
      <c r="A280" s="3">
        <v>4252</v>
      </c>
      <c r="B280" s="3">
        <v>5190</v>
      </c>
      <c r="C280" s="3" t="s">
        <v>1511</v>
      </c>
      <c r="D280" s="3" t="s">
        <v>1512</v>
      </c>
      <c r="E280" s="3" t="s">
        <v>1513</v>
      </c>
      <c r="F280" s="3" t="s">
        <v>1514</v>
      </c>
      <c r="G280" s="3" t="s">
        <v>207</v>
      </c>
      <c r="H280" s="3" t="s">
        <v>1515</v>
      </c>
    </row>
    <row r="281" spans="1:8" x14ac:dyDescent="0.2">
      <c r="A281" s="3">
        <v>4407</v>
      </c>
      <c r="B281" s="3">
        <v>5815</v>
      </c>
      <c r="C281" s="3" t="s">
        <v>331</v>
      </c>
      <c r="D281" s="3" t="s">
        <v>1516</v>
      </c>
      <c r="E281" s="3" t="s">
        <v>1517</v>
      </c>
      <c r="F281" s="3" t="s">
        <v>764</v>
      </c>
      <c r="G281" s="3" t="s">
        <v>207</v>
      </c>
      <c r="H281" s="3" t="s">
        <v>257</v>
      </c>
    </row>
    <row r="282" spans="1:8" x14ac:dyDescent="0.2">
      <c r="A282" s="3">
        <v>4403</v>
      </c>
      <c r="B282" s="3">
        <v>5715</v>
      </c>
      <c r="C282" s="3" t="s">
        <v>330</v>
      </c>
      <c r="D282" s="3" t="s">
        <v>1518</v>
      </c>
      <c r="E282" s="3" t="s">
        <v>1519</v>
      </c>
      <c r="F282" s="3" t="s">
        <v>764</v>
      </c>
      <c r="G282" s="3" t="s">
        <v>207</v>
      </c>
      <c r="H282" s="3" t="s">
        <v>272</v>
      </c>
    </row>
    <row r="283" spans="1:8" x14ac:dyDescent="0.2">
      <c r="A283" s="3">
        <v>4273</v>
      </c>
      <c r="B283" s="3">
        <v>80915</v>
      </c>
      <c r="C283" s="3" t="s">
        <v>1375</v>
      </c>
      <c r="D283" s="3" t="s">
        <v>1520</v>
      </c>
      <c r="E283" s="3" t="s">
        <v>1521</v>
      </c>
      <c r="F283" s="3" t="s">
        <v>495</v>
      </c>
      <c r="G283" s="3" t="s">
        <v>207</v>
      </c>
      <c r="H283" s="3" t="s">
        <v>270</v>
      </c>
    </row>
    <row r="284" spans="1:8" x14ac:dyDescent="0.2">
      <c r="A284" s="3">
        <v>4257</v>
      </c>
      <c r="B284" s="3">
        <v>84660</v>
      </c>
      <c r="C284" s="3" t="s">
        <v>1522</v>
      </c>
      <c r="D284" s="3" t="s">
        <v>1523</v>
      </c>
      <c r="E284" s="3" t="s">
        <v>1524</v>
      </c>
      <c r="F284" s="3" t="s">
        <v>495</v>
      </c>
      <c r="G284" s="3" t="s">
        <v>207</v>
      </c>
      <c r="H284" s="3" t="s">
        <v>270</v>
      </c>
    </row>
    <row r="285" spans="1:8" x14ac:dyDescent="0.2">
      <c r="A285" s="3">
        <v>90334</v>
      </c>
      <c r="B285" s="3">
        <v>89868</v>
      </c>
      <c r="C285" s="3" t="s">
        <v>1525</v>
      </c>
      <c r="D285" s="3" t="s">
        <v>1526</v>
      </c>
      <c r="E285" s="3" t="s">
        <v>1527</v>
      </c>
      <c r="F285" s="3" t="s">
        <v>714</v>
      </c>
      <c r="G285" s="3" t="s">
        <v>207</v>
      </c>
      <c r="H285" s="3" t="s">
        <v>1528</v>
      </c>
    </row>
    <row r="286" spans="1:8" x14ac:dyDescent="0.2">
      <c r="A286" s="3">
        <v>4403</v>
      </c>
      <c r="B286" s="3">
        <v>5725</v>
      </c>
      <c r="C286" s="3" t="s">
        <v>330</v>
      </c>
      <c r="D286" s="3" t="s">
        <v>1529</v>
      </c>
      <c r="E286" s="3" t="s">
        <v>1530</v>
      </c>
      <c r="F286" s="3" t="s">
        <v>764</v>
      </c>
      <c r="G286" s="3" t="s">
        <v>207</v>
      </c>
      <c r="H286" s="3" t="s">
        <v>267</v>
      </c>
    </row>
    <row r="287" spans="1:8" x14ac:dyDescent="0.2">
      <c r="A287" s="3">
        <v>4269</v>
      </c>
      <c r="B287" s="3">
        <v>89572</v>
      </c>
      <c r="C287" s="3" t="s">
        <v>535</v>
      </c>
      <c r="D287" s="3" t="s">
        <v>1531</v>
      </c>
      <c r="E287" s="3" t="s">
        <v>1532</v>
      </c>
      <c r="F287" s="3" t="s">
        <v>527</v>
      </c>
      <c r="G287" s="3" t="s">
        <v>207</v>
      </c>
      <c r="H287" s="3" t="s">
        <v>538</v>
      </c>
    </row>
    <row r="288" spans="1:8" x14ac:dyDescent="0.2">
      <c r="A288" s="3">
        <v>4260</v>
      </c>
      <c r="B288" s="3">
        <v>5264</v>
      </c>
      <c r="C288" s="3" t="s">
        <v>611</v>
      </c>
      <c r="D288" s="3" t="s">
        <v>1533</v>
      </c>
      <c r="E288" s="3" t="s">
        <v>1534</v>
      </c>
      <c r="F288" s="3" t="s">
        <v>495</v>
      </c>
      <c r="G288" s="3" t="s">
        <v>207</v>
      </c>
      <c r="H288" s="3" t="s">
        <v>623</v>
      </c>
    </row>
    <row r="289" spans="1:8" x14ac:dyDescent="0.2">
      <c r="A289" s="3">
        <v>4418</v>
      </c>
      <c r="B289" s="3">
        <v>5859</v>
      </c>
      <c r="C289" s="3" t="s">
        <v>761</v>
      </c>
      <c r="D289" s="3" t="s">
        <v>1535</v>
      </c>
      <c r="E289" s="3" t="s">
        <v>1536</v>
      </c>
      <c r="F289" s="3" t="s">
        <v>764</v>
      </c>
      <c r="G289" s="3" t="s">
        <v>207</v>
      </c>
      <c r="H289" s="3" t="s">
        <v>765</v>
      </c>
    </row>
    <row r="290" spans="1:8" x14ac:dyDescent="0.2">
      <c r="A290" s="3">
        <v>4273</v>
      </c>
      <c r="B290" s="3">
        <v>80916</v>
      </c>
      <c r="C290" s="3" t="s">
        <v>1375</v>
      </c>
      <c r="D290" s="3" t="s">
        <v>1537</v>
      </c>
      <c r="E290" s="3" t="s">
        <v>1521</v>
      </c>
      <c r="F290" s="3" t="s">
        <v>495</v>
      </c>
      <c r="G290" s="3" t="s">
        <v>207</v>
      </c>
      <c r="H290" s="3" t="s">
        <v>270</v>
      </c>
    </row>
    <row r="291" spans="1:8" x14ac:dyDescent="0.2">
      <c r="A291" s="3">
        <v>4407</v>
      </c>
      <c r="B291" s="3">
        <v>5817</v>
      </c>
      <c r="C291" s="3" t="s">
        <v>331</v>
      </c>
      <c r="D291" s="3" t="s">
        <v>1538</v>
      </c>
      <c r="E291" s="3" t="s">
        <v>1539</v>
      </c>
      <c r="F291" s="3" t="s">
        <v>764</v>
      </c>
      <c r="G291" s="3" t="s">
        <v>207</v>
      </c>
      <c r="H291" s="3" t="s">
        <v>257</v>
      </c>
    </row>
    <row r="292" spans="1:8" x14ac:dyDescent="0.2">
      <c r="A292" s="3">
        <v>4396</v>
      </c>
      <c r="B292" s="3">
        <v>5641</v>
      </c>
      <c r="C292" s="3" t="s">
        <v>421</v>
      </c>
      <c r="D292" s="3" t="s">
        <v>1540</v>
      </c>
      <c r="E292" s="3" t="s">
        <v>423</v>
      </c>
      <c r="F292" s="3" t="s">
        <v>424</v>
      </c>
      <c r="G292" s="3" t="s">
        <v>207</v>
      </c>
      <c r="H292" s="3" t="s">
        <v>232</v>
      </c>
    </row>
    <row r="293" spans="1:8" x14ac:dyDescent="0.2">
      <c r="A293" s="3">
        <v>4450</v>
      </c>
      <c r="B293" s="3">
        <v>92244</v>
      </c>
      <c r="C293" s="3" t="s">
        <v>1541</v>
      </c>
      <c r="D293" s="3" t="s">
        <v>1542</v>
      </c>
      <c r="E293" s="3" t="s">
        <v>1543</v>
      </c>
      <c r="F293" s="3" t="s">
        <v>1544</v>
      </c>
      <c r="G293" s="3" t="s">
        <v>207</v>
      </c>
      <c r="H293" s="3" t="s">
        <v>1545</v>
      </c>
    </row>
    <row r="294" spans="1:8" x14ac:dyDescent="0.2">
      <c r="A294" s="3">
        <v>4256</v>
      </c>
      <c r="B294" s="3">
        <v>5206</v>
      </c>
      <c r="C294" s="3" t="s">
        <v>343</v>
      </c>
      <c r="D294" s="3" t="s">
        <v>735</v>
      </c>
      <c r="E294" s="3" t="s">
        <v>1546</v>
      </c>
      <c r="F294" s="3" t="s">
        <v>495</v>
      </c>
      <c r="G294" s="3" t="s">
        <v>207</v>
      </c>
      <c r="H294" s="3" t="s">
        <v>286</v>
      </c>
    </row>
    <row r="295" spans="1:8" x14ac:dyDescent="0.2">
      <c r="A295" s="3">
        <v>4208</v>
      </c>
      <c r="B295" s="3">
        <v>85831</v>
      </c>
      <c r="C295" s="3" t="s">
        <v>348</v>
      </c>
      <c r="D295" s="3" t="s">
        <v>1547</v>
      </c>
      <c r="E295" s="3" t="s">
        <v>1548</v>
      </c>
      <c r="F295" s="3" t="s">
        <v>1014</v>
      </c>
      <c r="G295" s="3" t="s">
        <v>207</v>
      </c>
      <c r="H295" s="3" t="s">
        <v>296</v>
      </c>
    </row>
    <row r="296" spans="1:8" x14ac:dyDescent="0.2">
      <c r="A296" s="3">
        <v>4221</v>
      </c>
      <c r="B296" s="3">
        <v>4892</v>
      </c>
      <c r="C296" s="3" t="s">
        <v>1549</v>
      </c>
      <c r="D296" s="3" t="s">
        <v>1550</v>
      </c>
      <c r="E296" s="3" t="s">
        <v>1551</v>
      </c>
      <c r="F296" s="3" t="s">
        <v>1552</v>
      </c>
      <c r="G296" s="3" t="s">
        <v>207</v>
      </c>
      <c r="H296" s="3" t="s">
        <v>1553</v>
      </c>
    </row>
  </sheetData>
  <sortState xmlns:xlrd2="http://schemas.microsoft.com/office/spreadsheetml/2017/richdata2" ref="A2:H296">
    <sortCondition ref="C2:C29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62B9C-51B9-43CC-B915-CFB7CC10D12F}">
  <sheetPr>
    <tabColor rgb="FFFF0000"/>
  </sheetPr>
  <dimension ref="A1:I300"/>
  <sheetViews>
    <sheetView workbookViewId="0">
      <selection activeCell="K13" sqref="K13"/>
    </sheetView>
  </sheetViews>
  <sheetFormatPr defaultRowHeight="15" x14ac:dyDescent="0.25"/>
  <cols>
    <col min="1" max="1" width="12.85546875" style="7" customWidth="1"/>
    <col min="2" max="2" width="9" style="7" customWidth="1"/>
    <col min="3" max="3" width="41.140625" customWidth="1"/>
    <col min="4" max="4" width="15" customWidth="1"/>
    <col min="6" max="6" width="61.140625" customWidth="1"/>
    <col min="7" max="7" width="32.28515625" customWidth="1"/>
  </cols>
  <sheetData>
    <row r="1" spans="1:9" s="5" customFormat="1" ht="24.75" customHeight="1" x14ac:dyDescent="0.2">
      <c r="A1" s="4" t="s">
        <v>1607</v>
      </c>
      <c r="B1" s="4" t="s">
        <v>1608</v>
      </c>
      <c r="C1" s="4" t="s">
        <v>310</v>
      </c>
      <c r="D1" s="4" t="s">
        <v>1609</v>
      </c>
      <c r="E1" s="4" t="s">
        <v>1610</v>
      </c>
      <c r="F1" s="4" t="s">
        <v>1611</v>
      </c>
      <c r="G1" s="15" t="s">
        <v>15123</v>
      </c>
    </row>
    <row r="2" spans="1:9" s="2" customFormat="1" ht="12.75" x14ac:dyDescent="0.2">
      <c r="A2" s="11" t="str">
        <f>VLOOKUP(B2,'SchoolInfo (3)'!A:C,3,0)</f>
        <v>'078242000</v>
      </c>
      <c r="B2" s="8">
        <v>90878</v>
      </c>
      <c r="C2" s="8" t="s">
        <v>1484</v>
      </c>
      <c r="D2" s="8" t="str">
        <f>VLOOKUP(E2,'SchoolInfo (3)'!A:C,3,0)</f>
        <v>'078242001</v>
      </c>
      <c r="E2" s="8">
        <v>92197</v>
      </c>
      <c r="F2" s="8" t="s">
        <v>1485</v>
      </c>
      <c r="G2" s="8" t="str">
        <f>VLOOKUP(E2,'SchoolInfo (3)'!A:K,11,0)</f>
        <v>hbrown@amsphoenix.org</v>
      </c>
      <c r="H2" s="8"/>
      <c r="I2" s="8"/>
    </row>
    <row r="3" spans="1:9" s="2" customFormat="1" ht="12.75" x14ac:dyDescent="0.2">
      <c r="A3" s="11" t="str">
        <f>VLOOKUP(B3,'SchoolInfo (3)'!A:C,3,0)</f>
        <v>'070363000</v>
      </c>
      <c r="B3" s="8">
        <v>4249</v>
      </c>
      <c r="C3" s="8" t="s">
        <v>1487</v>
      </c>
      <c r="D3" s="8" t="str">
        <f>VLOOKUP(E3,'SchoolInfo (3)'!A:C,3,0)</f>
        <v>'070363101</v>
      </c>
      <c r="E3" s="8">
        <v>5187</v>
      </c>
      <c r="F3" s="8" t="s">
        <v>1488</v>
      </c>
      <c r="G3" s="8" t="str">
        <f>VLOOKUP(E3,'SchoolInfo (3)'!A:K,11,0)</f>
        <v>awannemacher@aguilaschool.org</v>
      </c>
      <c r="H3" s="8"/>
      <c r="I3" s="8"/>
    </row>
    <row r="4" spans="1:9" s="2" customFormat="1" ht="12.75" x14ac:dyDescent="0.2">
      <c r="A4" s="11" t="str">
        <f>VLOOKUP(B4,'SchoolInfo (3)'!A:C,3,0)</f>
        <v>'070468000</v>
      </c>
      <c r="B4" s="8">
        <v>4280</v>
      </c>
      <c r="C4" s="8" t="s">
        <v>376</v>
      </c>
      <c r="D4" s="8" t="str">
        <f>VLOOKUP(E4,'SchoolInfo (3)'!A:C,3,0)</f>
        <v>'070468104</v>
      </c>
      <c r="E4" s="8">
        <v>5384</v>
      </c>
      <c r="F4" s="8" t="s">
        <v>377</v>
      </c>
      <c r="G4" s="8" t="str">
        <f>VLOOKUP(E4,'SchoolInfo (3)'!A:K,11,0)</f>
        <v>paigebrill@alhambraesd.org</v>
      </c>
      <c r="H4" s="8"/>
      <c r="I4" s="8"/>
    </row>
    <row r="5" spans="1:9" s="2" customFormat="1" ht="12.75" x14ac:dyDescent="0.2">
      <c r="A5" s="11" t="str">
        <f>VLOOKUP(B5,'SchoolInfo (3)'!A:C,3,0)</f>
        <v>'070468000</v>
      </c>
      <c r="B5" s="8">
        <v>4280</v>
      </c>
      <c r="C5" s="8" t="s">
        <v>376</v>
      </c>
      <c r="D5" s="8" t="str">
        <f>VLOOKUP(E5,'SchoolInfo (3)'!A:C,3,0)</f>
        <v>'070468103</v>
      </c>
      <c r="E5" s="8">
        <v>5383</v>
      </c>
      <c r="F5" s="8" t="s">
        <v>580</v>
      </c>
      <c r="G5" s="8">
        <f>VLOOKUP(E5,'SchoolInfo (3)'!A:K,11,0)</f>
        <v>0</v>
      </c>
      <c r="H5" s="8"/>
      <c r="I5" s="8"/>
    </row>
    <row r="6" spans="1:9" s="2" customFormat="1" ht="12.75" x14ac:dyDescent="0.2">
      <c r="A6" s="11" t="str">
        <f>VLOOKUP(B6,'SchoolInfo (3)'!A:C,3,0)</f>
        <v>'070468000</v>
      </c>
      <c r="B6" s="8">
        <v>4280</v>
      </c>
      <c r="C6" s="8" t="s">
        <v>376</v>
      </c>
      <c r="D6" s="8" t="str">
        <f>VLOOKUP(E6,'SchoolInfo (3)'!A:C,3,0)</f>
        <v>'070468105</v>
      </c>
      <c r="E6" s="8">
        <v>6030</v>
      </c>
      <c r="F6" s="8" t="s">
        <v>586</v>
      </c>
      <c r="G6" s="8" t="str">
        <f>VLOOKUP(E6,'SchoolInfo (3)'!A:K,11,0)</f>
        <v>melindaschlosser@alhambraesd.org</v>
      </c>
      <c r="H6" s="8"/>
      <c r="I6" s="8"/>
    </row>
    <row r="7" spans="1:9" s="2" customFormat="1" ht="12.75" x14ac:dyDescent="0.2">
      <c r="A7" s="11" t="str">
        <f>VLOOKUP(B7,'SchoolInfo (3)'!A:C,3,0)</f>
        <v>'070468000</v>
      </c>
      <c r="B7" s="8">
        <v>4280</v>
      </c>
      <c r="C7" s="8" t="s">
        <v>376</v>
      </c>
      <c r="D7" s="8" t="str">
        <f>VLOOKUP(E7,'SchoolInfo (3)'!A:C,3,0)</f>
        <v>'070468112</v>
      </c>
      <c r="E7" s="8">
        <v>5390</v>
      </c>
      <c r="F7" s="8" t="s">
        <v>595</v>
      </c>
      <c r="G7" s="8" t="str">
        <f>VLOOKUP(E7,'SchoolInfo (3)'!A:K,11,0)</f>
        <v>mandicaudill@alhambraesd.org</v>
      </c>
      <c r="H7" s="8"/>
      <c r="I7" s="8"/>
    </row>
    <row r="8" spans="1:9" s="2" customFormat="1" ht="12.75" x14ac:dyDescent="0.2">
      <c r="A8" s="11" t="str">
        <f>VLOOKUP(B8,'SchoolInfo (3)'!A:C,3,0)</f>
        <v>'070468000</v>
      </c>
      <c r="B8" s="8">
        <v>4280</v>
      </c>
      <c r="C8" s="8" t="s">
        <v>376</v>
      </c>
      <c r="D8" s="8" t="str">
        <f>VLOOKUP(E8,'SchoolInfo (3)'!A:C,3,0)</f>
        <v>'070468113</v>
      </c>
      <c r="E8" s="8">
        <v>5391</v>
      </c>
      <c r="F8" s="8" t="s">
        <v>604</v>
      </c>
      <c r="G8" s="8" t="str">
        <f>VLOOKUP(E8,'SchoolInfo (3)'!A:K,11,0)</f>
        <v>karenstengel@alhambraesd.org</v>
      </c>
      <c r="H8" s="8"/>
      <c r="I8" s="8"/>
    </row>
    <row r="9" spans="1:9" s="2" customFormat="1" ht="12.75" x14ac:dyDescent="0.2">
      <c r="A9" s="11" t="str">
        <f>VLOOKUP(B9,'SchoolInfo (3)'!A:C,3,0)</f>
        <v>'070468000</v>
      </c>
      <c r="B9" s="8">
        <v>4280</v>
      </c>
      <c r="C9" s="8" t="s">
        <v>376</v>
      </c>
      <c r="D9" s="8" t="str">
        <f>VLOOKUP(E9,'SchoolInfo (3)'!A:C,3,0)</f>
        <v>'070468114</v>
      </c>
      <c r="E9" s="8">
        <v>5392</v>
      </c>
      <c r="F9" s="8" t="s">
        <v>607</v>
      </c>
      <c r="G9" s="8" t="str">
        <f>VLOOKUP(E9,'SchoolInfo (3)'!A:K,11,0)</f>
        <v>loriweiss@alhambraesd.org</v>
      </c>
      <c r="H9" s="8"/>
      <c r="I9" s="8"/>
    </row>
    <row r="10" spans="1:9" s="2" customFormat="1" ht="12.75" x14ac:dyDescent="0.2">
      <c r="A10" s="11" t="str">
        <f>VLOOKUP(B10,'SchoolInfo (3)'!A:C,3,0)</f>
        <v>'070468000</v>
      </c>
      <c r="B10" s="8">
        <v>4280</v>
      </c>
      <c r="C10" s="8" t="s">
        <v>376</v>
      </c>
      <c r="D10" s="8" t="str">
        <f>VLOOKUP(E10,'SchoolInfo (3)'!A:C,3,0)</f>
        <v>'070468116</v>
      </c>
      <c r="E10" s="8">
        <v>1000041</v>
      </c>
      <c r="F10" s="8" t="s">
        <v>867</v>
      </c>
      <c r="G10" s="8">
        <f>VLOOKUP(E10,'SchoolInfo (3)'!A:K,11,0)</f>
        <v>0</v>
      </c>
      <c r="H10" s="8"/>
      <c r="I10" s="8"/>
    </row>
    <row r="11" spans="1:9" s="2" customFormat="1" ht="12.75" x14ac:dyDescent="0.2">
      <c r="A11" s="11" t="str">
        <f>VLOOKUP(B11,'SchoolInfo (3)'!A:C,3,0)</f>
        <v>'070468000</v>
      </c>
      <c r="B11" s="8">
        <v>4280</v>
      </c>
      <c r="C11" s="8" t="s">
        <v>376</v>
      </c>
      <c r="D11" s="8" t="str">
        <f>VLOOKUP(E11,'SchoolInfo (3)'!A:C,3,0)</f>
        <v>'070468107</v>
      </c>
      <c r="E11" s="8">
        <v>5386</v>
      </c>
      <c r="F11" s="8" t="s">
        <v>1395</v>
      </c>
      <c r="G11" s="8" t="str">
        <f>VLOOKUP(E11,'SchoolInfo (3)'!A:K,11,0)</f>
        <v>sharonspearman@alhambraesd.org</v>
      </c>
      <c r="H11" s="8"/>
      <c r="I11" s="8"/>
    </row>
    <row r="12" spans="1:9" s="2" customFormat="1" ht="12.75" x14ac:dyDescent="0.2">
      <c r="A12" s="11" t="str">
        <f>VLOOKUP(B12,'SchoolInfo (3)'!A:C,3,0)</f>
        <v>'070468000</v>
      </c>
      <c r="B12" s="8">
        <v>4280</v>
      </c>
      <c r="C12" s="8" t="s">
        <v>376</v>
      </c>
      <c r="D12" s="8" t="str">
        <f>VLOOKUP(E12,'SchoolInfo (3)'!A:C,3,0)</f>
        <v>'070468110</v>
      </c>
      <c r="E12" s="8">
        <v>5388</v>
      </c>
      <c r="F12" s="8" t="s">
        <v>1399</v>
      </c>
      <c r="G12" s="8" t="str">
        <f>VLOOKUP(E12,'SchoolInfo (3)'!A:K,11,0)</f>
        <v>theresakillingworth@alhambraesd.org</v>
      </c>
      <c r="H12" s="8"/>
      <c r="I12" s="8"/>
    </row>
    <row r="13" spans="1:9" s="2" customFormat="1" ht="12.75" x14ac:dyDescent="0.2">
      <c r="A13" s="11" t="str">
        <f>VLOOKUP(B13,'SchoolInfo (3)'!A:C,3,0)</f>
        <v>'070468000</v>
      </c>
      <c r="B13" s="8">
        <v>4280</v>
      </c>
      <c r="C13" s="8" t="s">
        <v>376</v>
      </c>
      <c r="D13" s="8" t="str">
        <f>VLOOKUP(E13,'SchoolInfo (3)'!A:C,3,0)</f>
        <v>'070468109</v>
      </c>
      <c r="E13" s="8">
        <v>5387</v>
      </c>
      <c r="F13" s="8" t="s">
        <v>1401</v>
      </c>
      <c r="G13" s="8" t="str">
        <f>VLOOKUP(E13,'SchoolInfo (3)'!A:K,11,0)</f>
        <v>randymartinez@alhambraesd.org</v>
      </c>
      <c r="H13" s="8"/>
      <c r="I13" s="8"/>
    </row>
    <row r="14" spans="1:9" s="2" customFormat="1" ht="12.75" x14ac:dyDescent="0.2">
      <c r="A14" s="11" t="str">
        <f>VLOOKUP(B14,'SchoolInfo (3)'!A:C,3,0)</f>
        <v>'070468000</v>
      </c>
      <c r="B14" s="8">
        <v>4280</v>
      </c>
      <c r="C14" s="8" t="s">
        <v>376</v>
      </c>
      <c r="D14" s="8" t="str">
        <f>VLOOKUP(E14,'SchoolInfo (3)'!A:C,3,0)</f>
        <v>'070468117</v>
      </c>
      <c r="E14" s="8">
        <v>1000042</v>
      </c>
      <c r="F14" s="8" t="s">
        <v>1421</v>
      </c>
      <c r="G14" s="8">
        <f>VLOOKUP(E14,'SchoolInfo (3)'!A:K,11,0)</f>
        <v>0</v>
      </c>
      <c r="H14" s="8"/>
      <c r="I14" s="8"/>
    </row>
    <row r="15" spans="1:9" s="2" customFormat="1" ht="12.75" x14ac:dyDescent="0.2">
      <c r="A15" s="11" t="str">
        <f>VLOOKUP(B15,'SchoolInfo (3)'!A:C,3,0)</f>
        <v>'100351000</v>
      </c>
      <c r="B15" s="8">
        <v>4418</v>
      </c>
      <c r="C15" s="8" t="s">
        <v>761</v>
      </c>
      <c r="D15" s="8" t="str">
        <f>VLOOKUP(E15,'SchoolInfo (3)'!A:C,3,0)</f>
        <v>'100351100</v>
      </c>
      <c r="E15" s="8">
        <v>84336</v>
      </c>
      <c r="F15" s="8" t="s">
        <v>762</v>
      </c>
      <c r="G15" s="8">
        <f>VLOOKUP(E15,'SchoolInfo (3)'!A:K,11,0)</f>
        <v>0</v>
      </c>
      <c r="H15" s="8"/>
      <c r="I15" s="8"/>
    </row>
    <row r="16" spans="1:9" s="2" customFormat="1" ht="12.75" x14ac:dyDescent="0.2">
      <c r="A16" s="11" t="str">
        <f>VLOOKUP(B16,'SchoolInfo (3)'!A:C,3,0)</f>
        <v>'100351000</v>
      </c>
      <c r="B16" s="8">
        <v>4418</v>
      </c>
      <c r="C16" s="8" t="s">
        <v>761</v>
      </c>
      <c r="D16" s="8" t="str">
        <f>VLOOKUP(E16,'SchoolInfo (3)'!A:C,3,0)</f>
        <v>'100351103</v>
      </c>
      <c r="E16" s="8">
        <v>5859</v>
      </c>
      <c r="F16" s="8" t="s">
        <v>1535</v>
      </c>
      <c r="G16" s="8" t="str">
        <f>VLOOKUP(E16,'SchoolInfo (3)'!A:K,11,0)</f>
        <v>jholt@avsd.org</v>
      </c>
      <c r="H16" s="8"/>
      <c r="I16" s="8"/>
    </row>
    <row r="17" spans="1:9" s="2" customFormat="1" ht="12.75" x14ac:dyDescent="0.2">
      <c r="A17" s="11" t="str">
        <f>VLOOKUP(B17,'SchoolInfo (3)'!A:C,3,0)</f>
        <v>'100210000</v>
      </c>
      <c r="B17" s="8">
        <v>4406</v>
      </c>
      <c r="C17" s="8" t="s">
        <v>337</v>
      </c>
      <c r="D17" s="8" t="str">
        <f>VLOOKUP(E17,'SchoolInfo (3)'!A:C,3,0)</f>
        <v>'100210110</v>
      </c>
      <c r="E17" s="8">
        <v>5796</v>
      </c>
      <c r="F17" s="8" t="s">
        <v>782</v>
      </c>
      <c r="G17" s="8" t="str">
        <f>VLOOKUP(E17,'SchoolInfo (3)'!A:K,11,0)</f>
        <v>rhehli@amphi.com</v>
      </c>
      <c r="H17" s="8"/>
      <c r="I17" s="8"/>
    </row>
    <row r="18" spans="1:9" s="2" customFormat="1" ht="12.75" x14ac:dyDescent="0.2">
      <c r="A18" s="11" t="str">
        <f>VLOOKUP(B18,'SchoolInfo (3)'!A:C,3,0)</f>
        <v>'100210000</v>
      </c>
      <c r="B18" s="8">
        <v>4406</v>
      </c>
      <c r="C18" s="8" t="s">
        <v>337</v>
      </c>
      <c r="D18" s="8" t="str">
        <f>VLOOKUP(E18,'SchoolInfo (3)'!A:C,3,0)</f>
        <v>'100210111</v>
      </c>
      <c r="E18" s="8">
        <v>5797</v>
      </c>
      <c r="F18" s="8" t="s">
        <v>789</v>
      </c>
      <c r="G18" s="8" t="str">
        <f>VLOOKUP(E18,'SchoolInfo (3)'!A:K,11,0)</f>
        <v>jhowe@amphi.com</v>
      </c>
      <c r="H18" s="8"/>
      <c r="I18" s="8"/>
    </row>
    <row r="19" spans="1:9" s="2" customFormat="1" ht="12.75" x14ac:dyDescent="0.2">
      <c r="A19" s="11" t="str">
        <f>VLOOKUP(B19,'SchoolInfo (3)'!A:C,3,0)</f>
        <v>'100210000</v>
      </c>
      <c r="B19" s="8">
        <v>4406</v>
      </c>
      <c r="C19" s="8" t="s">
        <v>337</v>
      </c>
      <c r="D19" s="8" t="str">
        <f>VLOOKUP(E19,'SchoolInfo (3)'!A:C,3,0)</f>
        <v>'100210165</v>
      </c>
      <c r="E19" s="8">
        <v>5804</v>
      </c>
      <c r="F19" s="8" t="s">
        <v>1265</v>
      </c>
      <c r="G19" s="8" t="str">
        <f>VLOOKUP(E19,'SchoolInfo (3)'!A:K,11,0)</f>
        <v>ggault@amphi.com</v>
      </c>
      <c r="H19" s="8"/>
      <c r="I19" s="8"/>
    </row>
    <row r="20" spans="1:9" s="2" customFormat="1" ht="12.75" x14ac:dyDescent="0.2">
      <c r="A20" s="11" t="str">
        <f>VLOOKUP(B20,'SchoolInfo (3)'!A:C,3,0)</f>
        <v>'100210000</v>
      </c>
      <c r="B20" s="8">
        <v>4406</v>
      </c>
      <c r="C20" s="8" t="s">
        <v>337</v>
      </c>
      <c r="D20" s="8" t="str">
        <f>VLOOKUP(E20,'SchoolInfo (3)'!A:C,3,0)</f>
        <v>'100210166</v>
      </c>
      <c r="E20" s="8">
        <v>5805</v>
      </c>
      <c r="F20" s="8" t="s">
        <v>1369</v>
      </c>
      <c r="G20" s="8" t="str">
        <f>VLOOKUP(E20,'SchoolInfo (3)'!A:K,11,0)</f>
        <v>cbermude@amphi.com</v>
      </c>
      <c r="H20" s="8"/>
      <c r="I20" s="8"/>
    </row>
    <row r="21" spans="1:9" s="2" customFormat="1" ht="12.75" x14ac:dyDescent="0.2">
      <c r="A21" s="11" t="str">
        <f>VLOOKUP(B21,'SchoolInfo (3)'!A:C,3,0)</f>
        <v>'108785000</v>
      </c>
      <c r="B21" s="8">
        <v>79426</v>
      </c>
      <c r="C21" s="8" t="s">
        <v>807</v>
      </c>
      <c r="D21" s="8" t="str">
        <f>VLOOKUP(E21,'SchoolInfo (3)'!A:C,3,0)</f>
        <v>'108785001</v>
      </c>
      <c r="E21" s="8">
        <v>79432</v>
      </c>
      <c r="F21" s="8" t="s">
        <v>808</v>
      </c>
      <c r="G21" s="8" t="str">
        <f>VLOOKUP(E21,'SchoolInfo (3)'!A:K,11,0)</f>
        <v>llafave@scstucson.org</v>
      </c>
      <c r="H21" s="8"/>
      <c r="I21" s="8"/>
    </row>
    <row r="22" spans="1:9" s="2" customFormat="1" ht="12.75" x14ac:dyDescent="0.2">
      <c r="A22" s="11" t="str">
        <f>VLOOKUP(B22,'SchoolInfo (3)'!A:C,3,0)</f>
        <v>'108709000</v>
      </c>
      <c r="B22" s="8">
        <v>79947</v>
      </c>
      <c r="C22" s="8" t="s">
        <v>1440</v>
      </c>
      <c r="D22" s="8" t="str">
        <f>VLOOKUP(E22,'SchoolInfo (3)'!A:C,3,0)</f>
        <v>'108709104</v>
      </c>
      <c r="E22" s="8">
        <v>91805</v>
      </c>
      <c r="F22" s="8" t="s">
        <v>1441</v>
      </c>
      <c r="G22" s="8" t="str">
        <f>VLOOKUP(E22,'SchoolInfo (3)'!A:K,11,0)</f>
        <v>pcbum@hotmail.com</v>
      </c>
      <c r="H22" s="8"/>
      <c r="I22" s="8"/>
    </row>
    <row r="23" spans="1:9" s="2" customFormat="1" ht="12.75" x14ac:dyDescent="0.2">
      <c r="A23" s="11" t="str">
        <f>VLOOKUP(B23,'SchoolInfo (3)'!A:C,3,0)</f>
        <v>'070444000</v>
      </c>
      <c r="B23" s="8">
        <v>4272</v>
      </c>
      <c r="C23" s="8" t="s">
        <v>342</v>
      </c>
      <c r="D23" s="8" t="str">
        <f>VLOOKUP(E23,'SchoolInfo (3)'!A:C,3,0)</f>
        <v>'070444104</v>
      </c>
      <c r="E23" s="8">
        <v>5349</v>
      </c>
      <c r="F23" s="8" t="s">
        <v>539</v>
      </c>
      <c r="G23" s="8" t="str">
        <f>VLOOKUP(E23,'SchoolInfo (3)'!A:K,11,0)</f>
        <v>lgoslar@avondale.k12.az.us</v>
      </c>
      <c r="H23" s="8"/>
      <c r="I23" s="8"/>
    </row>
    <row r="24" spans="1:9" s="2" customFormat="1" ht="12.75" x14ac:dyDescent="0.2">
      <c r="A24" s="11" t="str">
        <f>VLOOKUP(B24,'SchoolInfo (3)'!A:C,3,0)</f>
        <v>'070444000</v>
      </c>
      <c r="B24" s="8">
        <v>4272</v>
      </c>
      <c r="C24" s="8" t="s">
        <v>342</v>
      </c>
      <c r="D24" s="8" t="str">
        <f>VLOOKUP(E24,'SchoolInfo (3)'!A:C,3,0)</f>
        <v>'070444103</v>
      </c>
      <c r="E24" s="8">
        <v>5348</v>
      </c>
      <c r="F24" s="8" t="s">
        <v>542</v>
      </c>
      <c r="G24" s="8" t="str">
        <f>VLOOKUP(E24,'SchoolInfo (3)'!A:K,11,0)</f>
        <v>bdaless@avondale.k12.az.us</v>
      </c>
      <c r="H24" s="8"/>
      <c r="I24" s="8"/>
    </row>
    <row r="25" spans="1:9" s="2" customFormat="1" ht="12.75" x14ac:dyDescent="0.2">
      <c r="A25" s="11" t="str">
        <f>VLOOKUP(B25,'SchoolInfo (3)'!A:C,3,0)</f>
        <v>'100240000</v>
      </c>
      <c r="B25" s="8">
        <v>4412</v>
      </c>
      <c r="C25" s="8" t="s">
        <v>380</v>
      </c>
      <c r="D25" s="8" t="str">
        <f>VLOOKUP(E25,'SchoolInfo (3)'!A:C,3,0)</f>
        <v>'100240103</v>
      </c>
      <c r="E25" s="8">
        <v>5846</v>
      </c>
      <c r="F25" s="8" t="s">
        <v>381</v>
      </c>
      <c r="G25" s="8" t="str">
        <f>VLOOKUP(E25,'SchoolInfo (3)'!A:K,11,0)</f>
        <v>Ynunez@busd40.org</v>
      </c>
      <c r="H25" s="8"/>
      <c r="I25" s="8"/>
    </row>
    <row r="26" spans="1:9" s="2" customFormat="1" ht="12.75" x14ac:dyDescent="0.2">
      <c r="A26" s="11" t="str">
        <f>VLOOKUP(B26,'SchoolInfo (3)'!A:C,3,0)</f>
        <v>'100240000</v>
      </c>
      <c r="B26" s="8">
        <v>4412</v>
      </c>
      <c r="C26" s="8" t="s">
        <v>380</v>
      </c>
      <c r="D26" s="8" t="str">
        <f>VLOOKUP(E26,'SchoolInfo (3)'!A:C,3,0)</f>
        <v>'100240101</v>
      </c>
      <c r="E26" s="8">
        <v>5844</v>
      </c>
      <c r="F26" s="8" t="s">
        <v>385</v>
      </c>
      <c r="G26" s="8" t="str">
        <f>VLOOKUP(E26,'SchoolInfo (3)'!A:K,11,0)</f>
        <v>emorris@iobusd40.org</v>
      </c>
      <c r="H26" s="8"/>
      <c r="I26" s="8"/>
    </row>
    <row r="27" spans="1:9" s="2" customFormat="1" ht="12.75" x14ac:dyDescent="0.2">
      <c r="A27" s="11" t="str">
        <f>VLOOKUP(B27,'SchoolInfo (3)'!A:C,3,0)</f>
        <v>'100240000</v>
      </c>
      <c r="B27" s="8">
        <v>4412</v>
      </c>
      <c r="C27" s="8" t="s">
        <v>380</v>
      </c>
      <c r="D27" s="8" t="str">
        <f>VLOOKUP(E27,'SchoolInfo (3)'!A:C,3,0)</f>
        <v>'100240106</v>
      </c>
      <c r="E27" s="8">
        <v>948673</v>
      </c>
      <c r="F27" s="8" t="s">
        <v>490</v>
      </c>
      <c r="G27" s="8" t="str">
        <f>VLOOKUP(E27,'SchoolInfo (3)'!A:K,11,0)</f>
        <v>emorris@busd40.org</v>
      </c>
      <c r="H27" s="8"/>
      <c r="I27" s="8"/>
    </row>
    <row r="28" spans="1:9" s="2" customFormat="1" ht="12.75" x14ac:dyDescent="0.2">
      <c r="A28" s="11" t="str">
        <f>VLOOKUP(B28,'SchoolInfo (3)'!A:C,3,0)</f>
        <v>'130220000</v>
      </c>
      <c r="B28" s="8">
        <v>4468</v>
      </c>
      <c r="C28" s="8" t="s">
        <v>1475</v>
      </c>
      <c r="D28" s="8" t="str">
        <f>VLOOKUP(E28,'SchoolInfo (3)'!A:C,3,0)</f>
        <v>'130220101</v>
      </c>
      <c r="E28" s="8">
        <v>6088</v>
      </c>
      <c r="F28" s="8" t="s">
        <v>1476</v>
      </c>
      <c r="G28" s="8">
        <f>VLOOKUP(E28,'SchoolInfo (3)'!A:K,11,0)</f>
        <v>0</v>
      </c>
      <c r="H28" s="8"/>
      <c r="I28" s="8"/>
    </row>
    <row r="29" spans="1:9" s="2" customFormat="1" ht="12.75" x14ac:dyDescent="0.2">
      <c r="A29" s="11" t="str">
        <f>VLOOKUP(B29,'SchoolInfo (3)'!A:C,3,0)</f>
        <v>'070431000</v>
      </c>
      <c r="B29" s="8">
        <v>4268</v>
      </c>
      <c r="C29" s="8" t="s">
        <v>688</v>
      </c>
      <c r="D29" s="8" t="str">
        <f>VLOOKUP(E29,'SchoolInfo (3)'!A:C,3,0)</f>
        <v>'070431102</v>
      </c>
      <c r="E29" s="8">
        <v>5320</v>
      </c>
      <c r="F29" s="8" t="s">
        <v>689</v>
      </c>
      <c r="G29" s="8" t="str">
        <f>VLOOKUP(E29,'SchoolInfo (3)'!A:K,11,0)</f>
        <v>jsharp@balsz.org</v>
      </c>
      <c r="H29" s="8"/>
      <c r="I29" s="8"/>
    </row>
    <row r="30" spans="1:9" s="2" customFormat="1" ht="12.75" x14ac:dyDescent="0.2">
      <c r="A30" s="11" t="str">
        <f>VLOOKUP(B30,'SchoolInfo (3)'!A:C,3,0)</f>
        <v>'070431000</v>
      </c>
      <c r="B30" s="8">
        <v>4268</v>
      </c>
      <c r="C30" s="8" t="s">
        <v>688</v>
      </c>
      <c r="D30" s="8" t="str">
        <f>VLOOKUP(E30,'SchoolInfo (3)'!A:C,3,0)</f>
        <v>'070431101</v>
      </c>
      <c r="E30" s="8">
        <v>5319</v>
      </c>
      <c r="F30" s="8" t="s">
        <v>691</v>
      </c>
      <c r="G30" s="8" t="str">
        <f>VLOOKUP(E30,'SchoolInfo (3)'!A:K,11,0)</f>
        <v>mhalpert@balsz.org</v>
      </c>
      <c r="H30" s="8"/>
      <c r="I30" s="8"/>
    </row>
    <row r="31" spans="1:9" s="2" customFormat="1" ht="12.75" x14ac:dyDescent="0.2">
      <c r="A31" s="11" t="str">
        <f>VLOOKUP(B31,'SchoolInfo (3)'!A:C,3,0)</f>
        <v>'070431000</v>
      </c>
      <c r="B31" s="8">
        <v>4268</v>
      </c>
      <c r="C31" s="8" t="s">
        <v>688</v>
      </c>
      <c r="D31" s="8" t="str">
        <f>VLOOKUP(E31,'SchoolInfo (3)'!A:C,3,0)</f>
        <v>'070431105</v>
      </c>
      <c r="E31" s="8">
        <v>81141</v>
      </c>
      <c r="F31" s="8" t="s">
        <v>693</v>
      </c>
      <c r="G31" s="8" t="str">
        <f>VLOOKUP(E31,'SchoolInfo (3)'!A:K,11,0)</f>
        <v>rlomonaco@balsz.org</v>
      </c>
      <c r="H31" s="8"/>
      <c r="I31" s="8"/>
    </row>
    <row r="32" spans="1:9" s="2" customFormat="1" ht="12.75" x14ac:dyDescent="0.2">
      <c r="A32" s="11" t="str">
        <f>VLOOKUP(B32,'SchoolInfo (3)'!A:C,3,0)</f>
        <v>'070433000</v>
      </c>
      <c r="B32" s="8">
        <v>4269</v>
      </c>
      <c r="C32" s="8" t="s">
        <v>535</v>
      </c>
      <c r="D32" s="8" t="str">
        <f>VLOOKUP(E32,'SchoolInfo (3)'!A:C,3,0)</f>
        <v>'070433109</v>
      </c>
      <c r="E32" s="8">
        <v>87473</v>
      </c>
      <c r="F32" s="8" t="s">
        <v>536</v>
      </c>
      <c r="G32" s="8" t="str">
        <f>VLOOKUP(E32,'SchoolInfo (3)'!A:K,11,0)</f>
        <v>lroer@besd.k12.az.us</v>
      </c>
      <c r="H32" s="8"/>
      <c r="I32" s="8"/>
    </row>
    <row r="33" spans="1:9" s="2" customFormat="1" ht="12.75" x14ac:dyDescent="0.2">
      <c r="A33" s="11" t="str">
        <f>VLOOKUP(B33,'SchoolInfo (3)'!A:C,3,0)</f>
        <v>'070433000</v>
      </c>
      <c r="B33" s="8">
        <v>4269</v>
      </c>
      <c r="C33" s="8" t="s">
        <v>535</v>
      </c>
      <c r="D33" s="8" t="str">
        <f>VLOOKUP(E33,'SchoolInfo (3)'!A:C,3,0)</f>
        <v>'070433103</v>
      </c>
      <c r="E33" s="8">
        <v>88398</v>
      </c>
      <c r="F33" s="8" t="s">
        <v>1492</v>
      </c>
      <c r="G33" s="8" t="str">
        <f>VLOOKUP(E33,'SchoolInfo (3)'!A:K,11,0)</f>
        <v>nforgette@besd.k12.az.us</v>
      </c>
      <c r="H33" s="8"/>
      <c r="I33" s="8"/>
    </row>
    <row r="34" spans="1:9" s="2" customFormat="1" ht="12.75" x14ac:dyDescent="0.2">
      <c r="A34" s="11" t="str">
        <f>VLOOKUP(B34,'SchoolInfo (3)'!A:C,3,0)</f>
        <v>'070433000</v>
      </c>
      <c r="B34" s="8">
        <v>4269</v>
      </c>
      <c r="C34" s="8" t="s">
        <v>535</v>
      </c>
      <c r="D34" s="8" t="str">
        <f>VLOOKUP(E34,'SchoolInfo (3)'!A:C,3,0)</f>
        <v>'070433104</v>
      </c>
      <c r="E34" s="8">
        <v>89572</v>
      </c>
      <c r="F34" s="8" t="s">
        <v>1531</v>
      </c>
      <c r="G34" s="8" t="str">
        <f>VLOOKUP(E34,'SchoolInfo (3)'!A:K,11,0)</f>
        <v>pconnollu@besd.k12.az.us</v>
      </c>
      <c r="H34" s="8"/>
      <c r="I34" s="8"/>
    </row>
    <row r="35" spans="1:9" s="2" customFormat="1" ht="12.75" x14ac:dyDescent="0.2">
      <c r="A35" s="11" t="str">
        <f>VLOOKUP(B35,'SchoolInfo (3)'!A:C,3,0)</f>
        <v>'130228000</v>
      </c>
      <c r="B35" s="8">
        <v>4470</v>
      </c>
      <c r="C35" s="8" t="s">
        <v>388</v>
      </c>
      <c r="D35" s="8" t="str">
        <f>VLOOKUP(E35,'SchoolInfo (3)'!A:C,3,0)</f>
        <v>'130228102</v>
      </c>
      <c r="E35" s="8">
        <v>6099</v>
      </c>
      <c r="F35" s="8" t="s">
        <v>389</v>
      </c>
      <c r="G35" s="8" t="str">
        <f>VLOOKUP(E35,'SchoolInfo (3)'!A:K,11,0)</f>
        <v>dhowe@cvusd.k12.az.us</v>
      </c>
      <c r="H35" s="8"/>
      <c r="I35" s="8"/>
    </row>
    <row r="36" spans="1:9" s="2" customFormat="1" ht="12.75" x14ac:dyDescent="0.2">
      <c r="A36" s="11" t="str">
        <f>VLOOKUP(B36,'SchoolInfo (3)'!A:C,3,0)</f>
        <v>'130228000</v>
      </c>
      <c r="B36" s="8">
        <v>4470</v>
      </c>
      <c r="C36" s="8" t="s">
        <v>388</v>
      </c>
      <c r="D36" s="8" t="str">
        <f>VLOOKUP(E36,'SchoolInfo (3)'!A:C,3,0)</f>
        <v>'130228101</v>
      </c>
      <c r="E36" s="8">
        <v>6098</v>
      </c>
      <c r="F36" s="8" t="s">
        <v>1331</v>
      </c>
      <c r="G36" s="8" t="str">
        <f>VLOOKUP(E36,'SchoolInfo (3)'!A:K,11,0)</f>
        <v>bbooth@campverdeschools.org</v>
      </c>
      <c r="H36" s="8"/>
      <c r="I36" s="8"/>
    </row>
    <row r="37" spans="1:9" s="2" customFormat="1" ht="12.75" x14ac:dyDescent="0.2">
      <c r="A37" s="11" t="str">
        <f>VLOOKUP(B37,'SchoolInfo (3)'!A:C,3,0)</f>
        <v>'130350000</v>
      </c>
      <c r="B37" s="8">
        <v>4484</v>
      </c>
      <c r="C37" s="8" t="s">
        <v>1496</v>
      </c>
      <c r="D37" s="8" t="str">
        <f>VLOOKUP(E37,'SchoolInfo (3)'!A:C,3,0)</f>
        <v>'130350101</v>
      </c>
      <c r="E37" s="8">
        <v>6119</v>
      </c>
      <c r="F37" s="8" t="s">
        <v>1497</v>
      </c>
      <c r="G37" s="8" t="str">
        <f>VLOOKUP(E37,'SchoolInfo (3)'!A:K,11,0)</f>
        <v>rbarrett@canon50.com</v>
      </c>
      <c r="H37" s="8"/>
      <c r="I37" s="8"/>
    </row>
    <row r="38" spans="1:9" s="2" customFormat="1" ht="12.75" x14ac:dyDescent="0.2">
      <c r="A38" s="11" t="str">
        <f>VLOOKUP(B38,'SchoolInfo (3)'!A:C,3,0)</f>
        <v>'078524000</v>
      </c>
      <c r="B38" s="8">
        <v>79047</v>
      </c>
      <c r="C38" s="8" t="s">
        <v>1384</v>
      </c>
      <c r="D38" s="8" t="str">
        <f>VLOOKUP(E38,'SchoolInfo (3)'!A:C,3,0)</f>
        <v>'078524001</v>
      </c>
      <c r="E38" s="8">
        <v>80050</v>
      </c>
      <c r="F38" s="8" t="s">
        <v>1385</v>
      </c>
      <c r="G38" s="8">
        <f>VLOOKUP(E38,'SchoolInfo (3)'!A:K,11,0)</f>
        <v>0</v>
      </c>
      <c r="H38" s="8"/>
      <c r="I38" s="8"/>
    </row>
    <row r="39" spans="1:9" s="2" customFormat="1" ht="12.75" x14ac:dyDescent="0.2">
      <c r="A39" s="11" t="str">
        <f>VLOOKUP(B39,'SchoolInfo (3)'!A:C,3,0)</f>
        <v>'070483000</v>
      </c>
      <c r="B39" s="8">
        <v>4282</v>
      </c>
      <c r="C39" s="8" t="s">
        <v>334</v>
      </c>
      <c r="D39" s="8" t="str">
        <f>VLOOKUP(E39,'SchoolInfo (3)'!A:C,3,0)</f>
        <v>'070483123</v>
      </c>
      <c r="E39" s="8">
        <v>81109</v>
      </c>
      <c r="F39" s="8" t="s">
        <v>554</v>
      </c>
      <c r="G39" s="8" t="str">
        <f>VLOOKUP(E39,'SchoolInfo (3)'!A:K,11,0)</f>
        <v>csanchez@pena.cartwright.k12.az.us</v>
      </c>
      <c r="H39" s="8"/>
      <c r="I39" s="8"/>
    </row>
    <row r="40" spans="1:9" s="2" customFormat="1" ht="12.75" x14ac:dyDescent="0.2">
      <c r="A40" s="11" t="str">
        <f>VLOOKUP(B40,'SchoolInfo (3)'!A:C,3,0)</f>
        <v>'070483000</v>
      </c>
      <c r="B40" s="8">
        <v>4282</v>
      </c>
      <c r="C40" s="8" t="s">
        <v>334</v>
      </c>
      <c r="D40" s="8" t="str">
        <f>VLOOKUP(E40,'SchoolInfo (3)'!A:C,3,0)</f>
        <v>'070483129</v>
      </c>
      <c r="E40" s="8">
        <v>89955</v>
      </c>
      <c r="F40" s="8" t="s">
        <v>557</v>
      </c>
      <c r="G40" s="8" t="str">
        <f>VLOOKUP(E40,'SchoolInfo (3)'!A:K,11,0)</f>
        <v>jbernhardt@cast.cartwright.k12.az.us</v>
      </c>
      <c r="H40" s="8"/>
      <c r="I40" s="8"/>
    </row>
    <row r="41" spans="1:9" s="2" customFormat="1" ht="12.75" x14ac:dyDescent="0.2">
      <c r="A41" s="11" t="str">
        <f>VLOOKUP(B41,'SchoolInfo (3)'!A:C,3,0)</f>
        <v>'070483000</v>
      </c>
      <c r="B41" s="8">
        <v>4282</v>
      </c>
      <c r="C41" s="8" t="s">
        <v>334</v>
      </c>
      <c r="D41" s="8" t="str">
        <f>VLOOKUP(E41,'SchoolInfo (3)'!A:C,3,0)</f>
        <v>'070483108</v>
      </c>
      <c r="E41" s="8">
        <v>5405</v>
      </c>
      <c r="F41" s="8" t="s">
        <v>578</v>
      </c>
      <c r="G41" s="8">
        <f>VLOOKUP(E41,'SchoolInfo (3)'!A:K,11,0)</f>
        <v>0</v>
      </c>
      <c r="H41" s="8"/>
      <c r="I41" s="8"/>
    </row>
    <row r="42" spans="1:9" s="2" customFormat="1" ht="12.75" x14ac:dyDescent="0.2">
      <c r="A42" s="11" t="str">
        <f>VLOOKUP(B42,'SchoolInfo (3)'!A:C,3,0)</f>
        <v>'070483000</v>
      </c>
      <c r="B42" s="8">
        <v>4282</v>
      </c>
      <c r="C42" s="8" t="s">
        <v>334</v>
      </c>
      <c r="D42" s="8" t="str">
        <f>VLOOKUP(E42,'SchoolInfo (3)'!A:C,3,0)</f>
        <v>'070483122</v>
      </c>
      <c r="E42" s="8">
        <v>79283</v>
      </c>
      <c r="F42" s="8" t="s">
        <v>1322</v>
      </c>
      <c r="G42" s="8" t="str">
        <f>VLOOKUP(E42,'SchoolInfo (3)'!A:K,11,0)</f>
        <v>joy.weiss@csd83.org</v>
      </c>
      <c r="H42" s="8"/>
      <c r="I42" s="8"/>
    </row>
    <row r="43" spans="1:9" s="2" customFormat="1" ht="12.75" x14ac:dyDescent="0.2">
      <c r="A43" s="11" t="str">
        <f>VLOOKUP(B43,'SchoolInfo (3)'!A:C,3,0)</f>
        <v>'070483000</v>
      </c>
      <c r="B43" s="8">
        <v>4282</v>
      </c>
      <c r="C43" s="8" t="s">
        <v>334</v>
      </c>
      <c r="D43" s="8" t="str">
        <f>VLOOKUP(E43,'SchoolInfo (3)'!A:C,3,0)</f>
        <v>'070483103</v>
      </c>
      <c r="E43" s="8">
        <v>5400</v>
      </c>
      <c r="F43" s="8" t="s">
        <v>1339</v>
      </c>
      <c r="G43" s="8" t="str">
        <f>VLOOKUP(E43,'SchoolInfo (3)'!A:K,11,0)</f>
        <v>raul.pina@csd83.org</v>
      </c>
      <c r="H43" s="8"/>
      <c r="I43" s="8"/>
    </row>
    <row r="44" spans="1:9" s="2" customFormat="1" ht="12.75" x14ac:dyDescent="0.2">
      <c r="A44" s="11" t="str">
        <f>VLOOKUP(B44,'SchoolInfo (3)'!A:C,3,0)</f>
        <v>'110404000</v>
      </c>
      <c r="B44" s="8">
        <v>4446</v>
      </c>
      <c r="C44" s="8" t="s">
        <v>321</v>
      </c>
      <c r="D44" s="8" t="str">
        <f>VLOOKUP(E44,'SchoolInfo (3)'!A:C,3,0)</f>
        <v>'110404104</v>
      </c>
      <c r="E44" s="8">
        <v>5932</v>
      </c>
      <c r="F44" s="8" t="s">
        <v>1389</v>
      </c>
      <c r="G44" s="8" t="str">
        <f>VLOOKUP(E44,'SchoolInfo (3)'!A:K,11,0)</f>
        <v>joanne.kramer@cgelem.k12.az.us</v>
      </c>
      <c r="H44" s="8"/>
      <c r="I44" s="8"/>
    </row>
    <row r="45" spans="1:9" s="2" customFormat="1" ht="12.75" x14ac:dyDescent="0.2">
      <c r="A45" s="11" t="str">
        <f>VLOOKUP(B45,'SchoolInfo (3)'!A:C,3,0)</f>
        <v>'110404000</v>
      </c>
      <c r="B45" s="8">
        <v>4446</v>
      </c>
      <c r="C45" s="8" t="s">
        <v>321</v>
      </c>
      <c r="D45" s="8" t="str">
        <f>VLOOKUP(E45,'SchoolInfo (3)'!A:C,3,0)</f>
        <v>'110404109</v>
      </c>
      <c r="E45" s="8">
        <v>5937</v>
      </c>
      <c r="F45" s="8" t="s">
        <v>1436</v>
      </c>
      <c r="G45" s="8" t="str">
        <f>VLOOKUP(E45,'SchoolInfo (3)'!A:K,11,0)</f>
        <v>julie.holdsworth@cgesd.org</v>
      </c>
      <c r="H45" s="8"/>
      <c r="I45" s="8"/>
    </row>
    <row r="46" spans="1:9" s="2" customFormat="1" ht="12.75" x14ac:dyDescent="0.2">
      <c r="A46" s="11" t="str">
        <f>VLOOKUP(B46,'SchoolInfo (3)'!A:C,3,0)</f>
        <v>'110404000</v>
      </c>
      <c r="B46" s="8">
        <v>4446</v>
      </c>
      <c r="C46" s="8" t="s">
        <v>321</v>
      </c>
      <c r="D46" s="8" t="str">
        <f>VLOOKUP(E46,'SchoolInfo (3)'!A:C,3,0)</f>
        <v>'110404101</v>
      </c>
      <c r="E46" s="8">
        <v>5929</v>
      </c>
      <c r="F46" s="8" t="s">
        <v>1453</v>
      </c>
      <c r="G46" s="8">
        <f>VLOOKUP(E46,'SchoolInfo (3)'!A:K,11,0)</f>
        <v>0</v>
      </c>
      <c r="H46" s="8"/>
      <c r="I46" s="8"/>
    </row>
    <row r="47" spans="1:9" s="2" customFormat="1" ht="12.75" x14ac:dyDescent="0.2">
      <c r="A47" s="11" t="str">
        <f>VLOOKUP(B47,'SchoolInfo (3)'!A:C,3,0)</f>
        <v>'090225000</v>
      </c>
      <c r="B47" s="8">
        <v>4395</v>
      </c>
      <c r="C47" s="8" t="s">
        <v>429</v>
      </c>
      <c r="D47" s="8" t="str">
        <f>VLOOKUP(E47,'SchoolInfo (3)'!A:C,3,0)</f>
        <v>'090225001</v>
      </c>
      <c r="E47" s="8">
        <v>5638</v>
      </c>
      <c r="F47" s="8" t="s">
        <v>430</v>
      </c>
      <c r="G47" s="8" t="str">
        <f>VLOOKUP(E47,'SchoolInfo (3)'!A:K,11,0)</f>
        <v>kthomson@cusd25.k12.az.us</v>
      </c>
      <c r="H47" s="8"/>
      <c r="I47" s="8"/>
    </row>
    <row r="48" spans="1:9" s="2" customFormat="1" ht="12.75" x14ac:dyDescent="0.2">
      <c r="A48" s="11" t="str">
        <f>VLOOKUP(B48,'SchoolInfo (3)'!A:C,3,0)</f>
        <v>'028750000</v>
      </c>
      <c r="B48" s="8">
        <v>4191</v>
      </c>
      <c r="C48" s="8" t="s">
        <v>1295</v>
      </c>
      <c r="D48" s="8" t="str">
        <f>VLOOKUP(E48,'SchoolInfo (3)'!A:C,3,0)</f>
        <v>'028750204</v>
      </c>
      <c r="E48" s="8">
        <v>85876</v>
      </c>
      <c r="F48" s="8" t="s">
        <v>1296</v>
      </c>
      <c r="G48" s="8" t="str">
        <f>VLOOKUP(E48,'SchoolInfo (3)'!A:K,11,0)</f>
        <v>dderrick@cpic-cas.org</v>
      </c>
      <c r="H48" s="8"/>
      <c r="I48" s="8"/>
    </row>
    <row r="49" spans="1:9" s="2" customFormat="1" ht="12.75" x14ac:dyDescent="0.2">
      <c r="A49" s="11" t="str">
        <f>VLOOKUP(B49,'SchoolInfo (3)'!A:C,3,0)</f>
        <v>'070280000</v>
      </c>
      <c r="B49" s="8">
        <v>4242</v>
      </c>
      <c r="C49" s="8" t="s">
        <v>721</v>
      </c>
      <c r="D49" s="8" t="str">
        <f>VLOOKUP(E49,'SchoolInfo (3)'!A:C,3,0)</f>
        <v>'070280111</v>
      </c>
      <c r="E49" s="8">
        <v>5116</v>
      </c>
      <c r="F49" s="8" t="s">
        <v>722</v>
      </c>
      <c r="G49" s="8">
        <f>VLOOKUP(E49,'SchoolInfo (3)'!A:K,11,0)</f>
        <v>0</v>
      </c>
      <c r="H49" s="8"/>
      <c r="I49" s="8"/>
    </row>
    <row r="50" spans="1:9" s="2" customFormat="1" ht="12.75" x14ac:dyDescent="0.2">
      <c r="A50" s="11" t="str">
        <f>VLOOKUP(B50,'SchoolInfo (3)'!A:C,3,0)</f>
        <v>'070280000</v>
      </c>
      <c r="B50" s="8">
        <v>4242</v>
      </c>
      <c r="C50" s="8" t="s">
        <v>721</v>
      </c>
      <c r="D50" s="8" t="str">
        <f>VLOOKUP(E50,'SchoolInfo (3)'!A:C,3,0)</f>
        <v>'070280105</v>
      </c>
      <c r="E50" s="8">
        <v>5111</v>
      </c>
      <c r="F50" s="8" t="s">
        <v>1494</v>
      </c>
      <c r="G50" s="8" t="str">
        <f>VLOOKUP(E50,'SchoolInfo (3)'!A:K,11,0)</f>
        <v>Henderson.becky@cusd80.com</v>
      </c>
      <c r="H50" s="8"/>
      <c r="I50" s="8"/>
    </row>
    <row r="51" spans="1:9" s="2" customFormat="1" ht="12.75" x14ac:dyDescent="0.2">
      <c r="A51" s="11" t="str">
        <f>VLOOKUP(B51,'SchoolInfo (3)'!A:C,3,0)</f>
        <v>'010224000</v>
      </c>
      <c r="B51" s="8">
        <v>4158</v>
      </c>
      <c r="C51" s="8" t="s">
        <v>318</v>
      </c>
      <c r="D51" s="8" t="str">
        <f>VLOOKUP(E51,'SchoolInfo (3)'!A:C,3,0)</f>
        <v>'010224160</v>
      </c>
      <c r="E51" s="8">
        <v>4734</v>
      </c>
      <c r="F51" s="8" t="s">
        <v>458</v>
      </c>
      <c r="G51" s="8" t="str">
        <f>VLOOKUP(E51,'SchoolInfo (3)'!A:K,11,0)</f>
        <v>mmaruguete@chinleusd.k12.az.us</v>
      </c>
      <c r="H51" s="8"/>
      <c r="I51" s="8"/>
    </row>
    <row r="52" spans="1:9" s="2" customFormat="1" ht="12.75" x14ac:dyDescent="0.2">
      <c r="A52" s="11" t="str">
        <f>VLOOKUP(B52,'SchoolInfo (3)'!A:C,3,0)</f>
        <v>'010224000</v>
      </c>
      <c r="B52" s="8">
        <v>4158</v>
      </c>
      <c r="C52" s="8" t="s">
        <v>318</v>
      </c>
      <c r="D52" s="8" t="str">
        <f>VLOOKUP(E52,'SchoolInfo (3)'!A:C,3,0)</f>
        <v>'010224155</v>
      </c>
      <c r="E52" s="8">
        <v>4733</v>
      </c>
      <c r="F52" s="8" t="s">
        <v>461</v>
      </c>
      <c r="G52" s="8" t="str">
        <f>VLOOKUP(E52,'SchoolInfo (3)'!A:K,11,0)</f>
        <v>lbitsui@chinleusd.k12.az.us</v>
      </c>
      <c r="H52" s="8"/>
      <c r="I52" s="8"/>
    </row>
    <row r="53" spans="1:9" s="2" customFormat="1" ht="12.75" x14ac:dyDescent="0.2">
      <c r="A53" s="11" t="str">
        <f>VLOOKUP(B53,'SchoolInfo (3)'!A:C,3,0)</f>
        <v>'010224000</v>
      </c>
      <c r="B53" s="8">
        <v>4158</v>
      </c>
      <c r="C53" s="8" t="s">
        <v>318</v>
      </c>
      <c r="D53" s="8" t="str">
        <f>VLOOKUP(E53,'SchoolInfo (3)'!A:C,3,0)</f>
        <v>'010224170</v>
      </c>
      <c r="E53" s="8">
        <v>4736</v>
      </c>
      <c r="F53" s="8" t="s">
        <v>464</v>
      </c>
      <c r="G53" s="8" t="str">
        <f>VLOOKUP(E53,'SchoolInfo (3)'!A:K,11,0)</f>
        <v>jrjensen@chinleusd.k12.az.us</v>
      </c>
      <c r="H53" s="8"/>
      <c r="I53" s="8"/>
    </row>
    <row r="54" spans="1:9" s="2" customFormat="1" ht="12.75" x14ac:dyDescent="0.2">
      <c r="A54" s="11" t="str">
        <f>VLOOKUP(B54,'SchoolInfo (3)'!A:C,3,0)</f>
        <v>'010224000</v>
      </c>
      <c r="B54" s="8">
        <v>4158</v>
      </c>
      <c r="C54" s="8" t="s">
        <v>318</v>
      </c>
      <c r="D54" s="8" t="str">
        <f>VLOOKUP(E54,'SchoolInfo (3)'!A:C,3,0)</f>
        <v>'010224145</v>
      </c>
      <c r="E54" s="8">
        <v>4731</v>
      </c>
      <c r="F54" s="8" t="s">
        <v>465</v>
      </c>
      <c r="G54" s="8" t="str">
        <f>VLOOKUP(E54,'SchoolInfo (3)'!A:K,11,0)</f>
        <v>tysmith@chinleusd.k12.az.us</v>
      </c>
      <c r="H54" s="8"/>
      <c r="I54" s="8"/>
    </row>
    <row r="55" spans="1:9" s="2" customFormat="1" ht="12.75" x14ac:dyDescent="0.2">
      <c r="A55" s="11" t="str">
        <f>VLOOKUP(B55,'SchoolInfo (3)'!A:C,3,0)</f>
        <v>'010224000</v>
      </c>
      <c r="B55" s="8">
        <v>4158</v>
      </c>
      <c r="C55" s="8" t="s">
        <v>318</v>
      </c>
      <c r="D55" s="8" t="str">
        <f>VLOOKUP(E55,'SchoolInfo (3)'!A:C,3,0)</f>
        <v>'010224165</v>
      </c>
      <c r="E55" s="8">
        <v>4735</v>
      </c>
      <c r="F55" s="8" t="s">
        <v>474</v>
      </c>
      <c r="G55" s="8" t="str">
        <f>VLOOKUP(E55,'SchoolInfo (3)'!A:K,11,0)</f>
        <v>sdsorden@chinleusd.k12.az.us</v>
      </c>
      <c r="H55" s="8"/>
      <c r="I55" s="8"/>
    </row>
    <row r="56" spans="1:9" s="2" customFormat="1" ht="12.75" x14ac:dyDescent="0.2">
      <c r="A56" s="11" t="str">
        <f>VLOOKUP(B56,'SchoolInfo (3)'!A:C,3,0)</f>
        <v>'010224000</v>
      </c>
      <c r="B56" s="8">
        <v>4158</v>
      </c>
      <c r="C56" s="8" t="s">
        <v>318</v>
      </c>
      <c r="D56" s="8" t="str">
        <f>VLOOKUP(E56,'SchoolInfo (3)'!A:C,3,0)</f>
        <v>'010224150</v>
      </c>
      <c r="E56" s="8">
        <v>4732</v>
      </c>
      <c r="F56" s="8" t="s">
        <v>1482</v>
      </c>
      <c r="G56" s="8" t="str">
        <f>VLOOKUP(E56,'SchoolInfo (3)'!A:K,11,0)</f>
        <v>crirvin@mail.com</v>
      </c>
      <c r="H56" s="8"/>
      <c r="I56" s="8"/>
    </row>
    <row r="57" spans="1:9" s="2" customFormat="1" ht="12.75" x14ac:dyDescent="0.2">
      <c r="A57" s="11" t="str">
        <f>VLOOKUP(B57,'SchoolInfo (3)'!A:C,3,0)</f>
        <v>'010306000</v>
      </c>
      <c r="B57" s="8">
        <v>4160</v>
      </c>
      <c r="C57" s="8" t="s">
        <v>453</v>
      </c>
      <c r="D57" s="8" t="str">
        <f>VLOOKUP(E57,'SchoolInfo (3)'!A:C,3,0)</f>
        <v>'010306101</v>
      </c>
      <c r="E57" s="8">
        <v>4742</v>
      </c>
      <c r="F57" s="8" t="s">
        <v>454</v>
      </c>
      <c r="G57" s="8" t="str">
        <f>VLOOKUP(E57,'SchoolInfo (3)'!A:K,11,0)</f>
        <v>syoder@concho.k12.az.us</v>
      </c>
      <c r="H57" s="8"/>
      <c r="I57" s="8"/>
    </row>
    <row r="58" spans="1:9" s="2" customFormat="1" ht="12.75" x14ac:dyDescent="0.2">
      <c r="A58" s="11" t="str">
        <f>VLOOKUP(B58,'SchoolInfo (3)'!A:C,3,0)</f>
        <v>'078530000</v>
      </c>
      <c r="B58" s="8">
        <v>89556</v>
      </c>
      <c r="C58" s="8" t="s">
        <v>718</v>
      </c>
      <c r="D58" s="8" t="str">
        <f>VLOOKUP(E58,'SchoolInfo (3)'!A:C,3,0)</f>
        <v>'078530101</v>
      </c>
      <c r="E58" s="8">
        <v>89557</v>
      </c>
      <c r="F58" s="8" t="s">
        <v>719</v>
      </c>
      <c r="G58" s="8">
        <f>VLOOKUP(E58,'SchoolInfo (3)'!A:K,11,0)</f>
        <v>0</v>
      </c>
      <c r="H58" s="8"/>
      <c r="I58" s="8"/>
    </row>
    <row r="59" spans="1:9" s="2" customFormat="1" ht="12.75" x14ac:dyDescent="0.2">
      <c r="A59" s="11" t="str">
        <f>VLOOKUP(B59,'SchoolInfo (3)'!A:C,3,0)</f>
        <v>'110221000</v>
      </c>
      <c r="B59" s="8">
        <v>4442</v>
      </c>
      <c r="C59" s="8" t="s">
        <v>315</v>
      </c>
      <c r="D59" s="8" t="str">
        <f>VLOOKUP(E59,'SchoolInfo (3)'!A:C,3,0)</f>
        <v>'110221010</v>
      </c>
      <c r="E59" s="8">
        <v>89577</v>
      </c>
      <c r="F59" s="8" t="s">
        <v>749</v>
      </c>
      <c r="G59" s="8" t="str">
        <f>VLOOKUP(E59,'SchoolInfo (3)'!A:K,11,0)</f>
        <v>Jarroyos@cusd.k12.az.us</v>
      </c>
      <c r="H59" s="8"/>
      <c r="I59" s="8"/>
    </row>
    <row r="60" spans="1:9" s="2" customFormat="1" ht="12.75" x14ac:dyDescent="0.2">
      <c r="A60" s="11" t="str">
        <f>VLOOKUP(B60,'SchoolInfo (3)'!A:C,3,0)</f>
        <v>'110221000</v>
      </c>
      <c r="B60" s="8">
        <v>4442</v>
      </c>
      <c r="C60" s="8" t="s">
        <v>315</v>
      </c>
      <c r="D60" s="8" t="str">
        <f>VLOOKUP(E60,'SchoolInfo (3)'!A:C,3,0)</f>
        <v>'110221001</v>
      </c>
      <c r="E60" s="8">
        <v>5911</v>
      </c>
      <c r="F60" s="8" t="s">
        <v>1455</v>
      </c>
      <c r="G60" s="8" t="str">
        <f>VLOOKUP(E60,'SchoolInfo (3)'!A:K,11,0)</f>
        <v>jallee@coolidgeschools.org</v>
      </c>
      <c r="H60" s="8"/>
      <c r="I60" s="8"/>
    </row>
    <row r="61" spans="1:9" s="2" customFormat="1" ht="12.75" x14ac:dyDescent="0.2">
      <c r="A61" s="11" t="str">
        <f>VLOOKUP(B61,'SchoolInfo (3)'!A:C,3,0)</f>
        <v>'140413000</v>
      </c>
      <c r="B61" s="8">
        <v>4501</v>
      </c>
      <c r="C61" s="8" t="s">
        <v>509</v>
      </c>
      <c r="D61" s="8" t="str">
        <f>VLOOKUP(E61,'SchoolInfo (3)'!A:C,3,0)</f>
        <v>'140413109</v>
      </c>
      <c r="E61" s="8">
        <v>85834</v>
      </c>
      <c r="F61" s="8" t="s">
        <v>510</v>
      </c>
      <c r="G61" s="8" t="str">
        <f>VLOOKUP(E61,'SchoolInfo (3)'!A:K,11,0)</f>
        <v>smendoza@craneschools.org</v>
      </c>
      <c r="H61" s="8"/>
      <c r="I61" s="8"/>
    </row>
    <row r="62" spans="1:9" s="2" customFormat="1" ht="12.75" x14ac:dyDescent="0.2">
      <c r="A62" s="11" t="str">
        <f>VLOOKUP(B62,'SchoolInfo (3)'!A:C,3,0)</f>
        <v>'070414000</v>
      </c>
      <c r="B62" s="8">
        <v>4263</v>
      </c>
      <c r="C62" s="8" t="s">
        <v>346</v>
      </c>
      <c r="D62" s="8" t="str">
        <f>VLOOKUP(E62,'SchoolInfo (3)'!A:C,3,0)</f>
        <v>'070414140</v>
      </c>
      <c r="E62" s="8">
        <v>5285</v>
      </c>
      <c r="F62" s="8" t="s">
        <v>666</v>
      </c>
      <c r="G62" s="8" t="str">
        <f>VLOOKUP(E62,'SchoolInfo (3)'!A:K,11,0)</f>
        <v>bfisher@creightonschools.org</v>
      </c>
      <c r="H62" s="8"/>
      <c r="I62" s="8"/>
    </row>
    <row r="63" spans="1:9" s="2" customFormat="1" ht="12.75" x14ac:dyDescent="0.2">
      <c r="A63" s="11" t="str">
        <f>VLOOKUP(B63,'SchoolInfo (3)'!A:C,3,0)</f>
        <v>'070414000</v>
      </c>
      <c r="B63" s="8">
        <v>4263</v>
      </c>
      <c r="C63" s="8" t="s">
        <v>346</v>
      </c>
      <c r="D63" s="8" t="str">
        <f>VLOOKUP(E63,'SchoolInfo (3)'!A:C,3,0)</f>
        <v>'070414150</v>
      </c>
      <c r="E63" s="8">
        <v>5286</v>
      </c>
      <c r="F63" s="8" t="s">
        <v>673</v>
      </c>
      <c r="G63" s="8" t="str">
        <f>VLOOKUP(E63,'SchoolInfo (3)'!A:K,11,0)</f>
        <v>edueppen@creightonschools.org</v>
      </c>
      <c r="H63" s="8"/>
      <c r="I63" s="8"/>
    </row>
    <row r="64" spans="1:9" s="2" customFormat="1" ht="12.75" x14ac:dyDescent="0.2">
      <c r="A64" s="11" t="str">
        <f>VLOOKUP(B64,'SchoolInfo (3)'!A:C,3,0)</f>
        <v>'070414000</v>
      </c>
      <c r="B64" s="8">
        <v>4263</v>
      </c>
      <c r="C64" s="8" t="s">
        <v>346</v>
      </c>
      <c r="D64" s="8" t="str">
        <f>VLOOKUP(E64,'SchoolInfo (3)'!A:C,3,0)</f>
        <v>'070414130</v>
      </c>
      <c r="E64" s="8">
        <v>5284</v>
      </c>
      <c r="F64" s="8" t="s">
        <v>675</v>
      </c>
      <c r="G64" s="8" t="str">
        <f>VLOOKUP(E64,'SchoolInfo (3)'!A:K,11,0)</f>
        <v>shannafin@creightonschools.org</v>
      </c>
      <c r="H64" s="8"/>
      <c r="I64" s="8"/>
    </row>
    <row r="65" spans="1:9" s="2" customFormat="1" ht="12.75" x14ac:dyDescent="0.2">
      <c r="A65" s="11" t="str">
        <f>VLOOKUP(B65,'SchoolInfo (3)'!A:C,3,0)</f>
        <v>'070414000</v>
      </c>
      <c r="B65" s="8">
        <v>4263</v>
      </c>
      <c r="C65" s="8" t="s">
        <v>346</v>
      </c>
      <c r="D65" s="8" t="str">
        <f>VLOOKUP(E65,'SchoolInfo (3)'!A:C,3,0)</f>
        <v>'070414120</v>
      </c>
      <c r="E65" s="8">
        <v>6023</v>
      </c>
      <c r="F65" s="8" t="s">
        <v>677</v>
      </c>
      <c r="G65" s="8" t="str">
        <f>VLOOKUP(E65,'SchoolInfo (3)'!A:K,11,0)</f>
        <v>smhannafin@creightonschools.org</v>
      </c>
      <c r="H65" s="8"/>
      <c r="I65" s="8"/>
    </row>
    <row r="66" spans="1:9" s="2" customFormat="1" ht="12.75" x14ac:dyDescent="0.2">
      <c r="A66" s="11" t="str">
        <f>VLOOKUP(B66,'SchoolInfo (3)'!A:C,3,0)</f>
        <v>'070414000</v>
      </c>
      <c r="B66" s="8">
        <v>4263</v>
      </c>
      <c r="C66" s="8" t="s">
        <v>346</v>
      </c>
      <c r="D66" s="8" t="str">
        <f>VLOOKUP(E66,'SchoolInfo (3)'!A:C,3,0)</f>
        <v>'070414160</v>
      </c>
      <c r="E66" s="8">
        <v>5287</v>
      </c>
      <c r="F66" s="8" t="s">
        <v>680</v>
      </c>
      <c r="G66" s="8" t="str">
        <f>VLOOKUP(E66,'SchoolInfo (3)'!A:K,11,0)</f>
        <v>mmadison@creightonschools.org</v>
      </c>
      <c r="H66" s="8"/>
      <c r="I66" s="8"/>
    </row>
    <row r="67" spans="1:9" s="2" customFormat="1" ht="12.75" x14ac:dyDescent="0.2">
      <c r="A67" s="11" t="str">
        <f>VLOOKUP(B67,'SchoolInfo (3)'!A:C,3,0)</f>
        <v>'070414000</v>
      </c>
      <c r="B67" s="8">
        <v>4263</v>
      </c>
      <c r="C67" s="8" t="s">
        <v>346</v>
      </c>
      <c r="D67" s="8" t="str">
        <f>VLOOKUP(E67,'SchoolInfo (3)'!A:C,3,0)</f>
        <v>'070414170</v>
      </c>
      <c r="E67" s="8">
        <v>5288</v>
      </c>
      <c r="F67" s="8" t="s">
        <v>683</v>
      </c>
      <c r="G67" s="8" t="str">
        <f>VLOOKUP(E67,'SchoolInfo (3)'!A:K,11,0)</f>
        <v>mritz@creightonschools.org</v>
      </c>
      <c r="H67" s="8"/>
      <c r="I67" s="8"/>
    </row>
    <row r="68" spans="1:9" s="2" customFormat="1" ht="12.75" x14ac:dyDescent="0.2">
      <c r="A68" s="11" t="str">
        <f>VLOOKUP(B68,'SchoolInfo (3)'!A:C,3,0)</f>
        <v>'070414000</v>
      </c>
      <c r="B68" s="8">
        <v>4263</v>
      </c>
      <c r="C68" s="8" t="s">
        <v>346</v>
      </c>
      <c r="D68" s="8" t="str">
        <f>VLOOKUP(E68,'SchoolInfo (3)'!A:C,3,0)</f>
        <v>'070414190</v>
      </c>
      <c r="E68" s="8">
        <v>79285</v>
      </c>
      <c r="F68" s="8" t="s">
        <v>842</v>
      </c>
      <c r="G68" s="8" t="str">
        <f>VLOOKUP(E68,'SchoolInfo (3)'!A:K,11,0)</f>
        <v>dtwist@creightonschools.org</v>
      </c>
      <c r="H68" s="8"/>
      <c r="I68" s="8"/>
    </row>
    <row r="69" spans="1:9" s="2" customFormat="1" ht="12.75" x14ac:dyDescent="0.2">
      <c r="A69" s="11" t="str">
        <f>VLOOKUP(B69,'SchoolInfo (3)'!A:C,3,0)</f>
        <v>'020227000</v>
      </c>
      <c r="B69" s="8">
        <v>4174</v>
      </c>
      <c r="C69" s="8" t="s">
        <v>837</v>
      </c>
      <c r="D69" s="8" t="str">
        <f>VLOOKUP(E69,'SchoolInfo (3)'!A:C,3,0)</f>
        <v>'020227105</v>
      </c>
      <c r="E69" s="8">
        <v>4767</v>
      </c>
      <c r="F69" s="8" t="s">
        <v>838</v>
      </c>
      <c r="G69" s="8" t="str">
        <f>VLOOKUP(E69,'SchoolInfo (3)'!A:K,11,0)</f>
        <v>cortega@dusd.k12.az.us</v>
      </c>
      <c r="H69" s="8"/>
      <c r="I69" s="8"/>
    </row>
    <row r="70" spans="1:9" s="2" customFormat="1" ht="12.75" x14ac:dyDescent="0.2">
      <c r="A70" s="11" t="str">
        <f>VLOOKUP(B70,'SchoolInfo (3)'!A:C,3,0)</f>
        <v>'020227000</v>
      </c>
      <c r="B70" s="8">
        <v>4174</v>
      </c>
      <c r="C70" s="8" t="s">
        <v>837</v>
      </c>
      <c r="D70" s="8" t="str">
        <f>VLOOKUP(E70,'SchoolInfo (3)'!A:C,3,0)</f>
        <v>'020227106</v>
      </c>
      <c r="E70" s="8">
        <v>4768</v>
      </c>
      <c r="F70" s="8" t="s">
        <v>1393</v>
      </c>
      <c r="G70" s="8" t="str">
        <f>VLOOKUP(E70,'SchoolInfo (3)'!A:K,11,0)</f>
        <v>cleon@dusd.us</v>
      </c>
      <c r="H70" s="8"/>
      <c r="I70" s="8"/>
    </row>
    <row r="71" spans="1:9" s="2" customFormat="1" ht="12.75" x14ac:dyDescent="0.2">
      <c r="A71" s="11" t="str">
        <f>VLOOKUP(B71,'SchoolInfo (3)'!A:C,3,0)</f>
        <v>'078223000</v>
      </c>
      <c r="B71" s="8">
        <v>91939</v>
      </c>
      <c r="C71" s="8" t="s">
        <v>741</v>
      </c>
      <c r="D71" s="8" t="str">
        <f>VLOOKUP(E71,'SchoolInfo (3)'!A:C,3,0)</f>
        <v>'078223001</v>
      </c>
      <c r="E71" s="8">
        <v>92601</v>
      </c>
      <c r="F71" s="8" t="s">
        <v>742</v>
      </c>
      <c r="G71" s="8">
        <f>VLOOKUP(E71,'SchoolInfo (3)'!A:K,11,0)</f>
        <v>0</v>
      </c>
      <c r="H71" s="8"/>
      <c r="I71" s="8"/>
    </row>
    <row r="72" spans="1:9" s="2" customFormat="1" ht="12.75" x14ac:dyDescent="0.2">
      <c r="A72" s="11" t="str">
        <f>VLOOKUP(B72,'SchoolInfo (3)'!A:C,3,0)</f>
        <v>'078915000</v>
      </c>
      <c r="B72" s="8">
        <v>6446</v>
      </c>
      <c r="C72" s="8" t="s">
        <v>732</v>
      </c>
      <c r="D72" s="8" t="str">
        <f>VLOOKUP(E72,'SchoolInfo (3)'!A:C,3,0)</f>
        <v>'078915005</v>
      </c>
      <c r="E72" s="8">
        <v>79697</v>
      </c>
      <c r="F72" s="8" t="s">
        <v>733</v>
      </c>
      <c r="G72" s="8">
        <f>VLOOKUP(E72,'SchoolInfo (3)'!A:K,11,0)</f>
        <v>0</v>
      </c>
      <c r="H72" s="8"/>
      <c r="I72" s="8"/>
    </row>
    <row r="73" spans="1:9" s="2" customFormat="1" ht="12.75" x14ac:dyDescent="0.2">
      <c r="A73" s="11" t="str">
        <f>VLOOKUP(B73,'SchoolInfo (3)'!A:C,3,0)</f>
        <v>'078915000</v>
      </c>
      <c r="B73" s="8">
        <v>6446</v>
      </c>
      <c r="C73" s="8" t="s">
        <v>732</v>
      </c>
      <c r="D73" s="8" t="str">
        <f>VLOOKUP(E73,'SchoolInfo (3)'!A:C,3,0)</f>
        <v>'078915001</v>
      </c>
      <c r="E73" s="8">
        <v>10849</v>
      </c>
      <c r="F73" s="8" t="s">
        <v>1463</v>
      </c>
      <c r="G73" s="8" t="str">
        <f>VLOOKUP(E73,'SchoolInfo (3)'!A:K,11,0)</f>
        <v>marla.ramos@edkey.org</v>
      </c>
      <c r="H73" s="8"/>
      <c r="I73" s="8"/>
    </row>
    <row r="74" spans="1:9" s="2" customFormat="1" ht="12.75" x14ac:dyDescent="0.2">
      <c r="A74" s="11" t="str">
        <f>VLOOKUP(B74,'SchoolInfo (3)'!A:C,3,0)</f>
        <v>'138705000</v>
      </c>
      <c r="B74" s="8">
        <v>81052</v>
      </c>
      <c r="C74" s="8" t="s">
        <v>640</v>
      </c>
      <c r="D74" s="8" t="str">
        <f>VLOOKUP(E74,'SchoolInfo (3)'!A:C,3,0)</f>
        <v>'138705003</v>
      </c>
      <c r="E74" s="8">
        <v>89920</v>
      </c>
      <c r="F74" s="8" t="s">
        <v>641</v>
      </c>
      <c r="G74" s="8">
        <f>VLOOKUP(E74,'SchoolInfo (3)'!A:K,11,0)</f>
        <v>0</v>
      </c>
      <c r="H74" s="8"/>
      <c r="I74" s="8"/>
    </row>
    <row r="75" spans="1:9" s="2" customFormat="1" ht="12.75" x14ac:dyDescent="0.2">
      <c r="A75" s="11" t="str">
        <f>VLOOKUP(B75,'SchoolInfo (3)'!A:C,3,0)</f>
        <v>'110411000</v>
      </c>
      <c r="B75" s="8">
        <v>4448</v>
      </c>
      <c r="C75" s="8" t="s">
        <v>329</v>
      </c>
      <c r="D75" s="8" t="str">
        <f>VLOOKUP(E75,'SchoolInfo (3)'!A:C,3,0)</f>
        <v>'110411104</v>
      </c>
      <c r="E75" s="8">
        <v>5941</v>
      </c>
      <c r="F75" s="8" t="s">
        <v>844</v>
      </c>
      <c r="G75" s="8" t="str">
        <f>VLOOKUP(E75,'SchoolInfo (3)'!A:K,11,0)</f>
        <v>Melanie.murry@eloyesd.org</v>
      </c>
      <c r="H75" s="8"/>
      <c r="I75" s="8"/>
    </row>
    <row r="76" spans="1:9" s="2" customFormat="1" ht="12.75" x14ac:dyDescent="0.2">
      <c r="A76" s="11" t="str">
        <f>VLOOKUP(B76,'SchoolInfo (3)'!A:C,3,0)</f>
        <v>'078103000</v>
      </c>
      <c r="B76" s="8">
        <v>92250</v>
      </c>
      <c r="C76" s="8" t="s">
        <v>649</v>
      </c>
      <c r="D76" s="8" t="str">
        <f>VLOOKUP(E76,'SchoolInfo (3)'!A:C,3,0)</f>
        <v>'078103001</v>
      </c>
      <c r="E76" s="8">
        <v>85886</v>
      </c>
      <c r="F76" s="8" t="s">
        <v>650</v>
      </c>
      <c r="G76" s="8" t="str">
        <f>VLOOKUP(E76,'SchoolInfo (3)'!A:K,11,0)</f>
        <v>adrianruiz@espiritu.org</v>
      </c>
      <c r="H76" s="8"/>
      <c r="I76" s="8"/>
    </row>
    <row r="77" spans="1:9" s="2" customFormat="1" ht="12.75" x14ac:dyDescent="0.2">
      <c r="A77" s="11" t="str">
        <f>VLOOKUP(B77,'SchoolInfo (3)'!A:C,3,0)</f>
        <v>'078785000</v>
      </c>
      <c r="B77" s="8">
        <v>78783</v>
      </c>
      <c r="C77" s="8" t="s">
        <v>1302</v>
      </c>
      <c r="D77" s="8" t="str">
        <f>VLOOKUP(E77,'SchoolInfo (3)'!A:C,3,0)</f>
        <v>'078785101</v>
      </c>
      <c r="E77" s="8">
        <v>78820</v>
      </c>
      <c r="F77" s="8" t="s">
        <v>1303</v>
      </c>
      <c r="G77" s="8">
        <f>VLOOKUP(E77,'SchoolInfo (3)'!A:K,11,0)</f>
        <v>0</v>
      </c>
      <c r="H77" s="8"/>
      <c r="I77" s="8"/>
    </row>
    <row r="78" spans="1:9" s="2" customFormat="1" ht="12.75" x14ac:dyDescent="0.2">
      <c r="A78" s="11" t="str">
        <f>VLOOKUP(B78,'SchoolInfo (3)'!A:C,3,0)</f>
        <v>'030201000</v>
      </c>
      <c r="B78" s="8">
        <v>4192</v>
      </c>
      <c r="C78" s="8" t="s">
        <v>311</v>
      </c>
      <c r="D78" s="8" t="str">
        <f>VLOOKUP(E78,'SchoolInfo (3)'!A:C,3,0)</f>
        <v>'030201114</v>
      </c>
      <c r="E78" s="8">
        <v>4808</v>
      </c>
      <c r="F78" s="8" t="s">
        <v>1378</v>
      </c>
      <c r="G78" s="8" t="str">
        <f>VLOOKUP(E78,'SchoolInfo (3)'!A:K,11,0)</f>
        <v>jgutierrez@fusd1.org</v>
      </c>
      <c r="H78" s="8"/>
      <c r="I78" s="8"/>
    </row>
    <row r="79" spans="1:9" s="2" customFormat="1" ht="12.75" x14ac:dyDescent="0.2">
      <c r="A79" s="11" t="str">
        <f>VLOOKUP(B79,'SchoolInfo (3)'!A:C,3,0)</f>
        <v>'030201000</v>
      </c>
      <c r="B79" s="8">
        <v>4192</v>
      </c>
      <c r="C79" s="8" t="s">
        <v>311</v>
      </c>
      <c r="D79" s="8" t="str">
        <f>VLOOKUP(E79,'SchoolInfo (3)'!A:C,3,0)</f>
        <v>'030201120</v>
      </c>
      <c r="E79" s="8">
        <v>4814</v>
      </c>
      <c r="F79" s="8" t="s">
        <v>1438</v>
      </c>
      <c r="G79" s="8" t="str">
        <f>VLOOKUP(E79,'SchoolInfo (3)'!A:K,11,0)</f>
        <v>rchee1@fusd1.org</v>
      </c>
      <c r="H79" s="8"/>
      <c r="I79" s="8"/>
    </row>
    <row r="80" spans="1:9" s="2" customFormat="1" ht="12.75" x14ac:dyDescent="0.2">
      <c r="A80" s="11" t="str">
        <f>VLOOKUP(B80,'SchoolInfo (3)'!A:C,3,0)</f>
        <v>'100208000</v>
      </c>
      <c r="B80" s="8">
        <v>4405</v>
      </c>
      <c r="C80" s="8" t="s">
        <v>1287</v>
      </c>
      <c r="D80" s="8" t="str">
        <f>VLOOKUP(E80,'SchoolInfo (3)'!A:C,3,0)</f>
        <v>'100208150</v>
      </c>
      <c r="E80" s="8">
        <v>5788</v>
      </c>
      <c r="F80" s="8" t="s">
        <v>1288</v>
      </c>
      <c r="G80" s="8" t="str">
        <f>VLOOKUP(E80,'SchoolInfo (3)'!A:K,11,0)</f>
        <v>Jacqueline.Camacho@fwusd.org</v>
      </c>
      <c r="H80" s="8"/>
      <c r="I80" s="8"/>
    </row>
    <row r="81" spans="1:9" s="2" customFormat="1" ht="12.75" x14ac:dyDescent="0.2">
      <c r="A81" s="11" t="str">
        <f>VLOOKUP(B81,'SchoolInfo (3)'!A:C,3,0)</f>
        <v>'050207000</v>
      </c>
      <c r="B81" s="8">
        <v>4221</v>
      </c>
      <c r="C81" s="8" t="s">
        <v>1549</v>
      </c>
      <c r="D81" s="8" t="str">
        <f>VLOOKUP(E81,'SchoolInfo (3)'!A:C,3,0)</f>
        <v>'050207101</v>
      </c>
      <c r="E81" s="8">
        <v>4892</v>
      </c>
      <c r="F81" s="8" t="s">
        <v>1550</v>
      </c>
      <c r="G81" s="8" t="str">
        <f>VLOOKUP(E81,'SchoolInfo (3)'!A:K,11,0)</f>
        <v>llunt@ftthomas.k12.az.us</v>
      </c>
      <c r="H81" s="8"/>
      <c r="I81" s="8"/>
    </row>
    <row r="82" spans="1:9" s="2" customFormat="1" ht="12.75" x14ac:dyDescent="0.2">
      <c r="A82" s="11" t="str">
        <f>VLOOKUP(B82,'SchoolInfo (3)'!A:C,3,0)</f>
        <v>'050207000</v>
      </c>
      <c r="B82" s="8">
        <v>4221</v>
      </c>
      <c r="C82" s="8" t="s">
        <v>859</v>
      </c>
      <c r="D82" s="8" t="str">
        <f>VLOOKUP(E82,'SchoolInfo (3)'!A:C,3,0)</f>
        <v>'050207103</v>
      </c>
      <c r="E82" s="8">
        <v>92618</v>
      </c>
      <c r="F82" s="8" t="s">
        <v>860</v>
      </c>
      <c r="G82" s="8" t="str">
        <f>VLOOKUP(E82,'SchoolInfo (3)'!A:K,11,0)</f>
        <v>mtalkalai@ftusd.org</v>
      </c>
      <c r="H82" s="8"/>
      <c r="I82" s="8"/>
    </row>
    <row r="83" spans="1:9" s="2" customFormat="1" ht="12.75" x14ac:dyDescent="0.2">
      <c r="A83" s="11" t="str">
        <f>VLOOKUP(B83,'SchoolInfo (3)'!A:C,3,0)</f>
        <v>'070445000</v>
      </c>
      <c r="B83" s="8">
        <v>4273</v>
      </c>
      <c r="C83" s="8" t="s">
        <v>1375</v>
      </c>
      <c r="D83" s="8" t="str">
        <f>VLOOKUP(E83,'SchoolInfo (3)'!A:C,3,0)</f>
        <v>'070445101</v>
      </c>
      <c r="E83" s="8">
        <v>5351</v>
      </c>
      <c r="F83" s="8" t="s">
        <v>1376</v>
      </c>
      <c r="G83" s="8" t="str">
        <f>VLOOKUP(E83,'SchoolInfo (3)'!A:K,11,0)</f>
        <v>raltavilla@fesd.org</v>
      </c>
      <c r="H83" s="8"/>
      <c r="I83" s="8"/>
    </row>
    <row r="84" spans="1:9" s="2" customFormat="1" ht="12.75" x14ac:dyDescent="0.2">
      <c r="A84" s="11" t="str">
        <f>VLOOKUP(B84,'SchoolInfo (3)'!A:C,3,0)</f>
        <v>'070445000</v>
      </c>
      <c r="B84" s="8">
        <v>4273</v>
      </c>
      <c r="C84" s="8" t="s">
        <v>1375</v>
      </c>
      <c r="D84" s="8" t="str">
        <f>VLOOKUP(E84,'SchoolInfo (3)'!A:C,3,0)</f>
        <v>'070445105</v>
      </c>
      <c r="E84" s="8">
        <v>80915</v>
      </c>
      <c r="F84" s="8" t="s">
        <v>1520</v>
      </c>
      <c r="G84" s="8" t="str">
        <f>VLOOKUP(E84,'SchoolInfo (3)'!A:K,11,0)</f>
        <v>mruiz@fesd.org</v>
      </c>
      <c r="H84" s="8"/>
      <c r="I84" s="8"/>
    </row>
    <row r="85" spans="1:9" s="2" customFormat="1" ht="12.75" x14ac:dyDescent="0.2">
      <c r="A85" s="11" t="str">
        <f>VLOOKUP(B85,'SchoolInfo (3)'!A:C,3,0)</f>
        <v>'070445000</v>
      </c>
      <c r="B85" s="8">
        <v>4273</v>
      </c>
      <c r="C85" s="8" t="s">
        <v>1375</v>
      </c>
      <c r="D85" s="8" t="str">
        <f>VLOOKUP(E85,'SchoolInfo (3)'!A:C,3,0)</f>
        <v>'070445106</v>
      </c>
      <c r="E85" s="8">
        <v>80916</v>
      </c>
      <c r="F85" s="8" t="s">
        <v>1537</v>
      </c>
      <c r="G85" s="8" t="str">
        <f>VLOOKUP(E85,'SchoolInfo (3)'!A:K,11,0)</f>
        <v>tlyon@fesd.org</v>
      </c>
      <c r="H85" s="8"/>
      <c r="I85" s="8"/>
    </row>
    <row r="86" spans="1:9" s="2" customFormat="1" ht="12.75" x14ac:dyDescent="0.2">
      <c r="A86" s="11" t="str">
        <f>VLOOKUP(B86,'SchoolInfo (3)'!A:C,3,0)</f>
        <v>'078263000</v>
      </c>
      <c r="B86" s="8">
        <v>92596</v>
      </c>
      <c r="C86" s="8" t="s">
        <v>775</v>
      </c>
      <c r="D86" s="8" t="str">
        <f>VLOOKUP(E86,'SchoolInfo (3)'!A:C,3,0)</f>
        <v>'078263001</v>
      </c>
      <c r="E86" s="8">
        <v>92597</v>
      </c>
      <c r="F86" s="8" t="s">
        <v>776</v>
      </c>
      <c r="G86" s="8">
        <f>VLOOKUP(E86,'SchoolInfo (3)'!A:K,11,0)</f>
        <v>0</v>
      </c>
      <c r="H86" s="8"/>
      <c r="I86" s="8"/>
    </row>
    <row r="87" spans="1:9" s="2" customFormat="1" ht="12.75" x14ac:dyDescent="0.2">
      <c r="A87" s="11" t="str">
        <f>VLOOKUP(B87,'SchoolInfo (3)'!A:C,3,0)</f>
        <v>'078611000</v>
      </c>
      <c r="B87" s="8">
        <v>4303</v>
      </c>
      <c r="C87" s="8" t="s">
        <v>646</v>
      </c>
      <c r="D87" s="8" t="str">
        <f>VLOOKUP(E87,'SchoolInfo (3)'!A:C,3,0)</f>
        <v>'078611001</v>
      </c>
      <c r="E87" s="8">
        <v>6036</v>
      </c>
      <c r="F87" s="8" t="s">
        <v>647</v>
      </c>
      <c r="G87" s="8" t="str">
        <f>VLOOKUP(E87,'SchoolInfo (3)'!A:K,11,0)</f>
        <v>Michael.Henderson@academiadelpueblo.org</v>
      </c>
      <c r="H87" s="8"/>
      <c r="I87" s="8"/>
    </row>
    <row r="88" spans="1:9" s="2" customFormat="1" ht="12.75" x14ac:dyDescent="0.2">
      <c r="A88" s="11" t="str">
        <f>VLOOKUP(B88,'SchoolInfo (3)'!A:C,3,0)</f>
        <v>'140432000</v>
      </c>
      <c r="B88" s="8">
        <v>4505</v>
      </c>
      <c r="C88" s="8" t="s">
        <v>354</v>
      </c>
      <c r="D88" s="8" t="str">
        <f>VLOOKUP(E88,'SchoolInfo (3)'!A:C,3,0)</f>
        <v>'140432102</v>
      </c>
      <c r="E88" s="8">
        <v>6184</v>
      </c>
      <c r="F88" s="8" t="s">
        <v>497</v>
      </c>
      <c r="G88" s="8">
        <f>VLOOKUP(E88,'SchoolInfo (3)'!A:K,11,0)</f>
        <v>0</v>
      </c>
      <c r="H88" s="8"/>
      <c r="I88" s="8"/>
    </row>
    <row r="89" spans="1:9" s="2" customFormat="1" ht="12.75" x14ac:dyDescent="0.2">
      <c r="A89" s="11" t="str">
        <f>VLOOKUP(B89,'SchoolInfo (3)'!A:C,3,0)</f>
        <v>'140432000</v>
      </c>
      <c r="B89" s="8">
        <v>4505</v>
      </c>
      <c r="C89" s="8" t="s">
        <v>354</v>
      </c>
      <c r="D89" s="8" t="str">
        <f>VLOOKUP(E89,'SchoolInfo (3)'!A:C,3,0)</f>
        <v>'140432103</v>
      </c>
      <c r="E89" s="8">
        <v>6185</v>
      </c>
      <c r="F89" s="8" t="s">
        <v>500</v>
      </c>
      <c r="G89" s="8" t="str">
        <f>VLOOKUP(E89,'SchoolInfo (3)'!A:K,11,0)</f>
        <v>sarredondo@gesd32.org</v>
      </c>
      <c r="H89" s="8"/>
      <c r="I89" s="8"/>
    </row>
    <row r="90" spans="1:9" s="2" customFormat="1" ht="12.75" x14ac:dyDescent="0.2">
      <c r="A90" s="11" t="str">
        <f>VLOOKUP(B90,'SchoolInfo (3)'!A:C,3,0)</f>
        <v>'140432000</v>
      </c>
      <c r="B90" s="8">
        <v>4505</v>
      </c>
      <c r="C90" s="8" t="s">
        <v>354</v>
      </c>
      <c r="D90" s="8" t="str">
        <f>VLOOKUP(E90,'SchoolInfo (3)'!A:C,3,0)</f>
        <v>'140432105</v>
      </c>
      <c r="E90" s="8">
        <v>6187</v>
      </c>
      <c r="F90" s="8" t="s">
        <v>502</v>
      </c>
      <c r="G90" s="8" t="str">
        <f>VLOOKUP(E90,'SchoolInfo (3)'!A:K,11,0)</f>
        <v>lmesparza@gesd32.org</v>
      </c>
      <c r="H90" s="8"/>
      <c r="I90" s="8"/>
    </row>
    <row r="91" spans="1:9" s="2" customFormat="1" ht="12.75" x14ac:dyDescent="0.2">
      <c r="A91" s="11" t="str">
        <f>VLOOKUP(B91,'SchoolInfo (3)'!A:C,3,0)</f>
        <v>'140432000</v>
      </c>
      <c r="B91" s="8">
        <v>4505</v>
      </c>
      <c r="C91" s="8" t="s">
        <v>354</v>
      </c>
      <c r="D91" s="8" t="str">
        <f>VLOOKUP(E91,'SchoolInfo (3)'!A:C,3,0)</f>
        <v>'140432101</v>
      </c>
      <c r="E91" s="8">
        <v>6183</v>
      </c>
      <c r="F91" s="8" t="s">
        <v>504</v>
      </c>
      <c r="G91" s="8" t="str">
        <f>VLOOKUP(E91,'SchoolInfo (3)'!A:K,11,0)</f>
        <v>carvizo@gesd32.org</v>
      </c>
      <c r="H91" s="8"/>
      <c r="I91" s="8"/>
    </row>
    <row r="92" spans="1:9" s="2" customFormat="1" ht="12.75" x14ac:dyDescent="0.2">
      <c r="A92" s="11" t="str">
        <f>VLOOKUP(B92,'SchoolInfo (3)'!A:C,3,0)</f>
        <v>'010220000</v>
      </c>
      <c r="B92" s="8">
        <v>4157</v>
      </c>
      <c r="C92" s="8" t="s">
        <v>448</v>
      </c>
      <c r="D92" s="8" t="str">
        <f>VLOOKUP(E92,'SchoolInfo (3)'!A:C,3,0)</f>
        <v>'010220101</v>
      </c>
      <c r="E92" s="8">
        <v>4725</v>
      </c>
      <c r="F92" s="8" t="s">
        <v>449</v>
      </c>
      <c r="G92" s="8" t="str">
        <f>VLOOKUP(E92,'SchoolInfo (3)'!A:K,11,0)</f>
        <v>helen.aseret@ganado.k12.az.us</v>
      </c>
      <c r="H92" s="8"/>
      <c r="I92" s="8"/>
    </row>
    <row r="93" spans="1:9" s="2" customFormat="1" ht="12.75" x14ac:dyDescent="0.2">
      <c r="A93" s="11" t="str">
        <f>VLOOKUP(B93,'SchoolInfo (3)'!A:C,3,0)</f>
        <v>'010220000</v>
      </c>
      <c r="B93" s="8">
        <v>4157</v>
      </c>
      <c r="C93" s="8" t="s">
        <v>448</v>
      </c>
      <c r="D93" s="8" t="str">
        <f>VLOOKUP(E93,'SchoolInfo (3)'!A:C,3,0)</f>
        <v>'010220103</v>
      </c>
      <c r="E93" s="8">
        <v>4727</v>
      </c>
      <c r="F93" s="8" t="s">
        <v>452</v>
      </c>
      <c r="G93" s="8" t="str">
        <f>VLOOKUP(E93,'SchoolInfo (3)'!A:K,11,0)</f>
        <v>leandra.begaye@ganado.k12.az.us</v>
      </c>
      <c r="H93" s="8"/>
      <c r="I93" s="8"/>
    </row>
    <row r="94" spans="1:9" s="2" customFormat="1" ht="12.75" x14ac:dyDescent="0.2">
      <c r="A94" s="11" t="str">
        <f>VLOOKUP(B94,'SchoolInfo (3)'!A:C,3,0)</f>
        <v>'010220000</v>
      </c>
      <c r="B94" s="8">
        <v>4157</v>
      </c>
      <c r="C94" s="8" t="s">
        <v>448</v>
      </c>
      <c r="D94" s="8" t="str">
        <f>VLOOKUP(E94,'SchoolInfo (3)'!A:C,3,0)</f>
        <v>'010220102</v>
      </c>
      <c r="E94" s="8">
        <v>4726</v>
      </c>
      <c r="F94" s="8" t="s">
        <v>489</v>
      </c>
      <c r="G94" s="8" t="str">
        <f>VLOOKUP(E94,'SchoolInfo (3)'!A:K,11,0)</f>
        <v>roxane.martinez@ganado.k12.az.us</v>
      </c>
      <c r="H94" s="8"/>
      <c r="I94" s="8"/>
    </row>
    <row r="95" spans="1:9" s="2" customFormat="1" ht="12.75" x14ac:dyDescent="0.2">
      <c r="A95" s="11" t="str">
        <f>VLOOKUP(B95,'SchoolInfo (3)'!A:C,3,0)</f>
        <v>'070224000</v>
      </c>
      <c r="B95" s="8">
        <v>4238</v>
      </c>
      <c r="C95" s="8" t="s">
        <v>319</v>
      </c>
      <c r="D95" s="8" t="str">
        <f>VLOOKUP(E95,'SchoolInfo (3)'!A:C,3,0)</f>
        <v>'070224001</v>
      </c>
      <c r="E95" s="8">
        <v>5018</v>
      </c>
      <c r="F95" s="8" t="s">
        <v>528</v>
      </c>
      <c r="G95" s="8" t="str">
        <f>VLOOKUP(E95,'SchoolInfo (3)'!A:K,11,0)</f>
        <v>ramonag@gbusd.org</v>
      </c>
      <c r="H95" s="8"/>
      <c r="I95" s="8"/>
    </row>
    <row r="96" spans="1:9" s="2" customFormat="1" ht="12.75" x14ac:dyDescent="0.2">
      <c r="A96" s="11" t="str">
        <f>VLOOKUP(B96,'SchoolInfo (3)'!A:C,3,0)</f>
        <v>'070440000</v>
      </c>
      <c r="B96" s="8">
        <v>4271</v>
      </c>
      <c r="C96" s="8" t="s">
        <v>347</v>
      </c>
      <c r="D96" s="8" t="str">
        <f>VLOOKUP(E96,'SchoolInfo (3)'!A:C,3,0)</f>
        <v>'070440117</v>
      </c>
      <c r="E96" s="8">
        <v>79816</v>
      </c>
      <c r="F96" s="8" t="s">
        <v>559</v>
      </c>
      <c r="G96" s="8" t="str">
        <f>VLOOKUP(E96,'SchoolInfo (3)'!A:K,11,0)</f>
        <v>lhightower@gesd40.org</v>
      </c>
      <c r="H96" s="8"/>
      <c r="I96" s="8"/>
    </row>
    <row r="97" spans="1:9" s="2" customFormat="1" ht="12.75" x14ac:dyDescent="0.2">
      <c r="A97" s="11" t="str">
        <f>VLOOKUP(B97,'SchoolInfo (3)'!A:C,3,0)</f>
        <v>'070440000</v>
      </c>
      <c r="B97" s="8">
        <v>4271</v>
      </c>
      <c r="C97" s="8" t="s">
        <v>347</v>
      </c>
      <c r="D97" s="8" t="str">
        <f>VLOOKUP(E97,'SchoolInfo (3)'!A:C,3,0)</f>
        <v>'070440114</v>
      </c>
      <c r="E97" s="8">
        <v>5345</v>
      </c>
      <c r="F97" s="8" t="s">
        <v>562</v>
      </c>
      <c r="G97" s="8" t="str">
        <f>VLOOKUP(E97,'SchoolInfo (3)'!A:K,11,0)</f>
        <v>jrusky@gesd40.org</v>
      </c>
      <c r="H97" s="8"/>
      <c r="I97" s="8"/>
    </row>
    <row r="98" spans="1:9" s="2" customFormat="1" ht="12.75" x14ac:dyDescent="0.2">
      <c r="A98" s="11" t="str">
        <f>VLOOKUP(B98,'SchoolInfo (3)'!A:C,3,0)</f>
        <v>'070440000</v>
      </c>
      <c r="B98" s="8">
        <v>4271</v>
      </c>
      <c r="C98" s="8" t="s">
        <v>347</v>
      </c>
      <c r="D98" s="8" t="str">
        <f>VLOOKUP(E98,'SchoolInfo (3)'!A:C,3,0)</f>
        <v>'070440105</v>
      </c>
      <c r="E98" s="8">
        <v>5336</v>
      </c>
      <c r="F98" s="8" t="s">
        <v>567</v>
      </c>
      <c r="G98" s="8" t="str">
        <f>VLOOKUP(E98,'SchoolInfo (3)'!A:K,11,0)</f>
        <v>dparcells@gesd40.org</v>
      </c>
      <c r="H98" s="8"/>
      <c r="I98" s="8"/>
    </row>
    <row r="99" spans="1:9" s="2" customFormat="1" ht="12.75" x14ac:dyDescent="0.2">
      <c r="A99" s="11" t="str">
        <f>VLOOKUP(B99,'SchoolInfo (3)'!A:C,3,0)</f>
        <v>'070440000</v>
      </c>
      <c r="B99" s="8">
        <v>4271</v>
      </c>
      <c r="C99" s="8" t="s">
        <v>347</v>
      </c>
      <c r="D99" s="8" t="str">
        <f>VLOOKUP(E99,'SchoolInfo (3)'!A:C,3,0)</f>
        <v>'070440103</v>
      </c>
      <c r="E99" s="8">
        <v>5334</v>
      </c>
      <c r="F99" s="8" t="s">
        <v>569</v>
      </c>
      <c r="G99" s="8" t="str">
        <f>VLOOKUP(E99,'SchoolInfo (3)'!A:K,11,0)</f>
        <v>ralvarez@gesd40.org</v>
      </c>
      <c r="H99" s="8"/>
      <c r="I99" s="8"/>
    </row>
    <row r="100" spans="1:9" s="2" customFormat="1" ht="12.75" x14ac:dyDescent="0.2">
      <c r="A100" s="11" t="str">
        <f>VLOOKUP(B100,'SchoolInfo (3)'!A:C,3,0)</f>
        <v>'070440000</v>
      </c>
      <c r="B100" s="8">
        <v>4271</v>
      </c>
      <c r="C100" s="8" t="s">
        <v>347</v>
      </c>
      <c r="D100" s="8" t="str">
        <f>VLOOKUP(E100,'SchoolInfo (3)'!A:C,3,0)</f>
        <v>'070440108</v>
      </c>
      <c r="E100" s="8">
        <v>5339</v>
      </c>
      <c r="F100" s="8" t="s">
        <v>571</v>
      </c>
      <c r="G100" s="8" t="str">
        <f>VLOOKUP(E100,'SchoolInfo (3)'!A:K,11,0)</f>
        <v>kduguid@gesd40.org</v>
      </c>
      <c r="H100" s="8"/>
      <c r="I100" s="8"/>
    </row>
    <row r="101" spans="1:9" s="2" customFormat="1" ht="12.75" x14ac:dyDescent="0.2">
      <c r="A101" s="11" t="str">
        <f>VLOOKUP(B101,'SchoolInfo (3)'!A:C,3,0)</f>
        <v>'070440000</v>
      </c>
      <c r="B101" s="8">
        <v>4271</v>
      </c>
      <c r="C101" s="8" t="s">
        <v>347</v>
      </c>
      <c r="D101" s="8" t="str">
        <f>VLOOKUP(E101,'SchoolInfo (3)'!A:C,3,0)</f>
        <v>'070440101</v>
      </c>
      <c r="E101" s="8">
        <v>5332</v>
      </c>
      <c r="F101" s="8" t="s">
        <v>574</v>
      </c>
      <c r="G101" s="8" t="str">
        <f>VLOOKUP(E101,'SchoolInfo (3)'!A:K,11,0)</f>
        <v>dpesch@gesd40.org</v>
      </c>
      <c r="H101" s="8"/>
      <c r="I101" s="8"/>
    </row>
    <row r="102" spans="1:9" s="2" customFormat="1" ht="12.75" x14ac:dyDescent="0.2">
      <c r="A102" s="11" t="str">
        <f>VLOOKUP(B102,'SchoolInfo (3)'!A:C,3,0)</f>
        <v>'070440000</v>
      </c>
      <c r="B102" s="8">
        <v>4271</v>
      </c>
      <c r="C102" s="8" t="s">
        <v>347</v>
      </c>
      <c r="D102" s="8" t="str">
        <f>VLOOKUP(E102,'SchoolInfo (3)'!A:C,3,0)</f>
        <v>'070440102</v>
      </c>
      <c r="E102" s="8">
        <v>5333</v>
      </c>
      <c r="F102" s="8" t="s">
        <v>576</v>
      </c>
      <c r="G102" s="8" t="str">
        <f>VLOOKUP(E102,'SchoolInfo (3)'!A:K,11,0)</f>
        <v>krudisill@gesd40.org</v>
      </c>
      <c r="H102" s="8"/>
      <c r="I102" s="8"/>
    </row>
    <row r="103" spans="1:9" s="2" customFormat="1" ht="12.75" x14ac:dyDescent="0.2">
      <c r="A103" s="11" t="str">
        <f>VLOOKUP(B103,'SchoolInfo (3)'!A:C,3,0)</f>
        <v>'070440000</v>
      </c>
      <c r="B103" s="8">
        <v>4271</v>
      </c>
      <c r="C103" s="8" t="s">
        <v>347</v>
      </c>
      <c r="D103" s="8" t="str">
        <f>VLOOKUP(E103,'SchoolInfo (3)'!A:C,3,0)</f>
        <v>'070440104</v>
      </c>
      <c r="E103" s="8">
        <v>5335</v>
      </c>
      <c r="F103" s="8" t="s">
        <v>582</v>
      </c>
      <c r="G103" s="8" t="str">
        <f>VLOOKUP(E103,'SchoolInfo (3)'!A:K,11,0)</f>
        <v>tmineer@gesd40.org</v>
      </c>
      <c r="H103" s="8"/>
      <c r="I103" s="8"/>
    </row>
    <row r="104" spans="1:9" s="2" customFormat="1" ht="12.75" x14ac:dyDescent="0.2">
      <c r="A104" s="11" t="str">
        <f>VLOOKUP(B104,'SchoolInfo (3)'!A:C,3,0)</f>
        <v>'070440000</v>
      </c>
      <c r="B104" s="8">
        <v>4271</v>
      </c>
      <c r="C104" s="8" t="s">
        <v>347</v>
      </c>
      <c r="D104" s="8" t="str">
        <f>VLOOKUP(E104,'SchoolInfo (3)'!A:C,3,0)</f>
        <v>'070440113</v>
      </c>
      <c r="E104" s="8">
        <v>5344</v>
      </c>
      <c r="F104" s="8" t="s">
        <v>1300</v>
      </c>
      <c r="G104" s="8" t="str">
        <f>VLOOKUP(E104,'SchoolInfo (3)'!A:K,11,0)</f>
        <v>dpesch@gesd40.org</v>
      </c>
      <c r="H104" s="8"/>
      <c r="I104" s="8"/>
    </row>
    <row r="105" spans="1:9" s="2" customFormat="1" ht="12.75" x14ac:dyDescent="0.2">
      <c r="A105" s="11" t="str">
        <f>VLOOKUP(B105,'SchoolInfo (3)'!A:C,3,0)</f>
        <v>'040201000</v>
      </c>
      <c r="B105" s="8">
        <v>4208</v>
      </c>
      <c r="C105" s="8" t="s">
        <v>348</v>
      </c>
      <c r="D105" s="8" t="str">
        <f>VLOOKUP(E105,'SchoolInfo (3)'!A:C,3,0)</f>
        <v>'040201105</v>
      </c>
      <c r="E105" s="8">
        <v>85831</v>
      </c>
      <c r="F105" s="8" t="s">
        <v>1547</v>
      </c>
      <c r="G105" s="8" t="str">
        <f>VLOOKUP(E105,'SchoolInfo (3)'!A:K,11,0)</f>
        <v>lori.rodriguez@globeschools.org</v>
      </c>
      <c r="H105" s="8"/>
      <c r="I105" s="8"/>
    </row>
    <row r="106" spans="1:9" s="2" customFormat="1" ht="12.75" x14ac:dyDescent="0.2">
      <c r="A106" s="11" t="str">
        <f>VLOOKUP(B106,'SchoolInfo (3)'!A:C,3,0)</f>
        <v>'030204000</v>
      </c>
      <c r="B106" s="8">
        <v>4194</v>
      </c>
      <c r="C106" s="8" t="s">
        <v>335</v>
      </c>
      <c r="D106" s="8" t="str">
        <f>VLOOKUP(E106,'SchoolInfo (3)'!A:C,3,0)</f>
        <v>'030204001</v>
      </c>
      <c r="E106" s="8">
        <v>4824</v>
      </c>
      <c r="F106" s="8" t="s">
        <v>1290</v>
      </c>
      <c r="G106" s="8" t="str">
        <f>VLOOKUP(E106,'SchoolInfo (3)'!A:K,11,0)</f>
        <v>tmelster@grandcanyonschool.org</v>
      </c>
      <c r="H106" s="8"/>
      <c r="I106" s="8"/>
    </row>
    <row r="107" spans="1:9" s="2" customFormat="1" ht="12.75" x14ac:dyDescent="0.2">
      <c r="A107" s="11" t="str">
        <f>VLOOKUP(B107,'SchoolInfo (3)'!A:C,3,0)</f>
        <v>'078204000</v>
      </c>
      <c r="B107" s="8">
        <v>91275</v>
      </c>
      <c r="C107" s="8" t="s">
        <v>706</v>
      </c>
      <c r="D107" s="8" t="str">
        <f>VLOOKUP(E107,'SchoolInfo (3)'!A:C,3,0)</f>
        <v>'078204001</v>
      </c>
      <c r="E107" s="8">
        <v>92223</v>
      </c>
      <c r="F107" s="8" t="s">
        <v>706</v>
      </c>
      <c r="G107" s="8" t="str">
        <f>VLOOKUP(E107,'SchoolInfo (3)'!A:K,11,0)</f>
        <v>bespinoza@hirschaz.org</v>
      </c>
      <c r="H107" s="8"/>
      <c r="I107" s="8"/>
    </row>
    <row r="108" spans="1:9" s="2" customFormat="1" ht="12.75" x14ac:dyDescent="0.2">
      <c r="A108" s="11" t="str">
        <f>VLOOKUP(B108,'SchoolInfo (3)'!A:C,3,0)</f>
        <v>'090203000</v>
      </c>
      <c r="B108" s="8">
        <v>4389</v>
      </c>
      <c r="C108" s="8" t="s">
        <v>434</v>
      </c>
      <c r="D108" s="8" t="str">
        <f>VLOOKUP(E108,'SchoolInfo (3)'!A:C,3,0)</f>
        <v>'090203104</v>
      </c>
      <c r="E108" s="8">
        <v>79377</v>
      </c>
      <c r="F108" s="8" t="s">
        <v>435</v>
      </c>
      <c r="G108" s="8">
        <f>VLOOKUP(E108,'SchoolInfo (3)'!A:K,11,0)</f>
        <v>0</v>
      </c>
      <c r="H108" s="8"/>
      <c r="I108" s="8"/>
    </row>
    <row r="109" spans="1:9" s="2" customFormat="1" ht="12.75" x14ac:dyDescent="0.2">
      <c r="A109" s="11" t="str">
        <f>VLOOKUP(B109,'SchoolInfo (3)'!A:C,3,0)</f>
        <v>'130222000</v>
      </c>
      <c r="B109" s="8">
        <v>4469</v>
      </c>
      <c r="C109" s="8" t="s">
        <v>546</v>
      </c>
      <c r="D109" s="8" t="str">
        <f>VLOOKUP(E109,'SchoolInfo (3)'!A:C,3,0)</f>
        <v>'130222132</v>
      </c>
      <c r="E109" s="8">
        <v>6094</v>
      </c>
      <c r="F109" s="8" t="s">
        <v>547</v>
      </c>
      <c r="G109" s="8" t="str">
        <f>VLOOKUP(E109,'SchoolInfo (3)'!A:K,11,0)</f>
        <v>joanne.bindell@humboldtunified.com</v>
      </c>
      <c r="H109" s="8"/>
      <c r="I109" s="8"/>
    </row>
    <row r="110" spans="1:9" s="2" customFormat="1" ht="12.75" x14ac:dyDescent="0.2">
      <c r="A110" s="11" t="str">
        <f>VLOOKUP(B110,'SchoolInfo (3)'!A:C,3,0)</f>
        <v>'078531000</v>
      </c>
      <c r="B110" s="8">
        <v>89561</v>
      </c>
      <c r="C110" s="8" t="s">
        <v>619</v>
      </c>
      <c r="D110" s="8" t="str">
        <f>VLOOKUP(E110,'SchoolInfo (3)'!A:C,3,0)</f>
        <v>'078531101</v>
      </c>
      <c r="E110" s="8">
        <v>89562</v>
      </c>
      <c r="F110" s="8" t="s">
        <v>620</v>
      </c>
      <c r="G110" s="8" t="str">
        <f>VLOOKUP(E110,'SchoolInfo (3)'!A:K,11,0)</f>
        <v>monte.lange@imagineschools.com</v>
      </c>
      <c r="H110" s="8"/>
      <c r="I110" s="8"/>
    </row>
    <row r="111" spans="1:9" s="2" customFormat="1" ht="12.75" x14ac:dyDescent="0.2">
      <c r="A111" s="11" t="str">
        <f>VLOOKUP(B111,'SchoolInfo (3)'!A:C,3,0)</f>
        <v>'078519000</v>
      </c>
      <c r="B111" s="8">
        <v>88365</v>
      </c>
      <c r="C111" s="8" t="s">
        <v>616</v>
      </c>
      <c r="D111" s="8" t="str">
        <f>VLOOKUP(E111,'SchoolInfo (3)'!A:C,3,0)</f>
        <v>'078519101</v>
      </c>
      <c r="E111" s="8">
        <v>88366</v>
      </c>
      <c r="F111" s="8" t="s">
        <v>617</v>
      </c>
      <c r="G111" s="8" t="str">
        <f>VLOOKUP(E111,'SchoolInfo (3)'!A:K,11,0)</f>
        <v>Ilse.Roper@imagineschools.org</v>
      </c>
      <c r="H111" s="8"/>
      <c r="I111" s="8"/>
    </row>
    <row r="112" spans="1:9" s="2" customFormat="1" ht="12.75" x14ac:dyDescent="0.2">
      <c r="A112" s="11" t="str">
        <f>VLOOKUP(B112,'SchoolInfo (3)'!A:C,3,0)</f>
        <v>'078520000</v>
      </c>
      <c r="B112" s="8">
        <v>88367</v>
      </c>
      <c r="C112" s="8" t="s">
        <v>564</v>
      </c>
      <c r="D112" s="8" t="str">
        <f>VLOOKUP(E112,'SchoolInfo (3)'!A:C,3,0)</f>
        <v>'078520101</v>
      </c>
      <c r="E112" s="8">
        <v>88368</v>
      </c>
      <c r="F112" s="8" t="s">
        <v>565</v>
      </c>
      <c r="G112" s="8">
        <f>VLOOKUP(E112,'SchoolInfo (3)'!A:K,11,0)</f>
        <v>0</v>
      </c>
      <c r="H112" s="8"/>
      <c r="I112" s="8"/>
    </row>
    <row r="113" spans="1:9" s="2" customFormat="1" ht="12.75" x14ac:dyDescent="0.2">
      <c r="A113" s="11" t="str">
        <f>VLOOKUP(B113,'SchoolInfo (3)'!A:C,3,0)</f>
        <v>'078536000</v>
      </c>
      <c r="B113" s="8">
        <v>89786</v>
      </c>
      <c r="C113" s="8" t="s">
        <v>752</v>
      </c>
      <c r="D113" s="8" t="str">
        <f>VLOOKUP(E113,'SchoolInfo (3)'!A:C,3,0)</f>
        <v>'078536101</v>
      </c>
      <c r="E113" s="8">
        <v>89787</v>
      </c>
      <c r="F113" s="8" t="s">
        <v>753</v>
      </c>
      <c r="G113" s="8">
        <f>VLOOKUP(E113,'SchoolInfo (3)'!A:K,11,0)</f>
        <v>0</v>
      </c>
      <c r="H113" s="8"/>
      <c r="I113" s="8"/>
    </row>
    <row r="114" spans="1:9" s="2" customFormat="1" ht="12.75" x14ac:dyDescent="0.2">
      <c r="A114" s="11" t="str">
        <f>VLOOKUP(B114,'SchoolInfo (3)'!A:C,3,0)</f>
        <v>'070405000</v>
      </c>
      <c r="B114" s="8">
        <v>4259</v>
      </c>
      <c r="C114" s="8" t="s">
        <v>316</v>
      </c>
      <c r="D114" s="8" t="str">
        <f>VLOOKUP(E114,'SchoolInfo (3)'!A:C,3,0)</f>
        <v>'070405105</v>
      </c>
      <c r="E114" s="8">
        <v>5238</v>
      </c>
      <c r="F114" s="8" t="s">
        <v>584</v>
      </c>
      <c r="G114" s="8" t="str">
        <f>VLOOKUP(E114,'SchoolInfo (3)'!A:K,11,0)</f>
        <v>ghernandez@isaacschools.org</v>
      </c>
      <c r="H114" s="8"/>
      <c r="I114" s="8"/>
    </row>
    <row r="115" spans="1:9" s="2" customFormat="1" ht="12.75" x14ac:dyDescent="0.2">
      <c r="A115" s="11" t="str">
        <f>VLOOKUP(B115,'SchoolInfo (3)'!A:C,3,0)</f>
        <v>'070405000</v>
      </c>
      <c r="B115" s="8">
        <v>4259</v>
      </c>
      <c r="C115" s="8" t="s">
        <v>316</v>
      </c>
      <c r="D115" s="8" t="str">
        <f>VLOOKUP(E115,'SchoolInfo (3)'!A:C,3,0)</f>
        <v>'070405104</v>
      </c>
      <c r="E115" s="8">
        <v>5237</v>
      </c>
      <c r="F115" s="8" t="s">
        <v>590</v>
      </c>
      <c r="G115" s="8" t="str">
        <f>VLOOKUP(E115,'SchoolInfo (3)'!A:K,11,0)</f>
        <v>dhutson@isaacschools.org</v>
      </c>
      <c r="H115" s="8"/>
      <c r="I115" s="8"/>
    </row>
    <row r="116" spans="1:9" s="2" customFormat="1" ht="12.75" x14ac:dyDescent="0.2">
      <c r="A116" s="11" t="str">
        <f>VLOOKUP(B116,'SchoolInfo (3)'!A:C,3,0)</f>
        <v>'070405000</v>
      </c>
      <c r="B116" s="8">
        <v>4259</v>
      </c>
      <c r="C116" s="8" t="s">
        <v>316</v>
      </c>
      <c r="D116" s="8" t="str">
        <f>VLOOKUP(E116,'SchoolInfo (3)'!A:C,3,0)</f>
        <v>'070405111</v>
      </c>
      <c r="E116" s="8">
        <v>5243</v>
      </c>
      <c r="F116" s="8" t="s">
        <v>592</v>
      </c>
      <c r="G116" s="8" t="str">
        <f>VLOOKUP(E116,'SchoolInfo (3)'!A:K,11,0)</f>
        <v>achavez@isaacschools.org</v>
      </c>
      <c r="H116" s="8"/>
      <c r="I116" s="8"/>
    </row>
    <row r="117" spans="1:9" s="2" customFormat="1" ht="12.75" x14ac:dyDescent="0.2">
      <c r="A117" s="11" t="str">
        <f>VLOOKUP(B117,'SchoolInfo (3)'!A:C,3,0)</f>
        <v>'070405000</v>
      </c>
      <c r="B117" s="8">
        <v>4259</v>
      </c>
      <c r="C117" s="8" t="s">
        <v>316</v>
      </c>
      <c r="D117" s="8" t="str">
        <f>VLOOKUP(E117,'SchoolInfo (3)'!A:C,3,0)</f>
        <v>'070405101</v>
      </c>
      <c r="E117" s="8">
        <v>5234</v>
      </c>
      <c r="F117" s="8" t="s">
        <v>597</v>
      </c>
      <c r="G117" s="8" t="str">
        <f>VLOOKUP(E117,'SchoolInfo (3)'!A:K,11,0)</f>
        <v>bhoneycutt@isaacschools.org</v>
      </c>
      <c r="H117" s="8"/>
      <c r="I117" s="8"/>
    </row>
    <row r="118" spans="1:9" s="2" customFormat="1" ht="12.75" x14ac:dyDescent="0.2">
      <c r="A118" s="11" t="str">
        <f>VLOOKUP(B118,'SchoolInfo (3)'!A:C,3,0)</f>
        <v>'070405000</v>
      </c>
      <c r="B118" s="8">
        <v>4259</v>
      </c>
      <c r="C118" s="8" t="s">
        <v>316</v>
      </c>
      <c r="D118" s="8" t="str">
        <f>VLOOKUP(E118,'SchoolInfo (3)'!A:C,3,0)</f>
        <v>'070405112</v>
      </c>
      <c r="E118" s="8">
        <v>78934</v>
      </c>
      <c r="F118" s="8" t="s">
        <v>599</v>
      </c>
      <c r="G118" s="8" t="str">
        <f>VLOOKUP(E118,'SchoolInfo (3)'!A:K,11,0)</f>
        <v>aguerrero@isaacschools.org</v>
      </c>
      <c r="H118" s="8"/>
      <c r="I118" s="8"/>
    </row>
    <row r="119" spans="1:9" s="2" customFormat="1" ht="12.75" x14ac:dyDescent="0.2">
      <c r="A119" s="11" t="str">
        <f>VLOOKUP(B119,'SchoolInfo (3)'!A:C,3,0)</f>
        <v>'070405000</v>
      </c>
      <c r="B119" s="8">
        <v>4259</v>
      </c>
      <c r="C119" s="8" t="s">
        <v>316</v>
      </c>
      <c r="D119" s="8" t="str">
        <f>VLOOKUP(E119,'SchoolInfo (3)'!A:C,3,0)</f>
        <v>'070405103</v>
      </c>
      <c r="E119" s="8">
        <v>5236</v>
      </c>
      <c r="F119" s="8" t="s">
        <v>601</v>
      </c>
      <c r="G119" s="8" t="str">
        <f>VLOOKUP(E119,'SchoolInfo (3)'!A:K,11,0)</f>
        <v>jvaldez@isaaceld.k12.az.us</v>
      </c>
      <c r="H119" s="8"/>
      <c r="I119" s="8"/>
    </row>
    <row r="120" spans="1:9" s="2" customFormat="1" ht="12.75" x14ac:dyDescent="0.2">
      <c r="A120" s="11" t="str">
        <f>VLOOKUP(B120,'SchoolInfo (3)'!A:C,3,0)</f>
        <v>'070405000</v>
      </c>
      <c r="B120" s="8">
        <v>4259</v>
      </c>
      <c r="C120" s="8" t="s">
        <v>316</v>
      </c>
      <c r="D120" s="8" t="str">
        <f>VLOOKUP(E120,'SchoolInfo (3)'!A:C,3,0)</f>
        <v>'070405102</v>
      </c>
      <c r="E120" s="8">
        <v>5235</v>
      </c>
      <c r="F120" s="8" t="s">
        <v>602</v>
      </c>
      <c r="G120" s="8" t="str">
        <f>VLOOKUP(E120,'SchoolInfo (3)'!A:K,11,0)</f>
        <v>mchavez@isaacschools.org</v>
      </c>
      <c r="H120" s="8"/>
      <c r="I120" s="8"/>
    </row>
    <row r="121" spans="1:9" s="2" customFormat="1" ht="12.75" x14ac:dyDescent="0.2">
      <c r="A121" s="11" t="str">
        <f>VLOOKUP(B121,'SchoolInfo (3)'!A:C,3,0)</f>
        <v>'070405000</v>
      </c>
      <c r="B121" s="8">
        <v>4259</v>
      </c>
      <c r="C121" s="8" t="s">
        <v>316</v>
      </c>
      <c r="D121" s="8" t="str">
        <f>VLOOKUP(E121,'SchoolInfo (3)'!A:C,3,0)</f>
        <v>'070405108</v>
      </c>
      <c r="E121" s="8">
        <v>5240</v>
      </c>
      <c r="F121" s="8" t="s">
        <v>1425</v>
      </c>
      <c r="G121" s="8">
        <f>VLOOKUP(E121,'SchoolInfo (3)'!A:K,11,0)</f>
        <v>0</v>
      </c>
      <c r="H121" s="8"/>
      <c r="I121" s="8"/>
    </row>
    <row r="122" spans="1:9" s="2" customFormat="1" ht="12.75" x14ac:dyDescent="0.2">
      <c r="A122" s="11" t="str">
        <f>VLOOKUP(B122,'SchoolInfo (3)'!A:C,3,0)</f>
        <v>'110244000</v>
      </c>
      <c r="B122" s="8">
        <v>4445</v>
      </c>
      <c r="C122" s="8" t="s">
        <v>1305</v>
      </c>
      <c r="D122" s="8" t="str">
        <f>VLOOKUP(E122,'SchoolInfo (3)'!A:C,3,0)</f>
        <v>'110244104</v>
      </c>
      <c r="E122" s="8">
        <v>87489</v>
      </c>
      <c r="F122" s="8" t="s">
        <v>1306</v>
      </c>
      <c r="G122" s="8" t="str">
        <f>VLOOKUP(E122,'SchoolInfo (3)'!A:K,11,0)</f>
        <v>asingley@jocombs.k12.az.us</v>
      </c>
      <c r="H122" s="8"/>
      <c r="I122" s="8"/>
    </row>
    <row r="123" spans="1:9" s="2" customFormat="1" ht="12.75" x14ac:dyDescent="0.2">
      <c r="A123" s="11" t="str">
        <f>VLOOKUP(B123,'SchoolInfo (3)'!A:C,3,0)</f>
        <v>'128704000</v>
      </c>
      <c r="B123" s="8">
        <v>92989</v>
      </c>
      <c r="C123" s="8" t="s">
        <v>856</v>
      </c>
      <c r="D123" s="8" t="str">
        <f>VLOOKUP(E123,'SchoolInfo (3)'!A:C,3,0)</f>
        <v>'128704001</v>
      </c>
      <c r="E123" s="8">
        <v>766437</v>
      </c>
      <c r="F123" s="8" t="s">
        <v>857</v>
      </c>
      <c r="G123" s="8" t="str">
        <f>VLOOKUP(E123,'SchoolInfo (3)'!A:K,11,0)</f>
        <v>darla.eddy@leonagroup.com</v>
      </c>
      <c r="H123" s="8"/>
      <c r="I123" s="8"/>
    </row>
    <row r="124" spans="1:9" s="2" customFormat="1" ht="12.75" x14ac:dyDescent="0.2">
      <c r="A124" s="11" t="str">
        <f>VLOOKUP(B124,'SchoolInfo (3)'!A:C,3,0)</f>
        <v>'078571000</v>
      </c>
      <c r="B124" s="8">
        <v>90334</v>
      </c>
      <c r="C124" s="8" t="s">
        <v>1525</v>
      </c>
      <c r="D124" s="8" t="str">
        <f>VLOOKUP(E124,'SchoolInfo (3)'!A:C,3,0)</f>
        <v>'078571001</v>
      </c>
      <c r="E124" s="8">
        <v>89868</v>
      </c>
      <c r="F124" s="8" t="s">
        <v>1526</v>
      </c>
      <c r="G124" s="8">
        <f>VLOOKUP(E124,'SchoolInfo (3)'!A:K,11,0)</f>
        <v>0</v>
      </c>
      <c r="H124" s="8"/>
      <c r="I124" s="8"/>
    </row>
    <row r="125" spans="1:9" s="2" customFormat="1" ht="12.75" x14ac:dyDescent="0.2">
      <c r="A125" s="11" t="str">
        <f>VLOOKUP(B125,'SchoolInfo (3)'!A:C,3,0)</f>
        <v>'078999000</v>
      </c>
      <c r="B125" s="8">
        <v>79233</v>
      </c>
      <c r="C125" s="8" t="s">
        <v>662</v>
      </c>
      <c r="D125" s="8" t="str">
        <f>VLOOKUP(E125,'SchoolInfo (3)'!A:C,3,0)</f>
        <v>'078999001</v>
      </c>
      <c r="E125" s="8">
        <v>78851</v>
      </c>
      <c r="F125" s="8" t="s">
        <v>662</v>
      </c>
      <c r="G125" s="8" t="str">
        <f>VLOOKUP(E125,'SchoolInfo (3)'!A:K,11,0)</f>
        <v>Michele.Kaye@LeonaGroup.com</v>
      </c>
      <c r="H125" s="8"/>
      <c r="I125" s="8"/>
    </row>
    <row r="126" spans="1:9" s="2" customFormat="1" ht="12.75" x14ac:dyDescent="0.2">
      <c r="A126" s="11" t="str">
        <f>VLOOKUP(B126,'SchoolInfo (3)'!A:C,3,0)</f>
        <v>'078765000</v>
      </c>
      <c r="B126" s="8">
        <v>78965</v>
      </c>
      <c r="C126" s="8" t="s">
        <v>643</v>
      </c>
      <c r="D126" s="8" t="str">
        <f>VLOOKUP(E126,'SchoolInfo (3)'!A:C,3,0)</f>
        <v>'078765103</v>
      </c>
      <c r="E126" s="8">
        <v>79178</v>
      </c>
      <c r="F126" s="8" t="s">
        <v>644</v>
      </c>
      <c r="G126" s="8" t="str">
        <f>VLOOKUP(E126,'SchoolInfo (3)'!A:K,11,0)</f>
        <v>Michele.Kaye@LeonaGroup.com</v>
      </c>
      <c r="H126" s="8"/>
      <c r="I126" s="8"/>
    </row>
    <row r="127" spans="1:9" s="2" customFormat="1" ht="12.75" x14ac:dyDescent="0.2">
      <c r="A127" s="11" t="str">
        <f>VLOOKUP(B127,'SchoolInfo (3)'!A:C,3,0)</f>
        <v>'078567000</v>
      </c>
      <c r="B127" s="8">
        <v>90330</v>
      </c>
      <c r="C127" s="8" t="s">
        <v>746</v>
      </c>
      <c r="D127" s="8" t="str">
        <f>VLOOKUP(E127,'SchoolInfo (3)'!A:C,3,0)</f>
        <v>'078567001</v>
      </c>
      <c r="E127" s="8">
        <v>89867</v>
      </c>
      <c r="F127" s="8" t="s">
        <v>746</v>
      </c>
      <c r="G127" s="8" t="str">
        <f>VLOOKUP(E127,'SchoolInfo (3)'!A:K,11,0)</f>
        <v>Michele.Kaye@leonagroup.com</v>
      </c>
      <c r="H127" s="8"/>
      <c r="I127" s="8"/>
    </row>
    <row r="128" spans="1:9" s="2" customFormat="1" ht="12.75" x14ac:dyDescent="0.2">
      <c r="A128" s="11" t="str">
        <f>VLOOKUP(B128,'SchoolInfo (3)'!A:C,3,0)</f>
        <v>'090227000</v>
      </c>
      <c r="B128" s="8">
        <v>4396</v>
      </c>
      <c r="C128" s="8" t="s">
        <v>421</v>
      </c>
      <c r="D128" s="8" t="str">
        <f>VLOOKUP(E128,'SchoolInfo (3)'!A:C,3,0)</f>
        <v>'090227103</v>
      </c>
      <c r="E128" s="8">
        <v>5642</v>
      </c>
      <c r="F128" s="8" t="s">
        <v>422</v>
      </c>
      <c r="G128" s="8" t="str">
        <f>VLOOKUP(E128,'SchoolInfo (3)'!A:K,11,0)</f>
        <v>Andree.Matthews@kayenta.k12.az.us</v>
      </c>
      <c r="H128" s="8"/>
      <c r="I128" s="8"/>
    </row>
    <row r="129" spans="1:9" s="2" customFormat="1" ht="12.75" x14ac:dyDescent="0.2">
      <c r="A129" s="11" t="str">
        <f>VLOOKUP(B129,'SchoolInfo (3)'!A:C,3,0)</f>
        <v>'090227000</v>
      </c>
      <c r="B129" s="8">
        <v>4396</v>
      </c>
      <c r="C129" s="8" t="s">
        <v>421</v>
      </c>
      <c r="D129" s="8" t="str">
        <f>VLOOKUP(E129,'SchoolInfo (3)'!A:C,3,0)</f>
        <v>'090227102</v>
      </c>
      <c r="E129" s="8">
        <v>5641</v>
      </c>
      <c r="F129" s="8" t="s">
        <v>1540</v>
      </c>
      <c r="G129" s="8" t="str">
        <f>VLOOKUP(E129,'SchoolInfo (3)'!A:K,11,0)</f>
        <v>david.hawley@kayenta.k12.az.us</v>
      </c>
      <c r="H129" s="8"/>
      <c r="I129" s="8"/>
    </row>
    <row r="130" spans="1:9" s="2" customFormat="1" ht="12.75" x14ac:dyDescent="0.2">
      <c r="A130" s="11" t="str">
        <f>VLOOKUP(B130,'SchoolInfo (3)'!A:C,3,0)</f>
        <v>'080220000</v>
      </c>
      <c r="B130" s="8">
        <v>79598</v>
      </c>
      <c r="C130" s="8" t="s">
        <v>351</v>
      </c>
      <c r="D130" s="8" t="str">
        <f>VLOOKUP(E130,'SchoolInfo (3)'!A:C,3,0)</f>
        <v>'080220114</v>
      </c>
      <c r="E130" s="8">
        <v>5575</v>
      </c>
      <c r="F130" s="8" t="s">
        <v>520</v>
      </c>
      <c r="G130" s="8" t="str">
        <f>VLOOKUP(E130,'SchoolInfo (3)'!A:K,11,0)</f>
        <v>jarave@kusd.org</v>
      </c>
      <c r="H130" s="8"/>
      <c r="I130" s="8"/>
    </row>
    <row r="131" spans="1:9" s="2" customFormat="1" ht="12.75" x14ac:dyDescent="0.2">
      <c r="A131" s="11" t="str">
        <f>VLOOKUP(B131,'SchoolInfo (3)'!A:C,3,0)</f>
        <v>'070459000</v>
      </c>
      <c r="B131" s="8">
        <v>4276</v>
      </c>
      <c r="C131" s="8" t="s">
        <v>1324</v>
      </c>
      <c r="D131" s="8" t="str">
        <f>VLOOKUP(E131,'SchoolInfo (3)'!A:C,3,0)</f>
        <v>'070459101</v>
      </c>
      <c r="E131" s="8">
        <v>5356</v>
      </c>
      <c r="F131" s="8" t="s">
        <v>1325</v>
      </c>
      <c r="G131" s="8" t="str">
        <f>VLOOKUP(E131,'SchoolInfo (3)'!A:K,11,0)</f>
        <v>jroselle@laveeneld.org</v>
      </c>
      <c r="H131" s="8"/>
      <c r="I131" s="8"/>
    </row>
    <row r="132" spans="1:9" s="2" customFormat="1" ht="12.75" x14ac:dyDescent="0.2">
      <c r="A132" s="11" t="str">
        <f>VLOOKUP(B132,'SchoolInfo (3)'!A:C,3,0)</f>
        <v>'070459000</v>
      </c>
      <c r="B132" s="8">
        <v>4276</v>
      </c>
      <c r="C132" s="8" t="s">
        <v>1324</v>
      </c>
      <c r="D132" s="8" t="str">
        <f>VLOOKUP(E132,'SchoolInfo (3)'!A:C,3,0)</f>
        <v>'070459102</v>
      </c>
      <c r="E132" s="8">
        <v>5357</v>
      </c>
      <c r="F132" s="8" t="s">
        <v>1364</v>
      </c>
      <c r="G132" s="8" t="str">
        <f>VLOOKUP(E132,'SchoolInfo (3)'!A:K,11,0)</f>
        <v>lsandomir@laveeneld.org</v>
      </c>
      <c r="H132" s="8"/>
      <c r="I132" s="8"/>
    </row>
    <row r="133" spans="1:9" s="2" customFormat="1" ht="12.75" x14ac:dyDescent="0.2">
      <c r="A133" s="11" t="str">
        <f>VLOOKUP(B133,'SchoolInfo (3)'!A:C,3,0)</f>
        <v>'078784000</v>
      </c>
      <c r="B133" s="8">
        <v>10968</v>
      </c>
      <c r="C133" s="8" t="s">
        <v>588</v>
      </c>
      <c r="D133" s="8" t="str">
        <f>VLOOKUP(E133,'SchoolInfo (3)'!A:C,3,0)</f>
        <v>'078784101</v>
      </c>
      <c r="E133" s="8">
        <v>78811</v>
      </c>
      <c r="F133" s="8" t="s">
        <v>588</v>
      </c>
      <c r="G133" s="8" t="str">
        <f>VLOOKUP(E133,'SchoolInfo (3)'!A:K,11,0)</f>
        <v>rj@arizonacharterschools.org</v>
      </c>
      <c r="H133" s="8"/>
      <c r="I133" s="8"/>
    </row>
    <row r="134" spans="1:9" s="2" customFormat="1" ht="12.75" x14ac:dyDescent="0.2">
      <c r="A134" s="11" t="str">
        <f>VLOOKUP(B134,'SchoolInfo (3)'!A:C,3,0)</f>
        <v>'070465000</v>
      </c>
      <c r="B134" s="8">
        <v>4278</v>
      </c>
      <c r="C134" s="8" t="s">
        <v>551</v>
      </c>
      <c r="D134" s="8" t="str">
        <f>VLOOKUP(E134,'SchoolInfo (3)'!A:C,3,0)</f>
        <v>'070465101</v>
      </c>
      <c r="E134" s="8">
        <v>5360</v>
      </c>
      <c r="F134" s="8" t="s">
        <v>552</v>
      </c>
      <c r="G134" s="8" t="str">
        <f>VLOOKUP(E134,'SchoolInfo (3)'!A:K,11,0)</f>
        <v>jmendez@littletonaz.org</v>
      </c>
      <c r="H134" s="8"/>
      <c r="I134" s="8"/>
    </row>
    <row r="135" spans="1:9" s="2" customFormat="1" ht="12.75" x14ac:dyDescent="0.2">
      <c r="A135" s="11" t="str">
        <f>VLOOKUP(B135,'SchoolInfo (3)'!A:C,3,0)</f>
        <v>'070465000</v>
      </c>
      <c r="B135" s="8">
        <v>4278</v>
      </c>
      <c r="C135" s="8" t="s">
        <v>551</v>
      </c>
      <c r="D135" s="8" t="str">
        <f>VLOOKUP(E135,'SchoolInfo (3)'!A:C,3,0)</f>
        <v>'070465105</v>
      </c>
      <c r="E135" s="8">
        <v>85852</v>
      </c>
      <c r="F135" s="8" t="s">
        <v>1362</v>
      </c>
      <c r="G135" s="8" t="str">
        <f>VLOOKUP(E135,'SchoolInfo (3)'!A:K,11,0)</f>
        <v>jpacheco@littletonaz.org</v>
      </c>
      <c r="H135" s="8"/>
      <c r="I135" s="8"/>
    </row>
    <row r="136" spans="1:9" s="2" customFormat="1" ht="12.75" x14ac:dyDescent="0.2">
      <c r="A136" s="11" t="str">
        <f>VLOOKUP(B136,'SchoolInfo (3)'!A:C,3,0)</f>
        <v>'100206000</v>
      </c>
      <c r="B136" s="8">
        <v>4404</v>
      </c>
      <c r="C136" s="8" t="s">
        <v>1348</v>
      </c>
      <c r="D136" s="8" t="str">
        <f>VLOOKUP(E136,'SchoolInfo (3)'!A:C,3,0)</f>
        <v>'100206115</v>
      </c>
      <c r="E136" s="8">
        <v>5773</v>
      </c>
      <c r="F136" s="8" t="s">
        <v>1285</v>
      </c>
      <c r="G136" s="8" t="str">
        <f>VLOOKUP(E136,'SchoolInfo (3)'!A:K,11,0)</f>
        <v>K.M.Brewer@maranausd.org</v>
      </c>
      <c r="H136" s="8"/>
      <c r="I136" s="8"/>
    </row>
    <row r="137" spans="1:9" s="2" customFormat="1" ht="12.75" x14ac:dyDescent="0.2">
      <c r="A137" s="11" t="str">
        <f>VLOOKUP(B137,'SchoolInfo (3)'!A:C,3,0)</f>
        <v>'070199000</v>
      </c>
      <c r="B137" s="8">
        <v>4234</v>
      </c>
      <c r="C137" s="8" t="s">
        <v>864</v>
      </c>
      <c r="D137" s="8" t="str">
        <f>VLOOKUP(E137,'SchoolInfo (3)'!A:C,3,0)</f>
        <v>'070199009</v>
      </c>
      <c r="E137" s="8">
        <v>549878</v>
      </c>
      <c r="F137" s="8" t="s">
        <v>865</v>
      </c>
      <c r="G137" s="8" t="str">
        <f>VLOOKUP(E137,'SchoolInfo (3)'!A:K,11,0)</f>
        <v>dina.cutler@mcrsd.org</v>
      </c>
      <c r="H137" s="8"/>
      <c r="I137" s="8"/>
    </row>
    <row r="138" spans="1:9" s="2" customFormat="1" ht="12.75" x14ac:dyDescent="0.2">
      <c r="A138" s="11" t="str">
        <f>VLOOKUP(B138,'SchoolInfo (3)'!A:C,3,0)</f>
        <v>'110220000</v>
      </c>
      <c r="B138" s="8">
        <v>4441</v>
      </c>
      <c r="C138" s="8" t="s">
        <v>1505</v>
      </c>
      <c r="D138" s="8" t="str">
        <f>VLOOKUP(E138,'SchoolInfo (3)'!A:C,3,0)</f>
        <v>'110220134</v>
      </c>
      <c r="E138" s="8">
        <v>89911</v>
      </c>
      <c r="F138" s="8" t="s">
        <v>1506</v>
      </c>
      <c r="G138" s="8">
        <f>VLOOKUP(E138,'SchoolInfo (3)'!A:K,11,0)</f>
        <v>0</v>
      </c>
      <c r="H138" s="8"/>
      <c r="I138" s="8"/>
    </row>
    <row r="139" spans="1:9" s="2" customFormat="1" ht="12.75" x14ac:dyDescent="0.2">
      <c r="A139" s="11" t="str">
        <f>VLOOKUP(B139,'SchoolInfo (3)'!A:C,3,0)</f>
        <v>'010323000</v>
      </c>
      <c r="B139" s="8">
        <v>4163</v>
      </c>
      <c r="C139" s="8" t="s">
        <v>849</v>
      </c>
      <c r="D139" s="8" t="str">
        <f>VLOOKUP(E139,'SchoolInfo (3)'!A:C,3,0)</f>
        <v>'010323101</v>
      </c>
      <c r="E139" s="8">
        <v>4745</v>
      </c>
      <c r="F139" s="8" t="s">
        <v>850</v>
      </c>
      <c r="G139" s="8" t="str">
        <f>VLOOKUP(E139,'SchoolInfo (3)'!A:K,11,0)</f>
        <v>jbrummond@co.apache.az.us</v>
      </c>
      <c r="H139" s="8"/>
      <c r="I139" s="8"/>
    </row>
    <row r="140" spans="1:9" s="2" customFormat="1" ht="12.75" x14ac:dyDescent="0.2">
      <c r="A140" s="11" t="str">
        <f>VLOOKUP(B140,'SchoolInfo (3)'!A:C,3,0)</f>
        <v>'070204000</v>
      </c>
      <c r="B140" s="8">
        <v>4235</v>
      </c>
      <c r="C140" s="8" t="s">
        <v>341</v>
      </c>
      <c r="D140" s="8" t="str">
        <f>VLOOKUP(E140,'SchoolInfo (3)'!A:C,3,0)</f>
        <v>'070204115</v>
      </c>
      <c r="E140" s="8">
        <v>4927</v>
      </c>
      <c r="F140" s="8" t="s">
        <v>712</v>
      </c>
      <c r="G140" s="8">
        <f>VLOOKUP(E140,'SchoolInfo (3)'!A:K,11,0)</f>
        <v>0</v>
      </c>
      <c r="H140" s="8"/>
      <c r="I140" s="8"/>
    </row>
    <row r="141" spans="1:9" s="2" customFormat="1" ht="12.75" x14ac:dyDescent="0.2">
      <c r="A141" s="11" t="str">
        <f>VLOOKUP(B141,'SchoolInfo (3)'!A:C,3,0)</f>
        <v>'070204000</v>
      </c>
      <c r="B141" s="8">
        <v>4235</v>
      </c>
      <c r="C141" s="8" t="s">
        <v>341</v>
      </c>
      <c r="D141" s="8" t="str">
        <f>VLOOKUP(E141,'SchoolInfo (3)'!A:C,3,0)</f>
        <v>'070204253</v>
      </c>
      <c r="E141" s="8">
        <v>4970</v>
      </c>
      <c r="F141" s="8" t="s">
        <v>729</v>
      </c>
      <c r="G141" s="8" t="str">
        <f>VLOOKUP(E141,'SchoolInfo (3)'!A:K,11,0)</f>
        <v>afflax@mpsaz.org</v>
      </c>
      <c r="H141" s="8"/>
      <c r="I141" s="8"/>
    </row>
    <row r="142" spans="1:9" s="2" customFormat="1" ht="12.75" x14ac:dyDescent="0.2">
      <c r="A142" s="11" t="str">
        <f>VLOOKUP(B142,'SchoolInfo (3)'!A:C,3,0)</f>
        <v>'070204000</v>
      </c>
      <c r="B142" s="8">
        <v>4235</v>
      </c>
      <c r="C142" s="8" t="s">
        <v>341</v>
      </c>
      <c r="D142" s="8" t="str">
        <f>VLOOKUP(E142,'SchoolInfo (3)'!A:C,3,0)</f>
        <v>'070204113</v>
      </c>
      <c r="E142" s="8">
        <v>4925</v>
      </c>
      <c r="F142" s="8" t="s">
        <v>735</v>
      </c>
      <c r="G142" s="8">
        <f>VLOOKUP(E142,'SchoolInfo (3)'!A:K,11,0)</f>
        <v>0</v>
      </c>
      <c r="H142" s="8"/>
      <c r="I142" s="8"/>
    </row>
    <row r="143" spans="1:9" s="2" customFormat="1" ht="12.75" x14ac:dyDescent="0.2">
      <c r="A143" s="11" t="str">
        <f>VLOOKUP(B143,'SchoolInfo (3)'!A:C,3,0)</f>
        <v>'070204000</v>
      </c>
      <c r="B143" s="8">
        <v>4235</v>
      </c>
      <c r="C143" s="8" t="s">
        <v>341</v>
      </c>
      <c r="D143" s="8" t="str">
        <f>VLOOKUP(E143,'SchoolInfo (3)'!A:C,3,0)</f>
        <v>'070204110</v>
      </c>
      <c r="E143" s="8">
        <v>4922</v>
      </c>
      <c r="F143" s="8" t="s">
        <v>737</v>
      </c>
      <c r="G143" s="8" t="str">
        <f>VLOOKUP(E143,'SchoolInfo (3)'!A:K,11,0)</f>
        <v>jajacobs@mpsaz.org</v>
      </c>
      <c r="H143" s="8"/>
      <c r="I143" s="8"/>
    </row>
    <row r="144" spans="1:9" s="2" customFormat="1" ht="12.75" x14ac:dyDescent="0.2">
      <c r="A144" s="11" t="str">
        <f>VLOOKUP(B144,'SchoolInfo (3)'!A:C,3,0)</f>
        <v>'070204000</v>
      </c>
      <c r="B144" s="8">
        <v>4235</v>
      </c>
      <c r="C144" s="8" t="s">
        <v>341</v>
      </c>
      <c r="D144" s="8" t="str">
        <f>VLOOKUP(E144,'SchoolInfo (3)'!A:C,3,0)</f>
        <v>'070204122</v>
      </c>
      <c r="E144" s="8">
        <v>4934</v>
      </c>
      <c r="F144" s="8" t="s">
        <v>739</v>
      </c>
      <c r="G144" s="8" t="str">
        <f>VLOOKUP(E144,'SchoolInfo (3)'!A:K,11,0)</f>
        <v>jkoshea@mpsaz.org</v>
      </c>
      <c r="H144" s="8"/>
      <c r="I144" s="8"/>
    </row>
    <row r="145" spans="1:9" s="2" customFormat="1" ht="12.75" x14ac:dyDescent="0.2">
      <c r="A145" s="11" t="str">
        <f>VLOOKUP(B145,'SchoolInfo (3)'!A:C,3,0)</f>
        <v>'070204000</v>
      </c>
      <c r="B145" s="8">
        <v>4235</v>
      </c>
      <c r="C145" s="8" t="s">
        <v>341</v>
      </c>
      <c r="D145" s="8" t="str">
        <f>VLOOKUP(E145,'SchoolInfo (3)'!A:C,3,0)</f>
        <v>'070204112</v>
      </c>
      <c r="E145" s="8">
        <v>4924</v>
      </c>
      <c r="F145" s="8" t="s">
        <v>744</v>
      </c>
      <c r="G145" s="8">
        <f>VLOOKUP(E145,'SchoolInfo (3)'!A:K,11,0)</f>
        <v>0</v>
      </c>
      <c r="H145" s="8"/>
      <c r="I145" s="8"/>
    </row>
    <row r="146" spans="1:9" s="2" customFormat="1" ht="12.75" x14ac:dyDescent="0.2">
      <c r="A146" s="11" t="str">
        <f>VLOOKUP(B146,'SchoolInfo (3)'!A:C,3,0)</f>
        <v>'070204000</v>
      </c>
      <c r="B146" s="8">
        <v>4235</v>
      </c>
      <c r="C146" s="8" t="s">
        <v>341</v>
      </c>
      <c r="D146" s="8" t="str">
        <f>VLOOKUP(E146,'SchoolInfo (3)'!A:C,3,0)</f>
        <v>'070204128</v>
      </c>
      <c r="E146" s="8">
        <v>4940</v>
      </c>
      <c r="F146" s="8" t="s">
        <v>1320</v>
      </c>
      <c r="G146" s="8" t="str">
        <f>VLOOKUP(E146,'SchoolInfo (3)'!A:K,11,0)</f>
        <v>mmtorres@mpsaz.org</v>
      </c>
      <c r="H146" s="8"/>
      <c r="I146" s="8"/>
    </row>
    <row r="147" spans="1:9" s="2" customFormat="1" ht="12.75" x14ac:dyDescent="0.2">
      <c r="A147" s="11" t="str">
        <f>VLOOKUP(B147,'SchoolInfo (3)'!A:C,3,0)</f>
        <v>'070204000</v>
      </c>
      <c r="B147" s="8">
        <v>4235</v>
      </c>
      <c r="C147" s="8" t="s">
        <v>341</v>
      </c>
      <c r="D147" s="8" t="str">
        <f>VLOOKUP(E147,'SchoolInfo (3)'!A:C,3,0)</f>
        <v>'070204121</v>
      </c>
      <c r="E147" s="8">
        <v>4933</v>
      </c>
      <c r="F147" s="8" t="s">
        <v>1366</v>
      </c>
      <c r="G147" s="8">
        <f>VLOOKUP(E147,'SchoolInfo (3)'!A:K,11,0)</f>
        <v>0</v>
      </c>
      <c r="H147" s="8"/>
      <c r="I147" s="8"/>
    </row>
    <row r="148" spans="1:9" s="2" customFormat="1" ht="12.75" x14ac:dyDescent="0.2">
      <c r="A148" s="11" t="str">
        <f>VLOOKUP(B148,'SchoolInfo (3)'!A:C,3,0)</f>
        <v>'070204000</v>
      </c>
      <c r="B148" s="8">
        <v>4235</v>
      </c>
      <c r="C148" s="8" t="s">
        <v>341</v>
      </c>
      <c r="D148" s="8" t="str">
        <f>VLOOKUP(E148,'SchoolInfo (3)'!A:C,3,0)</f>
        <v>'070204101</v>
      </c>
      <c r="E148" s="8">
        <v>4913</v>
      </c>
      <c r="F148" s="8" t="s">
        <v>1373</v>
      </c>
      <c r="G148" s="8" t="str">
        <f>VLOOKUP(E148,'SchoolInfo (3)'!A:K,11,0)</f>
        <v>tlringland@mpsaz.org</v>
      </c>
      <c r="H148" s="8"/>
      <c r="I148" s="8"/>
    </row>
    <row r="149" spans="1:9" s="2" customFormat="1" ht="12.75" x14ac:dyDescent="0.2">
      <c r="A149" s="11" t="str">
        <f>VLOOKUP(B149,'SchoolInfo (3)'!A:C,3,0)</f>
        <v>'070204000</v>
      </c>
      <c r="B149" s="8">
        <v>4235</v>
      </c>
      <c r="C149" s="8" t="s">
        <v>341</v>
      </c>
      <c r="D149" s="8" t="str">
        <f>VLOOKUP(E149,'SchoolInfo (3)'!A:C,3,0)</f>
        <v>'070204155</v>
      </c>
      <c r="E149" s="8">
        <v>79225</v>
      </c>
      <c r="F149" s="8" t="s">
        <v>1397</v>
      </c>
      <c r="G149" s="8" t="str">
        <f>VLOOKUP(E149,'SchoolInfo (3)'!A:K,11,0)</f>
        <v>bkminarcik@mpsaz.org</v>
      </c>
      <c r="H149" s="8"/>
      <c r="I149" s="8"/>
    </row>
    <row r="150" spans="1:9" s="2" customFormat="1" ht="12.75" x14ac:dyDescent="0.2">
      <c r="A150" s="11" t="str">
        <f>VLOOKUP(B150,'SchoolInfo (3)'!A:C,3,0)</f>
        <v>'040240000</v>
      </c>
      <c r="B150" s="8">
        <v>4211</v>
      </c>
      <c r="C150" s="8" t="s">
        <v>1021</v>
      </c>
      <c r="D150" s="8" t="str">
        <f>VLOOKUP(E150,'SchoolInfo (3)'!A:C,3,0)</f>
        <v>'040240108</v>
      </c>
      <c r="E150" s="8">
        <v>81122</v>
      </c>
      <c r="F150" s="8" t="s">
        <v>1446</v>
      </c>
      <c r="G150" s="8" t="str">
        <f>VLOOKUP(E150,'SchoolInfo (3)'!A:K,11,0)</f>
        <v>dpastor@miamiusd40.org</v>
      </c>
      <c r="H150" s="8"/>
      <c r="I150" s="8"/>
    </row>
    <row r="151" spans="1:9" s="2" customFormat="1" ht="12.75" x14ac:dyDescent="0.2">
      <c r="A151" s="11" t="str">
        <f>VLOOKUP(B151,'SchoolInfo (3)'!A:C,3,0)</f>
        <v>'078976000</v>
      </c>
      <c r="B151" s="8">
        <v>79994</v>
      </c>
      <c r="C151" s="8" t="s">
        <v>614</v>
      </c>
      <c r="D151" s="8" t="str">
        <f>VLOOKUP(E151,'SchoolInfo (3)'!A:C,3,0)</f>
        <v>'078976101</v>
      </c>
      <c r="E151" s="8">
        <v>5526</v>
      </c>
      <c r="F151" s="8" t="s">
        <v>614</v>
      </c>
      <c r="G151" s="8" t="str">
        <f>VLOOKUP(E151,'SchoolInfo (3)'!A:K,11,0)</f>
        <v>midtownprimaryschool@hotmail.com</v>
      </c>
      <c r="H151" s="8"/>
      <c r="I151" s="8"/>
    </row>
    <row r="152" spans="1:9" s="2" customFormat="1" ht="12.75" x14ac:dyDescent="0.2">
      <c r="A152" s="11" t="str">
        <f>VLOOKUP(B152,'SchoolInfo (3)'!A:C,3,0)</f>
        <v>'140417000</v>
      </c>
      <c r="B152" s="8">
        <v>4503</v>
      </c>
      <c r="C152" s="8" t="s">
        <v>1276</v>
      </c>
      <c r="D152" s="8" t="str">
        <f>VLOOKUP(E152,'SchoolInfo (3)'!A:C,3,0)</f>
        <v>'140417101</v>
      </c>
      <c r="E152" s="8">
        <v>6181</v>
      </c>
      <c r="F152" s="8" t="s">
        <v>1277</v>
      </c>
      <c r="G152" s="8" t="str">
        <f>VLOOKUP(E152,'SchoolInfo (3)'!A:K,11,0)</f>
        <v>rluna@mohawk.apscc.org</v>
      </c>
      <c r="H152" s="8"/>
      <c r="I152" s="8"/>
    </row>
    <row r="153" spans="1:9" s="2" customFormat="1" ht="12.75" x14ac:dyDescent="0.2">
      <c r="A153" s="11" t="str">
        <f>VLOOKUP(B153,'SchoolInfo (3)'!A:C,3,0)</f>
        <v>'070421000</v>
      </c>
      <c r="B153" s="8">
        <v>4265</v>
      </c>
      <c r="C153" s="8" t="s">
        <v>322</v>
      </c>
      <c r="D153" s="8" t="str">
        <f>VLOOKUP(E153,'SchoolInfo (3)'!A:C,3,0)</f>
        <v>'070421101</v>
      </c>
      <c r="E153" s="8">
        <v>5290</v>
      </c>
      <c r="F153" s="8" t="s">
        <v>609</v>
      </c>
      <c r="G153" s="8">
        <f>VLOOKUP(E153,'SchoolInfo (3)'!A:K,11,0)</f>
        <v>0</v>
      </c>
      <c r="H153" s="8"/>
      <c r="I153" s="8"/>
    </row>
    <row r="154" spans="1:9" s="2" customFormat="1" ht="12.75" x14ac:dyDescent="0.2">
      <c r="A154" s="11" t="str">
        <f>VLOOKUP(B154,'SchoolInfo (3)'!A:C,3,0)</f>
        <v>'070421000</v>
      </c>
      <c r="B154" s="8">
        <v>4265</v>
      </c>
      <c r="C154" s="8" t="s">
        <v>322</v>
      </c>
      <c r="D154" s="8" t="str">
        <f>VLOOKUP(E154,'SchoolInfo (3)'!A:C,3,0)</f>
        <v>'070421103</v>
      </c>
      <c r="E154" s="8">
        <v>5292</v>
      </c>
      <c r="F154" s="8" t="s">
        <v>1461</v>
      </c>
      <c r="G154" s="8" t="str">
        <f>VLOOKUP(E154,'SchoolInfo (3)'!A:K,11,0)</f>
        <v>ydamian@msdaz.org</v>
      </c>
      <c r="H154" s="8"/>
      <c r="I154" s="8"/>
    </row>
    <row r="155" spans="1:9" s="2" customFormat="1" ht="12.75" x14ac:dyDescent="0.2">
      <c r="A155" s="11" t="str">
        <f>VLOOKUP(B155,'SchoolInfo (3)'!A:C,3,0)</f>
        <v>'020323000</v>
      </c>
      <c r="B155" s="8">
        <v>4176</v>
      </c>
      <c r="C155" s="8" t="s">
        <v>313</v>
      </c>
      <c r="D155" s="8" t="str">
        <f>VLOOKUP(E155,'SchoolInfo (3)'!A:C,3,0)</f>
        <v>'020323001</v>
      </c>
      <c r="E155" s="8">
        <v>4784</v>
      </c>
      <c r="F155" s="8" t="s">
        <v>833</v>
      </c>
      <c r="G155" s="8" t="str">
        <f>VLOOKUP(E155,'SchoolInfo (3)'!A:K,11,0)</f>
        <v>pmarsh@naco.k12.az.us</v>
      </c>
      <c r="H155" s="8"/>
      <c r="I155" s="8"/>
    </row>
    <row r="156" spans="1:9" s="2" customFormat="1" ht="12.75" x14ac:dyDescent="0.2">
      <c r="A156" s="11" t="str">
        <f>VLOOKUP(B156,'SchoolInfo (3)'!A:C,3,0)</f>
        <v>'070281000</v>
      </c>
      <c r="B156" s="8">
        <v>4252</v>
      </c>
      <c r="C156" s="8" t="s">
        <v>1511</v>
      </c>
      <c r="D156" s="8" t="str">
        <f>VLOOKUP(E156,'SchoolInfo (3)'!A:C,3,0)</f>
        <v>'070281101</v>
      </c>
      <c r="E156" s="8">
        <v>5190</v>
      </c>
      <c r="F156" s="8" t="s">
        <v>1512</v>
      </c>
      <c r="G156" s="8" t="str">
        <f>VLOOKUP(E156,'SchoolInfo (3)'!A:K,11,0)</f>
        <v>cmccandlish@nadaburgsd.org</v>
      </c>
      <c r="H156" s="8"/>
      <c r="I156" s="8"/>
    </row>
    <row r="157" spans="1:9" s="2" customFormat="1" ht="12.75" x14ac:dyDescent="0.2">
      <c r="A157" s="11" t="str">
        <f>VLOOKUP(B157,'SchoolInfo (3)'!A:C,3,0)</f>
        <v>'078771000</v>
      </c>
      <c r="B157" s="8">
        <v>4366</v>
      </c>
      <c r="C157" s="8" t="s">
        <v>726</v>
      </c>
      <c r="D157" s="8" t="str">
        <f>VLOOKUP(E157,'SchoolInfo (3)'!A:C,3,0)</f>
        <v>'078771001</v>
      </c>
      <c r="E157" s="8">
        <v>5554</v>
      </c>
      <c r="F157" s="8" t="s">
        <v>726</v>
      </c>
      <c r="G157" s="8">
        <f>VLOOKUP(E157,'SchoolInfo (3)'!A:K,11,0)</f>
        <v>0</v>
      </c>
      <c r="H157" s="8"/>
      <c r="I157" s="8"/>
    </row>
    <row r="158" spans="1:9" s="2" customFormat="1" ht="12.75" x14ac:dyDescent="0.2">
      <c r="A158" s="11" t="str">
        <f>VLOOKUP(B158,'SchoolInfo (3)'!A:C,3,0)</f>
        <v>'078261000</v>
      </c>
      <c r="B158" s="8">
        <v>92374</v>
      </c>
      <c r="C158" s="8" t="s">
        <v>1313</v>
      </c>
      <c r="D158" s="8" t="str">
        <f>VLOOKUP(E158,'SchoolInfo (3)'!A:C,3,0)</f>
        <v>'078261001</v>
      </c>
      <c r="E158" s="8">
        <v>92345</v>
      </c>
      <c r="F158" s="8" t="s">
        <v>1313</v>
      </c>
      <c r="G158" s="8" t="str">
        <f>VLOOKUP(E158,'SchoolInfo (3)'!A:K,11,0)</f>
        <v>jfriedermann@noahwebster.org</v>
      </c>
      <c r="H158" s="8"/>
      <c r="I158" s="8"/>
    </row>
    <row r="159" spans="1:9" s="2" customFormat="1" ht="12.75" x14ac:dyDescent="0.2">
      <c r="A159" s="11" t="str">
        <f>VLOOKUP(B159,'SchoolInfo (3)'!A:C,3,0)</f>
        <v>'120201000</v>
      </c>
      <c r="B159" s="8">
        <v>4457</v>
      </c>
      <c r="C159" s="8" t="s">
        <v>344</v>
      </c>
      <c r="D159" s="8" t="str">
        <f>VLOOKUP(E159,'SchoolInfo (3)'!A:C,3,0)</f>
        <v>'120201103</v>
      </c>
      <c r="E159" s="8">
        <v>6071</v>
      </c>
      <c r="F159" s="8" t="s">
        <v>411</v>
      </c>
      <c r="G159" s="8" t="str">
        <f>VLOOKUP(E159,'SchoolInfo (3)'!A:K,11,0)</f>
        <v>tcolgate@nusd.k12.az.us</v>
      </c>
      <c r="H159" s="8"/>
      <c r="I159" s="8"/>
    </row>
    <row r="160" spans="1:9" s="2" customFormat="1" ht="12.75" x14ac:dyDescent="0.2">
      <c r="A160" s="11" t="str">
        <f>VLOOKUP(B160,'SchoolInfo (3)'!A:C,3,0)</f>
        <v>'120201000</v>
      </c>
      <c r="B160" s="8">
        <v>4457</v>
      </c>
      <c r="C160" s="8" t="s">
        <v>344</v>
      </c>
      <c r="D160" s="8" t="str">
        <f>VLOOKUP(E160,'SchoolInfo (3)'!A:C,3,0)</f>
        <v>'120201115</v>
      </c>
      <c r="E160" s="8">
        <v>5959</v>
      </c>
      <c r="F160" s="8" t="s">
        <v>801</v>
      </c>
      <c r="G160" s="8" t="str">
        <f>VLOOKUP(E160,'SchoolInfo (3)'!A:K,11,0)</f>
        <v>abonillas@nusd.k12.az.us</v>
      </c>
      <c r="H160" s="8"/>
      <c r="I160" s="8"/>
    </row>
    <row r="161" spans="1:9" s="2" customFormat="1" ht="12.75" x14ac:dyDescent="0.2">
      <c r="A161" s="11" t="str">
        <f>VLOOKUP(B161,'SchoolInfo (3)'!A:C,3,0)</f>
        <v>'120201000</v>
      </c>
      <c r="B161" s="8">
        <v>4457</v>
      </c>
      <c r="C161" s="8" t="s">
        <v>344</v>
      </c>
      <c r="D161" s="8" t="str">
        <f>VLOOKUP(E161,'SchoolInfo (3)'!A:C,3,0)</f>
        <v>'120201111</v>
      </c>
      <c r="E161" s="8">
        <v>5956</v>
      </c>
      <c r="F161" s="8" t="s">
        <v>812</v>
      </c>
      <c r="G161" s="8" t="str">
        <f>VLOOKUP(E161,'SchoolInfo (3)'!A:K,11,0)</f>
        <v>rsoltero@nusd.k12.az.us</v>
      </c>
      <c r="H161" s="8"/>
      <c r="I161" s="8"/>
    </row>
    <row r="162" spans="1:9" s="2" customFormat="1" ht="12.75" x14ac:dyDescent="0.2">
      <c r="A162" s="11" t="str">
        <f>VLOOKUP(B162,'SchoolInfo (3)'!A:C,3,0)</f>
        <v>'120201000</v>
      </c>
      <c r="B162" s="8">
        <v>4457</v>
      </c>
      <c r="C162" s="8" t="s">
        <v>344</v>
      </c>
      <c r="D162" s="8" t="str">
        <f>VLOOKUP(E162,'SchoolInfo (3)'!A:C,3,0)</f>
        <v>'120201114</v>
      </c>
      <c r="E162" s="8">
        <v>5958</v>
      </c>
      <c r="F162" s="8" t="s">
        <v>814</v>
      </c>
      <c r="G162" s="8" t="str">
        <f>VLOOKUP(E162,'SchoolInfo (3)'!A:K,11,0)</f>
        <v>molguin@nusd.k12.az.us</v>
      </c>
      <c r="H162" s="8"/>
      <c r="I162" s="8"/>
    </row>
    <row r="163" spans="1:9" s="2" customFormat="1" ht="12.75" x14ac:dyDescent="0.2">
      <c r="A163" s="11" t="str">
        <f>VLOOKUP(B163,'SchoolInfo (3)'!A:C,3,0)</f>
        <v>'120201000</v>
      </c>
      <c r="B163" s="8">
        <v>4457</v>
      </c>
      <c r="C163" s="8" t="s">
        <v>344</v>
      </c>
      <c r="D163" s="8" t="str">
        <f>VLOOKUP(E163,'SchoolInfo (3)'!A:C,3,0)</f>
        <v>'120201113</v>
      </c>
      <c r="E163" s="8">
        <v>5957</v>
      </c>
      <c r="F163" s="8" t="s">
        <v>818</v>
      </c>
      <c r="G163" s="8">
        <f>VLOOKUP(E163,'SchoolInfo (3)'!A:K,11,0)</f>
        <v>0</v>
      </c>
      <c r="H163" s="8"/>
      <c r="I163" s="8"/>
    </row>
    <row r="164" spans="1:9" s="2" customFormat="1" ht="12.75" x14ac:dyDescent="0.2">
      <c r="A164" s="11" t="str">
        <f>VLOOKUP(B164,'SchoolInfo (3)'!A:C,3,0)</f>
        <v>'120201000</v>
      </c>
      <c r="B164" s="8">
        <v>4457</v>
      </c>
      <c r="C164" s="8" t="s">
        <v>344</v>
      </c>
      <c r="D164" s="8" t="str">
        <f>VLOOKUP(E164,'SchoolInfo (3)'!A:C,3,0)</f>
        <v>'120201119</v>
      </c>
      <c r="E164" s="8">
        <v>5960</v>
      </c>
      <c r="F164" s="8" t="s">
        <v>1293</v>
      </c>
      <c r="G164" s="8">
        <f>VLOOKUP(E164,'SchoolInfo (3)'!A:K,11,0)</f>
        <v>0</v>
      </c>
      <c r="H164" s="8"/>
      <c r="I164" s="8"/>
    </row>
    <row r="165" spans="1:9" s="2" customFormat="1" ht="12.75" x14ac:dyDescent="0.2">
      <c r="A165" s="11" t="str">
        <f>VLOOKUP(B165,'SchoolInfo (3)'!A:C,3,0)</f>
        <v>'108707000</v>
      </c>
      <c r="B165" s="8">
        <v>79881</v>
      </c>
      <c r="C165" s="8" t="s">
        <v>779</v>
      </c>
      <c r="D165" s="8" t="str">
        <f>VLOOKUP(E165,'SchoolInfo (3)'!A:C,3,0)</f>
        <v>'108707001</v>
      </c>
      <c r="E165" s="8">
        <v>79899</v>
      </c>
      <c r="F165" s="8" t="s">
        <v>780</v>
      </c>
      <c r="G165" s="8" t="str">
        <f>VLOOKUP(E165,'SchoolInfo (3)'!A:K,11,0)</f>
        <v>info@nosotrosacademy.org</v>
      </c>
      <c r="H165" s="8"/>
      <c r="I165" s="8"/>
    </row>
    <row r="166" spans="1:9" s="2" customFormat="1" ht="12.75" x14ac:dyDescent="0.2">
      <c r="A166" s="11" t="str">
        <f>VLOOKUP(B166,'SchoolInfo (3)'!A:C,3,0)</f>
        <v>'070408000</v>
      </c>
      <c r="B166" s="8">
        <v>4262</v>
      </c>
      <c r="C166" s="8" t="s">
        <v>628</v>
      </c>
      <c r="D166" s="8" t="str">
        <f>VLOOKUP(E166,'SchoolInfo (3)'!A:C,3,0)</f>
        <v>'070408106</v>
      </c>
      <c r="E166" s="8">
        <v>5281</v>
      </c>
      <c r="F166" s="8" t="s">
        <v>629</v>
      </c>
      <c r="G166" s="8" t="str">
        <f>VLOOKUP(E166,'SchoolInfo (3)'!A:K,11,0)</f>
        <v>kepps@osbornnet.org</v>
      </c>
      <c r="H166" s="8"/>
      <c r="I166" s="8"/>
    </row>
    <row r="167" spans="1:9" s="2" customFormat="1" ht="12.75" x14ac:dyDescent="0.2">
      <c r="A167" s="11" t="str">
        <f>VLOOKUP(B167,'SchoolInfo (3)'!A:C,3,0)</f>
        <v>'070408000</v>
      </c>
      <c r="B167" s="8">
        <v>4262</v>
      </c>
      <c r="C167" s="8" t="s">
        <v>628</v>
      </c>
      <c r="D167" s="8" t="str">
        <f>VLOOKUP(E167,'SchoolInfo (3)'!A:C,3,0)</f>
        <v>'070408104</v>
      </c>
      <c r="E167" s="8">
        <v>5280</v>
      </c>
      <c r="F167" s="8" t="s">
        <v>631</v>
      </c>
      <c r="G167" s="8" t="str">
        <f>VLOOKUP(E167,'SchoolInfo (3)'!A:K,11,0)</f>
        <v>mmakar@osbornnet.org</v>
      </c>
      <c r="H167" s="8"/>
      <c r="I167" s="8"/>
    </row>
    <row r="168" spans="1:9" s="2" customFormat="1" ht="12.75" x14ac:dyDescent="0.2">
      <c r="A168" s="11" t="str">
        <f>VLOOKUP(B168,'SchoolInfo (3)'!A:C,3,0)</f>
        <v>'070408000</v>
      </c>
      <c r="B168" s="8">
        <v>4262</v>
      </c>
      <c r="C168" s="8" t="s">
        <v>628</v>
      </c>
      <c r="D168" s="8" t="str">
        <f>VLOOKUP(E168,'SchoolInfo (3)'!A:C,3,0)</f>
        <v>'070408107</v>
      </c>
      <c r="E168" s="8">
        <v>5282</v>
      </c>
      <c r="F168" s="8" t="s">
        <v>1345</v>
      </c>
      <c r="G168" s="8" t="str">
        <f>VLOOKUP(E168,'SchoolInfo (3)'!A:K,11,0)</f>
        <v>meldridg@osbornnet.org</v>
      </c>
      <c r="H168" s="8"/>
      <c r="I168" s="8"/>
    </row>
    <row r="169" spans="1:9" s="2" customFormat="1" ht="12.75" x14ac:dyDescent="0.2">
      <c r="A169" s="11" t="str">
        <f>VLOOKUP(B169,'SchoolInfo (3)'!A:C,3,0)</f>
        <v>'070394000</v>
      </c>
      <c r="B169" s="8">
        <v>4255</v>
      </c>
      <c r="C169" s="8" t="s">
        <v>336</v>
      </c>
      <c r="D169" s="8" t="str">
        <f>VLOOKUP(E169,'SchoolInfo (3)'!A:C,3,0)</f>
        <v>'070394001</v>
      </c>
      <c r="E169" s="8">
        <v>5193</v>
      </c>
      <c r="F169" s="8" t="s">
        <v>524</v>
      </c>
      <c r="G169" s="8" t="str">
        <f>VLOOKUP(E169,'SchoolInfo (3)'!A:K,11,0)</f>
        <v>kturner@palomaesd.org</v>
      </c>
      <c r="H169" s="8"/>
      <c r="I169" s="8"/>
    </row>
    <row r="170" spans="1:9" s="2" customFormat="1" ht="12.75" x14ac:dyDescent="0.2">
      <c r="A170" s="11" t="str">
        <f>VLOOKUP(B170,'SchoolInfo (3)'!A:C,3,0)</f>
        <v>'070269000</v>
      </c>
      <c r="B170" s="8">
        <v>4241</v>
      </c>
      <c r="C170" s="8" t="s">
        <v>1354</v>
      </c>
      <c r="D170" s="8" t="str">
        <f>VLOOKUP(E170,'SchoolInfo (3)'!A:C,3,0)</f>
        <v>'070269140</v>
      </c>
      <c r="E170" s="8">
        <v>5089</v>
      </c>
      <c r="F170" s="8" t="s">
        <v>1355</v>
      </c>
      <c r="G170" s="8" t="str">
        <f>VLOOKUP(E170,'SchoolInfo (3)'!A:K,11,0)</f>
        <v>tcollins@pvschools.net</v>
      </c>
      <c r="H170" s="8"/>
      <c r="I170" s="8"/>
    </row>
    <row r="171" spans="1:9" s="2" customFormat="1" ht="12.75" x14ac:dyDescent="0.2">
      <c r="A171" s="11" t="str">
        <f>VLOOKUP(B171,'SchoolInfo (3)'!A:C,3,0)</f>
        <v>'070269000</v>
      </c>
      <c r="B171" s="8">
        <v>4241</v>
      </c>
      <c r="C171" s="8" t="s">
        <v>1354</v>
      </c>
      <c r="D171" s="8" t="str">
        <f>VLOOKUP(E171,'SchoolInfo (3)'!A:C,3,0)</f>
        <v>'070269175</v>
      </c>
      <c r="E171" s="8">
        <v>5101</v>
      </c>
      <c r="F171" s="8" t="s">
        <v>1413</v>
      </c>
      <c r="G171" s="8" t="str">
        <f>VLOOKUP(E171,'SchoolInfo (3)'!A:K,11,0)</f>
        <v>luhaley@pvschools.net</v>
      </c>
      <c r="H171" s="8"/>
      <c r="I171" s="8"/>
    </row>
    <row r="172" spans="1:9" s="2" customFormat="1" ht="12.75" x14ac:dyDescent="0.2">
      <c r="A172" s="11" t="str">
        <f>VLOOKUP(B172,'SchoolInfo (3)'!A:C,3,0)</f>
        <v>'070269000</v>
      </c>
      <c r="B172" s="8">
        <v>4241</v>
      </c>
      <c r="C172" s="8" t="s">
        <v>1354</v>
      </c>
      <c r="D172" s="8" t="str">
        <f>VLOOKUP(E172,'SchoolInfo (3)'!A:C,3,0)</f>
        <v>'070269150</v>
      </c>
      <c r="E172" s="8">
        <v>5094</v>
      </c>
      <c r="F172" s="8" t="s">
        <v>1432</v>
      </c>
      <c r="G172" s="8" t="str">
        <f>VLOOKUP(E172,'SchoolInfo (3)'!A:K,11,0)</f>
        <v>lhaley@pvschools.net</v>
      </c>
      <c r="H172" s="8"/>
      <c r="I172" s="8"/>
    </row>
    <row r="173" spans="1:9" s="2" customFormat="1" ht="12.75" x14ac:dyDescent="0.2">
      <c r="A173" s="11" t="str">
        <f>VLOOKUP(B173,'SchoolInfo (3)'!A:C,3,0)</f>
        <v>'150227000</v>
      </c>
      <c r="B173" s="8">
        <v>4510</v>
      </c>
      <c r="C173" s="8" t="s">
        <v>361</v>
      </c>
      <c r="D173" s="8" t="str">
        <f>VLOOKUP(E173,'SchoolInfo (3)'!A:C,3,0)</f>
        <v>'150227103</v>
      </c>
      <c r="E173" s="8">
        <v>6196</v>
      </c>
      <c r="F173" s="8" t="s">
        <v>362</v>
      </c>
      <c r="G173" s="8" t="str">
        <f>VLOOKUP(E173,'SchoolInfo (3)'!A:K,11,0)</f>
        <v>dwolfe@parkerusd.org</v>
      </c>
      <c r="H173" s="8"/>
      <c r="I173" s="8"/>
    </row>
    <row r="174" spans="1:9" s="2" customFormat="1" ht="12.75" x14ac:dyDescent="0.2">
      <c r="A174" s="11" t="str">
        <f>VLOOKUP(B174,'SchoolInfo (3)'!A:C,3,0)</f>
        <v>'080208000</v>
      </c>
      <c r="B174" s="8">
        <v>4369</v>
      </c>
      <c r="C174" s="8" t="s">
        <v>371</v>
      </c>
      <c r="D174" s="8" t="str">
        <f>VLOOKUP(E174,'SchoolInfo (3)'!A:C,3,0)</f>
        <v>'080208001</v>
      </c>
      <c r="E174" s="8">
        <v>5566</v>
      </c>
      <c r="F174" s="8" t="s">
        <v>372</v>
      </c>
      <c r="G174" s="8" t="str">
        <f>VLOOKUP(E174,'SchoolInfo (3)'!A:K,11,0)</f>
        <v>klainv@psusd.k12.az.us</v>
      </c>
      <c r="H174" s="8"/>
      <c r="I174" s="8"/>
    </row>
    <row r="175" spans="1:9" s="2" customFormat="1" ht="12.75" x14ac:dyDescent="0.2">
      <c r="A175" s="11" t="str">
        <f>VLOOKUP(B175,'SchoolInfo (3)'!A:C,3,0)</f>
        <v>'070492000</v>
      </c>
      <c r="B175" s="8">
        <v>4283</v>
      </c>
      <c r="C175" s="8" t="s">
        <v>1443</v>
      </c>
      <c r="D175" s="8" t="str">
        <f>VLOOKUP(E175,'SchoolInfo (3)'!A:C,3,0)</f>
        <v>'070492013</v>
      </c>
      <c r="E175" s="8">
        <v>5418</v>
      </c>
      <c r="F175" s="8" t="s">
        <v>1444</v>
      </c>
      <c r="G175" s="8" t="str">
        <f>VLOOKUP(E175,'SchoolInfo (3)'!A:K,11,0)</f>
        <v>sjaramillo@pesd92.org</v>
      </c>
      <c r="H175" s="8"/>
      <c r="I175" s="8"/>
    </row>
    <row r="176" spans="1:9" s="2" customFormat="1" ht="12.75" x14ac:dyDescent="0.2">
      <c r="A176" s="11" t="str">
        <f>VLOOKUP(B176,'SchoolInfo (3)'!A:C,3,0)</f>
        <v>'070492000</v>
      </c>
      <c r="B176" s="8">
        <v>4283</v>
      </c>
      <c r="C176" s="8" t="s">
        <v>1443</v>
      </c>
      <c r="D176" s="8" t="str">
        <f>VLOOKUP(E176,'SchoolInfo (3)'!A:C,3,0)</f>
        <v>'070492021</v>
      </c>
      <c r="E176" s="8">
        <v>79800</v>
      </c>
      <c r="F176" s="8" t="s">
        <v>1503</v>
      </c>
      <c r="G176" s="8" t="str">
        <f>VLOOKUP(E176,'SchoolInfo (3)'!A:K,11,0)</f>
        <v>smccarthy@pesd92.org</v>
      </c>
      <c r="H176" s="8"/>
      <c r="I176" s="8"/>
    </row>
    <row r="177" spans="1:9" s="2" customFormat="1" ht="12.75" x14ac:dyDescent="0.2">
      <c r="A177" s="11" t="str">
        <f>VLOOKUP(B177,'SchoolInfo (3)'!A:C,3,0)</f>
        <v>'078714000</v>
      </c>
      <c r="B177" s="8">
        <v>4338</v>
      </c>
      <c r="C177" s="8" t="s">
        <v>1450</v>
      </c>
      <c r="D177" s="8" t="str">
        <f>VLOOKUP(E177,'SchoolInfo (3)'!A:C,3,0)</f>
        <v>'078714001</v>
      </c>
      <c r="E177" s="8">
        <v>5512</v>
      </c>
      <c r="F177" s="8" t="s">
        <v>1451</v>
      </c>
      <c r="G177" s="8">
        <f>VLOOKUP(E177,'SchoolInfo (3)'!A:K,11,0)</f>
        <v>0</v>
      </c>
      <c r="H177" s="8"/>
      <c r="I177" s="8"/>
    </row>
    <row r="178" spans="1:9" s="2" customFormat="1" ht="12.75" x14ac:dyDescent="0.2">
      <c r="A178" s="11" t="str">
        <f>VLOOKUP(B178,'SchoolInfo (3)'!A:C,3,0)</f>
        <v>'070401000</v>
      </c>
      <c r="B178" s="8">
        <v>4256</v>
      </c>
      <c r="C178" s="8" t="s">
        <v>343</v>
      </c>
      <c r="D178" s="8" t="str">
        <f>VLOOKUP(E178,'SchoolInfo (3)'!A:C,3,0)</f>
        <v>'070401104</v>
      </c>
      <c r="E178" s="8">
        <v>5197</v>
      </c>
      <c r="F178" s="8" t="s">
        <v>638</v>
      </c>
      <c r="G178" s="8" t="str">
        <f>VLOOKUP(E178,'SchoolInfo (3)'!A:K,11,0)</f>
        <v>gail.harris@phxschools.org</v>
      </c>
      <c r="H178" s="8"/>
      <c r="I178" s="8"/>
    </row>
    <row r="179" spans="1:9" s="2" customFormat="1" ht="12.75" x14ac:dyDescent="0.2">
      <c r="A179" s="11" t="str">
        <f>VLOOKUP(B179,'SchoolInfo (3)'!A:C,3,0)</f>
        <v>'070401000</v>
      </c>
      <c r="B179" s="8">
        <v>4256</v>
      </c>
      <c r="C179" s="8" t="s">
        <v>343</v>
      </c>
      <c r="D179" s="8" t="str">
        <f>VLOOKUP(E179,'SchoolInfo (3)'!A:C,3,0)</f>
        <v>'070401106</v>
      </c>
      <c r="E179" s="8">
        <v>5199</v>
      </c>
      <c r="F179" s="8" t="s">
        <v>656</v>
      </c>
      <c r="G179" s="8" t="str">
        <f>VLOOKUP(E179,'SchoolInfo (3)'!A:K,11,0)</f>
        <v>Lucia.Raz@phxschools.org</v>
      </c>
      <c r="H179" s="8"/>
      <c r="I179" s="8"/>
    </row>
    <row r="180" spans="1:9" s="2" customFormat="1" ht="12.75" x14ac:dyDescent="0.2">
      <c r="A180" s="11" t="str">
        <f>VLOOKUP(B180,'SchoolInfo (3)'!A:C,3,0)</f>
        <v>'070401000</v>
      </c>
      <c r="B180" s="8">
        <v>4256</v>
      </c>
      <c r="C180" s="8" t="s">
        <v>343</v>
      </c>
      <c r="D180" s="8" t="str">
        <f>VLOOKUP(E180,'SchoolInfo (3)'!A:C,3,0)</f>
        <v>'070401108</v>
      </c>
      <c r="E180" s="8">
        <v>5200</v>
      </c>
      <c r="F180" s="8" t="s">
        <v>660</v>
      </c>
      <c r="G180" s="8" t="str">
        <f>VLOOKUP(E180,'SchoolInfo (3)'!A:K,11,0)</f>
        <v>sylvia.bernal@phxschools.org</v>
      </c>
      <c r="H180" s="8"/>
      <c r="I180" s="8"/>
    </row>
    <row r="181" spans="1:9" s="2" customFormat="1" ht="12.75" x14ac:dyDescent="0.2">
      <c r="A181" s="11" t="str">
        <f>VLOOKUP(B181,'SchoolInfo (3)'!A:C,3,0)</f>
        <v>'070401000</v>
      </c>
      <c r="B181" s="8">
        <v>4256</v>
      </c>
      <c r="C181" s="8" t="s">
        <v>343</v>
      </c>
      <c r="D181" s="8" t="str">
        <f>VLOOKUP(E181,'SchoolInfo (3)'!A:C,3,0)</f>
        <v>'070401105</v>
      </c>
      <c r="E181" s="8">
        <v>5198</v>
      </c>
      <c r="F181" s="8" t="s">
        <v>671</v>
      </c>
      <c r="G181" s="8" t="str">
        <f>VLOOKUP(E181,'SchoolInfo (3)'!A:K,11,0)</f>
        <v>fred.graef@phxschools.org</v>
      </c>
      <c r="H181" s="8"/>
      <c r="I181" s="8"/>
    </row>
    <row r="182" spans="1:9" s="2" customFormat="1" ht="12.75" x14ac:dyDescent="0.2">
      <c r="A182" s="11" t="str">
        <f>VLOOKUP(B182,'SchoolInfo (3)'!A:C,3,0)</f>
        <v>'070401000</v>
      </c>
      <c r="B182" s="8">
        <v>4256</v>
      </c>
      <c r="C182" s="8" t="s">
        <v>343</v>
      </c>
      <c r="D182" s="8" t="str">
        <f>VLOOKUP(E182,'SchoolInfo (3)'!A:C,3,0)</f>
        <v>'070401101</v>
      </c>
      <c r="E182" s="8">
        <v>5195</v>
      </c>
      <c r="F182" s="8" t="s">
        <v>716</v>
      </c>
      <c r="G182" s="8" t="str">
        <f>VLOOKUP(E182,'SchoolInfo (3)'!A:K,11,0)</f>
        <v>ronnie.pitre@phxschools.org</v>
      </c>
      <c r="H182" s="8"/>
      <c r="I182" s="8"/>
    </row>
    <row r="183" spans="1:9" s="2" customFormat="1" ht="12.75" x14ac:dyDescent="0.2">
      <c r="A183" s="11" t="str">
        <f>VLOOKUP(B183,'SchoolInfo (3)'!A:C,3,0)</f>
        <v>'070401000</v>
      </c>
      <c r="B183" s="8">
        <v>4256</v>
      </c>
      <c r="C183" s="8" t="s">
        <v>343</v>
      </c>
      <c r="D183" s="8" t="str">
        <f>VLOOKUP(E183,'SchoolInfo (3)'!A:C,3,0)</f>
        <v>'070401102</v>
      </c>
      <c r="E183" s="8">
        <v>5196</v>
      </c>
      <c r="F183" s="8" t="s">
        <v>1335</v>
      </c>
      <c r="G183" s="8" t="str">
        <f>VLOOKUP(E183,'SchoolInfo (3)'!A:K,11,0)</f>
        <v>russell.sanders@phxelem.k12.az.us</v>
      </c>
      <c r="H183" s="8"/>
      <c r="I183" s="8"/>
    </row>
    <row r="184" spans="1:9" s="2" customFormat="1" ht="12.75" x14ac:dyDescent="0.2">
      <c r="A184" s="11" t="str">
        <f>VLOOKUP(B184,'SchoolInfo (3)'!A:C,3,0)</f>
        <v>'070401000</v>
      </c>
      <c r="B184" s="8">
        <v>4256</v>
      </c>
      <c r="C184" s="8" t="s">
        <v>343</v>
      </c>
      <c r="D184" s="8" t="str">
        <f>VLOOKUP(E184,'SchoolInfo (3)'!A:C,3,0)</f>
        <v>'070401112</v>
      </c>
      <c r="E184" s="8">
        <v>5203</v>
      </c>
      <c r="F184" s="8" t="s">
        <v>1360</v>
      </c>
      <c r="G184" s="8">
        <f>VLOOKUP(E184,'SchoolInfo (3)'!A:K,11,0)</f>
        <v>0</v>
      </c>
      <c r="H184" s="8"/>
      <c r="I184" s="8"/>
    </row>
    <row r="185" spans="1:9" s="2" customFormat="1" ht="12.75" x14ac:dyDescent="0.2">
      <c r="A185" s="11" t="str">
        <f>VLOOKUP(B185,'SchoolInfo (3)'!A:C,3,0)</f>
        <v>'070401000</v>
      </c>
      <c r="B185" s="8">
        <v>4256</v>
      </c>
      <c r="C185" s="8" t="s">
        <v>343</v>
      </c>
      <c r="D185" s="8" t="str">
        <f>VLOOKUP(E185,'SchoolInfo (3)'!A:C,3,0)</f>
        <v>'070401125</v>
      </c>
      <c r="E185" s="8">
        <v>5209</v>
      </c>
      <c r="F185" s="8" t="s">
        <v>1501</v>
      </c>
      <c r="G185" s="8" t="str">
        <f>VLOOKUP(E185,'SchoolInfo (3)'!A:K,11,0)</f>
        <v>clare.okyere@phxschools.org</v>
      </c>
      <c r="H185" s="8"/>
      <c r="I185" s="8"/>
    </row>
    <row r="186" spans="1:9" s="2" customFormat="1" ht="12.75" x14ac:dyDescent="0.2">
      <c r="A186" s="11" t="str">
        <f>VLOOKUP(B186,'SchoolInfo (3)'!A:C,3,0)</f>
        <v>'070401000</v>
      </c>
      <c r="B186" s="8">
        <v>4256</v>
      </c>
      <c r="C186" s="8" t="s">
        <v>343</v>
      </c>
      <c r="D186" s="8" t="str">
        <f>VLOOKUP(E186,'SchoolInfo (3)'!A:C,3,0)</f>
        <v>'070401118</v>
      </c>
      <c r="E186" s="8">
        <v>5206</v>
      </c>
      <c r="F186" s="8" t="s">
        <v>735</v>
      </c>
      <c r="G186" s="8" t="str">
        <f>VLOOKUP(E186,'SchoolInfo (3)'!A:K,11,0)</f>
        <v>Tyson.Kelly@phxschools.org</v>
      </c>
      <c r="H186" s="8"/>
      <c r="I186" s="8"/>
    </row>
    <row r="187" spans="1:9" s="2" customFormat="1" ht="12.75" x14ac:dyDescent="0.2">
      <c r="A187" s="11" t="str">
        <f>VLOOKUP(B187,'SchoolInfo (3)'!A:C,3,0)</f>
        <v>'110433000</v>
      </c>
      <c r="B187" s="8">
        <v>4452</v>
      </c>
      <c r="C187" s="8" t="s">
        <v>755</v>
      </c>
      <c r="D187" s="8" t="str">
        <f>VLOOKUP(E187,'SchoolInfo (3)'!A:C,3,0)</f>
        <v>'110433133</v>
      </c>
      <c r="E187" s="8">
        <v>5947</v>
      </c>
      <c r="F187" s="8" t="s">
        <v>756</v>
      </c>
      <c r="G187" s="8" t="str">
        <f>VLOOKUP(E187,'SchoolInfo (3)'!A:K,11,0)</f>
        <v>arogers@picacho.k12.az.us</v>
      </c>
      <c r="H187" s="8"/>
      <c r="I187" s="8"/>
    </row>
    <row r="188" spans="1:9" s="2" customFormat="1" ht="12.75" x14ac:dyDescent="0.2">
      <c r="A188" s="11" t="str">
        <f>VLOOKUP(B188,'SchoolInfo (3)'!A:C,3,0)</f>
        <v>'108799000</v>
      </c>
      <c r="B188" s="8">
        <v>89864</v>
      </c>
      <c r="C188" s="8" t="s">
        <v>786</v>
      </c>
      <c r="D188" s="8" t="str">
        <f>VLOOKUP(E188,'SchoolInfo (3)'!A:C,3,0)</f>
        <v>'108799101</v>
      </c>
      <c r="E188" s="8">
        <v>89865</v>
      </c>
      <c r="F188" s="8" t="s">
        <v>787</v>
      </c>
      <c r="G188" s="8" t="str">
        <f>VLOOKUP(E188,'SchoolInfo (3)'!A:K,11,0)</f>
        <v>tmiller@thepartnership.us</v>
      </c>
      <c r="H188" s="8"/>
      <c r="I188" s="8"/>
    </row>
    <row r="189" spans="1:9" s="2" customFormat="1" ht="12.75" x14ac:dyDescent="0.2">
      <c r="A189" s="11" t="str">
        <f>VLOOKUP(B189,'SchoolInfo (3)'!A:C,3,0)</f>
        <v>'090204000</v>
      </c>
      <c r="B189" s="8">
        <v>4390</v>
      </c>
      <c r="C189" s="8" t="s">
        <v>312</v>
      </c>
      <c r="D189" s="8" t="str">
        <f>VLOOKUP(E189,'SchoolInfo (3)'!A:C,3,0)</f>
        <v>'090204102</v>
      </c>
      <c r="E189" s="8">
        <v>5612</v>
      </c>
      <c r="F189" s="8" t="s">
        <v>425</v>
      </c>
      <c r="G189" s="8" t="str">
        <f>VLOOKUP(E189,'SchoolInfo (3)'!A:K,11,0)</f>
        <v>LMChee@pusdatsa.org</v>
      </c>
      <c r="H189" s="8"/>
      <c r="I189" s="8"/>
    </row>
    <row r="190" spans="1:9" s="2" customFormat="1" ht="12.75" x14ac:dyDescent="0.2">
      <c r="A190" s="11" t="str">
        <f>VLOOKUP(B190,'SchoolInfo (3)'!A:C,3,0)</f>
        <v>'090204000</v>
      </c>
      <c r="B190" s="8">
        <v>4390</v>
      </c>
      <c r="C190" s="8" t="s">
        <v>312</v>
      </c>
      <c r="D190" s="8" t="str">
        <f>VLOOKUP(E190,'SchoolInfo (3)'!A:C,3,0)</f>
        <v>'090204101</v>
      </c>
      <c r="E190" s="8">
        <v>5611</v>
      </c>
      <c r="F190" s="8" t="s">
        <v>428</v>
      </c>
      <c r="G190" s="8">
        <f>VLOOKUP(E190,'SchoolInfo (3)'!A:K,11,0)</f>
        <v>0</v>
      </c>
      <c r="H190" s="8"/>
      <c r="I190" s="8"/>
    </row>
    <row r="191" spans="1:9" s="2" customFormat="1" ht="12.75" x14ac:dyDescent="0.2">
      <c r="A191" s="11" t="str">
        <f>VLOOKUP(B191,'SchoolInfo (3)'!A:C,3,0)</f>
        <v>'010227000</v>
      </c>
      <c r="B191" s="8">
        <v>4159</v>
      </c>
      <c r="C191" s="8" t="s">
        <v>325</v>
      </c>
      <c r="D191" s="8" t="str">
        <f>VLOOKUP(E191,'SchoolInfo (3)'!A:C,3,0)</f>
        <v>'010227102</v>
      </c>
      <c r="E191" s="8">
        <v>4739</v>
      </c>
      <c r="F191" s="8" t="s">
        <v>467</v>
      </c>
      <c r="G191" s="8" t="str">
        <f>VLOOKUP(E191,'SchoolInfo (3)'!A:K,11,0)</f>
        <v>genevieve@rmusd.net</v>
      </c>
      <c r="H191" s="8"/>
      <c r="I191" s="8"/>
    </row>
    <row r="192" spans="1:9" s="2" customFormat="1" ht="12.75" x14ac:dyDescent="0.2">
      <c r="A192" s="11" t="str">
        <f>VLOOKUP(B192,'SchoolInfo (3)'!A:C,3,0)</f>
        <v>'010227000</v>
      </c>
      <c r="B192" s="8">
        <v>4159</v>
      </c>
      <c r="C192" s="8" t="s">
        <v>325</v>
      </c>
      <c r="D192" s="8" t="str">
        <f>VLOOKUP(E192,'SchoolInfo (3)'!A:C,3,0)</f>
        <v>'010227101</v>
      </c>
      <c r="E192" s="8">
        <v>4738</v>
      </c>
      <c r="F192" s="8" t="s">
        <v>480</v>
      </c>
      <c r="G192" s="8" t="str">
        <f>VLOOKUP(E192,'SchoolInfo (3)'!A:K,11,0)</f>
        <v>bdebus@rmusd.net</v>
      </c>
      <c r="H192" s="8"/>
      <c r="I192" s="8"/>
    </row>
    <row r="193" spans="1:9" s="2" customFormat="1" ht="12.75" x14ac:dyDescent="0.2">
      <c r="A193" s="11" t="str">
        <f>VLOOKUP(B193,'SchoolInfo (3)'!A:C,3,0)</f>
        <v>'070402000</v>
      </c>
      <c r="B193" s="8">
        <v>4257</v>
      </c>
      <c r="C193" s="8" t="s">
        <v>1522</v>
      </c>
      <c r="D193" s="8" t="str">
        <f>VLOOKUP(E193,'SchoolInfo (3)'!A:C,3,0)</f>
        <v>'070402102</v>
      </c>
      <c r="E193" s="8">
        <v>84660</v>
      </c>
      <c r="F193" s="8" t="s">
        <v>1523</v>
      </c>
      <c r="G193" s="8" t="str">
        <f>VLOOKUP(E193,'SchoolInfo (3)'!A:K,11,0)</f>
        <v>rgutierrez@riverside.k12.az.us</v>
      </c>
      <c r="H193" s="8"/>
      <c r="I193" s="8"/>
    </row>
    <row r="194" spans="1:9" s="2" customFormat="1" ht="12.75" x14ac:dyDescent="0.2">
      <c r="A194" s="11" t="str">
        <f>VLOOKUP(B194,'SchoolInfo (3)'!A:C,3,0)</f>
        <v>'070466000</v>
      </c>
      <c r="B194" s="8">
        <v>4279</v>
      </c>
      <c r="C194" s="8" t="s">
        <v>328</v>
      </c>
      <c r="D194" s="8" t="str">
        <f>VLOOKUP(E194,'SchoolInfo (3)'!A:C,3,0)</f>
        <v>'070466017</v>
      </c>
      <c r="E194" s="8">
        <v>5377</v>
      </c>
      <c r="F194" s="8" t="s">
        <v>626</v>
      </c>
      <c r="G194" s="8" t="str">
        <f>VLOOKUP(E194,'SchoolInfo (3)'!A:K,11,0)</f>
        <v>benjamin.roat@rsd.k12.az.us</v>
      </c>
      <c r="H194" s="8"/>
      <c r="I194" s="8"/>
    </row>
    <row r="195" spans="1:9" s="2" customFormat="1" ht="12.75" x14ac:dyDescent="0.2">
      <c r="A195" s="11" t="str">
        <f>VLOOKUP(B195,'SchoolInfo (3)'!A:C,3,0)</f>
        <v>'070466000</v>
      </c>
      <c r="B195" s="8">
        <v>4279</v>
      </c>
      <c r="C195" s="8" t="s">
        <v>328</v>
      </c>
      <c r="D195" s="8" t="str">
        <f>VLOOKUP(E195,'SchoolInfo (3)'!A:C,3,0)</f>
        <v>'070466018</v>
      </c>
      <c r="E195" s="8">
        <v>5378</v>
      </c>
      <c r="F195" s="8" t="s">
        <v>634</v>
      </c>
      <c r="G195" s="8" t="str">
        <f>VLOOKUP(E195,'SchoolInfo (3)'!A:K,11,0)</f>
        <v>anitam@rsd.k12.az.us</v>
      </c>
      <c r="H195" s="8"/>
      <c r="I195" s="8"/>
    </row>
    <row r="196" spans="1:9" s="2" customFormat="1" ht="12.75" x14ac:dyDescent="0.2">
      <c r="A196" s="11" t="str">
        <f>VLOOKUP(B196,'SchoolInfo (3)'!A:C,3,0)</f>
        <v>'070466000</v>
      </c>
      <c r="B196" s="8">
        <v>4279</v>
      </c>
      <c r="C196" s="8" t="s">
        <v>328</v>
      </c>
      <c r="D196" s="8" t="str">
        <f>VLOOKUP(E196,'SchoolInfo (3)'!A:C,3,0)</f>
        <v>'070466013</v>
      </c>
      <c r="E196" s="8">
        <v>5373</v>
      </c>
      <c r="F196" s="8" t="s">
        <v>636</v>
      </c>
      <c r="G196" s="8" t="str">
        <f>VLOOKUP(E196,'SchoolInfo (3)'!A:K,11,0)</f>
        <v>Aida.Frietz@rsd.k12.az.us</v>
      </c>
      <c r="H196" s="8"/>
      <c r="I196" s="8"/>
    </row>
    <row r="197" spans="1:9" s="2" customFormat="1" ht="12.75" x14ac:dyDescent="0.2">
      <c r="A197" s="11" t="str">
        <f>VLOOKUP(B197,'SchoolInfo (3)'!A:C,3,0)</f>
        <v>'070466000</v>
      </c>
      <c r="B197" s="8">
        <v>4279</v>
      </c>
      <c r="C197" s="8" t="s">
        <v>328</v>
      </c>
      <c r="D197" s="8" t="str">
        <f>VLOOKUP(E197,'SchoolInfo (3)'!A:C,3,0)</f>
        <v>'070466019</v>
      </c>
      <c r="E197" s="8">
        <v>5379</v>
      </c>
      <c r="F197" s="8" t="s">
        <v>652</v>
      </c>
      <c r="G197" s="8" t="str">
        <f>VLOOKUP(E197,'SchoolInfo (3)'!A:K,11,0)</f>
        <v>lisa.norwood@rsd.k12.az.us</v>
      </c>
      <c r="H197" s="8"/>
      <c r="I197" s="8"/>
    </row>
    <row r="198" spans="1:9" s="2" customFormat="1" ht="12.75" x14ac:dyDescent="0.2">
      <c r="A198" s="11" t="str">
        <f>VLOOKUP(B198,'SchoolInfo (3)'!A:C,3,0)</f>
        <v>'070466000</v>
      </c>
      <c r="B198" s="8">
        <v>4279</v>
      </c>
      <c r="C198" s="8" t="s">
        <v>328</v>
      </c>
      <c r="D198" s="8" t="str">
        <f>VLOOKUP(E198,'SchoolInfo (3)'!A:C,3,0)</f>
        <v>'070466002</v>
      </c>
      <c r="E198" s="8">
        <v>5363</v>
      </c>
      <c r="F198" s="8" t="s">
        <v>654</v>
      </c>
      <c r="G198" s="8" t="str">
        <f>VLOOKUP(E198,'SchoolInfo (3)'!A:K,11,0)</f>
        <v>ivette.rodriguez@rsd.k12.az.us</v>
      </c>
      <c r="H198" s="8"/>
      <c r="I198" s="8"/>
    </row>
    <row r="199" spans="1:9" s="2" customFormat="1" ht="12.75" x14ac:dyDescent="0.2">
      <c r="A199" s="11" t="str">
        <f>VLOOKUP(B199,'SchoolInfo (3)'!A:C,3,0)</f>
        <v>'070466000</v>
      </c>
      <c r="B199" s="8">
        <v>4279</v>
      </c>
      <c r="C199" s="8" t="s">
        <v>328</v>
      </c>
      <c r="D199" s="8" t="str">
        <f>VLOOKUP(E199,'SchoolInfo (3)'!A:C,3,0)</f>
        <v>'070466014</v>
      </c>
      <c r="E199" s="8">
        <v>5374</v>
      </c>
      <c r="F199" s="8" t="s">
        <v>658</v>
      </c>
      <c r="G199" s="8">
        <f>VLOOKUP(E199,'SchoolInfo (3)'!A:K,11,0)</f>
        <v>0</v>
      </c>
      <c r="H199" s="8"/>
      <c r="I199" s="8"/>
    </row>
    <row r="200" spans="1:9" s="2" customFormat="1" ht="12.75" x14ac:dyDescent="0.2">
      <c r="A200" s="11" t="str">
        <f>VLOOKUP(B200,'SchoolInfo (3)'!A:C,3,0)</f>
        <v>'070466000</v>
      </c>
      <c r="B200" s="8">
        <v>4279</v>
      </c>
      <c r="C200" s="8" t="s">
        <v>328</v>
      </c>
      <c r="D200" s="8" t="str">
        <f>VLOOKUP(E200,'SchoolInfo (3)'!A:C,3,0)</f>
        <v>'070466012</v>
      </c>
      <c r="E200" s="8">
        <v>5372</v>
      </c>
      <c r="F200" s="8" t="s">
        <v>664</v>
      </c>
      <c r="G200" s="8">
        <f>VLOOKUP(E200,'SchoolInfo (3)'!A:K,11,0)</f>
        <v>0</v>
      </c>
      <c r="H200" s="8"/>
      <c r="I200" s="8"/>
    </row>
    <row r="201" spans="1:9" s="2" customFormat="1" ht="12.75" x14ac:dyDescent="0.2">
      <c r="A201" s="11" t="str">
        <f>VLOOKUP(B201,'SchoolInfo (3)'!A:C,3,0)</f>
        <v>'070466000</v>
      </c>
      <c r="B201" s="8">
        <v>4279</v>
      </c>
      <c r="C201" s="8" t="s">
        <v>328</v>
      </c>
      <c r="D201" s="8" t="str">
        <f>VLOOKUP(E201,'SchoolInfo (3)'!A:C,3,0)</f>
        <v>'070466003</v>
      </c>
      <c r="E201" s="8">
        <v>5364</v>
      </c>
      <c r="F201" s="8" t="s">
        <v>669</v>
      </c>
      <c r="G201" s="8" t="str">
        <f>VLOOKUP(E201,'SchoolInfo (3)'!A:K,11,0)</f>
        <v>nicole.shamblin@rsd.k12.az.us</v>
      </c>
      <c r="H201" s="8"/>
      <c r="I201" s="8"/>
    </row>
    <row r="202" spans="1:9" s="2" customFormat="1" ht="12.75" x14ac:dyDescent="0.2">
      <c r="A202" s="11" t="str">
        <f>VLOOKUP(B202,'SchoolInfo (3)'!A:C,3,0)</f>
        <v>'070466000</v>
      </c>
      <c r="B202" s="8">
        <v>4279</v>
      </c>
      <c r="C202" s="8" t="s">
        <v>328</v>
      </c>
      <c r="D202" s="8" t="str">
        <f>VLOOKUP(E202,'SchoolInfo (3)'!A:C,3,0)</f>
        <v>'070466022</v>
      </c>
      <c r="E202" s="8">
        <v>79012</v>
      </c>
      <c r="F202" s="8" t="s">
        <v>1316</v>
      </c>
      <c r="G202" s="8" t="str">
        <f>VLOOKUP(E202,'SchoolInfo (3)'!A:K,11,0)</f>
        <v>william.collins@rsd.k12.az.us</v>
      </c>
      <c r="H202" s="8"/>
      <c r="I202" s="8"/>
    </row>
    <row r="203" spans="1:9" s="2" customFormat="1" ht="12.75" x14ac:dyDescent="0.2">
      <c r="A203" s="11" t="str">
        <f>VLOOKUP(B203,'SchoolInfo (3)'!A:C,3,0)</f>
        <v>'070466000</v>
      </c>
      <c r="B203" s="8">
        <v>4279</v>
      </c>
      <c r="C203" s="8" t="s">
        <v>328</v>
      </c>
      <c r="D203" s="8" t="str">
        <f>VLOOKUP(E203,'SchoolInfo (3)'!A:C,3,0)</f>
        <v>'070466021</v>
      </c>
      <c r="E203" s="8">
        <v>79013</v>
      </c>
      <c r="F203" s="8" t="s">
        <v>1382</v>
      </c>
      <c r="G203" s="8" t="str">
        <f>VLOOKUP(E203,'SchoolInfo (3)'!A:K,11,0)</f>
        <v>stephanie.acosta@rsd.k12.az.us</v>
      </c>
      <c r="H203" s="8"/>
      <c r="I203" s="8"/>
    </row>
    <row r="204" spans="1:9" s="2" customFormat="1" ht="12.75" x14ac:dyDescent="0.2">
      <c r="A204" s="11" t="str">
        <f>VLOOKUP(B204,'SchoolInfo (3)'!A:C,3,0)</f>
        <v>'070466000</v>
      </c>
      <c r="B204" s="8">
        <v>4279</v>
      </c>
      <c r="C204" s="8" t="s">
        <v>328</v>
      </c>
      <c r="D204" s="8" t="str">
        <f>VLOOKUP(E204,'SchoolInfo (3)'!A:C,3,0)</f>
        <v>'070466016</v>
      </c>
      <c r="E204" s="8">
        <v>5376</v>
      </c>
      <c r="F204" s="8" t="s">
        <v>1403</v>
      </c>
      <c r="G204" s="8" t="str">
        <f>VLOOKUP(E204,'SchoolInfo (3)'!A:K,11,0)</f>
        <v>stuart.starky@rsd.k12.az.us</v>
      </c>
      <c r="H204" s="8"/>
      <c r="I204" s="8"/>
    </row>
    <row r="205" spans="1:9" s="2" customFormat="1" ht="12.75" x14ac:dyDescent="0.2">
      <c r="A205" s="11" t="str">
        <f>VLOOKUP(B205,'SchoolInfo (3)'!A:C,3,0)</f>
        <v>'070466000</v>
      </c>
      <c r="B205" s="8">
        <v>4279</v>
      </c>
      <c r="C205" s="8" t="s">
        <v>328</v>
      </c>
      <c r="D205" s="8" t="str">
        <f>VLOOKUP(E205,'SchoolInfo (3)'!A:C,3,0)</f>
        <v>'070466007</v>
      </c>
      <c r="E205" s="8">
        <v>5368</v>
      </c>
      <c r="F205" s="8" t="s">
        <v>1457</v>
      </c>
      <c r="G205" s="8" t="str">
        <f>VLOOKUP(E205,'SchoolInfo (3)'!A:K,11,0)</f>
        <v>joyce.luckie@rsd.k12.az.us</v>
      </c>
      <c r="H205" s="8"/>
      <c r="I205" s="8"/>
    </row>
    <row r="206" spans="1:9" s="2" customFormat="1" ht="12.75" x14ac:dyDescent="0.2">
      <c r="A206" s="11" t="str">
        <f>VLOOKUP(B206,'SchoolInfo (3)'!A:C,3,0)</f>
        <v>'110418000</v>
      </c>
      <c r="B206" s="8">
        <v>4449</v>
      </c>
      <c r="C206" s="8" t="s">
        <v>393</v>
      </c>
      <c r="D206" s="8" t="str">
        <f>VLOOKUP(E206,'SchoolInfo (3)'!A:C,3,0)</f>
        <v>'110418001</v>
      </c>
      <c r="E206" s="8">
        <v>5943</v>
      </c>
      <c r="F206" s="8" t="s">
        <v>394</v>
      </c>
      <c r="G206" s="8" t="str">
        <f>VLOOKUP(E206,'SchoolInfo (3)'!A:K,11,0)</f>
        <v>wburton@sacatonschools.org</v>
      </c>
      <c r="H206" s="8"/>
      <c r="I206" s="8"/>
    </row>
    <row r="207" spans="1:9" s="2" customFormat="1" ht="12.75" x14ac:dyDescent="0.2">
      <c r="A207" s="11" t="str">
        <f>VLOOKUP(B207,'SchoolInfo (3)'!A:C,3,0)</f>
        <v>'110418000</v>
      </c>
      <c r="B207" s="8">
        <v>4449</v>
      </c>
      <c r="C207" s="8" t="s">
        <v>393</v>
      </c>
      <c r="D207" s="8" t="str">
        <f>VLOOKUP(E207,'SchoolInfo (3)'!A:C,3,0)</f>
        <v>'110418002</v>
      </c>
      <c r="E207" s="8">
        <v>5944</v>
      </c>
      <c r="F207" s="8" t="s">
        <v>398</v>
      </c>
      <c r="G207" s="8" t="str">
        <f>VLOOKUP(E207,'SchoolInfo (3)'!A:K,11,0)</f>
        <v>agillespie@sacatonschools.org</v>
      </c>
      <c r="H207" s="8"/>
      <c r="I207" s="8"/>
    </row>
    <row r="208" spans="1:9" s="2" customFormat="1" ht="12.75" x14ac:dyDescent="0.2">
      <c r="A208" s="11" t="str">
        <f>VLOOKUP(B208,'SchoolInfo (3)'!A:C,3,0)</f>
        <v>'100230000</v>
      </c>
      <c r="B208" s="8">
        <v>4411</v>
      </c>
      <c r="C208" s="8" t="s">
        <v>332</v>
      </c>
      <c r="D208" s="8" t="str">
        <f>VLOOKUP(E208,'SchoolInfo (3)'!A:C,3,0)</f>
        <v>'100230102</v>
      </c>
      <c r="E208" s="8">
        <v>5841</v>
      </c>
      <c r="F208" s="8" t="s">
        <v>769</v>
      </c>
      <c r="G208" s="8" t="str">
        <f>VLOOKUP(E208,'SchoolInfo (3)'!A:K,11,0)</f>
        <v>draulston@sahuarita.net</v>
      </c>
      <c r="H208" s="8"/>
      <c r="I208" s="8"/>
    </row>
    <row r="209" spans="1:9" s="2" customFormat="1" ht="12.75" x14ac:dyDescent="0.2">
      <c r="A209" s="11" t="str">
        <f>VLOOKUP(B209,'SchoolInfo (3)'!A:C,3,0)</f>
        <v>'150430000</v>
      </c>
      <c r="B209" s="8">
        <v>4514</v>
      </c>
      <c r="C209" s="8" t="s">
        <v>366</v>
      </c>
      <c r="D209" s="8" t="str">
        <f>VLOOKUP(E209,'SchoolInfo (3)'!A:C,3,0)</f>
        <v>'150430101</v>
      </c>
      <c r="E209" s="8">
        <v>6202</v>
      </c>
      <c r="F209" s="8" t="s">
        <v>367</v>
      </c>
      <c r="G209" s="8" t="str">
        <f>VLOOKUP(E209,'SchoolInfo (3)'!A:K,11,0)</f>
        <v>gdean@salomek8.org</v>
      </c>
      <c r="H209" s="8"/>
      <c r="I209" s="8"/>
    </row>
    <row r="210" spans="1:9" x14ac:dyDescent="0.25">
      <c r="A210" s="11" t="str">
        <f>VLOOKUP(B210,'SchoolInfo (3)'!A:C,3,0)</f>
        <v>'040220000</v>
      </c>
      <c r="B210" s="8">
        <v>4210</v>
      </c>
      <c r="C210" s="8" t="s">
        <v>414</v>
      </c>
      <c r="D210" s="8" t="str">
        <f>VLOOKUP(E210,'SchoolInfo (3)'!A:C,3,0)</f>
        <v>'040220203</v>
      </c>
      <c r="E210" s="8">
        <v>89776</v>
      </c>
      <c r="F210" s="8" t="s">
        <v>415</v>
      </c>
      <c r="G210" s="8">
        <f>VLOOKUP(E210,'SchoolInfo (3)'!A:K,11,0)</f>
        <v>0</v>
      </c>
      <c r="H210" s="13"/>
      <c r="I210" s="13"/>
    </row>
    <row r="211" spans="1:9" x14ac:dyDescent="0.25">
      <c r="A211" s="11" t="str">
        <f>VLOOKUP(B211,'SchoolInfo (3)'!A:C,3,0)</f>
        <v>'040220000</v>
      </c>
      <c r="B211" s="8">
        <v>4210</v>
      </c>
      <c r="C211" s="8" t="s">
        <v>414</v>
      </c>
      <c r="D211" s="8" t="str">
        <f>VLOOKUP(E211,'SchoolInfo (3)'!A:C,3,0)</f>
        <v>'040220104</v>
      </c>
      <c r="E211" s="8">
        <v>5989</v>
      </c>
      <c r="F211" s="8" t="s">
        <v>419</v>
      </c>
      <c r="G211" s="8" t="str">
        <f>VLOOKUP(E211,'SchoolInfo (3)'!A:K,11,0)</f>
        <v>valerie_cervantez_lead@yahoo.com</v>
      </c>
      <c r="H211" s="13"/>
      <c r="I211" s="13"/>
    </row>
    <row r="212" spans="1:9" x14ac:dyDescent="0.25">
      <c r="A212" s="11" t="str">
        <f>VLOOKUP(B212,'SchoolInfo (3)'!A:C,3,0)</f>
        <v>'010218000</v>
      </c>
      <c r="B212" s="8">
        <v>4156</v>
      </c>
      <c r="C212" s="8" t="s">
        <v>314</v>
      </c>
      <c r="D212" s="8" t="str">
        <f>VLOOKUP(E212,'SchoolInfo (3)'!A:C,3,0)</f>
        <v>'010218002</v>
      </c>
      <c r="E212" s="8">
        <v>4723</v>
      </c>
      <c r="F212" s="8" t="s">
        <v>471</v>
      </c>
      <c r="G212" s="8" t="str">
        <f>VLOOKUP(E212,'SchoolInfo (3)'!A:K,11,0)</f>
        <v>Sherylsoderstrom@sandersusd.net</v>
      </c>
      <c r="H212" s="13"/>
      <c r="I212" s="13"/>
    </row>
    <row r="213" spans="1:9" x14ac:dyDescent="0.25">
      <c r="A213" s="11" t="str">
        <f>VLOOKUP(B213,'SchoolInfo (3)'!A:C,3,0)</f>
        <v>'010218000</v>
      </c>
      <c r="B213" s="8">
        <v>4156</v>
      </c>
      <c r="C213" s="8" t="s">
        <v>314</v>
      </c>
      <c r="D213" s="8" t="str">
        <f>VLOOKUP(E213,'SchoolInfo (3)'!A:C,3,0)</f>
        <v>'010218001</v>
      </c>
      <c r="E213" s="8">
        <v>4722</v>
      </c>
      <c r="F213" s="8" t="s">
        <v>854</v>
      </c>
      <c r="G213" s="8" t="str">
        <f>VLOOKUP(E213,'SchoolInfo (3)'!A:K,11,0)</f>
        <v>lucinda.swedberg@sandersusd.net</v>
      </c>
      <c r="H213" s="13"/>
      <c r="I213" s="13"/>
    </row>
    <row r="214" spans="1:9" x14ac:dyDescent="0.25">
      <c r="A214" s="11" t="str">
        <f>VLOOKUP(B214,'SchoolInfo (3)'!A:C,3,0)</f>
        <v>'120235000</v>
      </c>
      <c r="B214" s="8">
        <v>4458</v>
      </c>
      <c r="C214" s="8" t="s">
        <v>1268</v>
      </c>
      <c r="D214" s="8" t="str">
        <f>VLOOKUP(E214,'SchoolInfo (3)'!A:C,3,0)</f>
        <v>'120235110</v>
      </c>
      <c r="E214" s="8">
        <v>5963</v>
      </c>
      <c r="F214" s="8" t="s">
        <v>1269</v>
      </c>
      <c r="G214" s="8" t="str">
        <f>VLOOKUP(E214,'SchoolInfo (3)'!A:K,11,0)</f>
        <v>mrenteria@scv35.org</v>
      </c>
      <c r="H214" s="13"/>
      <c r="I214" s="13"/>
    </row>
    <row r="215" spans="1:9" x14ac:dyDescent="0.25">
      <c r="A215" s="11" t="str">
        <f>VLOOKUP(B215,'SchoolInfo (3)'!A:C,3,0)</f>
        <v>'120235000</v>
      </c>
      <c r="B215" s="8">
        <v>4458</v>
      </c>
      <c r="C215" s="8" t="s">
        <v>1268</v>
      </c>
      <c r="D215" s="8" t="str">
        <f>VLOOKUP(E215,'SchoolInfo (3)'!A:C,3,0)</f>
        <v>'120235130</v>
      </c>
      <c r="E215" s="8">
        <v>5965</v>
      </c>
      <c r="F215" s="8" t="s">
        <v>1333</v>
      </c>
      <c r="G215" s="8">
        <f>VLOOKUP(E215,'SchoolInfo (3)'!A:K,11,0)</f>
        <v>0</v>
      </c>
      <c r="H215" s="13"/>
      <c r="I215" s="13"/>
    </row>
    <row r="216" spans="1:9" x14ac:dyDescent="0.25">
      <c r="A216" s="11" t="str">
        <f>VLOOKUP(B216,'SchoolInfo (3)'!A:C,3,0)</f>
        <v>'090205000</v>
      </c>
      <c r="B216" s="8">
        <v>4391</v>
      </c>
      <c r="C216" s="8" t="s">
        <v>1470</v>
      </c>
      <c r="D216" s="8" t="str">
        <f>VLOOKUP(E216,'SchoolInfo (3)'!A:C,3,0)</f>
        <v>'090205001</v>
      </c>
      <c r="E216" s="8">
        <v>5614</v>
      </c>
      <c r="F216" s="8" t="s">
        <v>1471</v>
      </c>
      <c r="G216" s="8" t="str">
        <f>VLOOKUP(E216,'SchoolInfo (3)'!A:K,11,0)</f>
        <v>shonf@snowflake.k12.az.us</v>
      </c>
      <c r="H216" s="13"/>
      <c r="I216" s="13"/>
    </row>
    <row r="217" spans="1:9" x14ac:dyDescent="0.25">
      <c r="A217" s="11" t="str">
        <f>VLOOKUP(B217,'SchoolInfo (3)'!A:C,3,0)</f>
        <v>'078599000</v>
      </c>
      <c r="B217" s="8">
        <v>91108</v>
      </c>
      <c r="C217" s="8" t="s">
        <v>685</v>
      </c>
      <c r="D217" s="8" t="str">
        <f>VLOOKUP(E217,'SchoolInfo (3)'!A:C,3,0)</f>
        <v>'078599301</v>
      </c>
      <c r="E217" s="8">
        <v>91109</v>
      </c>
      <c r="F217" s="8" t="s">
        <v>686</v>
      </c>
      <c r="G217" s="8" t="str">
        <f>VLOOKUP(E217,'SchoolInfo (3)'!A:K,11,0)</f>
        <v>dcoleman@skylineschools.com</v>
      </c>
      <c r="H217" s="13"/>
      <c r="I217" s="13"/>
    </row>
    <row r="218" spans="1:9" x14ac:dyDescent="0.25">
      <c r="A218" s="11" t="str">
        <f>VLOOKUP(B218,'SchoolInfo (3)'!A:C,3,0)</f>
        <v>'108779000</v>
      </c>
      <c r="B218" s="8">
        <v>79085</v>
      </c>
      <c r="C218" s="8" t="s">
        <v>1467</v>
      </c>
      <c r="D218" s="8" t="str">
        <f>VLOOKUP(E218,'SchoolInfo (3)'!A:C,3,0)</f>
        <v>'108779101</v>
      </c>
      <c r="E218" s="8">
        <v>79091</v>
      </c>
      <c r="F218" s="8" t="s">
        <v>1468</v>
      </c>
      <c r="G218" s="8" t="str">
        <f>VLOOKUP(E218,'SchoolInfo (3)'!A:K,11,0)</f>
        <v>dmccraley@southgateaz.org</v>
      </c>
      <c r="H218" s="13"/>
      <c r="I218" s="13"/>
    </row>
    <row r="219" spans="1:9" x14ac:dyDescent="0.25">
      <c r="A219" s="11" t="str">
        <f>VLOOKUP(B219,'SchoolInfo (3)'!A:C,3,0)</f>
        <v>'110424000</v>
      </c>
      <c r="B219" s="8">
        <v>4451</v>
      </c>
      <c r="C219" s="8" t="s">
        <v>317</v>
      </c>
      <c r="D219" s="8" t="str">
        <f>VLOOKUP(E219,'SchoolInfo (3)'!A:C,3,0)</f>
        <v>'110424001</v>
      </c>
      <c r="E219" s="8">
        <v>5946</v>
      </c>
      <c r="F219" s="8" t="s">
        <v>697</v>
      </c>
      <c r="G219" s="8" t="str">
        <f>VLOOKUP(E219,'SchoolInfo (3)'!A:K,11,0)</f>
        <v>djohnson@stanfield.k12.az.us</v>
      </c>
      <c r="H219" s="13"/>
      <c r="I219" s="13"/>
    </row>
    <row r="220" spans="1:9" x14ac:dyDescent="0.25">
      <c r="A220" s="11" t="str">
        <f>VLOOKUP(B220,'SchoolInfo (3)'!A:C,3,0)</f>
        <v>'108227000</v>
      </c>
      <c r="B220" s="8">
        <v>91992</v>
      </c>
      <c r="C220" s="8" t="s">
        <v>1464</v>
      </c>
      <c r="D220" s="8" t="str">
        <f>VLOOKUP(E220,'SchoolInfo (3)'!A:C,3,0)</f>
        <v>'108227001</v>
      </c>
      <c r="E220" s="8">
        <v>92497</v>
      </c>
      <c r="F220" s="8" t="s">
        <v>1465</v>
      </c>
      <c r="G220" s="8">
        <f>VLOOKUP(E220,'SchoolInfo (3)'!A:K,11,0)</f>
        <v>0</v>
      </c>
      <c r="H220" s="13"/>
      <c r="I220" s="13"/>
    </row>
    <row r="221" spans="1:9" x14ac:dyDescent="0.25">
      <c r="A221" s="11" t="str">
        <f>VLOOKUP(B221,'SchoolInfo (3)'!A:C,3,0)</f>
        <v>'100212000</v>
      </c>
      <c r="B221" s="8">
        <v>4407</v>
      </c>
      <c r="C221" s="8" t="s">
        <v>331</v>
      </c>
      <c r="D221" s="8" t="str">
        <f>VLOOKUP(E221,'SchoolInfo (3)'!A:C,3,0)</f>
        <v>'100212106</v>
      </c>
      <c r="E221" s="8">
        <v>5809</v>
      </c>
      <c r="F221" s="8" t="s">
        <v>791</v>
      </c>
      <c r="G221" s="8" t="str">
        <f>VLOOKUP(E221,'SchoolInfo (3)'!A:K,11,0)</f>
        <v>RosemaryR1@susd12.org</v>
      </c>
      <c r="H221" s="13"/>
      <c r="I221" s="13"/>
    </row>
    <row r="222" spans="1:9" x14ac:dyDescent="0.25">
      <c r="A222" s="11" t="str">
        <f>VLOOKUP(B222,'SchoolInfo (3)'!A:C,3,0)</f>
        <v>'100212000</v>
      </c>
      <c r="B222" s="8">
        <v>4407</v>
      </c>
      <c r="C222" s="8" t="s">
        <v>331</v>
      </c>
      <c r="D222" s="8" t="str">
        <f>VLOOKUP(E222,'SchoolInfo (3)'!A:C,3,0)</f>
        <v>'100212112</v>
      </c>
      <c r="E222" s="8">
        <v>5812</v>
      </c>
      <c r="F222" s="8" t="s">
        <v>797</v>
      </c>
      <c r="G222" s="8" t="str">
        <f>VLOOKUP(E222,'SchoolInfo (3)'!A:K,11,0)</f>
        <v>lorenae@susd12.org</v>
      </c>
      <c r="H222" s="13"/>
      <c r="I222" s="13"/>
    </row>
    <row r="223" spans="1:9" x14ac:dyDescent="0.25">
      <c r="A223" s="11" t="str">
        <f>VLOOKUP(B223,'SchoolInfo (3)'!A:C,3,0)</f>
        <v>'100212000</v>
      </c>
      <c r="B223" s="8">
        <v>4407</v>
      </c>
      <c r="C223" s="8" t="s">
        <v>331</v>
      </c>
      <c r="D223" s="8" t="str">
        <f>VLOOKUP(E223,'SchoolInfo (3)'!A:C,3,0)</f>
        <v>'100212131</v>
      </c>
      <c r="E223" s="8">
        <v>5823</v>
      </c>
      <c r="F223" s="8" t="s">
        <v>805</v>
      </c>
      <c r="G223" s="8" t="str">
        <f>VLOOKUP(E223,'SchoolInfo (3)'!A:K,11,0)</f>
        <v>DonnaS@susd12.org</v>
      </c>
      <c r="H223" s="13"/>
      <c r="I223" s="13"/>
    </row>
    <row r="224" spans="1:9" x14ac:dyDescent="0.25">
      <c r="A224" s="11" t="str">
        <f>VLOOKUP(B224,'SchoolInfo (3)'!A:C,3,0)</f>
        <v>'100212000</v>
      </c>
      <c r="B224" s="8">
        <v>4407</v>
      </c>
      <c r="C224" s="8" t="s">
        <v>331</v>
      </c>
      <c r="D224" s="8" t="str">
        <f>VLOOKUP(E224,'SchoolInfo (3)'!A:C,3,0)</f>
        <v>'100212134</v>
      </c>
      <c r="E224" s="8">
        <v>5825</v>
      </c>
      <c r="F224" s="8" t="s">
        <v>810</v>
      </c>
      <c r="G224" s="8" t="str">
        <f>VLOOKUP(E224,'SchoolInfo (3)'!A:K,11,0)</f>
        <v>stevep@susd12.org</v>
      </c>
      <c r="H224" s="13"/>
      <c r="I224" s="13"/>
    </row>
    <row r="225" spans="1:9" x14ac:dyDescent="0.25">
      <c r="A225" s="11" t="str">
        <f>VLOOKUP(B225,'SchoolInfo (3)'!A:C,3,0)</f>
        <v>'100212000</v>
      </c>
      <c r="B225" s="8">
        <v>4407</v>
      </c>
      <c r="C225" s="8" t="s">
        <v>331</v>
      </c>
      <c r="D225" s="8" t="str">
        <f>VLOOKUP(E225,'SchoolInfo (3)'!A:C,3,0)</f>
        <v>'100212119</v>
      </c>
      <c r="E225" s="8">
        <v>5818</v>
      </c>
      <c r="F225" s="8" t="s">
        <v>816</v>
      </c>
      <c r="G225" s="8" t="str">
        <f>VLOOKUP(E225,'SchoolInfo (3)'!A:K,11,0)</f>
        <v>pamb@susd12.org</v>
      </c>
      <c r="H225" s="13"/>
      <c r="I225" s="13"/>
    </row>
    <row r="226" spans="1:9" x14ac:dyDescent="0.25">
      <c r="A226" s="11" t="str">
        <f>VLOOKUP(B226,'SchoolInfo (3)'!A:C,3,0)</f>
        <v>'100212000</v>
      </c>
      <c r="B226" s="8">
        <v>4407</v>
      </c>
      <c r="C226" s="8" t="s">
        <v>331</v>
      </c>
      <c r="D226" s="8" t="str">
        <f>VLOOKUP(E226,'SchoolInfo (3)'!A:C,3,0)</f>
        <v>'100212132</v>
      </c>
      <c r="E226" s="8">
        <v>5824</v>
      </c>
      <c r="F226" s="8" t="s">
        <v>1430</v>
      </c>
      <c r="G226" s="8">
        <f>VLOOKUP(E226,'SchoolInfo (3)'!A:K,11,0)</f>
        <v>0</v>
      </c>
      <c r="H226" s="13"/>
      <c r="I226" s="13"/>
    </row>
    <row r="227" spans="1:9" x14ac:dyDescent="0.25">
      <c r="A227" s="11" t="str">
        <f>VLOOKUP(B227,'SchoolInfo (3)'!A:C,3,0)</f>
        <v>'100212000</v>
      </c>
      <c r="B227" s="8">
        <v>4407</v>
      </c>
      <c r="C227" s="8" t="s">
        <v>331</v>
      </c>
      <c r="D227" s="8" t="str">
        <f>VLOOKUP(E227,'SchoolInfo (3)'!A:C,3,0)</f>
        <v>'100212117</v>
      </c>
      <c r="E227" s="8">
        <v>5816</v>
      </c>
      <c r="F227" s="8" t="s">
        <v>1480</v>
      </c>
      <c r="G227" s="8" t="str">
        <f>VLOOKUP(E227,'SchoolInfo (3)'!A:K,11,0)</f>
        <v>CristelaA@susd12.org</v>
      </c>
      <c r="H227" s="13"/>
      <c r="I227" s="13"/>
    </row>
    <row r="228" spans="1:9" x14ac:dyDescent="0.25">
      <c r="A228" s="11" t="str">
        <f>VLOOKUP(B228,'SchoolInfo (3)'!A:C,3,0)</f>
        <v>'100212000</v>
      </c>
      <c r="B228" s="8">
        <v>4407</v>
      </c>
      <c r="C228" s="8" t="s">
        <v>331</v>
      </c>
      <c r="D228" s="8" t="str">
        <f>VLOOKUP(E228,'SchoolInfo (3)'!A:C,3,0)</f>
        <v>'100212116</v>
      </c>
      <c r="E228" s="8">
        <v>5815</v>
      </c>
      <c r="F228" s="8" t="s">
        <v>1516</v>
      </c>
      <c r="G228" s="8" t="str">
        <f>VLOOKUP(E228,'SchoolInfo (3)'!A:K,11,0)</f>
        <v>ClaudiaG@susd12.org</v>
      </c>
      <c r="H228" s="13"/>
      <c r="I228" s="13"/>
    </row>
    <row r="229" spans="1:9" x14ac:dyDescent="0.25">
      <c r="A229" s="11" t="str">
        <f>VLOOKUP(B229,'SchoolInfo (3)'!A:C,3,0)</f>
        <v>'100212000</v>
      </c>
      <c r="B229" s="8">
        <v>4407</v>
      </c>
      <c r="C229" s="8" t="s">
        <v>331</v>
      </c>
      <c r="D229" s="8" t="str">
        <f>VLOOKUP(E229,'SchoolInfo (3)'!A:C,3,0)</f>
        <v>'100212118</v>
      </c>
      <c r="E229" s="8">
        <v>5817</v>
      </c>
      <c r="F229" s="8" t="s">
        <v>1538</v>
      </c>
      <c r="G229" s="8" t="str">
        <f>VLOOKUP(E229,'SchoolInfo (3)'!A:K,11,0)</f>
        <v>DedeeK@susd12.org</v>
      </c>
      <c r="H229" s="13"/>
      <c r="I229" s="13"/>
    </row>
    <row r="230" spans="1:9" x14ac:dyDescent="0.25">
      <c r="A230" s="11" t="str">
        <f>VLOOKUP(B230,'SchoolInfo (3)'!A:C,3,0)</f>
        <v>'070403000</v>
      </c>
      <c r="B230" s="8">
        <v>4258</v>
      </c>
      <c r="C230" s="8" t="s">
        <v>701</v>
      </c>
      <c r="D230" s="8" t="str">
        <f>VLOOKUP(E230,'SchoolInfo (3)'!A:C,3,0)</f>
        <v>'070403121</v>
      </c>
      <c r="E230" s="8">
        <v>5220</v>
      </c>
      <c r="F230" s="8" t="s">
        <v>702</v>
      </c>
      <c r="G230" s="8">
        <f>VLOOKUP(E230,'SchoolInfo (3)'!A:K,11,0)</f>
        <v>0</v>
      </c>
      <c r="H230" s="13"/>
      <c r="I230" s="13"/>
    </row>
    <row r="231" spans="1:9" x14ac:dyDescent="0.25">
      <c r="A231" s="11" t="str">
        <f>VLOOKUP(B231,'SchoolInfo (3)'!A:C,3,0)</f>
        <v>'070403000</v>
      </c>
      <c r="B231" s="8">
        <v>4258</v>
      </c>
      <c r="C231" s="8" t="s">
        <v>701</v>
      </c>
      <c r="D231" s="8" t="str">
        <f>VLOOKUP(E231,'SchoolInfo (3)'!A:C,3,0)</f>
        <v>'070403117</v>
      </c>
      <c r="E231" s="8">
        <v>5216</v>
      </c>
      <c r="F231" s="8" t="s">
        <v>710</v>
      </c>
      <c r="G231" s="8" t="str">
        <f>VLOOKUP(E231,'SchoolInfo (3)'!A:K,11,0)</f>
        <v>mnikolic@tempeschools.org</v>
      </c>
      <c r="H231" s="13"/>
      <c r="I231" s="13"/>
    </row>
    <row r="232" spans="1:9" x14ac:dyDescent="0.25">
      <c r="A232" s="11" t="str">
        <f>VLOOKUP(B232,'SchoolInfo (3)'!A:C,3,0)</f>
        <v>'070403000</v>
      </c>
      <c r="B232" s="8">
        <v>4258</v>
      </c>
      <c r="C232" s="8" t="s">
        <v>701</v>
      </c>
      <c r="D232" s="8" t="str">
        <f>VLOOKUP(E232,'SchoolInfo (3)'!A:C,3,0)</f>
        <v>'070403115</v>
      </c>
      <c r="E232" s="8">
        <v>5215</v>
      </c>
      <c r="F232" s="8" t="s">
        <v>1387</v>
      </c>
      <c r="G232" s="8">
        <f>VLOOKUP(E232,'SchoolInfo (3)'!A:K,11,0)</f>
        <v>0</v>
      </c>
      <c r="H232" s="13"/>
      <c r="I232" s="13"/>
    </row>
    <row r="233" spans="1:9" x14ac:dyDescent="0.25">
      <c r="A233" s="11" t="str">
        <f>VLOOKUP(B233,'SchoolInfo (3)'!A:C,3,0)</f>
        <v>'070403000</v>
      </c>
      <c r="B233" s="8">
        <v>4258</v>
      </c>
      <c r="C233" s="8" t="s">
        <v>701</v>
      </c>
      <c r="D233" s="8" t="str">
        <f>VLOOKUP(E233,'SchoolInfo (3)'!A:C,3,0)</f>
        <v>'070403143</v>
      </c>
      <c r="E233" s="8">
        <v>5230</v>
      </c>
      <c r="F233" s="8" t="s">
        <v>1415</v>
      </c>
      <c r="G233" s="8" t="str">
        <f>VLOOKUP(E233,'SchoolInfo (3)'!A:K,11,0)</f>
        <v>Jolyn.gibbons@tempeschools.org</v>
      </c>
      <c r="H233" s="13"/>
      <c r="I233" s="13"/>
    </row>
    <row r="234" spans="1:9" x14ac:dyDescent="0.25">
      <c r="A234" s="11" t="str">
        <f>VLOOKUP(B234,'SchoolInfo (3)'!A:C,3,0)</f>
        <v>'070417000</v>
      </c>
      <c r="B234" s="8">
        <v>4264</v>
      </c>
      <c r="C234" s="8" t="s">
        <v>1281</v>
      </c>
      <c r="D234" s="8" t="str">
        <f>VLOOKUP(E234,'SchoolInfo (3)'!A:C,3,0)</f>
        <v>'070417102</v>
      </c>
      <c r="E234" s="8">
        <v>10869</v>
      </c>
      <c r="F234" s="8" t="s">
        <v>502</v>
      </c>
      <c r="G234" s="8">
        <f>VLOOKUP(E234,'SchoolInfo (3)'!A:K,11,0)</f>
        <v>0</v>
      </c>
      <c r="H234" s="13"/>
      <c r="I234" s="13"/>
    </row>
    <row r="235" spans="1:9" x14ac:dyDescent="0.25">
      <c r="A235" s="11" t="str">
        <f>VLOOKUP(B235,'SchoolInfo (3)'!A:C,3,0)</f>
        <v>'070417000</v>
      </c>
      <c r="B235" s="8">
        <v>4264</v>
      </c>
      <c r="C235" s="8" t="s">
        <v>1281</v>
      </c>
      <c r="D235" s="8" t="str">
        <f>VLOOKUP(E235,'SchoolInfo (3)'!A:C,3,0)</f>
        <v>'070417103</v>
      </c>
      <c r="E235" s="8">
        <v>79402</v>
      </c>
      <c r="F235" s="8" t="s">
        <v>1357</v>
      </c>
      <c r="G235" s="8" t="str">
        <f>VLOOKUP(E235,'SchoolInfo (3)'!A:K,11,0)</f>
        <v>jscudder@tesd.k12.az.us</v>
      </c>
      <c r="H235" s="13"/>
      <c r="I235" s="13"/>
    </row>
    <row r="236" spans="1:9" x14ac:dyDescent="0.25">
      <c r="A236" s="11" t="str">
        <f>VLOOKUP(B236,'SchoolInfo (3)'!A:C,3,0)</f>
        <v>'110422000</v>
      </c>
      <c r="B236" s="8">
        <v>4450</v>
      </c>
      <c r="C236" s="8" t="s">
        <v>1541</v>
      </c>
      <c r="D236" s="8" t="str">
        <f>VLOOKUP(E236,'SchoolInfo (3)'!A:C,3,0)</f>
        <v>'110422105</v>
      </c>
      <c r="E236" s="8">
        <v>92244</v>
      </c>
      <c r="F236" s="8" t="s">
        <v>1542</v>
      </c>
      <c r="G236" s="8" t="str">
        <f>VLOOKUP(E236,'SchoolInfo (3)'!A:K,11,0)</f>
        <v>bmccleney@toltecsd.org</v>
      </c>
      <c r="H236" s="13"/>
      <c r="I236" s="13"/>
    </row>
    <row r="237" spans="1:9" x14ac:dyDescent="0.25">
      <c r="A237" s="11" t="str">
        <f>VLOOKUP(B237,'SchoolInfo (3)'!A:C,3,0)</f>
        <v>'080412000</v>
      </c>
      <c r="B237" s="8">
        <v>4376</v>
      </c>
      <c r="C237" s="8" t="s">
        <v>1255</v>
      </c>
      <c r="D237" s="8" t="str">
        <f>VLOOKUP(E237,'SchoolInfo (3)'!A:C,3,0)</f>
        <v>'080412012</v>
      </c>
      <c r="E237" s="8">
        <v>5581</v>
      </c>
      <c r="F237" s="8" t="s">
        <v>1256</v>
      </c>
      <c r="G237" s="8" t="str">
        <f>VLOOKUP(E237,'SchoolInfo (3)'!A:K,11,0)</f>
        <v>jwarren@topockschool.com</v>
      </c>
      <c r="H237" s="13"/>
      <c r="I237" s="13"/>
    </row>
    <row r="238" spans="1:9" x14ac:dyDescent="0.25">
      <c r="A238" s="11" t="str">
        <f>VLOOKUP(B238,'SchoolInfo (3)'!A:C,3,0)</f>
        <v>'030215000</v>
      </c>
      <c r="B238" s="8">
        <v>4197</v>
      </c>
      <c r="C238" s="8" t="s">
        <v>399</v>
      </c>
      <c r="D238" s="8" t="str">
        <f>VLOOKUP(E238,'SchoolInfo (3)'!A:C,3,0)</f>
        <v>'030215111</v>
      </c>
      <c r="E238" s="8">
        <v>4834</v>
      </c>
      <c r="F238" s="8" t="s">
        <v>400</v>
      </c>
      <c r="G238" s="8" t="str">
        <f>VLOOKUP(E238,'SchoolInfo (3)'!A:K,11,0)</f>
        <v>sisaac@tcusd.org</v>
      </c>
      <c r="H238" s="13"/>
      <c r="I238" s="13"/>
    </row>
    <row r="239" spans="1:9" x14ac:dyDescent="0.25">
      <c r="A239" s="11" t="str">
        <f>VLOOKUP(B239,'SchoolInfo (3)'!A:C,3,0)</f>
        <v>'030215000</v>
      </c>
      <c r="B239" s="8">
        <v>4197</v>
      </c>
      <c r="C239" s="8" t="s">
        <v>399</v>
      </c>
      <c r="D239" s="8" t="str">
        <f>VLOOKUP(E239,'SchoolInfo (3)'!A:C,3,0)</f>
        <v>'030215110</v>
      </c>
      <c r="E239" s="8">
        <v>4833</v>
      </c>
      <c r="F239" s="8" t="s">
        <v>404</v>
      </c>
      <c r="G239" s="8" t="str">
        <f>VLOOKUP(E239,'SchoolInfo (3)'!A:K,11,0)</f>
        <v>snavaho@tcusd.org</v>
      </c>
      <c r="H239" s="13"/>
      <c r="I239" s="13"/>
    </row>
    <row r="240" spans="1:9" x14ac:dyDescent="0.25">
      <c r="A240" s="11" t="str">
        <f>VLOOKUP(B240,'SchoolInfo (3)'!A:C,3,0)</f>
        <v>'030215000</v>
      </c>
      <c r="B240" s="8">
        <v>4197</v>
      </c>
      <c r="C240" s="8" t="s">
        <v>399</v>
      </c>
      <c r="D240" s="8" t="str">
        <f>VLOOKUP(E240,'SchoolInfo (3)'!A:C,3,0)</f>
        <v>'030215112</v>
      </c>
      <c r="E240" s="8">
        <v>4835</v>
      </c>
      <c r="F240" s="8" t="s">
        <v>407</v>
      </c>
      <c r="G240" s="8" t="str">
        <f>VLOOKUP(E240,'SchoolInfo (3)'!A:K,11,0)</f>
        <v>sisaac@tcusd.org</v>
      </c>
      <c r="H240" s="13"/>
      <c r="I240" s="13"/>
    </row>
    <row r="241" spans="1:9" x14ac:dyDescent="0.25">
      <c r="A241" s="11" t="str">
        <f>VLOOKUP(B241,'SchoolInfo (3)'!A:C,3,0)</f>
        <v>'030215000</v>
      </c>
      <c r="B241" s="8">
        <v>4197</v>
      </c>
      <c r="C241" s="8" t="s">
        <v>399</v>
      </c>
      <c r="D241" s="8" t="str">
        <f>VLOOKUP(E241,'SchoolInfo (3)'!A:C,3,0)</f>
        <v>'030215130</v>
      </c>
      <c r="E241" s="8">
        <v>4837</v>
      </c>
      <c r="F241" s="8" t="s">
        <v>409</v>
      </c>
      <c r="G241" s="8" t="str">
        <f>VLOOKUP(E241,'SchoolInfo (3)'!A:K,11,0)</f>
        <v>hgbegay@tcusd.org</v>
      </c>
      <c r="H241" s="13"/>
      <c r="I241" s="13"/>
    </row>
    <row r="242" spans="1:9" x14ac:dyDescent="0.25">
      <c r="A242" s="11" t="str">
        <f>VLOOKUP(B242,'SchoolInfo (3)'!A:C,3,0)</f>
        <v>'108714000</v>
      </c>
      <c r="B242" s="8">
        <v>79979</v>
      </c>
      <c r="C242" s="8" t="s">
        <v>1427</v>
      </c>
      <c r="D242" s="8" t="str">
        <f>VLOOKUP(E242,'SchoolInfo (3)'!A:C,3,0)</f>
        <v>'108714104</v>
      </c>
      <c r="E242" s="8">
        <v>90045</v>
      </c>
      <c r="F242" s="8" t="s">
        <v>1428</v>
      </c>
      <c r="G242" s="8">
        <f>VLOOKUP(E242,'SchoolInfo (3)'!A:K,11,0)</f>
        <v>0</v>
      </c>
      <c r="H242" s="13"/>
      <c r="I242" s="13"/>
    </row>
    <row r="243" spans="1:9" x14ac:dyDescent="0.25">
      <c r="A243" s="11" t="str">
        <f>VLOOKUP(B243,'SchoolInfo (3)'!A:C,3,0)</f>
        <v>'100201000</v>
      </c>
      <c r="B243" s="8">
        <v>4403</v>
      </c>
      <c r="C243" s="8" t="s">
        <v>330</v>
      </c>
      <c r="D243" s="8" t="str">
        <f>VLOOKUP(E243,'SchoolInfo (3)'!A:C,3,0)</f>
        <v>'100201277</v>
      </c>
      <c r="E243" s="8">
        <v>5694</v>
      </c>
      <c r="F243" s="8" t="s">
        <v>766</v>
      </c>
      <c r="G243" s="8" t="str">
        <f>VLOOKUP(E243,'SchoolInfo (3)'!A:K,11,0)</f>
        <v>Zulema.Stanbrook@tusd1.org</v>
      </c>
      <c r="H243" s="13"/>
      <c r="I243" s="13"/>
    </row>
    <row r="244" spans="1:9" x14ac:dyDescent="0.25">
      <c r="A244" s="11" t="str">
        <f>VLOOKUP(B244,'SchoolInfo (3)'!A:C,3,0)</f>
        <v>'100201000</v>
      </c>
      <c r="B244" s="8">
        <v>4403</v>
      </c>
      <c r="C244" s="8" t="s">
        <v>330</v>
      </c>
      <c r="D244" s="8" t="str">
        <f>VLOOKUP(E244,'SchoolInfo (3)'!A:C,3,0)</f>
        <v>'100201557</v>
      </c>
      <c r="E244" s="8">
        <v>5751</v>
      </c>
      <c r="F244" s="8" t="s">
        <v>772</v>
      </c>
      <c r="G244" s="8" t="str">
        <f>VLOOKUP(E244,'SchoolInfo (3)'!A:K,11,0)</f>
        <v>Patricia.acosta@tusd1.org</v>
      </c>
      <c r="H244" s="13"/>
      <c r="I244" s="13"/>
    </row>
    <row r="245" spans="1:9" x14ac:dyDescent="0.25">
      <c r="A245" s="11" t="str">
        <f>VLOOKUP(B245,'SchoolInfo (3)'!A:C,3,0)</f>
        <v>'100201000</v>
      </c>
      <c r="B245" s="8">
        <v>4403</v>
      </c>
      <c r="C245" s="8" t="s">
        <v>330</v>
      </c>
      <c r="D245" s="8" t="str">
        <f>VLOOKUP(E245,'SchoolInfo (3)'!A:C,3,0)</f>
        <v>'100201311</v>
      </c>
      <c r="E245" s="8">
        <v>5705</v>
      </c>
      <c r="F245" s="8" t="s">
        <v>784</v>
      </c>
      <c r="G245" s="8" t="str">
        <f>VLOOKUP(E245,'SchoolInfo (3)'!A:K,11,0)</f>
        <v>Sandra.Calkins@tusd1.org</v>
      </c>
      <c r="H245" s="13"/>
      <c r="I245" s="13"/>
    </row>
    <row r="246" spans="1:9" x14ac:dyDescent="0.25">
      <c r="A246" s="11" t="str">
        <f>VLOOKUP(B246,'SchoolInfo (3)'!A:C,3,0)</f>
        <v>'100201000</v>
      </c>
      <c r="B246" s="8">
        <v>4403</v>
      </c>
      <c r="C246" s="8" t="s">
        <v>330</v>
      </c>
      <c r="D246" s="8" t="str">
        <f>VLOOKUP(E246,'SchoolInfo (3)'!A:C,3,0)</f>
        <v>'100201323</v>
      </c>
      <c r="E246" s="8">
        <v>5707</v>
      </c>
      <c r="F246" s="8" t="s">
        <v>793</v>
      </c>
      <c r="G246" s="8" t="str">
        <f>VLOOKUP(E246,'SchoolInfo (3)'!A:K,11,0)</f>
        <v>Rosamaria.DuarteRaub@tusd1.org</v>
      </c>
      <c r="H246" s="13"/>
      <c r="I246" s="13"/>
    </row>
    <row r="247" spans="1:9" x14ac:dyDescent="0.25">
      <c r="A247" s="11" t="str">
        <f>VLOOKUP(B247,'SchoolInfo (3)'!A:C,3,0)</f>
        <v>'100201000</v>
      </c>
      <c r="B247" s="8">
        <v>4403</v>
      </c>
      <c r="C247" s="8" t="s">
        <v>330</v>
      </c>
      <c r="D247" s="8" t="str">
        <f>VLOOKUP(E247,'SchoolInfo (3)'!A:C,3,0)</f>
        <v>'100201535</v>
      </c>
      <c r="E247" s="8">
        <v>5746</v>
      </c>
      <c r="F247" s="8" t="s">
        <v>795</v>
      </c>
      <c r="G247" s="8" t="str">
        <f>VLOOKUP(E247,'SchoolInfo (3)'!A:K,11,0)</f>
        <v>steve.gabaldon@tusd1.org</v>
      </c>
      <c r="H247" s="13"/>
      <c r="I247" s="13"/>
    </row>
    <row r="248" spans="1:9" x14ac:dyDescent="0.25">
      <c r="A248" s="11" t="str">
        <f>VLOOKUP(B248,'SchoolInfo (3)'!A:C,3,0)</f>
        <v>'100201000</v>
      </c>
      <c r="B248" s="8">
        <v>4403</v>
      </c>
      <c r="C248" s="8" t="s">
        <v>330</v>
      </c>
      <c r="D248" s="8" t="str">
        <f>VLOOKUP(E248,'SchoolInfo (3)'!A:C,3,0)</f>
        <v>'100201431</v>
      </c>
      <c r="E248" s="8">
        <v>5726</v>
      </c>
      <c r="F248" s="8" t="s">
        <v>799</v>
      </c>
      <c r="G248" s="8" t="str">
        <f>VLOOKUP(E248,'SchoolInfo (3)'!A:K,11,0)</f>
        <v>Roberto.Thompson@tusd1.org</v>
      </c>
      <c r="H248" s="13"/>
      <c r="I248" s="13"/>
    </row>
    <row r="249" spans="1:9" x14ac:dyDescent="0.25">
      <c r="A249" s="11" t="str">
        <f>VLOOKUP(B249,'SchoolInfo (3)'!A:C,3,0)</f>
        <v>'100201000</v>
      </c>
      <c r="B249" s="8">
        <v>4403</v>
      </c>
      <c r="C249" s="8" t="s">
        <v>330</v>
      </c>
      <c r="D249" s="8" t="str">
        <f>VLOOKUP(E249,'SchoolInfo (3)'!A:C,3,0)</f>
        <v>'100201239</v>
      </c>
      <c r="E249" s="8">
        <v>5686</v>
      </c>
      <c r="F249" s="8" t="s">
        <v>803</v>
      </c>
      <c r="G249" s="8" t="str">
        <f>VLOOKUP(E249,'SchoolInfo (3)'!A:K,11,0)</f>
        <v>Tonya.Stozier@tusd1.org</v>
      </c>
      <c r="H249" s="13"/>
      <c r="I249" s="13"/>
    </row>
    <row r="250" spans="1:9" x14ac:dyDescent="0.25">
      <c r="A250" s="11" t="str">
        <f>VLOOKUP(B250,'SchoolInfo (3)'!A:C,3,0)</f>
        <v>'100201000</v>
      </c>
      <c r="B250" s="8">
        <v>4403</v>
      </c>
      <c r="C250" s="8" t="s">
        <v>330</v>
      </c>
      <c r="D250" s="8" t="str">
        <f>VLOOKUP(E250,'SchoolInfo (3)'!A:C,3,0)</f>
        <v>'100201505</v>
      </c>
      <c r="E250" s="8">
        <v>5737</v>
      </c>
      <c r="F250" s="8" t="s">
        <v>820</v>
      </c>
      <c r="G250" s="8" t="str">
        <f>VLOOKUP(E250,'SchoolInfo (3)'!A:K,11,0)</f>
        <v>venessa.morales@tusd1.org</v>
      </c>
      <c r="H250" s="13"/>
      <c r="I250" s="13"/>
    </row>
    <row r="251" spans="1:9" x14ac:dyDescent="0.25">
      <c r="A251" s="11" t="str">
        <f>VLOOKUP(B251,'SchoolInfo (3)'!A:C,3,0)</f>
        <v>'100201000</v>
      </c>
      <c r="B251" s="8">
        <v>4403</v>
      </c>
      <c r="C251" s="8" t="s">
        <v>330</v>
      </c>
      <c r="D251" s="8" t="str">
        <f>VLOOKUP(E251,'SchoolInfo (3)'!A:C,3,0)</f>
        <v>'100201461</v>
      </c>
      <c r="E251" s="8">
        <v>5733</v>
      </c>
      <c r="F251" s="8" t="s">
        <v>822</v>
      </c>
      <c r="G251" s="8">
        <f>VLOOKUP(E251,'SchoolInfo (3)'!A:K,11,0)</f>
        <v>0</v>
      </c>
      <c r="H251" s="13"/>
      <c r="I251" s="13"/>
    </row>
    <row r="252" spans="1:9" x14ac:dyDescent="0.25">
      <c r="A252" s="11" t="str">
        <f>VLOOKUP(B252,'SchoolInfo (3)'!A:C,3,0)</f>
        <v>'100201000</v>
      </c>
      <c r="B252" s="8">
        <v>4403</v>
      </c>
      <c r="C252" s="8" t="s">
        <v>330</v>
      </c>
      <c r="D252" s="8" t="str">
        <f>VLOOKUP(E252,'SchoolInfo (3)'!A:C,3,0)</f>
        <v>'100201525</v>
      </c>
      <c r="E252" s="8">
        <v>5744</v>
      </c>
      <c r="F252" s="8" t="s">
        <v>824</v>
      </c>
      <c r="G252" s="8" t="str">
        <f>VLOOKUP(E252,'SchoolInfo (3)'!A:K,11,0)</f>
        <v>Bernasette.RosthenhauslerEspinoza@tusd1.org</v>
      </c>
      <c r="H252" s="13"/>
      <c r="I252" s="13"/>
    </row>
    <row r="253" spans="1:9" x14ac:dyDescent="0.25">
      <c r="A253" s="11" t="str">
        <f>VLOOKUP(B253,'SchoolInfo (3)'!A:C,3,0)</f>
        <v>'100201000</v>
      </c>
      <c r="B253" s="8">
        <v>4403</v>
      </c>
      <c r="C253" s="8" t="s">
        <v>330</v>
      </c>
      <c r="D253" s="8" t="str">
        <f>VLOOKUP(E253,'SchoolInfo (3)'!A:C,3,0)</f>
        <v>'100201317</v>
      </c>
      <c r="E253" s="8">
        <v>5706</v>
      </c>
      <c r="F253" s="8" t="s">
        <v>826</v>
      </c>
      <c r="G253" s="8">
        <f>VLOOKUP(E253,'SchoolInfo (3)'!A:K,11,0)</f>
        <v>0</v>
      </c>
      <c r="H253" s="13"/>
      <c r="I253" s="13"/>
    </row>
    <row r="254" spans="1:9" x14ac:dyDescent="0.25">
      <c r="A254" s="11" t="str">
        <f>VLOOKUP(B254,'SchoolInfo (3)'!A:C,3,0)</f>
        <v>'100201000</v>
      </c>
      <c r="B254" s="8">
        <v>4403</v>
      </c>
      <c r="C254" s="8" t="s">
        <v>330</v>
      </c>
      <c r="D254" s="8" t="str">
        <f>VLOOKUP(E254,'SchoolInfo (3)'!A:C,3,0)</f>
        <v>'100201197</v>
      </c>
      <c r="E254" s="8">
        <v>5673</v>
      </c>
      <c r="F254" s="8" t="s">
        <v>828</v>
      </c>
      <c r="G254" s="8">
        <f>VLOOKUP(E254,'SchoolInfo (3)'!A:K,11,0)</f>
        <v>0</v>
      </c>
      <c r="H254" s="13"/>
      <c r="I254" s="13"/>
    </row>
    <row r="255" spans="1:9" x14ac:dyDescent="0.25">
      <c r="A255" s="11" t="str">
        <f>VLOOKUP(B255,'SchoolInfo (3)'!A:C,3,0)</f>
        <v>'100201000</v>
      </c>
      <c r="B255" s="8">
        <v>4403</v>
      </c>
      <c r="C255" s="8" t="s">
        <v>330</v>
      </c>
      <c r="D255" s="8" t="str">
        <f>VLOOKUP(E255,'SchoolInfo (3)'!A:C,3,0)</f>
        <v>'100201537</v>
      </c>
      <c r="E255" s="8">
        <v>5747</v>
      </c>
      <c r="F255" s="8" t="s">
        <v>831</v>
      </c>
      <c r="G255" s="8" t="str">
        <f>VLOOKUP(E255,'SchoolInfo (3)'!A:K,11,0)</f>
        <v>Deborah.Garcia@tusd1.org</v>
      </c>
      <c r="H255" s="13"/>
      <c r="I255" s="13"/>
    </row>
    <row r="256" spans="1:9" x14ac:dyDescent="0.25">
      <c r="A256" s="11" t="str">
        <f>VLOOKUP(B256,'SchoolInfo (3)'!A:C,3,0)</f>
        <v>'100201000</v>
      </c>
      <c r="B256" s="8">
        <v>4403</v>
      </c>
      <c r="C256" s="8" t="s">
        <v>330</v>
      </c>
      <c r="D256" s="8" t="str">
        <f>VLOOKUP(E256,'SchoolInfo (3)'!A:C,3,0)</f>
        <v>'100201128</v>
      </c>
      <c r="E256" s="8">
        <v>5660</v>
      </c>
      <c r="F256" s="8" t="s">
        <v>1310</v>
      </c>
      <c r="G256" s="8" t="str">
        <f>VLOOKUP(E256,'SchoolInfo (3)'!A:K,11,0)</f>
        <v>lucinda.brunenkant@tusd1.org</v>
      </c>
      <c r="H256" s="13"/>
      <c r="I256" s="13"/>
    </row>
    <row r="257" spans="1:9" x14ac:dyDescent="0.25">
      <c r="A257" s="11" t="str">
        <f>VLOOKUP(B257,'SchoolInfo (3)'!A:C,3,0)</f>
        <v>'100201000</v>
      </c>
      <c r="B257" s="8">
        <v>4403</v>
      </c>
      <c r="C257" s="8" t="s">
        <v>330</v>
      </c>
      <c r="D257" s="8" t="str">
        <f>VLOOKUP(E257,'SchoolInfo (3)'!A:C,3,0)</f>
        <v>'100201131</v>
      </c>
      <c r="E257" s="8">
        <v>5661</v>
      </c>
      <c r="F257" s="8" t="s">
        <v>1318</v>
      </c>
      <c r="G257" s="8" t="str">
        <f>VLOOKUP(E257,'SchoolInfo (3)'!A:K,11,0)</f>
        <v>frank.schiavone@tusd1.org</v>
      </c>
      <c r="H257" s="13"/>
      <c r="I257" s="13"/>
    </row>
    <row r="258" spans="1:9" x14ac:dyDescent="0.25">
      <c r="A258" s="11" t="str">
        <f>VLOOKUP(B258,'SchoolInfo (3)'!A:C,3,0)</f>
        <v>'100201000</v>
      </c>
      <c r="B258" s="8">
        <v>4403</v>
      </c>
      <c r="C258" s="8" t="s">
        <v>330</v>
      </c>
      <c r="D258" s="8" t="str">
        <f>VLOOKUP(E258,'SchoolInfo (3)'!A:C,3,0)</f>
        <v>'100201233</v>
      </c>
      <c r="E258" s="8">
        <v>5684</v>
      </c>
      <c r="F258" s="8" t="s">
        <v>1341</v>
      </c>
      <c r="G258" s="8">
        <f>VLOOKUP(E258,'SchoolInfo (3)'!A:K,11,0)</f>
        <v>0</v>
      </c>
      <c r="H258" s="13"/>
      <c r="I258" s="13"/>
    </row>
    <row r="259" spans="1:9" x14ac:dyDescent="0.25">
      <c r="A259" s="11" t="str">
        <f>VLOOKUP(B259,'SchoolInfo (3)'!A:C,3,0)</f>
        <v>'100201000</v>
      </c>
      <c r="B259" s="8">
        <v>4403</v>
      </c>
      <c r="C259" s="8" t="s">
        <v>330</v>
      </c>
      <c r="D259" s="8" t="str">
        <f>VLOOKUP(E259,'SchoolInfo (3)'!A:C,3,0)</f>
        <v>'100201125</v>
      </c>
      <c r="E259" s="8">
        <v>5659</v>
      </c>
      <c r="F259" s="8" t="s">
        <v>1417</v>
      </c>
      <c r="G259" s="8" t="str">
        <f>VLOOKUP(E259,'SchoolInfo (3)'!A:K,11,0)</f>
        <v>kelly.mack@tusd1.org</v>
      </c>
      <c r="H259" s="13"/>
      <c r="I259" s="13"/>
    </row>
    <row r="260" spans="1:9" x14ac:dyDescent="0.25">
      <c r="A260" s="11" t="str">
        <f>VLOOKUP(B260,'SchoolInfo (3)'!A:C,3,0)</f>
        <v>'100201000</v>
      </c>
      <c r="B260" s="8">
        <v>4403</v>
      </c>
      <c r="C260" s="8" t="s">
        <v>330</v>
      </c>
      <c r="D260" s="8" t="str">
        <f>VLOOKUP(E260,'SchoolInfo (3)'!A:C,3,0)</f>
        <v>'100201167</v>
      </c>
      <c r="E260" s="8">
        <v>5667</v>
      </c>
      <c r="F260" s="8" t="s">
        <v>1419</v>
      </c>
      <c r="G260" s="8" t="str">
        <f>VLOOKUP(E260,'SchoolInfo (3)'!A:K,11,0)</f>
        <v>carol.leeson@tusd1.org</v>
      </c>
      <c r="H260" s="13"/>
      <c r="I260" s="13"/>
    </row>
    <row r="261" spans="1:9" x14ac:dyDescent="0.25">
      <c r="A261" s="11" t="str">
        <f>VLOOKUP(B261,'SchoolInfo (3)'!A:C,3,0)</f>
        <v>'100201000</v>
      </c>
      <c r="B261" s="8">
        <v>4403</v>
      </c>
      <c r="C261" s="8" t="s">
        <v>330</v>
      </c>
      <c r="D261" s="8" t="str">
        <f>VLOOKUP(E261,'SchoolInfo (3)'!A:C,3,0)</f>
        <v>'100201231</v>
      </c>
      <c r="E261" s="8">
        <v>5683</v>
      </c>
      <c r="F261" s="8" t="s">
        <v>1423</v>
      </c>
      <c r="G261" s="8" t="str">
        <f>VLOOKUP(E261,'SchoolInfo (3)'!A:K,11,0)</f>
        <v>timothy.grivois-shah@tusd1.org</v>
      </c>
      <c r="H261" s="13"/>
      <c r="I261" s="13"/>
    </row>
    <row r="262" spans="1:9" x14ac:dyDescent="0.25">
      <c r="A262" s="11" t="str">
        <f>VLOOKUP(B262,'SchoolInfo (3)'!A:C,3,0)</f>
        <v>'100201000</v>
      </c>
      <c r="B262" s="8">
        <v>4403</v>
      </c>
      <c r="C262" s="8" t="s">
        <v>330</v>
      </c>
      <c r="D262" s="8" t="str">
        <f>VLOOKUP(E262,'SchoolInfo (3)'!A:C,3,0)</f>
        <v>'100201353</v>
      </c>
      <c r="E262" s="8">
        <v>5713</v>
      </c>
      <c r="F262" s="8" t="s">
        <v>1434</v>
      </c>
      <c r="G262" s="8">
        <f>VLOOKUP(E262,'SchoolInfo (3)'!A:K,11,0)</f>
        <v>0</v>
      </c>
      <c r="H262" s="13"/>
      <c r="I262" s="13"/>
    </row>
    <row r="263" spans="1:9" x14ac:dyDescent="0.25">
      <c r="A263" s="11" t="str">
        <f>VLOOKUP(B263,'SchoolInfo (3)'!A:C,3,0)</f>
        <v>'100201000</v>
      </c>
      <c r="B263" s="8">
        <v>4403</v>
      </c>
      <c r="C263" s="8" t="s">
        <v>330</v>
      </c>
      <c r="D263" s="8" t="str">
        <f>VLOOKUP(E263,'SchoolInfo (3)'!A:C,3,0)</f>
        <v>'100201550</v>
      </c>
      <c r="E263" s="8">
        <v>5749</v>
      </c>
      <c r="F263" s="8" t="s">
        <v>1448</v>
      </c>
      <c r="G263" s="8" t="str">
        <f>VLOOKUP(E263,'SchoolInfo (3)'!A:K,11,0)</f>
        <v>robin.dunbar@tusd1.org</v>
      </c>
      <c r="H263" s="13"/>
      <c r="I263" s="13"/>
    </row>
    <row r="264" spans="1:9" x14ac:dyDescent="0.25">
      <c r="A264" s="11" t="str">
        <f>VLOOKUP(B264,'SchoolInfo (3)'!A:C,3,0)</f>
        <v>'100201000</v>
      </c>
      <c r="B264" s="8">
        <v>4403</v>
      </c>
      <c r="C264" s="8" t="s">
        <v>330</v>
      </c>
      <c r="D264" s="8" t="str">
        <f>VLOOKUP(E264,'SchoolInfo (3)'!A:C,3,0)</f>
        <v>'100201371</v>
      </c>
      <c r="E264" s="8">
        <v>5715</v>
      </c>
      <c r="F264" s="8" t="s">
        <v>1518</v>
      </c>
      <c r="G264" s="8" t="str">
        <f>VLOOKUP(E264,'SchoolInfo (3)'!A:K,11,0)</f>
        <v>alma.carmona@tusd1.org</v>
      </c>
      <c r="H264" s="13"/>
      <c r="I264" s="13"/>
    </row>
    <row r="265" spans="1:9" x14ac:dyDescent="0.25">
      <c r="A265" s="11" t="str">
        <f>VLOOKUP(B265,'SchoolInfo (3)'!A:C,3,0)</f>
        <v>'100201000</v>
      </c>
      <c r="B265" s="8">
        <v>4403</v>
      </c>
      <c r="C265" s="8" t="s">
        <v>330</v>
      </c>
      <c r="D265" s="8" t="str">
        <f>VLOOKUP(E265,'SchoolInfo (3)'!A:C,3,0)</f>
        <v>'100201419</v>
      </c>
      <c r="E265" s="8">
        <v>5725</v>
      </c>
      <c r="F265" s="8" t="s">
        <v>1529</v>
      </c>
      <c r="G265" s="8">
        <f>VLOOKUP(E265,'SchoolInfo (3)'!A:K,11,0)</f>
        <v>0</v>
      </c>
      <c r="H265" s="13"/>
      <c r="I265" s="13"/>
    </row>
    <row r="266" spans="1:9" x14ac:dyDescent="0.25">
      <c r="A266" s="11" t="str">
        <f>VLOOKUP(B266,'SchoolInfo (3)'!A:C,3,0)</f>
        <v>'010309000</v>
      </c>
      <c r="B266" s="8">
        <v>4162</v>
      </c>
      <c r="C266" s="8" t="s">
        <v>1260</v>
      </c>
      <c r="D266" s="8" t="str">
        <f>VLOOKUP(E266,'SchoolInfo (3)'!A:C,3,0)</f>
        <v>'010309101</v>
      </c>
      <c r="E266" s="8">
        <v>4744</v>
      </c>
      <c r="F266" s="8" t="s">
        <v>1261</v>
      </c>
      <c r="G266" s="8" t="str">
        <f>VLOOKUP(E266,'SchoolInfo (3)'!A:K,11,0)</f>
        <v>bbaca@vernon.k12.az.us</v>
      </c>
      <c r="H266" s="13"/>
      <c r="I266" s="13"/>
    </row>
    <row r="267" spans="1:9" x14ac:dyDescent="0.25">
      <c r="A267" s="11" t="str">
        <f>VLOOKUP(B267,'SchoolInfo (3)'!A:C,3,0)</f>
        <v>'078410000</v>
      </c>
      <c r="B267" s="8">
        <v>92985</v>
      </c>
      <c r="C267" s="8" t="s">
        <v>492</v>
      </c>
      <c r="D267" s="8" t="str">
        <f>VLOOKUP(E267,'SchoolInfo (3)'!A:C,3,0)</f>
        <v>'078410001</v>
      </c>
      <c r="E267" s="8">
        <v>829726</v>
      </c>
      <c r="F267" s="8" t="s">
        <v>493</v>
      </c>
      <c r="G267" s="8" t="str">
        <f>VLOOKUP(E267,'SchoolInfo (3)'!A:K,11,0)</f>
        <v>edu.compliance.svcs@gmail.com</v>
      </c>
      <c r="H267" s="13"/>
      <c r="I267" s="13"/>
    </row>
    <row r="268" spans="1:9" x14ac:dyDescent="0.25">
      <c r="A268" s="11" t="str">
        <f>VLOOKUP(B268,'SchoolInfo (3)'!A:C,3,0)</f>
        <v>'070406000</v>
      </c>
      <c r="B268" s="8">
        <v>4260</v>
      </c>
      <c r="C268" s="8" t="s">
        <v>611</v>
      </c>
      <c r="D268" s="8" t="str">
        <f>VLOOKUP(E268,'SchoolInfo (3)'!A:C,3,0)</f>
        <v>'070406138</v>
      </c>
      <c r="E268" s="8">
        <v>5257</v>
      </c>
      <c r="F268" s="8" t="s">
        <v>612</v>
      </c>
      <c r="G268" s="8" t="str">
        <f>VLOOKUP(E268,'SchoolInfo (3)'!A:K,11,0)</f>
        <v>adele.russell@wesdschools.org</v>
      </c>
      <c r="H268" s="13"/>
      <c r="I268" s="13"/>
    </row>
    <row r="269" spans="1:9" x14ac:dyDescent="0.25">
      <c r="A269" s="11" t="str">
        <f>VLOOKUP(B269,'SchoolInfo (3)'!A:C,3,0)</f>
        <v>'070406000</v>
      </c>
      <c r="B269" s="8">
        <v>4260</v>
      </c>
      <c r="C269" s="8" t="s">
        <v>611</v>
      </c>
      <c r="D269" s="8" t="str">
        <f>VLOOKUP(E269,'SchoolInfo (3)'!A:C,3,0)</f>
        <v>'070406154</v>
      </c>
      <c r="E269" s="8">
        <v>5266</v>
      </c>
      <c r="F269" s="8" t="s">
        <v>621</v>
      </c>
      <c r="G269" s="8" t="str">
        <f>VLOOKUP(E269,'SchoolInfo (3)'!A:K,11,0)</f>
        <v>lenny.hoover@wesdschools.org</v>
      </c>
      <c r="H269" s="13"/>
      <c r="I269" s="13"/>
    </row>
    <row r="270" spans="1:9" x14ac:dyDescent="0.25">
      <c r="A270" s="11" t="str">
        <f>VLOOKUP(B270,'SchoolInfo (3)'!A:C,3,0)</f>
        <v>'070406000</v>
      </c>
      <c r="B270" s="8">
        <v>4260</v>
      </c>
      <c r="C270" s="8" t="s">
        <v>611</v>
      </c>
      <c r="D270" s="8" t="str">
        <f>VLOOKUP(E270,'SchoolInfo (3)'!A:C,3,0)</f>
        <v>'070406146</v>
      </c>
      <c r="E270" s="8">
        <v>5262</v>
      </c>
      <c r="F270" s="8" t="s">
        <v>624</v>
      </c>
      <c r="G270" s="8" t="str">
        <f>VLOOKUP(E270,'SchoolInfo (3)'!A:K,11,0)</f>
        <v>andree.charlson@wesdschools.org</v>
      </c>
      <c r="H270" s="13"/>
      <c r="I270" s="13"/>
    </row>
    <row r="271" spans="1:9" x14ac:dyDescent="0.25">
      <c r="A271" s="11" t="str">
        <f>VLOOKUP(B271,'SchoolInfo (3)'!A:C,3,0)</f>
        <v>'070406000</v>
      </c>
      <c r="B271" s="8">
        <v>4260</v>
      </c>
      <c r="C271" s="8" t="s">
        <v>611</v>
      </c>
      <c r="D271" s="8" t="str">
        <f>VLOOKUP(E271,'SchoolInfo (3)'!A:C,3,0)</f>
        <v>'070406168</v>
      </c>
      <c r="E271" s="8">
        <v>5275</v>
      </c>
      <c r="F271" s="8" t="s">
        <v>695</v>
      </c>
      <c r="G271" s="8">
        <f>VLOOKUP(E271,'SchoolInfo (3)'!A:K,11,0)</f>
        <v>0</v>
      </c>
      <c r="H271" s="13"/>
      <c r="I271" s="13"/>
    </row>
    <row r="272" spans="1:9" x14ac:dyDescent="0.25">
      <c r="A272" s="11" t="str">
        <f>VLOOKUP(B272,'SchoolInfo (3)'!A:C,3,0)</f>
        <v>'070406000</v>
      </c>
      <c r="B272" s="8">
        <v>4260</v>
      </c>
      <c r="C272" s="8" t="s">
        <v>611</v>
      </c>
      <c r="D272" s="8" t="str">
        <f>VLOOKUP(E272,'SchoolInfo (3)'!A:C,3,0)</f>
        <v>'070406140</v>
      </c>
      <c r="E272" s="8">
        <v>5258</v>
      </c>
      <c r="F272" s="8" t="s">
        <v>1274</v>
      </c>
      <c r="G272" s="8" t="str">
        <f>VLOOKUP(E272,'SchoolInfo (3)'!A:K,11,0)</f>
        <v>marylou.palmer@wesdschools.org</v>
      </c>
      <c r="H272" s="13"/>
      <c r="I272" s="13"/>
    </row>
    <row r="273" spans="1:9" x14ac:dyDescent="0.25">
      <c r="A273" s="11" t="str">
        <f>VLOOKUP(B273,'SchoolInfo (3)'!A:C,3,0)</f>
        <v>'070406000</v>
      </c>
      <c r="B273" s="8">
        <v>4260</v>
      </c>
      <c r="C273" s="8" t="s">
        <v>611</v>
      </c>
      <c r="D273" s="8" t="str">
        <f>VLOOKUP(E273,'SchoolInfo (3)'!A:C,3,0)</f>
        <v>'070406152</v>
      </c>
      <c r="E273" s="8">
        <v>5265</v>
      </c>
      <c r="F273" s="8" t="s">
        <v>1285</v>
      </c>
      <c r="G273" s="8" t="str">
        <f>VLOOKUP(E273,'SchoolInfo (3)'!A:K,11,0)</f>
        <v>karen.menaugh@wesdschools.org</v>
      </c>
      <c r="H273" s="13"/>
      <c r="I273" s="13"/>
    </row>
    <row r="274" spans="1:9" x14ac:dyDescent="0.25">
      <c r="A274" s="11" t="str">
        <f>VLOOKUP(B274,'SchoolInfo (3)'!A:C,3,0)</f>
        <v>'070406000</v>
      </c>
      <c r="B274" s="8">
        <v>4260</v>
      </c>
      <c r="C274" s="8" t="s">
        <v>611</v>
      </c>
      <c r="D274" s="8" t="str">
        <f>VLOOKUP(E274,'SchoolInfo (3)'!A:C,3,0)</f>
        <v>'070406120</v>
      </c>
      <c r="E274" s="8">
        <v>5247</v>
      </c>
      <c r="F274" s="8" t="s">
        <v>1329</v>
      </c>
      <c r="G274" s="8" t="str">
        <f>VLOOKUP(E274,'SchoolInfo (3)'!A:K,11,0)</f>
        <v>kaylene.ashbridge@wesdschools.org</v>
      </c>
      <c r="H274" s="13"/>
      <c r="I274" s="13"/>
    </row>
    <row r="275" spans="1:9" x14ac:dyDescent="0.25">
      <c r="A275" s="11" t="str">
        <f>VLOOKUP(B275,'SchoolInfo (3)'!A:C,3,0)</f>
        <v>'070406000</v>
      </c>
      <c r="B275" s="8">
        <v>4260</v>
      </c>
      <c r="C275" s="8" t="s">
        <v>611</v>
      </c>
      <c r="D275" s="8" t="str">
        <f>VLOOKUP(E275,'SchoolInfo (3)'!A:C,3,0)</f>
        <v>'070406128</v>
      </c>
      <c r="E275" s="8">
        <v>5251</v>
      </c>
      <c r="F275" s="8" t="s">
        <v>1337</v>
      </c>
      <c r="G275" s="8" t="str">
        <f>VLOOKUP(E275,'SchoolInfo (3)'!A:K,11,0)</f>
        <v>rocio.ramirez@wesdschools.org</v>
      </c>
      <c r="H275" s="13"/>
      <c r="I275" s="13"/>
    </row>
    <row r="276" spans="1:9" x14ac:dyDescent="0.25">
      <c r="A276" s="11" t="str">
        <f>VLOOKUP(B276,'SchoolInfo (3)'!A:C,3,0)</f>
        <v>'070406000</v>
      </c>
      <c r="B276" s="8">
        <v>4260</v>
      </c>
      <c r="C276" s="8" t="s">
        <v>611</v>
      </c>
      <c r="D276" s="8" t="str">
        <f>VLOOKUP(E276,'SchoolInfo (3)'!A:C,3,0)</f>
        <v>'070406164</v>
      </c>
      <c r="E276" s="8">
        <v>5271</v>
      </c>
      <c r="F276" s="8" t="s">
        <v>1352</v>
      </c>
      <c r="G276" s="8" t="str">
        <f>VLOOKUP(E276,'SchoolInfo (3)'!A:K,11,0)</f>
        <v>lori.ritz@wesdschools.org</v>
      </c>
      <c r="H276" s="13"/>
      <c r="I276" s="13"/>
    </row>
    <row r="277" spans="1:9" x14ac:dyDescent="0.25">
      <c r="A277" s="11" t="str">
        <f>VLOOKUP(B277,'SchoolInfo (3)'!A:C,3,0)</f>
        <v>'070406000</v>
      </c>
      <c r="B277" s="8">
        <v>4260</v>
      </c>
      <c r="C277" s="8" t="s">
        <v>611</v>
      </c>
      <c r="D277" s="8" t="str">
        <f>VLOOKUP(E277,'SchoolInfo (3)'!A:C,3,0)</f>
        <v>'070406160</v>
      </c>
      <c r="E277" s="8">
        <v>5268</v>
      </c>
      <c r="F277" s="8" t="s">
        <v>1371</v>
      </c>
      <c r="G277" s="8" t="str">
        <f>VLOOKUP(E277,'SchoolInfo (3)'!A:K,11,0)</f>
        <v>tracy.maynard@wesdschools.org</v>
      </c>
      <c r="H277" s="13"/>
      <c r="I277" s="13"/>
    </row>
    <row r="278" spans="1:9" x14ac:dyDescent="0.25">
      <c r="A278" s="11" t="str">
        <f>VLOOKUP(B278,'SchoolInfo (3)'!A:C,3,0)</f>
        <v>'070406000</v>
      </c>
      <c r="B278" s="8">
        <v>4260</v>
      </c>
      <c r="C278" s="8" t="s">
        <v>611</v>
      </c>
      <c r="D278" s="8" t="str">
        <f>VLOOKUP(E278,'SchoolInfo (3)'!A:C,3,0)</f>
        <v>'070406116</v>
      </c>
      <c r="E278" s="8">
        <v>5245</v>
      </c>
      <c r="F278" s="8" t="s">
        <v>1410</v>
      </c>
      <c r="G278" s="8" t="str">
        <f>VLOOKUP(E278,'SchoolInfo (3)'!A:K,11,0)</f>
        <v>carla.aronowitz@wesdschools.org</v>
      </c>
      <c r="H278" s="13"/>
      <c r="I278" s="13"/>
    </row>
    <row r="279" spans="1:9" x14ac:dyDescent="0.25">
      <c r="A279" s="11" t="str">
        <f>VLOOKUP(B279,'SchoolInfo (3)'!A:C,3,0)</f>
        <v>'070406000</v>
      </c>
      <c r="B279" s="8">
        <v>4260</v>
      </c>
      <c r="C279" s="8" t="s">
        <v>611</v>
      </c>
      <c r="D279" s="8" t="str">
        <f>VLOOKUP(E279,'SchoolInfo (3)'!A:C,3,0)</f>
        <v>'070406142</v>
      </c>
      <c r="E279" s="8">
        <v>5260</v>
      </c>
      <c r="F279" s="8" t="s">
        <v>547</v>
      </c>
      <c r="G279" s="8" t="str">
        <f>VLOOKUP(E279,'SchoolInfo (3)'!A:K,11,0)</f>
        <v>alice.pickel@wesdschools.org</v>
      </c>
      <c r="H279" s="13"/>
      <c r="I279" s="13"/>
    </row>
    <row r="280" spans="1:9" x14ac:dyDescent="0.25">
      <c r="A280" s="11" t="str">
        <f>VLOOKUP(B280,'SchoolInfo (3)'!A:C,3,0)</f>
        <v>'070406000</v>
      </c>
      <c r="B280" s="8">
        <v>4260</v>
      </c>
      <c r="C280" s="8" t="s">
        <v>611</v>
      </c>
      <c r="D280" s="8" t="str">
        <f>VLOOKUP(E280,'SchoolInfo (3)'!A:C,3,0)</f>
        <v>'070406150</v>
      </c>
      <c r="E280" s="8">
        <v>5264</v>
      </c>
      <c r="F280" s="8" t="s">
        <v>1533</v>
      </c>
      <c r="G280" s="8" t="str">
        <f>VLOOKUP(E280,'SchoolInfo (3)'!A:K,11,0)</f>
        <v>jim.paczosa@wesdschools.org</v>
      </c>
      <c r="H280" s="13"/>
      <c r="I280" s="13"/>
    </row>
    <row r="281" spans="1:9" x14ac:dyDescent="0.25">
      <c r="A281" s="11" t="str">
        <f>VLOOKUP(B281,'SchoolInfo (3)'!A:C,3,0)</f>
        <v>'150419000</v>
      </c>
      <c r="B281" s="8">
        <v>4512</v>
      </c>
      <c r="C281" s="8" t="s">
        <v>326</v>
      </c>
      <c r="D281" s="8" t="str">
        <f>VLOOKUP(E281,'SchoolInfo (3)'!A:C,3,0)</f>
        <v>'150419101</v>
      </c>
      <c r="E281" s="8">
        <v>6200</v>
      </c>
      <c r="F281" s="8" t="s">
        <v>1407</v>
      </c>
      <c r="G281" s="8" t="str">
        <f>VLOOKUP(E281,'SchoolInfo (3)'!A:K,11,0)</f>
        <v>gloriadean@wendenk8.org</v>
      </c>
      <c r="H281" s="13"/>
      <c r="I281" s="13"/>
    </row>
    <row r="282" spans="1:9" x14ac:dyDescent="0.25">
      <c r="A282" s="11" t="str">
        <f>VLOOKUP(B282,'SchoolInfo (3)'!A:C,3,0)</f>
        <v>'090220000</v>
      </c>
      <c r="B282" s="8">
        <v>4394</v>
      </c>
      <c r="C282" s="8" t="s">
        <v>439</v>
      </c>
      <c r="D282" s="8" t="str">
        <f>VLOOKUP(E282,'SchoolInfo (3)'!A:C,3,0)</f>
        <v>'090220107</v>
      </c>
      <c r="E282" s="8">
        <v>79698</v>
      </c>
      <c r="F282" s="8" t="s">
        <v>440</v>
      </c>
      <c r="G282" s="8" t="str">
        <f>VLOOKUP(E282,'SchoolInfo (3)'!A:K,11,0)</f>
        <v>chad.greer@wusd.us</v>
      </c>
      <c r="H282" s="13"/>
      <c r="I282" s="13"/>
    </row>
    <row r="283" spans="1:9" x14ac:dyDescent="0.25">
      <c r="A283" s="11" t="str">
        <f>VLOOKUP(B283,'SchoolInfo (3)'!A:C,3,0)</f>
        <v>'090220000</v>
      </c>
      <c r="B283" s="8">
        <v>4394</v>
      </c>
      <c r="C283" s="8" t="s">
        <v>439</v>
      </c>
      <c r="D283" s="8" t="str">
        <f>VLOOKUP(E283,'SchoolInfo (3)'!A:C,3,0)</f>
        <v>'090220103</v>
      </c>
      <c r="E283" s="8">
        <v>5635</v>
      </c>
      <c r="F283" s="8" t="s">
        <v>444</v>
      </c>
      <c r="G283" s="8" t="str">
        <f>VLOOKUP(E283,'SchoolInfo (3)'!A:K,11,0)</f>
        <v>jay.cox@wusd.us</v>
      </c>
      <c r="H283" s="13"/>
      <c r="I283" s="13"/>
    </row>
    <row r="284" spans="1:9" x14ac:dyDescent="0.25">
      <c r="A284" s="11" t="str">
        <f>VLOOKUP(B284,'SchoolInfo (3)'!A:C,3,0)</f>
        <v>'090220000</v>
      </c>
      <c r="B284" s="8">
        <v>4394</v>
      </c>
      <c r="C284" s="8" t="s">
        <v>439</v>
      </c>
      <c r="D284" s="8" t="str">
        <f>VLOOKUP(E284,'SchoolInfo (3)'!A:C,3,0)</f>
        <v>'090220106</v>
      </c>
      <c r="E284" s="8">
        <v>5636</v>
      </c>
      <c r="F284" s="8" t="s">
        <v>446</v>
      </c>
      <c r="G284" s="8" t="str">
        <f>VLOOKUP(E284,'SchoolInfo (3)'!A:K,11,0)</f>
        <v>pcastleberry@wusd.k12.az.us</v>
      </c>
      <c r="H284" s="13"/>
      <c r="I284" s="13"/>
    </row>
    <row r="285" spans="1:9" x14ac:dyDescent="0.25">
      <c r="A285" s="11" t="str">
        <f>VLOOKUP(B285,'SchoolInfo (3)'!A:C,3,0)</f>
        <v>'090220000</v>
      </c>
      <c r="B285" s="8">
        <v>4394</v>
      </c>
      <c r="C285" s="8" t="s">
        <v>439</v>
      </c>
      <c r="D285" s="8" t="str">
        <f>VLOOKUP(E285,'SchoolInfo (3)'!A:C,3,0)</f>
        <v>'090220101</v>
      </c>
      <c r="E285" s="8">
        <v>5633</v>
      </c>
      <c r="F285" s="8" t="s">
        <v>847</v>
      </c>
      <c r="G285" s="8" t="str">
        <f>VLOOKUP(E285,'SchoolInfo (3)'!A:K,11,0)</f>
        <v>jplath@wusd.us</v>
      </c>
      <c r="H285" s="13"/>
      <c r="I285" s="13"/>
    </row>
    <row r="286" spans="1:9" x14ac:dyDescent="0.25">
      <c r="A286" s="11" t="str">
        <f>VLOOKUP(B286,'SchoolInfo (3)'!A:C,3,0)</f>
        <v>'070209000</v>
      </c>
      <c r="B286" s="8">
        <v>4236</v>
      </c>
      <c r="C286" s="8" t="s">
        <v>530</v>
      </c>
      <c r="D286" s="8" t="str">
        <f>VLOOKUP(E286,'SchoolInfo (3)'!A:C,3,0)</f>
        <v>'070209102</v>
      </c>
      <c r="E286" s="8">
        <v>6001</v>
      </c>
      <c r="F286" s="8" t="s">
        <v>531</v>
      </c>
      <c r="G286" s="8" t="str">
        <f>VLOOKUP(E286,'SchoolInfo (3)'!A:K,11,0)</f>
        <v>cahershkowitz@wusd9.org</v>
      </c>
      <c r="H286" s="13"/>
      <c r="I286" s="13"/>
    </row>
    <row r="287" spans="1:9" x14ac:dyDescent="0.25">
      <c r="A287" s="11" t="str">
        <f>VLOOKUP(B287,'SchoolInfo (3)'!A:C,3,0)</f>
        <v>'070407000</v>
      </c>
      <c r="B287" s="8">
        <v>4261</v>
      </c>
      <c r="C287" s="8" t="s">
        <v>1127</v>
      </c>
      <c r="D287" s="8" t="str">
        <f>VLOOKUP(E287,'SchoolInfo (3)'!A:C,3,0)</f>
        <v>'070407101</v>
      </c>
      <c r="E287" s="8">
        <v>5276</v>
      </c>
      <c r="F287" s="8" t="s">
        <v>1343</v>
      </c>
      <c r="G287" s="8" t="str">
        <f>VLOOKUP(E287,'SchoolInfo (3)'!A:K,11,0)</f>
        <v>cindy.campton@wsd.k12.az.us</v>
      </c>
      <c r="H287" s="13"/>
      <c r="I287" s="13"/>
    </row>
    <row r="288" spans="1:9" x14ac:dyDescent="0.25">
      <c r="A288" s="11" t="str">
        <f>VLOOKUP(B288,'SchoolInfo (3)'!A:C,3,0)</f>
        <v>'070407000</v>
      </c>
      <c r="B288" s="8">
        <v>4261</v>
      </c>
      <c r="C288" s="8" t="s">
        <v>1127</v>
      </c>
      <c r="D288" s="8" t="str">
        <f>VLOOKUP(E288,'SchoolInfo (3)'!A:C,3,0)</f>
        <v>'070407102</v>
      </c>
      <c r="E288" s="8">
        <v>5277</v>
      </c>
      <c r="F288" s="8" t="s">
        <v>1405</v>
      </c>
      <c r="G288" s="8" t="str">
        <f>VLOOKUP(E288,'SchoolInfo (3)'!A:K,11,0)</f>
        <v>araceli.cecena@wsd.k12.az.us</v>
      </c>
      <c r="H288" s="13"/>
      <c r="I288" s="13"/>
    </row>
    <row r="289" spans="1:9" x14ac:dyDescent="0.25">
      <c r="A289" s="11" t="str">
        <f>VLOOKUP(B289,'SchoolInfo (3)'!A:C,3,0)</f>
        <v>'010208000</v>
      </c>
      <c r="B289" s="8">
        <v>4154</v>
      </c>
      <c r="C289" s="8" t="s">
        <v>327</v>
      </c>
      <c r="D289" s="8" t="str">
        <f>VLOOKUP(E289,'SchoolInfo (3)'!A:C,3,0)</f>
        <v>'010208110</v>
      </c>
      <c r="E289" s="8">
        <v>4714</v>
      </c>
      <c r="F289" s="8" t="s">
        <v>477</v>
      </c>
      <c r="G289" s="8" t="str">
        <f>VLOOKUP(E289,'SchoolInfo (3)'!A:K,11,0)</f>
        <v>Wbeach@wrschool.net</v>
      </c>
      <c r="H289" s="13"/>
      <c r="I289" s="13"/>
    </row>
    <row r="290" spans="1:9" x14ac:dyDescent="0.25">
      <c r="A290" s="11" t="str">
        <f>VLOOKUP(B290,'SchoolInfo (3)'!A:C,3,0)</f>
        <v>'010208000</v>
      </c>
      <c r="B290" s="8">
        <v>4154</v>
      </c>
      <c r="C290" s="8" t="s">
        <v>327</v>
      </c>
      <c r="D290" s="8" t="str">
        <f>VLOOKUP(E290,'SchoolInfo (3)'!A:C,3,0)</f>
        <v>'010208115</v>
      </c>
      <c r="E290" s="8">
        <v>4716</v>
      </c>
      <c r="F290" s="8" t="s">
        <v>483</v>
      </c>
      <c r="G290" s="8" t="str">
        <f>VLOOKUP(E290,'SchoolInfo (3)'!A:K,11,0)</f>
        <v>robertat@wrschool.net</v>
      </c>
      <c r="H290" s="13"/>
      <c r="I290" s="13"/>
    </row>
    <row r="291" spans="1:9" x14ac:dyDescent="0.25">
      <c r="A291" s="11" t="str">
        <f>VLOOKUP(B291,'SchoolInfo (3)'!A:C,3,0)</f>
        <v>'010208000</v>
      </c>
      <c r="B291" s="8">
        <v>4154</v>
      </c>
      <c r="C291" s="8" t="s">
        <v>327</v>
      </c>
      <c r="D291" s="8" t="str">
        <f>VLOOKUP(E291,'SchoolInfo (3)'!A:C,3,0)</f>
        <v>'010208116</v>
      </c>
      <c r="E291" s="8">
        <v>85882</v>
      </c>
      <c r="F291" s="8" t="s">
        <v>485</v>
      </c>
      <c r="G291" s="8" t="str">
        <f>VLOOKUP(E291,'SchoolInfo (3)'!A:K,11,0)</f>
        <v>carenab@wrschool.net</v>
      </c>
      <c r="H291" s="13"/>
      <c r="I291" s="13"/>
    </row>
    <row r="292" spans="1:9" x14ac:dyDescent="0.25">
      <c r="A292" s="11" t="str">
        <f>VLOOKUP(B292,'SchoolInfo (3)'!A:C,3,0)</f>
        <v>'140401000</v>
      </c>
      <c r="B292" s="8">
        <v>4499</v>
      </c>
      <c r="C292" s="8" t="s">
        <v>513</v>
      </c>
      <c r="D292" s="8" t="str">
        <f>VLOOKUP(E292,'SchoolInfo (3)'!A:C,3,0)</f>
        <v>'140401108</v>
      </c>
      <c r="E292" s="8">
        <v>6154</v>
      </c>
      <c r="F292" s="8" t="s">
        <v>514</v>
      </c>
      <c r="G292" s="8" t="str">
        <f>VLOOKUP(E292,'SchoolInfo (3)'!A:K,11,0)</f>
        <v>jzepeda@yumaed.org</v>
      </c>
      <c r="H292" s="13"/>
      <c r="I292" s="13"/>
    </row>
    <row r="293" spans="1:9" x14ac:dyDescent="0.25">
      <c r="A293" s="11" t="str">
        <f>VLOOKUP(B293,'SchoolInfo (3)'!A:C,3,0)</f>
        <v>'140401000</v>
      </c>
      <c r="B293" s="8">
        <v>4499</v>
      </c>
      <c r="C293" s="8" t="s">
        <v>513</v>
      </c>
      <c r="D293" s="8" t="str">
        <f>VLOOKUP(E293,'SchoolInfo (3)'!A:C,3,0)</f>
        <v>'140401102</v>
      </c>
      <c r="E293" s="8">
        <v>6148</v>
      </c>
      <c r="F293" s="8" t="s">
        <v>516</v>
      </c>
      <c r="G293" s="8" t="str">
        <f>VLOOKUP(E293,'SchoolInfo (3)'!A:K,11,0)</f>
        <v>ddrysdale@yumaed.org</v>
      </c>
      <c r="H293" s="13"/>
      <c r="I293" s="13"/>
    </row>
    <row r="294" spans="1:9" x14ac:dyDescent="0.25">
      <c r="A294" s="11" t="str">
        <f>VLOOKUP(B294,'SchoolInfo (3)'!A:C,3,0)</f>
        <v>'140401000</v>
      </c>
      <c r="B294" s="8">
        <v>4499</v>
      </c>
      <c r="C294" s="8" t="s">
        <v>513</v>
      </c>
      <c r="D294" s="8" t="str">
        <f>VLOOKUP(E294,'SchoolInfo (3)'!A:C,3,0)</f>
        <v>'140401109</v>
      </c>
      <c r="E294" s="8">
        <v>6155</v>
      </c>
      <c r="F294" s="8" t="s">
        <v>518</v>
      </c>
      <c r="G294" s="8" t="str">
        <f>VLOOKUP(E294,'SchoolInfo (3)'!A:K,11,0)</f>
        <v>sramirez@yumaed.org</v>
      </c>
      <c r="H294" s="13"/>
      <c r="I294" s="13"/>
    </row>
    <row r="295" spans="1:9" x14ac:dyDescent="0.25">
      <c r="A295" s="11" t="str">
        <f>VLOOKUP(B295,'SchoolInfo (3)'!A:C,3,0)</f>
        <v>'140401000</v>
      </c>
      <c r="B295" s="8">
        <v>4499</v>
      </c>
      <c r="C295" s="8" t="s">
        <v>513</v>
      </c>
      <c r="D295" s="8" t="str">
        <f>VLOOKUP(E295,'SchoolInfo (3)'!A:C,3,0)</f>
        <v>'140401121</v>
      </c>
      <c r="E295" s="8">
        <v>6160</v>
      </c>
      <c r="F295" s="8" t="s">
        <v>1459</v>
      </c>
      <c r="G295" s="8" t="str">
        <f>VLOOKUP(E295,'SchoolInfo (3)'!A:K,11,0)</f>
        <v>jcazares@yuma.org</v>
      </c>
      <c r="H295" s="13"/>
      <c r="I295" s="13"/>
    </row>
    <row r="296" spans="1:9" x14ac:dyDescent="0.25">
      <c r="A296" s="11" t="str">
        <f>VLOOKUP(B296,'SchoolInfo (3)'!A:C,3,0)</f>
        <v>'140401000</v>
      </c>
      <c r="B296" s="8">
        <v>4499</v>
      </c>
      <c r="C296" s="8" t="s">
        <v>513</v>
      </c>
      <c r="D296" s="8" t="str">
        <f>VLOOKUP(E296,'SchoolInfo (3)'!A:C,3,0)</f>
        <v>'140401103</v>
      </c>
      <c r="E296" s="8">
        <v>6149</v>
      </c>
      <c r="F296" s="8" t="s">
        <v>1509</v>
      </c>
      <c r="G296" s="8" t="str">
        <f>VLOOKUP(E296,'SchoolInfo (3)'!A:K,11,0)</f>
        <v>agarcia@yumaed.org</v>
      </c>
      <c r="H296" s="13"/>
      <c r="I296" s="13"/>
    </row>
    <row r="297" spans="1:9" x14ac:dyDescent="0.25">
      <c r="A297" s="12"/>
      <c r="B297" s="12"/>
      <c r="C297" s="13"/>
      <c r="D297" s="13"/>
      <c r="E297" s="13"/>
      <c r="F297" s="13"/>
      <c r="G297" s="13"/>
      <c r="H297" s="13"/>
      <c r="I297" s="13"/>
    </row>
    <row r="298" spans="1:9" x14ac:dyDescent="0.25">
      <c r="A298" s="12"/>
      <c r="B298" s="12"/>
      <c r="C298" s="13"/>
      <c r="D298" s="13"/>
      <c r="E298" s="13"/>
      <c r="F298" s="13"/>
      <c r="G298" s="13"/>
      <c r="H298" s="13"/>
      <c r="I298" s="13"/>
    </row>
    <row r="299" spans="1:9" x14ac:dyDescent="0.25">
      <c r="A299" s="12"/>
      <c r="B299" s="12"/>
      <c r="C299" s="13"/>
      <c r="D299" s="13"/>
      <c r="E299" s="13"/>
      <c r="F299" s="13"/>
      <c r="G299" s="13"/>
      <c r="H299" s="13"/>
      <c r="I299" s="13"/>
    </row>
    <row r="300" spans="1:9" x14ac:dyDescent="0.25">
      <c r="A300" s="12"/>
      <c r="B300" s="12"/>
      <c r="C300" s="13"/>
      <c r="D300" s="13"/>
      <c r="E300" s="13"/>
      <c r="F300" s="13"/>
      <c r="G300" s="13"/>
      <c r="H300" s="13"/>
      <c r="I300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CBD2-DABE-410E-BF99-1BC130B37205}">
  <sheetPr>
    <tabColor theme="0"/>
  </sheetPr>
  <dimension ref="A1:H83"/>
  <sheetViews>
    <sheetView workbookViewId="0">
      <selection activeCell="C29" sqref="C29"/>
    </sheetView>
  </sheetViews>
  <sheetFormatPr defaultColWidth="9.140625" defaultRowHeight="12.75" x14ac:dyDescent="0.2"/>
  <cols>
    <col min="1" max="1" width="12.7109375" style="2" bestFit="1" customWidth="1"/>
    <col min="2" max="2" width="12.140625" style="2" bestFit="1" customWidth="1"/>
    <col min="3" max="3" width="69.140625" style="2" bestFit="1" customWidth="1"/>
    <col min="4" max="4" width="65" style="2" bestFit="1" customWidth="1"/>
    <col min="5" max="5" width="32.140625" style="2" bestFit="1" customWidth="1"/>
    <col min="6" max="6" width="15.140625" style="2" bestFit="1" customWidth="1"/>
    <col min="7" max="7" width="6.140625" style="2" bestFit="1" customWidth="1"/>
    <col min="8" max="8" width="6" style="2" bestFit="1" customWidth="1"/>
    <col min="9" max="16384" width="9.140625" style="2"/>
  </cols>
  <sheetData>
    <row r="1" spans="1:8" x14ac:dyDescent="0.2">
      <c r="A1" s="1" t="s">
        <v>355</v>
      </c>
      <c r="B1" s="1" t="s">
        <v>356</v>
      </c>
      <c r="C1" s="1" t="s">
        <v>310</v>
      </c>
      <c r="D1" s="1" t="s">
        <v>357</v>
      </c>
      <c r="E1" s="1" t="s">
        <v>358</v>
      </c>
      <c r="F1" s="1" t="s">
        <v>359</v>
      </c>
      <c r="G1" s="1" t="s">
        <v>360</v>
      </c>
      <c r="H1" s="1" t="s">
        <v>204</v>
      </c>
    </row>
    <row r="2" spans="1:8" x14ac:dyDescent="0.2">
      <c r="A2" s="2">
        <v>90329</v>
      </c>
      <c r="B2" s="2">
        <v>89941</v>
      </c>
      <c r="C2" s="2" t="s">
        <v>869</v>
      </c>
      <c r="D2" s="2" t="s">
        <v>870</v>
      </c>
      <c r="E2" s="2" t="s">
        <v>871</v>
      </c>
      <c r="F2" s="2" t="s">
        <v>872</v>
      </c>
      <c r="G2" s="2" t="s">
        <v>207</v>
      </c>
      <c r="H2" s="2" t="s">
        <v>873</v>
      </c>
    </row>
    <row r="3" spans="1:8" x14ac:dyDescent="0.2">
      <c r="A3" s="2">
        <v>4412</v>
      </c>
      <c r="B3" s="2">
        <v>90822</v>
      </c>
      <c r="C3" s="2" t="s">
        <v>380</v>
      </c>
      <c r="D3" s="2" t="s">
        <v>874</v>
      </c>
      <c r="E3" s="2" t="s">
        <v>386</v>
      </c>
      <c r="F3" s="2" t="s">
        <v>387</v>
      </c>
      <c r="G3" s="2" t="s">
        <v>207</v>
      </c>
      <c r="H3" s="2" t="s">
        <v>384</v>
      </c>
    </row>
    <row r="4" spans="1:8" x14ac:dyDescent="0.2">
      <c r="A4" s="2">
        <v>4320</v>
      </c>
      <c r="B4" s="2">
        <v>90159</v>
      </c>
      <c r="C4" s="2" t="s">
        <v>875</v>
      </c>
      <c r="D4" s="2" t="s">
        <v>876</v>
      </c>
      <c r="E4" s="2" t="s">
        <v>877</v>
      </c>
      <c r="F4" s="2" t="s">
        <v>708</v>
      </c>
      <c r="G4" s="2" t="s">
        <v>207</v>
      </c>
      <c r="H4" s="2" t="s">
        <v>878</v>
      </c>
    </row>
    <row r="5" spans="1:8" x14ac:dyDescent="0.2">
      <c r="A5" s="2">
        <v>4412</v>
      </c>
      <c r="B5" s="2">
        <v>5847</v>
      </c>
      <c r="C5" s="2" t="s">
        <v>380</v>
      </c>
      <c r="D5" s="2" t="s">
        <v>879</v>
      </c>
      <c r="E5" s="2" t="s">
        <v>382</v>
      </c>
      <c r="F5" s="2" t="s">
        <v>383</v>
      </c>
      <c r="G5" s="2" t="s">
        <v>207</v>
      </c>
      <c r="H5" s="2" t="s">
        <v>384</v>
      </c>
    </row>
    <row r="6" spans="1:8" x14ac:dyDescent="0.2">
      <c r="A6" s="2">
        <v>4197</v>
      </c>
      <c r="B6" s="2">
        <v>4838</v>
      </c>
      <c r="C6" s="2" t="s">
        <v>399</v>
      </c>
      <c r="D6" s="2" t="s">
        <v>880</v>
      </c>
      <c r="E6" s="2" t="s">
        <v>881</v>
      </c>
      <c r="F6" s="2" t="s">
        <v>406</v>
      </c>
      <c r="G6" s="2" t="s">
        <v>207</v>
      </c>
      <c r="H6" s="2" t="s">
        <v>261</v>
      </c>
    </row>
    <row r="7" spans="1:8" x14ac:dyDescent="0.2">
      <c r="A7" s="2">
        <v>6353</v>
      </c>
      <c r="B7" s="2">
        <v>5653</v>
      </c>
      <c r="C7" s="2" t="s">
        <v>882</v>
      </c>
      <c r="D7" s="2" t="s">
        <v>883</v>
      </c>
      <c r="E7" s="2" t="s">
        <v>884</v>
      </c>
      <c r="F7" s="2" t="s">
        <v>885</v>
      </c>
      <c r="G7" s="2" t="s">
        <v>207</v>
      </c>
      <c r="H7" s="2" t="s">
        <v>886</v>
      </c>
    </row>
    <row r="8" spans="1:8" x14ac:dyDescent="0.2">
      <c r="A8" s="2">
        <v>4210</v>
      </c>
      <c r="B8" s="2">
        <v>4863</v>
      </c>
      <c r="C8" s="2" t="s">
        <v>414</v>
      </c>
      <c r="D8" s="2" t="s">
        <v>887</v>
      </c>
      <c r="E8" s="2" t="s">
        <v>888</v>
      </c>
      <c r="F8" s="2" t="s">
        <v>417</v>
      </c>
      <c r="G8" s="2" t="s">
        <v>207</v>
      </c>
      <c r="H8" s="2" t="s">
        <v>418</v>
      </c>
    </row>
    <row r="9" spans="1:8" x14ac:dyDescent="0.2">
      <c r="A9" s="2">
        <v>4396</v>
      </c>
      <c r="B9" s="2">
        <v>5644</v>
      </c>
      <c r="C9" s="2" t="s">
        <v>421</v>
      </c>
      <c r="D9" s="2" t="s">
        <v>889</v>
      </c>
      <c r="E9" s="2" t="s">
        <v>423</v>
      </c>
      <c r="F9" s="2" t="s">
        <v>424</v>
      </c>
      <c r="G9" s="2" t="s">
        <v>207</v>
      </c>
      <c r="H9" s="2" t="s">
        <v>232</v>
      </c>
    </row>
    <row r="10" spans="1:8" x14ac:dyDescent="0.2">
      <c r="A10" s="2">
        <v>4390</v>
      </c>
      <c r="B10" s="2">
        <v>5613</v>
      </c>
      <c r="C10" s="2" t="s">
        <v>312</v>
      </c>
      <c r="D10" s="2" t="s">
        <v>890</v>
      </c>
      <c r="E10" s="2" t="s">
        <v>426</v>
      </c>
      <c r="F10" s="2" t="s">
        <v>427</v>
      </c>
      <c r="G10" s="2" t="s">
        <v>207</v>
      </c>
      <c r="H10" s="2" t="s">
        <v>211</v>
      </c>
    </row>
    <row r="11" spans="1:8" x14ac:dyDescent="0.2">
      <c r="A11" s="2">
        <v>4169</v>
      </c>
      <c r="B11" s="2">
        <v>4754</v>
      </c>
      <c r="C11" s="2" t="s">
        <v>350</v>
      </c>
      <c r="D11" s="2" t="s">
        <v>891</v>
      </c>
      <c r="E11" s="2" t="s">
        <v>892</v>
      </c>
      <c r="F11" s="2" t="s">
        <v>836</v>
      </c>
      <c r="G11" s="2" t="s">
        <v>207</v>
      </c>
      <c r="H11" s="2" t="s">
        <v>299</v>
      </c>
    </row>
    <row r="12" spans="1:8" x14ac:dyDescent="0.2">
      <c r="A12" s="2">
        <v>4157</v>
      </c>
      <c r="B12" s="2">
        <v>4728</v>
      </c>
      <c r="C12" s="2" t="s">
        <v>448</v>
      </c>
      <c r="D12" s="2" t="s">
        <v>893</v>
      </c>
      <c r="E12" s="2" t="s">
        <v>450</v>
      </c>
      <c r="F12" s="2" t="s">
        <v>451</v>
      </c>
      <c r="G12" s="2" t="s">
        <v>207</v>
      </c>
      <c r="H12" s="2" t="s">
        <v>238</v>
      </c>
    </row>
    <row r="13" spans="1:8" x14ac:dyDescent="0.2">
      <c r="A13" s="2">
        <v>4158</v>
      </c>
      <c r="B13" s="2">
        <v>4737</v>
      </c>
      <c r="C13" s="2" t="s">
        <v>318</v>
      </c>
      <c r="D13" s="2" t="s">
        <v>894</v>
      </c>
      <c r="E13" s="2" t="s">
        <v>459</v>
      </c>
      <c r="F13" s="2" t="s">
        <v>463</v>
      </c>
      <c r="G13" s="2" t="s">
        <v>207</v>
      </c>
      <c r="H13" s="2" t="s">
        <v>228</v>
      </c>
    </row>
    <row r="14" spans="1:8" x14ac:dyDescent="0.2">
      <c r="A14" s="2">
        <v>4159</v>
      </c>
      <c r="B14" s="2">
        <v>4741</v>
      </c>
      <c r="C14" s="2" t="s">
        <v>325</v>
      </c>
      <c r="D14" s="2" t="s">
        <v>895</v>
      </c>
      <c r="E14" s="2" t="s">
        <v>896</v>
      </c>
      <c r="F14" s="2" t="s">
        <v>482</v>
      </c>
      <c r="G14" s="2" t="s">
        <v>207</v>
      </c>
      <c r="H14" s="2" t="s">
        <v>242</v>
      </c>
    </row>
    <row r="15" spans="1:8" x14ac:dyDescent="0.2">
      <c r="A15" s="2">
        <v>4154</v>
      </c>
      <c r="B15" s="2">
        <v>4717</v>
      </c>
      <c r="C15" s="2" t="s">
        <v>327</v>
      </c>
      <c r="D15" s="2" t="s">
        <v>897</v>
      </c>
      <c r="E15" s="2" t="s">
        <v>484</v>
      </c>
      <c r="F15" s="2" t="s">
        <v>479</v>
      </c>
      <c r="G15" s="2" t="s">
        <v>207</v>
      </c>
      <c r="H15" s="2" t="s">
        <v>247</v>
      </c>
    </row>
    <row r="16" spans="1:8" x14ac:dyDescent="0.2">
      <c r="A16" s="2">
        <v>4159</v>
      </c>
      <c r="B16" s="2">
        <v>88386</v>
      </c>
      <c r="C16" s="2" t="s">
        <v>325</v>
      </c>
      <c r="D16" s="2" t="s">
        <v>898</v>
      </c>
      <c r="E16" s="2" t="s">
        <v>899</v>
      </c>
      <c r="F16" s="2" t="s">
        <v>482</v>
      </c>
      <c r="G16" s="2" t="s">
        <v>207</v>
      </c>
      <c r="H16" s="2" t="s">
        <v>900</v>
      </c>
    </row>
    <row r="17" spans="1:8" x14ac:dyDescent="0.2">
      <c r="A17" s="2">
        <v>4473</v>
      </c>
      <c r="B17" s="2">
        <v>6106</v>
      </c>
      <c r="C17" s="2" t="s">
        <v>901</v>
      </c>
      <c r="D17" s="2" t="s">
        <v>902</v>
      </c>
      <c r="E17" s="2" t="s">
        <v>903</v>
      </c>
      <c r="F17" s="2" t="s">
        <v>904</v>
      </c>
      <c r="G17" s="2" t="s">
        <v>207</v>
      </c>
      <c r="H17" s="2" t="s">
        <v>905</v>
      </c>
    </row>
    <row r="18" spans="1:8" x14ac:dyDescent="0.2">
      <c r="A18" s="2">
        <v>4507</v>
      </c>
      <c r="B18" s="2">
        <v>80409</v>
      </c>
      <c r="C18" s="2" t="s">
        <v>906</v>
      </c>
      <c r="D18" s="2" t="s">
        <v>907</v>
      </c>
      <c r="E18" s="2" t="s">
        <v>908</v>
      </c>
      <c r="F18" s="2" t="s">
        <v>499</v>
      </c>
      <c r="G18" s="2" t="s">
        <v>207</v>
      </c>
      <c r="H18" s="2" t="s">
        <v>308</v>
      </c>
    </row>
    <row r="19" spans="1:8" x14ac:dyDescent="0.2">
      <c r="A19" s="2">
        <v>4431</v>
      </c>
      <c r="B19" s="2">
        <v>5878</v>
      </c>
      <c r="C19" s="2" t="s">
        <v>910</v>
      </c>
      <c r="D19" s="2" t="s">
        <v>911</v>
      </c>
      <c r="E19" s="2" t="s">
        <v>912</v>
      </c>
      <c r="F19" s="2" t="s">
        <v>499</v>
      </c>
      <c r="G19" s="2" t="s">
        <v>207</v>
      </c>
      <c r="H19" s="2" t="s">
        <v>308</v>
      </c>
    </row>
    <row r="20" spans="1:8" x14ac:dyDescent="0.2">
      <c r="A20" s="2">
        <v>4431</v>
      </c>
      <c r="B20" s="2">
        <v>5879</v>
      </c>
      <c r="C20" s="2" t="s">
        <v>910</v>
      </c>
      <c r="D20" s="2" t="s">
        <v>913</v>
      </c>
      <c r="E20" s="2" t="s">
        <v>914</v>
      </c>
      <c r="F20" s="2" t="s">
        <v>508</v>
      </c>
      <c r="G20" s="2" t="s">
        <v>207</v>
      </c>
      <c r="H20" s="2" t="s">
        <v>909</v>
      </c>
    </row>
    <row r="21" spans="1:8" x14ac:dyDescent="0.2">
      <c r="A21" s="2">
        <v>4507</v>
      </c>
      <c r="B21" s="2">
        <v>6302</v>
      </c>
      <c r="C21" s="2" t="s">
        <v>906</v>
      </c>
      <c r="D21" s="2" t="s">
        <v>915</v>
      </c>
      <c r="E21" s="2" t="s">
        <v>916</v>
      </c>
      <c r="F21" s="2" t="s">
        <v>496</v>
      </c>
      <c r="G21" s="2" t="s">
        <v>207</v>
      </c>
      <c r="H21" s="2" t="s">
        <v>512</v>
      </c>
    </row>
    <row r="22" spans="1:8" x14ac:dyDescent="0.2">
      <c r="A22" s="2">
        <v>4515</v>
      </c>
      <c r="B22" s="2">
        <v>6203</v>
      </c>
      <c r="C22" s="2" t="s">
        <v>917</v>
      </c>
      <c r="D22" s="2" t="s">
        <v>918</v>
      </c>
      <c r="E22" s="2" t="s">
        <v>919</v>
      </c>
      <c r="F22" s="2" t="s">
        <v>369</v>
      </c>
      <c r="G22" s="2" t="s">
        <v>207</v>
      </c>
      <c r="H22" s="2" t="s">
        <v>370</v>
      </c>
    </row>
    <row r="23" spans="1:8" x14ac:dyDescent="0.2">
      <c r="A23" s="2">
        <v>4236</v>
      </c>
      <c r="B23" s="2">
        <v>4987</v>
      </c>
      <c r="C23" s="2" t="s">
        <v>530</v>
      </c>
      <c r="D23" s="2" t="s">
        <v>920</v>
      </c>
      <c r="E23" s="2" t="s">
        <v>921</v>
      </c>
      <c r="F23" s="2" t="s">
        <v>533</v>
      </c>
      <c r="G23" s="2" t="s">
        <v>207</v>
      </c>
      <c r="H23" s="2" t="s">
        <v>534</v>
      </c>
    </row>
    <row r="24" spans="1:8" x14ac:dyDescent="0.2">
      <c r="A24" s="2">
        <v>4238</v>
      </c>
      <c r="B24" s="2">
        <v>5019</v>
      </c>
      <c r="C24" s="2" t="s">
        <v>319</v>
      </c>
      <c r="D24" s="2" t="s">
        <v>922</v>
      </c>
      <c r="E24" s="2" t="s">
        <v>529</v>
      </c>
      <c r="F24" s="2" t="s">
        <v>526</v>
      </c>
      <c r="G24" s="2" t="s">
        <v>207</v>
      </c>
      <c r="H24" s="2" t="s">
        <v>230</v>
      </c>
    </row>
    <row r="25" spans="1:8" x14ac:dyDescent="0.2">
      <c r="A25" s="2">
        <v>79880</v>
      </c>
      <c r="B25" s="2">
        <v>6350</v>
      </c>
      <c r="C25" s="2" t="s">
        <v>923</v>
      </c>
      <c r="D25" s="2" t="s">
        <v>924</v>
      </c>
      <c r="E25" s="2" t="s">
        <v>925</v>
      </c>
      <c r="F25" s="2" t="s">
        <v>527</v>
      </c>
      <c r="G25" s="2" t="s">
        <v>207</v>
      </c>
      <c r="H25" s="2" t="s">
        <v>538</v>
      </c>
    </row>
    <row r="26" spans="1:8" x14ac:dyDescent="0.2">
      <c r="A26" s="2">
        <v>79873</v>
      </c>
      <c r="B26" s="2">
        <v>78900</v>
      </c>
      <c r="C26" s="2" t="s">
        <v>926</v>
      </c>
      <c r="D26" s="2" t="s">
        <v>927</v>
      </c>
      <c r="E26" s="2" t="s">
        <v>928</v>
      </c>
      <c r="F26" s="2" t="s">
        <v>541</v>
      </c>
      <c r="G26" s="2" t="s">
        <v>207</v>
      </c>
      <c r="H26" s="2" t="s">
        <v>283</v>
      </c>
    </row>
    <row r="27" spans="1:8" x14ac:dyDescent="0.2">
      <c r="A27" s="2">
        <v>79875</v>
      </c>
      <c r="B27" s="2">
        <v>78817</v>
      </c>
      <c r="C27" s="2" t="s">
        <v>929</v>
      </c>
      <c r="D27" s="2" t="s">
        <v>930</v>
      </c>
      <c r="E27" s="2" t="s">
        <v>931</v>
      </c>
      <c r="F27" s="2" t="s">
        <v>932</v>
      </c>
      <c r="G27" s="2" t="s">
        <v>207</v>
      </c>
      <c r="H27" s="2" t="s">
        <v>933</v>
      </c>
    </row>
    <row r="28" spans="1:8" x14ac:dyDescent="0.2">
      <c r="A28" s="2">
        <v>79569</v>
      </c>
      <c r="B28" s="2">
        <v>79570</v>
      </c>
      <c r="C28" s="2" t="s">
        <v>934</v>
      </c>
      <c r="D28" s="2" t="s">
        <v>934</v>
      </c>
      <c r="E28" s="2" t="s">
        <v>935</v>
      </c>
      <c r="F28" s="2" t="s">
        <v>495</v>
      </c>
      <c r="G28" s="2" t="s">
        <v>207</v>
      </c>
      <c r="H28" s="2" t="s">
        <v>262</v>
      </c>
    </row>
    <row r="29" spans="1:8" x14ac:dyDescent="0.2">
      <c r="A29" s="2">
        <v>4285</v>
      </c>
      <c r="B29" s="2">
        <v>5426</v>
      </c>
      <c r="C29" s="2" t="s">
        <v>936</v>
      </c>
      <c r="D29" s="2" t="s">
        <v>937</v>
      </c>
      <c r="E29" s="2" t="s">
        <v>938</v>
      </c>
      <c r="F29" s="2" t="s">
        <v>379</v>
      </c>
      <c r="G29" s="2" t="s">
        <v>207</v>
      </c>
      <c r="H29" s="2" t="s">
        <v>293</v>
      </c>
    </row>
    <row r="30" spans="1:8" x14ac:dyDescent="0.2">
      <c r="A30" s="2">
        <v>92043</v>
      </c>
      <c r="B30" s="2">
        <v>92044</v>
      </c>
      <c r="C30" s="2" t="s">
        <v>939</v>
      </c>
      <c r="D30" s="2" t="s">
        <v>939</v>
      </c>
      <c r="E30" s="2" t="s">
        <v>940</v>
      </c>
      <c r="F30" s="2" t="s">
        <v>495</v>
      </c>
      <c r="G30" s="2" t="s">
        <v>207</v>
      </c>
      <c r="H30" s="2" t="s">
        <v>270</v>
      </c>
    </row>
    <row r="31" spans="1:8" x14ac:dyDescent="0.2">
      <c r="A31" s="2">
        <v>79879</v>
      </c>
      <c r="B31" s="2">
        <v>6348</v>
      </c>
      <c r="C31" s="2" t="s">
        <v>941</v>
      </c>
      <c r="D31" s="2" t="s">
        <v>942</v>
      </c>
      <c r="E31" s="2" t="s">
        <v>943</v>
      </c>
      <c r="F31" s="2" t="s">
        <v>495</v>
      </c>
      <c r="G31" s="2" t="s">
        <v>207</v>
      </c>
      <c r="H31" s="2" t="s">
        <v>594</v>
      </c>
    </row>
    <row r="32" spans="1:8" x14ac:dyDescent="0.2">
      <c r="A32" s="2">
        <v>79882</v>
      </c>
      <c r="B32" s="2">
        <v>10748</v>
      </c>
      <c r="C32" s="2" t="s">
        <v>944</v>
      </c>
      <c r="D32" s="2" t="s">
        <v>944</v>
      </c>
      <c r="E32" s="2" t="s">
        <v>945</v>
      </c>
      <c r="F32" s="2" t="s">
        <v>495</v>
      </c>
      <c r="G32" s="2" t="s">
        <v>207</v>
      </c>
      <c r="H32" s="2" t="s">
        <v>304</v>
      </c>
    </row>
    <row r="33" spans="1:8" x14ac:dyDescent="0.2">
      <c r="A33" s="2">
        <v>4286</v>
      </c>
      <c r="B33" s="2">
        <v>5440</v>
      </c>
      <c r="C33" s="2" t="s">
        <v>946</v>
      </c>
      <c r="D33" s="2" t="s">
        <v>947</v>
      </c>
      <c r="E33" s="2" t="s">
        <v>948</v>
      </c>
      <c r="F33" s="2" t="s">
        <v>495</v>
      </c>
      <c r="G33" s="2" t="s">
        <v>207</v>
      </c>
      <c r="H33" s="2" t="s">
        <v>235</v>
      </c>
    </row>
    <row r="34" spans="1:8" x14ac:dyDescent="0.2">
      <c r="A34" s="2">
        <v>4286</v>
      </c>
      <c r="B34" s="2">
        <v>6249</v>
      </c>
      <c r="C34" s="2" t="s">
        <v>946</v>
      </c>
      <c r="D34" s="2" t="s">
        <v>949</v>
      </c>
      <c r="E34" s="2" t="s">
        <v>950</v>
      </c>
      <c r="F34" s="2" t="s">
        <v>495</v>
      </c>
      <c r="G34" s="2" t="s">
        <v>207</v>
      </c>
      <c r="H34" s="2" t="s">
        <v>951</v>
      </c>
    </row>
    <row r="35" spans="1:8" x14ac:dyDescent="0.2">
      <c r="A35" s="2">
        <v>79077</v>
      </c>
      <c r="B35" s="2">
        <v>79099</v>
      </c>
      <c r="C35" s="2" t="s">
        <v>952</v>
      </c>
      <c r="D35" s="2" t="s">
        <v>953</v>
      </c>
      <c r="E35" s="2" t="s">
        <v>954</v>
      </c>
      <c r="F35" s="2" t="s">
        <v>495</v>
      </c>
      <c r="G35" s="2" t="s">
        <v>207</v>
      </c>
      <c r="H35" s="2" t="s">
        <v>623</v>
      </c>
    </row>
    <row r="36" spans="1:8" x14ac:dyDescent="0.2">
      <c r="A36" s="2">
        <v>4300</v>
      </c>
      <c r="B36" s="2">
        <v>5466</v>
      </c>
      <c r="C36" s="2" t="s">
        <v>955</v>
      </c>
      <c r="D36" s="2" t="s">
        <v>956</v>
      </c>
      <c r="E36" s="2" t="s">
        <v>957</v>
      </c>
      <c r="F36" s="2" t="s">
        <v>495</v>
      </c>
      <c r="G36" s="2" t="s">
        <v>207</v>
      </c>
      <c r="H36" s="2" t="s">
        <v>633</v>
      </c>
    </row>
    <row r="37" spans="1:8" x14ac:dyDescent="0.2">
      <c r="A37" s="2">
        <v>4286</v>
      </c>
      <c r="B37" s="2">
        <v>5439</v>
      </c>
      <c r="C37" s="2" t="s">
        <v>946</v>
      </c>
      <c r="D37" s="2" t="s">
        <v>958</v>
      </c>
      <c r="E37" s="2" t="s">
        <v>959</v>
      </c>
      <c r="F37" s="2" t="s">
        <v>495</v>
      </c>
      <c r="G37" s="2" t="s">
        <v>207</v>
      </c>
      <c r="H37" s="2" t="s">
        <v>960</v>
      </c>
    </row>
    <row r="38" spans="1:8" x14ac:dyDescent="0.2">
      <c r="A38" s="2">
        <v>80989</v>
      </c>
      <c r="B38" s="2">
        <v>80990</v>
      </c>
      <c r="C38" s="2" t="s">
        <v>961</v>
      </c>
      <c r="D38" s="2" t="s">
        <v>962</v>
      </c>
      <c r="E38" s="2" t="s">
        <v>963</v>
      </c>
      <c r="F38" s="2" t="s">
        <v>495</v>
      </c>
      <c r="G38" s="2" t="s">
        <v>207</v>
      </c>
      <c r="H38" s="2" t="s">
        <v>248</v>
      </c>
    </row>
    <row r="39" spans="1:8" x14ac:dyDescent="0.2">
      <c r="A39" s="2">
        <v>4335</v>
      </c>
      <c r="B39" s="2">
        <v>5507</v>
      </c>
      <c r="C39" s="2" t="s">
        <v>649</v>
      </c>
      <c r="D39" s="2" t="s">
        <v>964</v>
      </c>
      <c r="E39" s="2" t="s">
        <v>651</v>
      </c>
      <c r="F39" s="2" t="s">
        <v>495</v>
      </c>
      <c r="G39" s="2" t="s">
        <v>207</v>
      </c>
      <c r="H39" s="2" t="s">
        <v>266</v>
      </c>
    </row>
    <row r="40" spans="1:8" x14ac:dyDescent="0.2">
      <c r="A40" s="2">
        <v>4286</v>
      </c>
      <c r="B40" s="2">
        <v>79617</v>
      </c>
      <c r="C40" s="2" t="s">
        <v>946</v>
      </c>
      <c r="D40" s="2" t="s">
        <v>965</v>
      </c>
      <c r="E40" s="2" t="s">
        <v>966</v>
      </c>
      <c r="F40" s="2" t="s">
        <v>495</v>
      </c>
      <c r="G40" s="2" t="s">
        <v>207</v>
      </c>
      <c r="H40" s="2" t="s">
        <v>606</v>
      </c>
    </row>
    <row r="41" spans="1:8" x14ac:dyDescent="0.2">
      <c r="A41" s="2">
        <v>79876</v>
      </c>
      <c r="B41" s="2">
        <v>10749</v>
      </c>
      <c r="C41" s="2" t="s">
        <v>967</v>
      </c>
      <c r="D41" s="2" t="s">
        <v>967</v>
      </c>
      <c r="E41" s="2" t="s">
        <v>968</v>
      </c>
      <c r="F41" s="2" t="s">
        <v>495</v>
      </c>
      <c r="G41" s="2" t="s">
        <v>207</v>
      </c>
      <c r="H41" s="2" t="s">
        <v>291</v>
      </c>
    </row>
    <row r="42" spans="1:8" x14ac:dyDescent="0.2">
      <c r="A42" s="2">
        <v>90536</v>
      </c>
      <c r="B42" s="2">
        <v>90907</v>
      </c>
      <c r="C42" s="2" t="s">
        <v>969</v>
      </c>
      <c r="D42" s="2" t="s">
        <v>970</v>
      </c>
      <c r="E42" s="2" t="s">
        <v>971</v>
      </c>
      <c r="F42" s="2" t="s">
        <v>495</v>
      </c>
      <c r="G42" s="2" t="s">
        <v>207</v>
      </c>
      <c r="H42" s="2" t="s">
        <v>951</v>
      </c>
    </row>
    <row r="43" spans="1:8" x14ac:dyDescent="0.2">
      <c r="A43" s="2">
        <v>79874</v>
      </c>
      <c r="B43" s="2">
        <v>78813</v>
      </c>
      <c r="C43" s="2" t="s">
        <v>972</v>
      </c>
      <c r="D43" s="2" t="s">
        <v>973</v>
      </c>
      <c r="E43" s="2" t="s">
        <v>974</v>
      </c>
      <c r="F43" s="2" t="s">
        <v>495</v>
      </c>
      <c r="G43" s="2" t="s">
        <v>207</v>
      </c>
      <c r="H43" s="2" t="s">
        <v>273</v>
      </c>
    </row>
    <row r="44" spans="1:8" x14ac:dyDescent="0.2">
      <c r="A44" s="2">
        <v>4286</v>
      </c>
      <c r="B44" s="2">
        <v>5438</v>
      </c>
      <c r="C44" s="2" t="s">
        <v>946</v>
      </c>
      <c r="D44" s="2" t="s">
        <v>975</v>
      </c>
      <c r="E44" s="2" t="s">
        <v>976</v>
      </c>
      <c r="F44" s="2" t="s">
        <v>495</v>
      </c>
      <c r="G44" s="2" t="s">
        <v>207</v>
      </c>
      <c r="H44" s="2" t="s">
        <v>668</v>
      </c>
    </row>
    <row r="45" spans="1:8" x14ac:dyDescent="0.2">
      <c r="A45" s="2">
        <v>79578</v>
      </c>
      <c r="B45" s="2">
        <v>79579</v>
      </c>
      <c r="C45" s="2" t="s">
        <v>977</v>
      </c>
      <c r="D45" s="2" t="s">
        <v>978</v>
      </c>
      <c r="E45" s="2" t="s">
        <v>979</v>
      </c>
      <c r="F45" s="2" t="s">
        <v>495</v>
      </c>
      <c r="G45" s="2" t="s">
        <v>207</v>
      </c>
      <c r="H45" s="2" t="s">
        <v>951</v>
      </c>
    </row>
    <row r="46" spans="1:8" x14ac:dyDescent="0.2">
      <c r="A46" s="2">
        <v>4314</v>
      </c>
      <c r="B46" s="2">
        <v>5480</v>
      </c>
      <c r="C46" s="2" t="s">
        <v>980</v>
      </c>
      <c r="D46" s="2" t="s">
        <v>981</v>
      </c>
      <c r="E46" s="2" t="s">
        <v>982</v>
      </c>
      <c r="F46" s="2" t="s">
        <v>495</v>
      </c>
      <c r="G46" s="2" t="s">
        <v>207</v>
      </c>
      <c r="H46" s="2" t="s">
        <v>303</v>
      </c>
    </row>
    <row r="47" spans="1:8" x14ac:dyDescent="0.2">
      <c r="A47" s="2">
        <v>78997</v>
      </c>
      <c r="B47" s="2">
        <v>79022</v>
      </c>
      <c r="C47" s="2" t="s">
        <v>983</v>
      </c>
      <c r="D47" s="2" t="s">
        <v>984</v>
      </c>
      <c r="E47" s="2" t="s">
        <v>985</v>
      </c>
      <c r="F47" s="2" t="s">
        <v>704</v>
      </c>
      <c r="G47" s="2" t="s">
        <v>207</v>
      </c>
      <c r="H47" s="2" t="s">
        <v>705</v>
      </c>
    </row>
    <row r="48" spans="1:8" x14ac:dyDescent="0.2">
      <c r="A48" s="2">
        <v>4235</v>
      </c>
      <c r="B48" s="2">
        <v>4981</v>
      </c>
      <c r="C48" s="2" t="s">
        <v>341</v>
      </c>
      <c r="D48" s="2" t="s">
        <v>986</v>
      </c>
      <c r="E48" s="2" t="s">
        <v>987</v>
      </c>
      <c r="F48" s="2" t="s">
        <v>714</v>
      </c>
      <c r="G48" s="2" t="s">
        <v>207</v>
      </c>
      <c r="H48" s="2" t="s">
        <v>715</v>
      </c>
    </row>
    <row r="49" spans="1:8" x14ac:dyDescent="0.2">
      <c r="A49" s="2">
        <v>79877</v>
      </c>
      <c r="B49" s="2">
        <v>6347</v>
      </c>
      <c r="C49" s="2" t="s">
        <v>988</v>
      </c>
      <c r="D49" s="2" t="s">
        <v>989</v>
      </c>
      <c r="E49" s="2" t="s">
        <v>990</v>
      </c>
      <c r="F49" s="2" t="s">
        <v>714</v>
      </c>
      <c r="G49" s="2" t="s">
        <v>207</v>
      </c>
      <c r="H49" s="2" t="s">
        <v>728</v>
      </c>
    </row>
    <row r="50" spans="1:8" x14ac:dyDescent="0.2">
      <c r="A50" s="2">
        <v>4403</v>
      </c>
      <c r="B50" s="2">
        <v>5759</v>
      </c>
      <c r="C50" s="2" t="s">
        <v>330</v>
      </c>
      <c r="D50" s="2" t="s">
        <v>991</v>
      </c>
      <c r="E50" s="2" t="s">
        <v>992</v>
      </c>
      <c r="F50" s="2" t="s">
        <v>764</v>
      </c>
      <c r="G50" s="2" t="s">
        <v>207</v>
      </c>
      <c r="H50" s="2" t="s">
        <v>268</v>
      </c>
    </row>
    <row r="51" spans="1:8" x14ac:dyDescent="0.2">
      <c r="A51" s="2">
        <v>80032</v>
      </c>
      <c r="B51" s="2">
        <v>80033</v>
      </c>
      <c r="C51" s="2" t="s">
        <v>993</v>
      </c>
      <c r="D51" s="2" t="s">
        <v>994</v>
      </c>
      <c r="E51" s="2" t="s">
        <v>995</v>
      </c>
      <c r="F51" s="2" t="s">
        <v>764</v>
      </c>
      <c r="G51" s="2" t="s">
        <v>207</v>
      </c>
      <c r="H51" s="2" t="s">
        <v>272</v>
      </c>
    </row>
    <row r="52" spans="1:8" x14ac:dyDescent="0.2">
      <c r="A52" s="2">
        <v>4420</v>
      </c>
      <c r="B52" s="2">
        <v>6057</v>
      </c>
      <c r="C52" s="2" t="s">
        <v>996</v>
      </c>
      <c r="D52" s="2" t="s">
        <v>997</v>
      </c>
      <c r="E52" s="2" t="s">
        <v>998</v>
      </c>
      <c r="F52" s="2" t="s">
        <v>764</v>
      </c>
      <c r="G52" s="2" t="s">
        <v>207</v>
      </c>
      <c r="H52" s="2" t="s">
        <v>268</v>
      </c>
    </row>
    <row r="53" spans="1:8" x14ac:dyDescent="0.2">
      <c r="A53" s="2">
        <v>4407</v>
      </c>
      <c r="B53" s="2">
        <v>5827</v>
      </c>
      <c r="C53" s="2" t="s">
        <v>331</v>
      </c>
      <c r="D53" s="2" t="s">
        <v>999</v>
      </c>
      <c r="E53" s="2" t="s">
        <v>1000</v>
      </c>
      <c r="F53" s="2" t="s">
        <v>764</v>
      </c>
      <c r="G53" s="2" t="s">
        <v>207</v>
      </c>
      <c r="H53" s="2" t="s">
        <v>257</v>
      </c>
    </row>
    <row r="54" spans="1:8" x14ac:dyDescent="0.2">
      <c r="A54" s="2">
        <v>4431</v>
      </c>
      <c r="B54" s="2">
        <v>5873</v>
      </c>
      <c r="C54" s="2" t="s">
        <v>910</v>
      </c>
      <c r="D54" s="2" t="s">
        <v>1001</v>
      </c>
      <c r="E54" s="2" t="s">
        <v>1002</v>
      </c>
      <c r="F54" s="2" t="s">
        <v>764</v>
      </c>
      <c r="G54" s="2" t="s">
        <v>207</v>
      </c>
      <c r="H54" s="2" t="s">
        <v>272</v>
      </c>
    </row>
    <row r="55" spans="1:8" x14ac:dyDescent="0.2">
      <c r="A55" s="2">
        <v>80995</v>
      </c>
      <c r="B55" s="2">
        <v>80996</v>
      </c>
      <c r="C55" s="2" t="s">
        <v>1003</v>
      </c>
      <c r="D55" s="2" t="s">
        <v>1004</v>
      </c>
      <c r="E55" s="2" t="s">
        <v>1005</v>
      </c>
      <c r="F55" s="2" t="s">
        <v>764</v>
      </c>
      <c r="G55" s="2" t="s">
        <v>207</v>
      </c>
      <c r="H55" s="2" t="s">
        <v>257</v>
      </c>
    </row>
    <row r="56" spans="1:8" x14ac:dyDescent="0.2">
      <c r="A56" s="2">
        <v>4457</v>
      </c>
      <c r="B56" s="2">
        <v>5961</v>
      </c>
      <c r="C56" s="2" t="s">
        <v>344</v>
      </c>
      <c r="D56" s="2" t="s">
        <v>1006</v>
      </c>
      <c r="E56" s="2" t="s">
        <v>1007</v>
      </c>
      <c r="F56" s="2" t="s">
        <v>413</v>
      </c>
      <c r="G56" s="2" t="s">
        <v>207</v>
      </c>
      <c r="H56" s="2" t="s">
        <v>288</v>
      </c>
    </row>
    <row r="57" spans="1:8" x14ac:dyDescent="0.2">
      <c r="A57" s="2">
        <v>4403</v>
      </c>
      <c r="B57" s="2">
        <v>5756</v>
      </c>
      <c r="C57" s="2" t="s">
        <v>330</v>
      </c>
      <c r="D57" s="2" t="s">
        <v>1008</v>
      </c>
      <c r="E57" s="2" t="s">
        <v>1009</v>
      </c>
      <c r="F57" s="2" t="s">
        <v>764</v>
      </c>
      <c r="G57" s="2" t="s">
        <v>207</v>
      </c>
      <c r="H57" s="2" t="s">
        <v>269</v>
      </c>
    </row>
    <row r="58" spans="1:8" x14ac:dyDescent="0.2">
      <c r="A58" s="2">
        <v>4407</v>
      </c>
      <c r="B58" s="2">
        <v>5826</v>
      </c>
      <c r="C58" s="2" t="s">
        <v>331</v>
      </c>
      <c r="D58" s="2" t="s">
        <v>1010</v>
      </c>
      <c r="E58" s="2" t="s">
        <v>1011</v>
      </c>
      <c r="F58" s="2" t="s">
        <v>764</v>
      </c>
      <c r="G58" s="2" t="s">
        <v>207</v>
      </c>
      <c r="H58" s="2" t="s">
        <v>257</v>
      </c>
    </row>
    <row r="59" spans="1:8" x14ac:dyDescent="0.2">
      <c r="A59" s="2">
        <v>4216</v>
      </c>
      <c r="B59" s="2">
        <v>4878</v>
      </c>
      <c r="C59" s="2" t="s">
        <v>1012</v>
      </c>
      <c r="D59" s="2" t="s">
        <v>1012</v>
      </c>
      <c r="E59" s="2" t="s">
        <v>1013</v>
      </c>
      <c r="F59" s="2" t="s">
        <v>1014</v>
      </c>
      <c r="G59" s="2" t="s">
        <v>207</v>
      </c>
      <c r="H59" s="2" t="s">
        <v>296</v>
      </c>
    </row>
    <row r="60" spans="1:8" x14ac:dyDescent="0.2">
      <c r="A60" s="2">
        <v>4439</v>
      </c>
      <c r="B60" s="2">
        <v>5904</v>
      </c>
      <c r="C60" s="2" t="s">
        <v>338</v>
      </c>
      <c r="D60" s="2" t="s">
        <v>1015</v>
      </c>
      <c r="E60" s="2" t="s">
        <v>1016</v>
      </c>
      <c r="F60" s="2" t="s">
        <v>1017</v>
      </c>
      <c r="G60" s="2" t="s">
        <v>207</v>
      </c>
      <c r="H60" s="2" t="s">
        <v>275</v>
      </c>
    </row>
    <row r="61" spans="1:8" x14ac:dyDescent="0.2">
      <c r="A61" s="2">
        <v>90876</v>
      </c>
      <c r="B61" s="2">
        <v>91782</v>
      </c>
      <c r="C61" s="2" t="s">
        <v>1018</v>
      </c>
      <c r="D61" s="2" t="s">
        <v>1019</v>
      </c>
      <c r="E61" s="2" t="s">
        <v>1020</v>
      </c>
      <c r="F61" s="2" t="s">
        <v>764</v>
      </c>
      <c r="G61" s="2" t="s">
        <v>207</v>
      </c>
      <c r="H61" s="2" t="s">
        <v>256</v>
      </c>
    </row>
    <row r="62" spans="1:8" x14ac:dyDescent="0.2">
      <c r="A62" s="2">
        <v>4211</v>
      </c>
      <c r="B62" s="2">
        <v>4869</v>
      </c>
      <c r="C62" s="2" t="s">
        <v>1021</v>
      </c>
      <c r="D62" s="2" t="s">
        <v>1022</v>
      </c>
      <c r="E62" s="2" t="s">
        <v>1023</v>
      </c>
      <c r="F62" s="2" t="s">
        <v>1024</v>
      </c>
      <c r="G62" s="2" t="s">
        <v>207</v>
      </c>
      <c r="H62" s="2" t="s">
        <v>1025</v>
      </c>
    </row>
    <row r="63" spans="1:8" x14ac:dyDescent="0.2">
      <c r="A63" s="2">
        <v>4394</v>
      </c>
      <c r="B63" s="2">
        <v>5637</v>
      </c>
      <c r="C63" s="2" t="s">
        <v>439</v>
      </c>
      <c r="D63" s="2" t="s">
        <v>1026</v>
      </c>
      <c r="E63" s="2" t="s">
        <v>1027</v>
      </c>
      <c r="F63" s="2" t="s">
        <v>442</v>
      </c>
      <c r="G63" s="2" t="s">
        <v>207</v>
      </c>
      <c r="H63" s="2" t="s">
        <v>443</v>
      </c>
    </row>
    <row r="64" spans="1:8" x14ac:dyDescent="0.2">
      <c r="A64" s="2">
        <v>4156</v>
      </c>
      <c r="B64" s="2">
        <v>4724</v>
      </c>
      <c r="C64" s="2" t="s">
        <v>314</v>
      </c>
      <c r="D64" s="2" t="s">
        <v>1028</v>
      </c>
      <c r="E64" s="2" t="s">
        <v>1029</v>
      </c>
      <c r="F64" s="2" t="s">
        <v>473</v>
      </c>
      <c r="G64" s="2" t="s">
        <v>207</v>
      </c>
      <c r="H64" s="2" t="s">
        <v>217</v>
      </c>
    </row>
    <row r="65" spans="1:8" x14ac:dyDescent="0.2">
      <c r="A65" s="3">
        <v>4191</v>
      </c>
      <c r="B65" s="3">
        <v>4802</v>
      </c>
      <c r="C65" s="3" t="s">
        <v>1295</v>
      </c>
      <c r="D65" s="3" t="s">
        <v>1554</v>
      </c>
      <c r="E65" s="3" t="s">
        <v>1555</v>
      </c>
      <c r="F65" s="3" t="s">
        <v>1298</v>
      </c>
      <c r="G65" s="3" t="s">
        <v>207</v>
      </c>
      <c r="H65" s="3" t="s">
        <v>1299</v>
      </c>
    </row>
    <row r="66" spans="1:8" x14ac:dyDescent="0.2">
      <c r="A66" s="3">
        <v>4288</v>
      </c>
      <c r="B66" s="3">
        <v>80051</v>
      </c>
      <c r="C66" s="3" t="s">
        <v>1556</v>
      </c>
      <c r="D66" s="3" t="s">
        <v>1557</v>
      </c>
      <c r="E66" s="3" t="s">
        <v>1558</v>
      </c>
      <c r="F66" s="3" t="s">
        <v>541</v>
      </c>
      <c r="G66" s="3" t="s">
        <v>207</v>
      </c>
      <c r="H66" s="3" t="s">
        <v>1284</v>
      </c>
    </row>
    <row r="67" spans="1:8" x14ac:dyDescent="0.2">
      <c r="A67" s="3">
        <v>4288</v>
      </c>
      <c r="B67" s="3">
        <v>89908</v>
      </c>
      <c r="C67" s="3" t="s">
        <v>1556</v>
      </c>
      <c r="D67" s="3" t="s">
        <v>1559</v>
      </c>
      <c r="E67" s="3" t="s">
        <v>1560</v>
      </c>
      <c r="F67" s="3" t="s">
        <v>495</v>
      </c>
      <c r="G67" s="3" t="s">
        <v>207</v>
      </c>
      <c r="H67" s="3" t="s">
        <v>1284</v>
      </c>
    </row>
    <row r="68" spans="1:8" x14ac:dyDescent="0.2">
      <c r="A68" s="3">
        <v>4286</v>
      </c>
      <c r="B68" s="3">
        <v>78847</v>
      </c>
      <c r="C68" s="3" t="s">
        <v>946</v>
      </c>
      <c r="D68" s="3" t="s">
        <v>1561</v>
      </c>
      <c r="E68" s="3" t="s">
        <v>1562</v>
      </c>
      <c r="F68" s="3" t="s">
        <v>1327</v>
      </c>
      <c r="G68" s="3" t="s">
        <v>207</v>
      </c>
      <c r="H68" s="3" t="s">
        <v>1328</v>
      </c>
    </row>
    <row r="69" spans="1:8" x14ac:dyDescent="0.2">
      <c r="A69" s="3">
        <v>4342</v>
      </c>
      <c r="B69" s="3">
        <v>92246</v>
      </c>
      <c r="C69" s="3" t="s">
        <v>1563</v>
      </c>
      <c r="D69" s="3" t="s">
        <v>1564</v>
      </c>
      <c r="E69" s="3" t="s">
        <v>1422</v>
      </c>
      <c r="F69" s="3" t="s">
        <v>495</v>
      </c>
      <c r="G69" s="3" t="s">
        <v>207</v>
      </c>
      <c r="H69" s="3" t="s">
        <v>778</v>
      </c>
    </row>
    <row r="70" spans="1:8" x14ac:dyDescent="0.2">
      <c r="A70" s="3">
        <v>4507</v>
      </c>
      <c r="B70" s="3">
        <v>6189</v>
      </c>
      <c r="C70" s="3" t="s">
        <v>906</v>
      </c>
      <c r="D70" s="3" t="s">
        <v>1565</v>
      </c>
      <c r="E70" s="3" t="s">
        <v>1566</v>
      </c>
      <c r="F70" s="3" t="s">
        <v>496</v>
      </c>
      <c r="G70" s="3" t="s">
        <v>207</v>
      </c>
      <c r="H70" s="3" t="s">
        <v>512</v>
      </c>
    </row>
    <row r="71" spans="1:8" x14ac:dyDescent="0.2">
      <c r="A71" s="3">
        <v>4286</v>
      </c>
      <c r="B71" s="3">
        <v>5441</v>
      </c>
      <c r="C71" s="3" t="s">
        <v>946</v>
      </c>
      <c r="D71" s="3" t="s">
        <v>1567</v>
      </c>
      <c r="E71" s="3" t="s">
        <v>1568</v>
      </c>
      <c r="F71" s="3" t="s">
        <v>495</v>
      </c>
      <c r="G71" s="3" t="s">
        <v>207</v>
      </c>
      <c r="H71" s="3" t="s">
        <v>262</v>
      </c>
    </row>
    <row r="72" spans="1:8" x14ac:dyDescent="0.2">
      <c r="A72" s="3">
        <v>346763</v>
      </c>
      <c r="B72" s="3">
        <v>92248</v>
      </c>
      <c r="C72" s="3" t="s">
        <v>1569</v>
      </c>
      <c r="D72" s="3" t="s">
        <v>1570</v>
      </c>
      <c r="E72" s="3" t="s">
        <v>1571</v>
      </c>
      <c r="F72" s="3" t="s">
        <v>495</v>
      </c>
      <c r="G72" s="3" t="s">
        <v>207</v>
      </c>
      <c r="H72" s="3" t="s">
        <v>266</v>
      </c>
    </row>
    <row r="73" spans="1:8" x14ac:dyDescent="0.2">
      <c r="A73" s="3">
        <v>4286</v>
      </c>
      <c r="B73" s="3">
        <v>5443</v>
      </c>
      <c r="C73" s="3" t="s">
        <v>946</v>
      </c>
      <c r="D73" s="3" t="s">
        <v>1572</v>
      </c>
      <c r="E73" s="3" t="s">
        <v>1573</v>
      </c>
      <c r="F73" s="3" t="s">
        <v>495</v>
      </c>
      <c r="G73" s="3" t="s">
        <v>207</v>
      </c>
      <c r="H73" s="3" t="s">
        <v>266</v>
      </c>
    </row>
    <row r="74" spans="1:8" x14ac:dyDescent="0.2">
      <c r="A74" s="3">
        <v>4240</v>
      </c>
      <c r="B74" s="3">
        <v>5067</v>
      </c>
      <c r="C74" s="3" t="s">
        <v>1574</v>
      </c>
      <c r="D74" s="3" t="s">
        <v>1575</v>
      </c>
      <c r="E74" s="3" t="s">
        <v>1576</v>
      </c>
      <c r="F74" s="3" t="s">
        <v>708</v>
      </c>
      <c r="G74" s="3" t="s">
        <v>207</v>
      </c>
      <c r="H74" s="3" t="s">
        <v>1577</v>
      </c>
    </row>
    <row r="75" spans="1:8" x14ac:dyDescent="0.2">
      <c r="A75" s="3">
        <v>4286</v>
      </c>
      <c r="B75" s="3">
        <v>5437</v>
      </c>
      <c r="C75" s="3" t="s">
        <v>946</v>
      </c>
      <c r="D75" s="3" t="s">
        <v>1578</v>
      </c>
      <c r="E75" s="3" t="s">
        <v>1579</v>
      </c>
      <c r="F75" s="3" t="s">
        <v>495</v>
      </c>
      <c r="G75" s="3" t="s">
        <v>207</v>
      </c>
      <c r="H75" s="3" t="s">
        <v>262</v>
      </c>
    </row>
    <row r="76" spans="1:8" x14ac:dyDescent="0.2">
      <c r="A76" s="3">
        <v>4435</v>
      </c>
      <c r="B76" s="3">
        <v>6067</v>
      </c>
      <c r="C76" s="3" t="s">
        <v>1580</v>
      </c>
      <c r="D76" s="3" t="s">
        <v>1581</v>
      </c>
      <c r="E76" s="3" t="s">
        <v>1582</v>
      </c>
      <c r="F76" s="3" t="s">
        <v>760</v>
      </c>
      <c r="G76" s="3" t="s">
        <v>207</v>
      </c>
      <c r="H76" s="3" t="s">
        <v>250</v>
      </c>
    </row>
    <row r="77" spans="1:8" x14ac:dyDescent="0.2">
      <c r="A77" s="3">
        <v>4442</v>
      </c>
      <c r="B77" s="3">
        <v>5916</v>
      </c>
      <c r="C77" s="3" t="s">
        <v>315</v>
      </c>
      <c r="D77" s="3" t="s">
        <v>1583</v>
      </c>
      <c r="E77" s="3" t="s">
        <v>1584</v>
      </c>
      <c r="F77" s="3" t="s">
        <v>751</v>
      </c>
      <c r="G77" s="3" t="s">
        <v>207</v>
      </c>
      <c r="H77" s="3" t="s">
        <v>220</v>
      </c>
    </row>
    <row r="78" spans="1:8" x14ac:dyDescent="0.2">
      <c r="A78" s="3">
        <v>4400</v>
      </c>
      <c r="B78" s="3">
        <v>5652</v>
      </c>
      <c r="C78" s="3" t="s">
        <v>1585</v>
      </c>
      <c r="D78" s="3" t="s">
        <v>1586</v>
      </c>
      <c r="E78" s="3" t="s">
        <v>1587</v>
      </c>
      <c r="F78" s="3" t="s">
        <v>1588</v>
      </c>
      <c r="G78" s="3" t="s">
        <v>207</v>
      </c>
      <c r="H78" s="3" t="s">
        <v>1589</v>
      </c>
    </row>
    <row r="79" spans="1:8" x14ac:dyDescent="0.2">
      <c r="A79" s="3">
        <v>79872</v>
      </c>
      <c r="B79" s="3">
        <v>78901</v>
      </c>
      <c r="C79" s="3" t="s">
        <v>1590</v>
      </c>
      <c r="D79" s="3" t="s">
        <v>1591</v>
      </c>
      <c r="E79" s="3" t="s">
        <v>1592</v>
      </c>
      <c r="F79" s="3" t="s">
        <v>1593</v>
      </c>
      <c r="G79" s="3" t="s">
        <v>207</v>
      </c>
      <c r="H79" s="3" t="s">
        <v>1594</v>
      </c>
    </row>
    <row r="80" spans="1:8" x14ac:dyDescent="0.2">
      <c r="A80" s="3">
        <v>79883</v>
      </c>
      <c r="B80" s="3">
        <v>6346</v>
      </c>
      <c r="C80" s="3" t="s">
        <v>1595</v>
      </c>
      <c r="D80" s="3" t="s">
        <v>1596</v>
      </c>
      <c r="E80" s="3" t="s">
        <v>1597</v>
      </c>
      <c r="F80" s="3" t="s">
        <v>1598</v>
      </c>
      <c r="G80" s="3" t="s">
        <v>207</v>
      </c>
      <c r="H80" s="3" t="s">
        <v>1115</v>
      </c>
    </row>
    <row r="81" spans="1:8" x14ac:dyDescent="0.2">
      <c r="A81" s="3">
        <v>79878</v>
      </c>
      <c r="B81" s="3">
        <v>6349</v>
      </c>
      <c r="C81" s="3" t="s">
        <v>1599</v>
      </c>
      <c r="D81" s="3" t="s">
        <v>1600</v>
      </c>
      <c r="E81" s="3" t="s">
        <v>645</v>
      </c>
      <c r="F81" s="3" t="s">
        <v>495</v>
      </c>
      <c r="G81" s="3" t="s">
        <v>207</v>
      </c>
      <c r="H81" s="3" t="s">
        <v>248</v>
      </c>
    </row>
    <row r="82" spans="1:8" x14ac:dyDescent="0.2">
      <c r="A82" s="3">
        <v>6374</v>
      </c>
      <c r="B82" s="3">
        <v>5892</v>
      </c>
      <c r="C82" s="3" t="s">
        <v>1601</v>
      </c>
      <c r="D82" s="3" t="s">
        <v>1601</v>
      </c>
      <c r="E82" s="3" t="s">
        <v>1602</v>
      </c>
      <c r="F82" s="3" t="s">
        <v>764</v>
      </c>
      <c r="G82" s="3" t="s">
        <v>207</v>
      </c>
      <c r="H82" s="3" t="s">
        <v>254</v>
      </c>
    </row>
    <row r="83" spans="1:8" x14ac:dyDescent="0.2">
      <c r="A83" s="3">
        <v>6369</v>
      </c>
      <c r="B83" s="3">
        <v>5872</v>
      </c>
      <c r="C83" s="3" t="s">
        <v>1603</v>
      </c>
      <c r="D83" s="3" t="s">
        <v>1604</v>
      </c>
      <c r="E83" s="3" t="s">
        <v>1605</v>
      </c>
      <c r="F83" s="3" t="s">
        <v>764</v>
      </c>
      <c r="G83" s="3" t="s">
        <v>207</v>
      </c>
      <c r="H83" s="3" t="s">
        <v>1606</v>
      </c>
    </row>
  </sheetData>
  <sortState xmlns:xlrd2="http://schemas.microsoft.com/office/spreadsheetml/2017/richdata2" ref="A2:H83">
    <sortCondition ref="C2:C8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B5F1-17D2-4C77-97C7-867946B437CE}">
  <sheetPr>
    <tabColor rgb="FFFF0000"/>
  </sheetPr>
  <dimension ref="A1:G299"/>
  <sheetViews>
    <sheetView workbookViewId="0">
      <selection activeCell="F33" sqref="F33"/>
    </sheetView>
  </sheetViews>
  <sheetFormatPr defaultRowHeight="15" x14ac:dyDescent="0.25"/>
  <cols>
    <col min="1" max="1" width="12.85546875" style="7" customWidth="1"/>
    <col min="2" max="2" width="10.42578125" style="7" customWidth="1"/>
    <col min="3" max="3" width="69.5703125" customWidth="1"/>
    <col min="4" max="4" width="15.28515625" customWidth="1"/>
    <col min="6" max="6" width="61.140625" customWidth="1"/>
    <col min="7" max="7" width="28.85546875" customWidth="1"/>
  </cols>
  <sheetData>
    <row r="1" spans="1:7" s="10" customFormat="1" ht="24.75" customHeight="1" x14ac:dyDescent="0.25">
      <c r="A1" s="9" t="s">
        <v>1607</v>
      </c>
      <c r="B1" s="9" t="s">
        <v>1608</v>
      </c>
      <c r="C1" s="9" t="s">
        <v>1613</v>
      </c>
      <c r="D1" s="9" t="s">
        <v>1609</v>
      </c>
      <c r="E1" s="9" t="s">
        <v>1610</v>
      </c>
      <c r="F1" s="9" t="s">
        <v>1611</v>
      </c>
      <c r="G1" s="16" t="s">
        <v>15124</v>
      </c>
    </row>
    <row r="2" spans="1:7" s="2" customFormat="1" ht="12.75" x14ac:dyDescent="0.2">
      <c r="A2" s="6" t="str">
        <f>VLOOKUP(B2,'SchoolInfo (3)'!A:C,3,0)</f>
        <v>'108794000</v>
      </c>
      <c r="B2" s="8">
        <v>80995</v>
      </c>
      <c r="C2" s="8" t="s">
        <v>1003</v>
      </c>
      <c r="D2" s="8" t="str">
        <f>VLOOKUP(E2,'SchoolInfo (3)'!A:C,3,0)</f>
        <v>'108794201</v>
      </c>
      <c r="E2" s="8">
        <v>80996</v>
      </c>
      <c r="F2" s="8" t="s">
        <v>1004</v>
      </c>
      <c r="G2" s="2" t="str">
        <f>VLOOKUP(E2,'SchoolInfo (3)'!A:K,11,0)</f>
        <v>Alicia.Alvarez@leonagroup.com</v>
      </c>
    </row>
    <row r="3" spans="1:7" s="2" customFormat="1" ht="12.75" x14ac:dyDescent="0.2">
      <c r="A3" s="6" t="str">
        <f>VLOOKUP(B3,'SchoolInfo (3)'!A:C,3,0)</f>
        <v>'118703000</v>
      </c>
      <c r="B3" s="8">
        <v>79883</v>
      </c>
      <c r="C3" s="8" t="s">
        <v>1595</v>
      </c>
      <c r="D3" s="8" t="str">
        <f>VLOOKUP(E3,'SchoolInfo (3)'!A:C,3,0)</f>
        <v>'118703001</v>
      </c>
      <c r="E3" s="8">
        <v>6346</v>
      </c>
      <c r="F3" s="8" t="s">
        <v>1596</v>
      </c>
      <c r="G3" s="2">
        <f>VLOOKUP(E3,'SchoolInfo (3)'!A:K,11,0)</f>
        <v>0</v>
      </c>
    </row>
    <row r="4" spans="1:7" s="2" customFormat="1" ht="12.75" x14ac:dyDescent="0.2">
      <c r="A4" s="6" t="str">
        <f>VLOOKUP(B4,'SchoolInfo (3)'!A:C,3,0)</f>
        <v>'078950000</v>
      </c>
      <c r="B4" s="8">
        <v>79874</v>
      </c>
      <c r="C4" s="8" t="s">
        <v>972</v>
      </c>
      <c r="D4" s="8" t="str">
        <f>VLOOKUP(E4,'SchoolInfo (3)'!A:C,3,0)</f>
        <v>'078950001</v>
      </c>
      <c r="E4" s="8">
        <v>78813</v>
      </c>
      <c r="F4" s="8" t="s">
        <v>973</v>
      </c>
      <c r="G4" s="2" t="str">
        <f>VLOOKUP(E4,'SchoolInfo (3)'!A:K,11,0)</f>
        <v>Michele.Kaye@LeonaGroup.com</v>
      </c>
    </row>
    <row r="5" spans="1:7" s="2" customFormat="1" ht="12.75" x14ac:dyDescent="0.2">
      <c r="A5" s="6" t="str">
        <f>VLOOKUP(B5,'SchoolInfo (3)'!A:C,3,0)</f>
        <v>'078947000</v>
      </c>
      <c r="B5" s="8">
        <v>79872</v>
      </c>
      <c r="C5" s="8" t="s">
        <v>1590</v>
      </c>
      <c r="D5" s="8" t="str">
        <f>VLOOKUP(E5,'SchoolInfo (3)'!A:C,3,0)</f>
        <v>'078947001</v>
      </c>
      <c r="E5" s="8">
        <v>78901</v>
      </c>
      <c r="F5" s="8" t="s">
        <v>1591</v>
      </c>
      <c r="G5" s="2" t="str">
        <f>VLOOKUP(E5,'SchoolInfo (3)'!A:K,11,0)</f>
        <v>Michele.Kaye@LeonaGroup.com</v>
      </c>
    </row>
    <row r="6" spans="1:7" s="2" customFormat="1" ht="12.75" x14ac:dyDescent="0.2">
      <c r="A6" s="6" t="str">
        <f>VLOOKUP(B6,'SchoolInfo (3)'!A:C,3,0)</f>
        <v>'078948000</v>
      </c>
      <c r="B6" s="8">
        <v>79873</v>
      </c>
      <c r="C6" s="8" t="s">
        <v>926</v>
      </c>
      <c r="D6" s="8" t="str">
        <f>VLOOKUP(E6,'SchoolInfo (3)'!A:C,3,0)</f>
        <v>'078948001</v>
      </c>
      <c r="E6" s="8">
        <v>78900</v>
      </c>
      <c r="F6" s="8" t="s">
        <v>927</v>
      </c>
      <c r="G6" s="2" t="str">
        <f>VLOOKUP(E6,'SchoolInfo (3)'!A:K,11,0)</f>
        <v>Michele.Kaye@LeonaGroup.com</v>
      </c>
    </row>
    <row r="7" spans="1:7" s="2" customFormat="1" ht="12.75" x14ac:dyDescent="0.2">
      <c r="A7" s="6" t="str">
        <f>VLOOKUP(B7,'SchoolInfo (3)'!A:C,3,0)</f>
        <v>'078951000</v>
      </c>
      <c r="B7" s="8">
        <v>79875</v>
      </c>
      <c r="C7" s="8" t="s">
        <v>929</v>
      </c>
      <c r="D7" s="8" t="str">
        <f>VLOOKUP(E7,'SchoolInfo (3)'!A:C,3,0)</f>
        <v>'078951001</v>
      </c>
      <c r="E7" s="8">
        <v>78817</v>
      </c>
      <c r="F7" s="8" t="s">
        <v>930</v>
      </c>
      <c r="G7" s="2" t="str">
        <f>VLOOKUP(E7,'SchoolInfo (3)'!A:K,11,0)</f>
        <v>Michele.Kaye@LeonaGroup.com</v>
      </c>
    </row>
    <row r="8" spans="1:7" s="2" customFormat="1" ht="12.75" x14ac:dyDescent="0.2">
      <c r="A8" s="6" t="str">
        <f>VLOOKUP(B8,'SchoolInfo (3)'!A:C,3,0)</f>
        <v>'078983000</v>
      </c>
      <c r="B8" s="8">
        <v>80989</v>
      </c>
      <c r="C8" s="8" t="s">
        <v>961</v>
      </c>
      <c r="D8" s="8" t="str">
        <f>VLOOKUP(E8,'SchoolInfo (3)'!A:C,3,0)</f>
        <v>'078983201</v>
      </c>
      <c r="E8" s="8">
        <v>80990</v>
      </c>
      <c r="F8" s="8" t="s">
        <v>962</v>
      </c>
      <c r="G8" s="2" t="str">
        <f>VLOOKUP(E8,'SchoolInfo (3)'!A:K,11,0)</f>
        <v>larry.mcgill@leonagroup.com</v>
      </c>
    </row>
    <row r="9" spans="1:7" s="2" customFormat="1" ht="12.75" x14ac:dyDescent="0.2">
      <c r="A9" s="6" t="str">
        <f>VLOOKUP(B9,'SchoolInfo (3)'!A:C,3,0)</f>
        <v>'078953000</v>
      </c>
      <c r="B9" s="8">
        <v>79877</v>
      </c>
      <c r="C9" s="8" t="s">
        <v>988</v>
      </c>
      <c r="D9" s="8" t="str">
        <f>VLOOKUP(E9,'SchoolInfo (3)'!A:C,3,0)</f>
        <v>'078953001</v>
      </c>
      <c r="E9" s="8">
        <v>6347</v>
      </c>
      <c r="F9" s="8" t="s">
        <v>989</v>
      </c>
      <c r="G9" s="2" t="str">
        <f>VLOOKUP(E9,'SchoolInfo (3)'!A:K,11,0)</f>
        <v>Joe.Procopio@leonagroupaz.com</v>
      </c>
    </row>
    <row r="10" spans="1:7" s="2" customFormat="1" ht="12.75" x14ac:dyDescent="0.2">
      <c r="A10" s="6" t="str">
        <f>VLOOKUP(B10,'SchoolInfo (3)'!A:C,3,0)</f>
        <v>'078956000</v>
      </c>
      <c r="B10" s="8">
        <v>79879</v>
      </c>
      <c r="C10" s="8" t="s">
        <v>941</v>
      </c>
      <c r="D10" s="8" t="str">
        <f>VLOOKUP(E10,'SchoolInfo (3)'!A:C,3,0)</f>
        <v>'078956001</v>
      </c>
      <c r="E10" s="8">
        <v>6348</v>
      </c>
      <c r="F10" s="8" t="s">
        <v>942</v>
      </c>
      <c r="G10" s="2" t="str">
        <f>VLOOKUP(E10,'SchoolInfo (3)'!A:K,11,0)</f>
        <v>Michele.Kaye@LeonaGroup.com</v>
      </c>
    </row>
    <row r="11" spans="1:7" s="2" customFormat="1" ht="12.75" x14ac:dyDescent="0.2">
      <c r="A11" s="6" t="str">
        <f>VLOOKUP(B11,'SchoolInfo (3)'!A:C,3,0)</f>
        <v>'100240000</v>
      </c>
      <c r="B11" s="8">
        <v>4412</v>
      </c>
      <c r="C11" s="8" t="s">
        <v>380</v>
      </c>
      <c r="D11" s="8" t="str">
        <f>VLOOKUP(E11,'SchoolInfo (3)'!A:C,3,0)</f>
        <v>'100240205</v>
      </c>
      <c r="E11" s="8">
        <v>90822</v>
      </c>
      <c r="F11" s="8" t="s">
        <v>874</v>
      </c>
      <c r="G11" s="2" t="str">
        <f>VLOOKUP(E11,'SchoolInfo (3)'!A:K,11,0)</f>
        <v>aburrola@busd40.org</v>
      </c>
    </row>
    <row r="12" spans="1:7" s="2" customFormat="1" ht="12.75" x14ac:dyDescent="0.2">
      <c r="A12" s="6" t="str">
        <f>VLOOKUP(B12,'SchoolInfo (3)'!A:C,3,0)</f>
        <v>'100240000</v>
      </c>
      <c r="B12" s="8">
        <v>4412</v>
      </c>
      <c r="C12" s="8" t="s">
        <v>380</v>
      </c>
      <c r="D12" s="8" t="str">
        <f>VLOOKUP(E12,'SchoolInfo (3)'!A:C,3,0)</f>
        <v>'100240204</v>
      </c>
      <c r="E12" s="8">
        <v>5847</v>
      </c>
      <c r="F12" s="8" t="s">
        <v>879</v>
      </c>
      <c r="G12" s="2">
        <f>VLOOKUP(E12,'SchoolInfo (3)'!A:K,11,0)</f>
        <v>0</v>
      </c>
    </row>
    <row r="13" spans="1:7" s="2" customFormat="1" ht="12.75" x14ac:dyDescent="0.2">
      <c r="A13" s="6" t="str">
        <f>VLOOKUP(B13,'SchoolInfo (3)'!A:C,3,0)</f>
        <v>'150576000</v>
      </c>
      <c r="B13" s="8">
        <v>4515</v>
      </c>
      <c r="C13" s="8" t="s">
        <v>917</v>
      </c>
      <c r="D13" s="8" t="str">
        <f>VLOOKUP(E13,'SchoolInfo (3)'!A:C,3,0)</f>
        <v>'150576201</v>
      </c>
      <c r="E13" s="8">
        <v>6203</v>
      </c>
      <c r="F13" s="8" t="s">
        <v>918</v>
      </c>
      <c r="G13" s="2" t="str">
        <f>VLOOKUP(E13,'SchoolInfo (3)'!A:K,11,0)</f>
        <v>bmaynes@salomehs.org</v>
      </c>
    </row>
    <row r="14" spans="1:7" s="2" customFormat="1" ht="12.75" x14ac:dyDescent="0.2">
      <c r="A14" s="6" t="str">
        <f>VLOOKUP(B14,'SchoolInfo (3)'!A:C,3,0)</f>
        <v>'020202000</v>
      </c>
      <c r="B14" s="8">
        <v>4169</v>
      </c>
      <c r="C14" s="8" t="s">
        <v>350</v>
      </c>
      <c r="D14" s="8" t="str">
        <f>VLOOKUP(E14,'SchoolInfo (3)'!A:C,3,0)</f>
        <v>'020202201</v>
      </c>
      <c r="E14" s="8">
        <v>4754</v>
      </c>
      <c r="F14" s="8" t="s">
        <v>891</v>
      </c>
      <c r="G14" s="2" t="str">
        <f>VLOOKUP(E14,'SchoolInfo (3)'!A:K,11,0)</f>
        <v>lmiller@busd.k12.az.us</v>
      </c>
    </row>
    <row r="15" spans="1:7" s="2" customFormat="1" ht="12.75" x14ac:dyDescent="0.2">
      <c r="A15" s="6" t="str">
        <f>VLOOKUP(B15,'SchoolInfo (3)'!A:C,3,0)</f>
        <v>'098745000</v>
      </c>
      <c r="B15" s="8">
        <v>4400</v>
      </c>
      <c r="C15" s="8" t="s">
        <v>1585</v>
      </c>
      <c r="D15" s="8" t="str">
        <f>VLOOKUP(E15,'SchoolInfo (3)'!A:C,3,0)</f>
        <v>'098745204</v>
      </c>
      <c r="E15" s="8">
        <v>5652</v>
      </c>
      <c r="F15" s="8" t="s">
        <v>1586</v>
      </c>
      <c r="G15" s="2" t="str">
        <f>VLOOKUP(E15,'SchoolInfo (3)'!A:K,11,0)</f>
        <v>keverson@naacharter.org</v>
      </c>
    </row>
    <row r="16" spans="1:7" s="2" customFormat="1" ht="12.75" x14ac:dyDescent="0.2">
      <c r="A16" s="6" t="str">
        <f>VLOOKUP(B16,'SchoolInfo (3)'!A:C,3,0)</f>
        <v>'028750000</v>
      </c>
      <c r="B16" s="8">
        <v>4191</v>
      </c>
      <c r="C16" s="8" t="s">
        <v>1295</v>
      </c>
      <c r="D16" s="8" t="str">
        <f>VLOOKUP(E16,'SchoolInfo (3)'!A:C,3,0)</f>
        <v>'028750202</v>
      </c>
      <c r="E16" s="8">
        <v>4802</v>
      </c>
      <c r="F16" s="8" t="s">
        <v>1554</v>
      </c>
      <c r="G16" s="2" t="str">
        <f>VLOOKUP(E16,'SchoolInfo (3)'!A:K,11,0)</f>
        <v>dderrick@cpic-cas.org</v>
      </c>
    </row>
    <row r="17" spans="1:7" s="2" customFormat="1" ht="12.75" x14ac:dyDescent="0.2">
      <c r="A17" s="6" t="str">
        <f>VLOOKUP(B17,'SchoolInfo (3)'!A:C,3,0)</f>
        <v>'010224000</v>
      </c>
      <c r="B17" s="8">
        <v>4158</v>
      </c>
      <c r="C17" s="8" t="s">
        <v>318</v>
      </c>
      <c r="D17" s="8" t="str">
        <f>VLOOKUP(E17,'SchoolInfo (3)'!A:C,3,0)</f>
        <v>'010224240</v>
      </c>
      <c r="E17" s="8">
        <v>4737</v>
      </c>
      <c r="F17" s="8" t="s">
        <v>894</v>
      </c>
      <c r="G17" s="2" t="str">
        <f>VLOOKUP(E17,'SchoolInfo (3)'!A:K,11,0)</f>
        <v>vlee10@chinleusd.k12.az.us</v>
      </c>
    </row>
    <row r="18" spans="1:7" s="2" customFormat="1" ht="12.75" x14ac:dyDescent="0.2">
      <c r="A18" s="6" t="str">
        <f>VLOOKUP(B18,'SchoolInfo (3)'!A:C,3,0)</f>
        <v>'110221000</v>
      </c>
      <c r="B18" s="8">
        <v>4442</v>
      </c>
      <c r="C18" s="8" t="s">
        <v>315</v>
      </c>
      <c r="D18" s="8" t="str">
        <f>VLOOKUP(E18,'SchoolInfo (3)'!A:C,3,0)</f>
        <v>'110221007</v>
      </c>
      <c r="E18" s="8">
        <v>5916</v>
      </c>
      <c r="F18" s="8" t="s">
        <v>1583</v>
      </c>
      <c r="G18" s="2" t="str">
        <f>VLOOKUP(E18,'SchoolInfo (3)'!A:K,11,0)</f>
        <v>MEthier@coolidgeschools.net</v>
      </c>
    </row>
    <row r="19" spans="1:7" s="2" customFormat="1" ht="12.75" x14ac:dyDescent="0.2">
      <c r="A19" s="6" t="str">
        <f>VLOOKUP(B19,'SchoolInfo (3)'!A:C,3,0)</f>
        <v>'078994000</v>
      </c>
      <c r="B19" s="8">
        <v>79077</v>
      </c>
      <c r="C19" s="8" t="s">
        <v>952</v>
      </c>
      <c r="D19" s="8" t="str">
        <f>VLOOKUP(E19,'SchoolInfo (3)'!A:C,3,0)</f>
        <v>'078994001</v>
      </c>
      <c r="E19" s="8">
        <v>79099</v>
      </c>
      <c r="F19" s="8" t="s">
        <v>953</v>
      </c>
      <c r="G19" s="2" t="str">
        <f>VLOOKUP(E19,'SchoolInfo (3)'!A:K,11,0)</f>
        <v>gnjaz@qwest.net</v>
      </c>
    </row>
    <row r="20" spans="1:7" s="2" customFormat="1" ht="12.75" x14ac:dyDescent="0.2">
      <c r="A20" s="6" t="str">
        <f>VLOOKUP(B20,'SchoolInfo (3)'!A:C,3,0)</f>
        <v>'108793000</v>
      </c>
      <c r="B20" s="8">
        <v>80032</v>
      </c>
      <c r="C20" s="8" t="s">
        <v>993</v>
      </c>
      <c r="D20" s="8" t="str">
        <f>VLOOKUP(E20,'SchoolInfo (3)'!A:C,3,0)</f>
        <v>'108793201</v>
      </c>
      <c r="E20" s="8">
        <v>80033</v>
      </c>
      <c r="F20" s="8" t="s">
        <v>994</v>
      </c>
      <c r="G20" s="2">
        <f>VLOOKUP(E20,'SchoolInfo (3)'!A:K,11,0)</f>
        <v>0</v>
      </c>
    </row>
    <row r="21" spans="1:7" s="2" customFormat="1" ht="12.75" x14ac:dyDescent="0.2">
      <c r="A21" s="6" t="str">
        <f>VLOOKUP(B21,'SchoolInfo (3)'!A:C,3,0)</f>
        <v>'078711000</v>
      </c>
      <c r="B21" s="8">
        <v>4335</v>
      </c>
      <c r="C21" s="8" t="s">
        <v>649</v>
      </c>
      <c r="D21" s="8" t="str">
        <f>VLOOKUP(E21,'SchoolInfo (3)'!A:C,3,0)</f>
        <v>'078711001</v>
      </c>
      <c r="E21" s="8">
        <v>5507</v>
      </c>
      <c r="F21" s="8" t="s">
        <v>964</v>
      </c>
      <c r="G21" s="2" t="str">
        <f>VLOOKUP(E21,'SchoolInfo (3)'!A:K,11,0)</f>
        <v>adrianruiz@espiritu.org</v>
      </c>
    </row>
    <row r="22" spans="1:7" s="2" customFormat="1" ht="12.75" x14ac:dyDescent="0.2">
      <c r="A22" s="6" t="str">
        <f>VLOOKUP(B22,'SchoolInfo (3)'!A:C,3,0)</f>
        <v>'078608000</v>
      </c>
      <c r="B22" s="8">
        <v>4300</v>
      </c>
      <c r="C22" s="8" t="s">
        <v>955</v>
      </c>
      <c r="D22" s="8" t="str">
        <f>VLOOKUP(E22,'SchoolInfo (3)'!A:C,3,0)</f>
        <v>'078608001</v>
      </c>
      <c r="E22" s="8">
        <v>5466</v>
      </c>
      <c r="F22" s="8" t="s">
        <v>956</v>
      </c>
      <c r="G22" s="2">
        <f>VLOOKUP(E22,'SchoolInfo (3)'!A:K,11,0)</f>
        <v>0</v>
      </c>
    </row>
    <row r="23" spans="1:7" s="2" customFormat="1" ht="12.75" x14ac:dyDescent="0.2">
      <c r="A23" s="6" t="str">
        <f>VLOOKUP(B23,'SchoolInfo (3)'!A:C,3,0)</f>
        <v>'010220000</v>
      </c>
      <c r="B23" s="8">
        <v>4157</v>
      </c>
      <c r="C23" s="8" t="s">
        <v>448</v>
      </c>
      <c r="D23" s="8" t="str">
        <f>VLOOKUP(E23,'SchoolInfo (3)'!A:C,3,0)</f>
        <v>'010220204</v>
      </c>
      <c r="E23" s="8">
        <v>4728</v>
      </c>
      <c r="F23" s="8" t="s">
        <v>893</v>
      </c>
      <c r="G23" s="2" t="str">
        <f>VLOOKUP(E23,'SchoolInfo (3)'!A:K,11,0)</f>
        <v>lucille.sidney@ganado.k12.az.us</v>
      </c>
    </row>
    <row r="24" spans="1:7" s="2" customFormat="1" ht="12.75" x14ac:dyDescent="0.2">
      <c r="A24" s="6" t="str">
        <f>VLOOKUP(B24,'SchoolInfo (3)'!A:C,3,0)</f>
        <v>'078679000</v>
      </c>
      <c r="B24" s="8">
        <v>78997</v>
      </c>
      <c r="C24" s="8" t="s">
        <v>983</v>
      </c>
      <c r="D24" s="8" t="str">
        <f>VLOOKUP(E24,'SchoolInfo (3)'!A:C,3,0)</f>
        <v>'078679101</v>
      </c>
      <c r="E24" s="8">
        <v>79022</v>
      </c>
      <c r="F24" s="8" t="s">
        <v>984</v>
      </c>
      <c r="G24" s="2" t="str">
        <f>VLOOKUP(E24,'SchoolInfo (3)'!A:K,11,0)</f>
        <v>garllc@eschelon.com</v>
      </c>
    </row>
    <row r="25" spans="1:7" s="2" customFormat="1" ht="12.75" x14ac:dyDescent="0.2">
      <c r="A25" s="6" t="str">
        <f>VLOOKUP(B25,'SchoolInfo (3)'!A:C,3,0)</f>
        <v>'070224000</v>
      </c>
      <c r="B25" s="8">
        <v>4238</v>
      </c>
      <c r="C25" s="8" t="s">
        <v>319</v>
      </c>
      <c r="D25" s="8" t="str">
        <f>VLOOKUP(E25,'SchoolInfo (3)'!A:C,3,0)</f>
        <v>'070224002</v>
      </c>
      <c r="E25" s="8">
        <v>5019</v>
      </c>
      <c r="F25" s="8" t="s">
        <v>922</v>
      </c>
      <c r="G25" s="2" t="str">
        <f>VLOOKUP(E25,'SchoolInfo (3)'!A:K,11,0)</f>
        <v>jonathane@gbusd.org</v>
      </c>
    </row>
    <row r="26" spans="1:7" s="2" customFormat="1" ht="12.75" x14ac:dyDescent="0.2">
      <c r="A26" s="6" t="str">
        <f>VLOOKUP(B26,'SchoolInfo (3)'!A:C,3,0)</f>
        <v>'070505000</v>
      </c>
      <c r="B26" s="8">
        <v>4285</v>
      </c>
      <c r="C26" s="8" t="s">
        <v>936</v>
      </c>
      <c r="D26" s="8" t="str">
        <f>VLOOKUP(E26,'SchoolInfo (3)'!A:C,3,0)</f>
        <v>'070505201</v>
      </c>
      <c r="E26" s="8">
        <v>5426</v>
      </c>
      <c r="F26" s="8" t="s">
        <v>937</v>
      </c>
      <c r="G26" s="2" t="str">
        <f>VLOOKUP(E26,'SchoolInfo (3)'!A:K,11,0)</f>
        <v>Kevin.Cashatt@guhsdaz.org</v>
      </c>
    </row>
    <row r="27" spans="1:7" s="2" customFormat="1" ht="12.75" x14ac:dyDescent="0.2">
      <c r="A27" s="6" t="str">
        <f>VLOOKUP(B27,'SchoolInfo (3)'!A:C,3,0)</f>
        <v>'108726000</v>
      </c>
      <c r="B27" s="8">
        <v>6369</v>
      </c>
      <c r="C27" s="8" t="s">
        <v>1603</v>
      </c>
      <c r="D27" s="8" t="str">
        <f>VLOOKUP(E27,'SchoolInfo (3)'!A:C,3,0)</f>
        <v>'108726001</v>
      </c>
      <c r="E27" s="8">
        <v>5872</v>
      </c>
      <c r="F27" s="8" t="s">
        <v>1604</v>
      </c>
      <c r="G27" s="2" t="str">
        <f>VLOOKUP(E27,'SchoolInfo (3)'!A:K,11,0)</f>
        <v>jmerino@hasanprep.org</v>
      </c>
    </row>
    <row r="28" spans="1:7" s="2" customFormat="1" ht="12.75" x14ac:dyDescent="0.2">
      <c r="A28" s="6" t="str">
        <f>VLOOKUP(B28,'SchoolInfo (3)'!A:C,3,0)</f>
        <v>'108735000</v>
      </c>
      <c r="B28" s="8">
        <v>90876</v>
      </c>
      <c r="C28" s="8" t="s">
        <v>1018</v>
      </c>
      <c r="D28" s="8" t="str">
        <f>VLOOKUP(E28,'SchoolInfo (3)'!A:C,3,0)</f>
        <v>'108735001</v>
      </c>
      <c r="E28" s="8">
        <v>91782</v>
      </c>
      <c r="F28" s="8" t="s">
        <v>1019</v>
      </c>
      <c r="G28" s="2">
        <f>VLOOKUP(E28,'SchoolInfo (3)'!A:K,11,0)</f>
        <v>0</v>
      </c>
    </row>
    <row r="29" spans="1:7" s="2" customFormat="1" ht="12.75" x14ac:dyDescent="0.2">
      <c r="A29" s="6" t="str">
        <f>VLOOKUP(B29,'SchoolInfo (3)'!A:C,3,0)</f>
        <v>'078718000</v>
      </c>
      <c r="B29" s="8">
        <v>4342</v>
      </c>
      <c r="C29" s="8" t="s">
        <v>1563</v>
      </c>
      <c r="D29" s="8" t="str">
        <f>VLOOKUP(E29,'SchoolInfo (3)'!A:C,3,0)</f>
        <v>'078718215</v>
      </c>
      <c r="E29" s="8">
        <v>92246</v>
      </c>
      <c r="F29" s="8" t="s">
        <v>1564</v>
      </c>
      <c r="G29" s="2" t="str">
        <f>VLOOKUP(E29,'SchoolInfo (3)'!A:K,11,0)</f>
        <v>Darla.eddy@leonagroup.com</v>
      </c>
    </row>
    <row r="30" spans="1:7" s="2" customFormat="1" ht="12.75" x14ac:dyDescent="0.2">
      <c r="A30" s="6" t="str">
        <f>VLOOKUP(B30,'SchoolInfo (3)'!A:C,3,0)</f>
        <v>'078949000</v>
      </c>
      <c r="B30" s="8">
        <v>79882</v>
      </c>
      <c r="C30" s="8" t="s">
        <v>944</v>
      </c>
      <c r="D30" s="8" t="str">
        <f>VLOOKUP(E30,'SchoolInfo (3)'!A:C,3,0)</f>
        <v>'078949001</v>
      </c>
      <c r="E30" s="8">
        <v>10748</v>
      </c>
      <c r="F30" s="8" t="s">
        <v>944</v>
      </c>
      <c r="G30" s="2" t="str">
        <f>VLOOKUP(E30,'SchoolInfo (3)'!A:K,11,0)</f>
        <v>Michele.Kaye@LeonaGroup.com</v>
      </c>
    </row>
    <row r="31" spans="1:7" s="2" customFormat="1" ht="12.75" x14ac:dyDescent="0.2">
      <c r="A31" s="6" t="str">
        <f>VLOOKUP(B31,'SchoolInfo (3)'!A:C,3,0)</f>
        <v>'108706000</v>
      </c>
      <c r="B31" s="8">
        <v>79880</v>
      </c>
      <c r="C31" s="8" t="s">
        <v>923</v>
      </c>
      <c r="D31" s="8" t="str">
        <f>VLOOKUP(E31,'SchoolInfo (3)'!A:C,3,0)</f>
        <v>'108706001</v>
      </c>
      <c r="E31" s="8">
        <v>6350</v>
      </c>
      <c r="F31" s="8" t="s">
        <v>924</v>
      </c>
      <c r="G31" s="2" t="str">
        <f>VLOOKUP(E31,'SchoolInfo (3)'!A:K,11,0)</f>
        <v>Michele.Kaye@LeonaGroup.com</v>
      </c>
    </row>
    <row r="32" spans="1:7" s="2" customFormat="1" ht="12.75" x14ac:dyDescent="0.2">
      <c r="A32" s="6" t="str">
        <f>VLOOKUP(B32,'SchoolInfo (3)'!A:C,3,0)</f>
        <v>'078952000</v>
      </c>
      <c r="B32" s="8">
        <v>79876</v>
      </c>
      <c r="C32" s="8" t="s">
        <v>967</v>
      </c>
      <c r="D32" s="8" t="str">
        <f>VLOOKUP(E32,'SchoolInfo (3)'!A:C,3,0)</f>
        <v>'078952001</v>
      </c>
      <c r="E32" s="8">
        <v>10749</v>
      </c>
      <c r="F32" s="8" t="s">
        <v>967</v>
      </c>
      <c r="G32" s="2" t="str">
        <f>VLOOKUP(E32,'SchoolInfo (3)'!A:K,11,0)</f>
        <v>James.sigman@leonagroup.com</v>
      </c>
    </row>
    <row r="33" spans="1:7" s="2" customFormat="1" ht="12.75" x14ac:dyDescent="0.2">
      <c r="A33" s="6" t="str">
        <f>VLOOKUP(B33,'SchoolInfo (3)'!A:C,3,0)</f>
        <v>'078954000</v>
      </c>
      <c r="B33" s="8">
        <v>79878</v>
      </c>
      <c r="C33" s="8" t="s">
        <v>1599</v>
      </c>
      <c r="D33" s="8" t="str">
        <f>VLOOKUP(E33,'SchoolInfo (3)'!A:C,3,0)</f>
        <v>'078954001</v>
      </c>
      <c r="E33" s="8">
        <v>6349</v>
      </c>
      <c r="F33" s="8" t="s">
        <v>1600</v>
      </c>
      <c r="G33" s="2" t="str">
        <f>VLOOKUP(E33,'SchoolInfo (3)'!A:K,11,0)</f>
        <v>Michele.Kaye@LeonaGroup.com</v>
      </c>
    </row>
    <row r="34" spans="1:7" s="2" customFormat="1" ht="12.75" x14ac:dyDescent="0.2">
      <c r="A34" s="6" t="str">
        <f>VLOOKUP(B34,'SchoolInfo (3)'!A:C,3,0)</f>
        <v>'090227000</v>
      </c>
      <c r="B34" s="8">
        <v>4396</v>
      </c>
      <c r="C34" s="8" t="s">
        <v>421</v>
      </c>
      <c r="D34" s="8" t="str">
        <f>VLOOKUP(E34,'SchoolInfo (3)'!A:C,3,0)</f>
        <v>'090227201</v>
      </c>
      <c r="E34" s="8">
        <v>5644</v>
      </c>
      <c r="F34" s="8" t="s">
        <v>889</v>
      </c>
      <c r="G34" s="2" t="str">
        <f>VLOOKUP(E34,'SchoolInfo (3)'!A:K,11,0)</f>
        <v>jack.gilmore@kayenta.k12.az.us</v>
      </c>
    </row>
    <row r="35" spans="1:7" s="2" customFormat="1" ht="12.75" x14ac:dyDescent="0.2">
      <c r="A35" s="6" t="str">
        <f>VLOOKUP(B35,'SchoolInfo (3)'!A:C,3,0)</f>
        <v>'048750000</v>
      </c>
      <c r="B35" s="8">
        <v>4216</v>
      </c>
      <c r="C35" s="8" t="s">
        <v>1012</v>
      </c>
      <c r="D35" s="8" t="str">
        <f>VLOOKUP(E35,'SchoolInfo (3)'!A:C,3,0)</f>
        <v>'048750201</v>
      </c>
      <c r="E35" s="8">
        <v>4878</v>
      </c>
      <c r="F35" s="8" t="s">
        <v>1012</v>
      </c>
      <c r="G35" s="2" t="str">
        <f>VLOOKUP(E35,'SchoolInfo (3)'!A:K,11,0)</f>
        <v>lorrainer@liberty-high.net</v>
      </c>
    </row>
    <row r="36" spans="1:7" s="2" customFormat="1" ht="12.75" x14ac:dyDescent="0.2">
      <c r="A36" s="6" t="str">
        <f>VLOOKUP(B36,'SchoolInfo (3)'!A:C,3,0)</f>
        <v>'110208000</v>
      </c>
      <c r="B36" s="8">
        <v>4439</v>
      </c>
      <c r="C36" s="8" t="s">
        <v>338</v>
      </c>
      <c r="D36" s="8" t="str">
        <f>VLOOKUP(E36,'SchoolInfo (3)'!A:C,3,0)</f>
        <v>'110208281</v>
      </c>
      <c r="E36" s="8">
        <v>5904</v>
      </c>
      <c r="F36" s="8" t="s">
        <v>1015</v>
      </c>
      <c r="G36" s="2" t="str">
        <f>VLOOKUP(E36,'SchoolInfo (3)'!A:K,11,0)</f>
        <v>scottj@msmusd.org</v>
      </c>
    </row>
    <row r="37" spans="1:7" s="2" customFormat="1" ht="12.75" x14ac:dyDescent="0.2">
      <c r="A37" s="6" t="str">
        <f>VLOOKUP(B37,'SchoolInfo (3)'!A:C,3,0)</f>
        <v>'078647000</v>
      </c>
      <c r="B37" s="8">
        <v>4314</v>
      </c>
      <c r="C37" s="8" t="s">
        <v>980</v>
      </c>
      <c r="D37" s="8" t="str">
        <f>VLOOKUP(E37,'SchoolInfo (3)'!A:C,3,0)</f>
        <v>'078647201</v>
      </c>
      <c r="E37" s="8">
        <v>5480</v>
      </c>
      <c r="F37" s="8" t="s">
        <v>981</v>
      </c>
      <c r="G37" s="2" t="str">
        <f>VLOOKUP(E37,'SchoolInfo (3)'!A:K,11,0)</f>
        <v>stacey.boyd@gatewaycc.edu</v>
      </c>
    </row>
    <row r="38" spans="1:7" s="2" customFormat="1" ht="12.75" x14ac:dyDescent="0.2">
      <c r="A38" s="6" t="str">
        <f>VLOOKUP(B38,'SchoolInfo (3)'!A:C,3,0)</f>
        <v>'110100000</v>
      </c>
      <c r="B38" s="8">
        <v>4435</v>
      </c>
      <c r="C38" s="8" t="s">
        <v>1580</v>
      </c>
      <c r="D38" s="8" t="str">
        <f>VLOOKUP(E38,'SchoolInfo (3)'!A:C,3,0)</f>
        <v>'110100003</v>
      </c>
      <c r="E38" s="8">
        <v>6067</v>
      </c>
      <c r="F38" s="8" t="s">
        <v>1581</v>
      </c>
      <c r="G38" s="2" t="str">
        <f>VLOOKUP(E38,'SchoolInfo (3)'!A:K,11,0)</f>
        <v>justin.demello@pinalcountyschools.org</v>
      </c>
    </row>
    <row r="39" spans="1:7" s="2" customFormat="1" ht="12.75" x14ac:dyDescent="0.2">
      <c r="A39" s="6" t="str">
        <f>VLOOKUP(B39,'SchoolInfo (3)'!A:C,3,0)</f>
        <v>'130243000</v>
      </c>
      <c r="B39" s="8">
        <v>4473</v>
      </c>
      <c r="C39" s="8" t="s">
        <v>901</v>
      </c>
      <c r="D39" s="8" t="str">
        <f>VLOOKUP(E39,'SchoolInfo (3)'!A:C,3,0)</f>
        <v>'130243203</v>
      </c>
      <c r="E39" s="8">
        <v>6106</v>
      </c>
      <c r="F39" s="8" t="s">
        <v>902</v>
      </c>
      <c r="G39" s="2">
        <f>VLOOKUP(E39,'SchoolInfo (3)'!A:K,11,0)</f>
        <v>0</v>
      </c>
    </row>
    <row r="40" spans="1:7" s="2" customFormat="1" ht="12.75" x14ac:dyDescent="0.2">
      <c r="A40" s="6" t="str">
        <f>VLOOKUP(B40,'SchoolInfo (3)'!A:C,3,0)</f>
        <v>'070204000</v>
      </c>
      <c r="B40" s="8">
        <v>4235</v>
      </c>
      <c r="C40" s="8" t="s">
        <v>341</v>
      </c>
      <c r="D40" s="8" t="str">
        <f>VLOOKUP(E40,'SchoolInfo (3)'!A:C,3,0)</f>
        <v>'070204272</v>
      </c>
      <c r="E40" s="8">
        <v>4981</v>
      </c>
      <c r="F40" s="8" t="s">
        <v>986</v>
      </c>
      <c r="G40" s="2" t="str">
        <f>VLOOKUP(E40,'SchoolInfo (3)'!A:K,11,0)</f>
        <v>smlynch@mpsaz.org</v>
      </c>
    </row>
    <row r="41" spans="1:7" s="2" customFormat="1" ht="12.75" x14ac:dyDescent="0.2">
      <c r="A41" s="6" t="str">
        <f>VLOOKUP(B41,'SchoolInfo (3)'!A:C,3,0)</f>
        <v>'040240000</v>
      </c>
      <c r="B41" s="8">
        <v>4211</v>
      </c>
      <c r="C41" s="8" t="s">
        <v>1021</v>
      </c>
      <c r="D41" s="8" t="str">
        <f>VLOOKUP(E41,'SchoolInfo (3)'!A:C,3,0)</f>
        <v>'040240206</v>
      </c>
      <c r="E41" s="8">
        <v>4869</v>
      </c>
      <c r="F41" s="8" t="s">
        <v>1022</v>
      </c>
      <c r="G41" s="2">
        <f>VLOOKUP(E41,'SchoolInfo (3)'!A:K,11,0)</f>
        <v>0</v>
      </c>
    </row>
    <row r="42" spans="1:7" s="2" customFormat="1" ht="12.75" x14ac:dyDescent="0.2">
      <c r="A42" s="6" t="str">
        <f>VLOOKUP(B42,'SchoolInfo (3)'!A:C,3,0)</f>
        <v>'120201000</v>
      </c>
      <c r="B42" s="8">
        <v>4457</v>
      </c>
      <c r="C42" s="8" t="s">
        <v>344</v>
      </c>
      <c r="D42" s="8" t="str">
        <f>VLOOKUP(E42,'SchoolInfo (3)'!A:C,3,0)</f>
        <v>'120201209</v>
      </c>
      <c r="E42" s="8">
        <v>5961</v>
      </c>
      <c r="F42" s="8" t="s">
        <v>1006</v>
      </c>
      <c r="G42" s="2" t="str">
        <f>VLOOKUP(E42,'SchoolInfo (3)'!A:K,11,0)</f>
        <v>brodriguez@nusd.k12.az.us</v>
      </c>
    </row>
    <row r="43" spans="1:7" s="2" customFormat="1" ht="12.75" x14ac:dyDescent="0.2">
      <c r="A43" s="6" t="str">
        <f>VLOOKUP(B43,'SchoolInfo (3)'!A:C,3,0)</f>
        <v>'078940000</v>
      </c>
      <c r="B43" s="8">
        <v>79578</v>
      </c>
      <c r="C43" s="8" t="s">
        <v>977</v>
      </c>
      <c r="D43" s="8" t="str">
        <f>VLOOKUP(E43,'SchoolInfo (3)'!A:C,3,0)</f>
        <v>'078940101</v>
      </c>
      <c r="E43" s="8">
        <v>79579</v>
      </c>
      <c r="F43" s="8" t="s">
        <v>978</v>
      </c>
      <c r="G43" s="2" t="str">
        <f>VLOOKUP(E43,'SchoolInfo (3)'!A:K,11,0)</f>
        <v>mpasos2@aol.com</v>
      </c>
    </row>
    <row r="44" spans="1:7" s="2" customFormat="1" ht="12.75" x14ac:dyDescent="0.2">
      <c r="A44" s="6" t="str">
        <f>VLOOKUP(B44,'SchoolInfo (3)'!A:C,3,0)</f>
        <v>'078277000</v>
      </c>
      <c r="B44" s="8">
        <v>346763</v>
      </c>
      <c r="C44" s="8" t="s">
        <v>1569</v>
      </c>
      <c r="D44" s="8" t="str">
        <f>VLOOKUP(E44,'SchoolInfo (3)'!A:C,3,0)</f>
        <v>'078277001</v>
      </c>
      <c r="E44" s="8">
        <v>92248</v>
      </c>
      <c r="F44" s="8" t="s">
        <v>1570</v>
      </c>
      <c r="G44" s="2" t="str">
        <f>VLOOKUP(E44,'SchoolInfo (3)'!A:K,11,0)</f>
        <v>Fawn.Eaton@asu.edu</v>
      </c>
    </row>
    <row r="45" spans="1:7" s="2" customFormat="1" ht="12.75" x14ac:dyDescent="0.2">
      <c r="A45" s="6" t="str">
        <f>VLOOKUP(B45,'SchoolInfo (3)'!A:C,3,0)</f>
        <v>'070510000</v>
      </c>
      <c r="B45" s="8">
        <v>4286</v>
      </c>
      <c r="C45" s="8" t="s">
        <v>946</v>
      </c>
      <c r="D45" s="8" t="str">
        <f>VLOOKUP(E45,'SchoolInfo (3)'!A:C,3,0)</f>
        <v>'070510245</v>
      </c>
      <c r="E45" s="8">
        <v>5440</v>
      </c>
      <c r="F45" s="8" t="s">
        <v>947</v>
      </c>
      <c r="G45" s="2" t="str">
        <f>VLOOKUP(E45,'SchoolInfo (3)'!A:K,11,0)</f>
        <v>gestson@Phoenixunion.org</v>
      </c>
    </row>
    <row r="46" spans="1:7" s="2" customFormat="1" ht="12.75" x14ac:dyDescent="0.2">
      <c r="A46" s="6" t="str">
        <f>VLOOKUP(B46,'SchoolInfo (3)'!A:C,3,0)</f>
        <v>'070510000</v>
      </c>
      <c r="B46" s="8">
        <v>4286</v>
      </c>
      <c r="C46" s="8" t="s">
        <v>946</v>
      </c>
      <c r="D46" s="8" t="str">
        <f>VLOOKUP(E46,'SchoolInfo (3)'!A:C,3,0)</f>
        <v>'070510214</v>
      </c>
      <c r="E46" s="8">
        <v>6249</v>
      </c>
      <c r="F46" s="8" t="s">
        <v>949</v>
      </c>
      <c r="G46" s="2" t="str">
        <f>VLOOKUP(E46,'SchoolInfo (3)'!A:K,11,0)</f>
        <v>gestson@Phoenixunion.org</v>
      </c>
    </row>
    <row r="47" spans="1:7" s="2" customFormat="1" ht="12.75" x14ac:dyDescent="0.2">
      <c r="A47" s="6" t="str">
        <f>VLOOKUP(B47,'SchoolInfo (3)'!A:C,3,0)</f>
        <v>'070510000</v>
      </c>
      <c r="B47" s="8">
        <v>4286</v>
      </c>
      <c r="C47" s="8" t="s">
        <v>946</v>
      </c>
      <c r="D47" s="8" t="str">
        <f>VLOOKUP(E47,'SchoolInfo (3)'!A:C,3,0)</f>
        <v>'070510230</v>
      </c>
      <c r="E47" s="8">
        <v>5439</v>
      </c>
      <c r="F47" s="8" t="s">
        <v>958</v>
      </c>
      <c r="G47" s="2" t="str">
        <f>VLOOKUP(E47,'SchoolInfo (3)'!A:K,11,0)</f>
        <v>gestson@Phoenixunion.org</v>
      </c>
    </row>
    <row r="48" spans="1:7" s="2" customFormat="1" ht="12.75" x14ac:dyDescent="0.2">
      <c r="A48" s="6" t="str">
        <f>VLOOKUP(B48,'SchoolInfo (3)'!A:C,3,0)</f>
        <v>'070510000</v>
      </c>
      <c r="B48" s="8">
        <v>4286</v>
      </c>
      <c r="C48" s="8" t="s">
        <v>946</v>
      </c>
      <c r="D48" s="8" t="str">
        <f>VLOOKUP(E48,'SchoolInfo (3)'!A:C,3,0)</f>
        <v>'070510280</v>
      </c>
      <c r="E48" s="8">
        <v>79617</v>
      </c>
      <c r="F48" s="8" t="s">
        <v>965</v>
      </c>
      <c r="G48" s="2" t="str">
        <f>VLOOKUP(E48,'SchoolInfo (3)'!A:K,11,0)</f>
        <v>gestson@Phoenixunion.org</v>
      </c>
    </row>
    <row r="49" spans="1:7" s="2" customFormat="1" ht="12.75" x14ac:dyDescent="0.2">
      <c r="A49" s="6" t="str">
        <f>VLOOKUP(B49,'SchoolInfo (3)'!A:C,3,0)</f>
        <v>'070510000</v>
      </c>
      <c r="B49" s="8">
        <v>4286</v>
      </c>
      <c r="C49" s="8" t="s">
        <v>946</v>
      </c>
      <c r="D49" s="8" t="str">
        <f>VLOOKUP(E49,'SchoolInfo (3)'!A:C,3,0)</f>
        <v>'070510225</v>
      </c>
      <c r="E49" s="8">
        <v>5438</v>
      </c>
      <c r="F49" s="8" t="s">
        <v>975</v>
      </c>
      <c r="G49" s="2" t="str">
        <f>VLOOKUP(E49,'SchoolInfo (3)'!A:K,11,0)</f>
        <v>gestson@Phoenixunion.org</v>
      </c>
    </row>
    <row r="50" spans="1:7" s="2" customFormat="1" ht="12.75" x14ac:dyDescent="0.2">
      <c r="A50" s="6" t="str">
        <f>VLOOKUP(B50,'SchoolInfo (3)'!A:C,3,0)</f>
        <v>'070510000</v>
      </c>
      <c r="B50" s="8">
        <v>4286</v>
      </c>
      <c r="C50" s="8" t="s">
        <v>946</v>
      </c>
      <c r="D50" s="8" t="str">
        <f>VLOOKUP(E50,'SchoolInfo (3)'!A:C,3,0)</f>
        <v>'070510270</v>
      </c>
      <c r="E50" s="8">
        <v>78847</v>
      </c>
      <c r="F50" s="8" t="s">
        <v>1561</v>
      </c>
      <c r="G50" s="2" t="str">
        <f>VLOOKUP(E50,'SchoolInfo (3)'!A:K,11,0)</f>
        <v>gestson@Phoenixunion.org</v>
      </c>
    </row>
    <row r="51" spans="1:7" s="2" customFormat="1" ht="12.75" x14ac:dyDescent="0.2">
      <c r="A51" s="6" t="str">
        <f>VLOOKUP(B51,'SchoolInfo (3)'!A:C,3,0)</f>
        <v>'070510000</v>
      </c>
      <c r="B51" s="8">
        <v>4286</v>
      </c>
      <c r="C51" s="8" t="s">
        <v>946</v>
      </c>
      <c r="D51" s="8" t="str">
        <f>VLOOKUP(E51,'SchoolInfo (3)'!A:C,3,0)</f>
        <v>'070510250</v>
      </c>
      <c r="E51" s="8">
        <v>5441</v>
      </c>
      <c r="F51" s="8" t="s">
        <v>1567</v>
      </c>
      <c r="G51" s="2" t="str">
        <f>VLOOKUP(E51,'SchoolInfo (3)'!A:K,11,0)</f>
        <v>gestson@Phoenixunion.org</v>
      </c>
    </row>
    <row r="52" spans="1:7" s="2" customFormat="1" ht="12.75" x14ac:dyDescent="0.2">
      <c r="A52" s="6" t="str">
        <f>VLOOKUP(B52,'SchoolInfo (3)'!A:C,3,0)</f>
        <v>'070510000</v>
      </c>
      <c r="B52" s="8">
        <v>4286</v>
      </c>
      <c r="C52" s="8" t="s">
        <v>946</v>
      </c>
      <c r="D52" s="8" t="str">
        <f>VLOOKUP(E52,'SchoolInfo (3)'!A:C,3,0)</f>
        <v>'070510260</v>
      </c>
      <c r="E52" s="8">
        <v>5443</v>
      </c>
      <c r="F52" s="8" t="s">
        <v>1572</v>
      </c>
      <c r="G52" s="2" t="str">
        <f>VLOOKUP(E52,'SchoolInfo (3)'!A:K,11,0)</f>
        <v>gestson@Phoenixunion.org</v>
      </c>
    </row>
    <row r="53" spans="1:7" s="2" customFormat="1" ht="12.75" x14ac:dyDescent="0.2">
      <c r="A53" s="6" t="str">
        <f>VLOOKUP(B53,'SchoolInfo (3)'!A:C,3,0)</f>
        <v>'070510000</v>
      </c>
      <c r="B53" s="8">
        <v>4286</v>
      </c>
      <c r="C53" s="8" t="s">
        <v>946</v>
      </c>
      <c r="D53" s="8" t="str">
        <f>VLOOKUP(E53,'SchoolInfo (3)'!A:C,3,0)</f>
        <v>'070510220</v>
      </c>
      <c r="E53" s="8">
        <v>5437</v>
      </c>
      <c r="F53" s="8" t="s">
        <v>1578</v>
      </c>
      <c r="G53" s="2" t="str">
        <f>VLOOKUP(E53,'SchoolInfo (3)'!A:K,11,0)</f>
        <v>gestson@Phoenixunion.org</v>
      </c>
    </row>
    <row r="54" spans="1:7" s="2" customFormat="1" ht="12.75" x14ac:dyDescent="0.2">
      <c r="A54" s="6" t="str">
        <f>VLOOKUP(B54,'SchoolInfo (3)'!A:C,3,0)</f>
        <v>'108601000</v>
      </c>
      <c r="B54" s="8">
        <v>4420</v>
      </c>
      <c r="C54" s="8" t="s">
        <v>996</v>
      </c>
      <c r="D54" s="8" t="str">
        <f>VLOOKUP(E54,'SchoolInfo (3)'!A:C,3,0)</f>
        <v>'108601201</v>
      </c>
      <c r="E54" s="8">
        <v>6057</v>
      </c>
      <c r="F54" s="8" t="s">
        <v>997</v>
      </c>
      <c r="G54" s="2" t="str">
        <f>VLOOKUP(E54,'SchoolInfo (3)'!A:K,11,0)</f>
        <v>gloria.proo@pima.gov</v>
      </c>
    </row>
    <row r="55" spans="1:7" s="2" customFormat="1" ht="12.75" x14ac:dyDescent="0.2">
      <c r="A55" s="6" t="str">
        <f>VLOOKUP(B55,'SchoolInfo (3)'!A:C,3,0)</f>
        <v>'108507000</v>
      </c>
      <c r="B55" s="8">
        <v>90536</v>
      </c>
      <c r="C55" s="8" t="s">
        <v>969</v>
      </c>
      <c r="D55" s="8" t="str">
        <f>VLOOKUP(E55,'SchoolInfo (3)'!A:C,3,0)</f>
        <v>'108507001</v>
      </c>
      <c r="E55" s="8">
        <v>90907</v>
      </c>
      <c r="F55" s="8" t="s">
        <v>970</v>
      </c>
      <c r="G55" s="2" t="str">
        <f>VLOOKUP(E55,'SchoolInfo (3)'!A:K,11,0)</f>
        <v>MDunbar@thepartnership.us</v>
      </c>
    </row>
    <row r="56" spans="1:7" s="2" customFormat="1" ht="12.75" x14ac:dyDescent="0.2">
      <c r="A56" s="6" t="str">
        <f>VLOOKUP(B56,'SchoolInfo (3)'!A:C,3,0)</f>
        <v>'090204000</v>
      </c>
      <c r="B56" s="8">
        <v>4390</v>
      </c>
      <c r="C56" s="8" t="s">
        <v>312</v>
      </c>
      <c r="D56" s="8" t="str">
        <f>VLOOKUP(E56,'SchoolInfo (3)'!A:C,3,0)</f>
        <v>'090204203</v>
      </c>
      <c r="E56" s="8">
        <v>5613</v>
      </c>
      <c r="F56" s="8" t="s">
        <v>890</v>
      </c>
      <c r="G56" s="2">
        <f>VLOOKUP(E56,'SchoolInfo (3)'!A:K,11,0)</f>
        <v>0</v>
      </c>
    </row>
    <row r="57" spans="1:7" s="2" customFormat="1" ht="12.75" x14ac:dyDescent="0.2">
      <c r="A57" s="6" t="str">
        <f>VLOOKUP(B57,'SchoolInfo (3)'!A:C,3,0)</f>
        <v>'108744000</v>
      </c>
      <c r="B57" s="8">
        <v>4431</v>
      </c>
      <c r="C57" s="8" t="s">
        <v>910</v>
      </c>
      <c r="D57" s="8" t="str">
        <f>VLOOKUP(E57,'SchoolInfo (3)'!A:C,3,0)</f>
        <v>'108744206</v>
      </c>
      <c r="E57" s="8">
        <v>5878</v>
      </c>
      <c r="F57" s="8" t="s">
        <v>911</v>
      </c>
      <c r="G57" s="2" t="str">
        <f>VLOOKUP(E57,'SchoolInfo (3)'!A:K,11,0)</f>
        <v>asanchez@ppep.org</v>
      </c>
    </row>
    <row r="58" spans="1:7" s="2" customFormat="1" ht="12.75" x14ac:dyDescent="0.2">
      <c r="A58" s="6" t="str">
        <f>VLOOKUP(B58,'SchoolInfo (3)'!A:C,3,0)</f>
        <v>'108744000</v>
      </c>
      <c r="B58" s="8">
        <v>4431</v>
      </c>
      <c r="C58" s="8" t="s">
        <v>910</v>
      </c>
      <c r="D58" s="8" t="str">
        <f>VLOOKUP(E58,'SchoolInfo (3)'!A:C,3,0)</f>
        <v>'108744207</v>
      </c>
      <c r="E58" s="8">
        <v>5879</v>
      </c>
      <c r="F58" s="8" t="s">
        <v>913</v>
      </c>
      <c r="G58" s="2" t="str">
        <f>VLOOKUP(E58,'SchoolInfo (3)'!A:K,11,0)</f>
        <v>llujan@ppep.org</v>
      </c>
    </row>
    <row r="59" spans="1:7" s="2" customFormat="1" ht="12.75" x14ac:dyDescent="0.2">
      <c r="A59" s="6" t="str">
        <f>VLOOKUP(B59,'SchoolInfo (3)'!A:C,3,0)</f>
        <v>'108744000</v>
      </c>
      <c r="B59" s="8">
        <v>4431</v>
      </c>
      <c r="C59" s="8" t="s">
        <v>910</v>
      </c>
      <c r="D59" s="8" t="str">
        <f>VLOOKUP(E59,'SchoolInfo (3)'!A:C,3,0)</f>
        <v>'108744201</v>
      </c>
      <c r="E59" s="8">
        <v>5873</v>
      </c>
      <c r="F59" s="8" t="s">
        <v>1001</v>
      </c>
      <c r="G59" s="2" t="str">
        <f>VLOOKUP(E59,'SchoolInfo (3)'!A:K,11,0)</f>
        <v>llujan@ppep.org</v>
      </c>
    </row>
    <row r="60" spans="1:7" s="2" customFormat="1" ht="12.75" x14ac:dyDescent="0.2">
      <c r="A60" s="6" t="str">
        <f>VLOOKUP(B60,'SchoolInfo (3)'!A:C,3,0)</f>
        <v>'078939000</v>
      </c>
      <c r="B60" s="8">
        <v>79569</v>
      </c>
      <c r="C60" s="8" t="s">
        <v>934</v>
      </c>
      <c r="D60" s="8" t="str">
        <f>VLOOKUP(E60,'SchoolInfo (3)'!A:C,3,0)</f>
        <v>'078939201</v>
      </c>
      <c r="E60" s="8">
        <v>79570</v>
      </c>
      <c r="F60" s="8" t="s">
        <v>934</v>
      </c>
      <c r="G60" s="2" t="str">
        <f>VLOOKUP(E60,'SchoolInfo (3)'!A:K,11,0)</f>
        <v>cramos@premierhighschool.com</v>
      </c>
    </row>
    <row r="61" spans="1:7" s="2" customFormat="1" ht="12.75" x14ac:dyDescent="0.2">
      <c r="A61" s="6" t="str">
        <f>VLOOKUP(B61,'SchoolInfo (3)'!A:C,3,0)</f>
        <v>'010227000</v>
      </c>
      <c r="B61" s="8">
        <v>4159</v>
      </c>
      <c r="C61" s="8" t="s">
        <v>325</v>
      </c>
      <c r="D61" s="8" t="str">
        <f>VLOOKUP(E61,'SchoolInfo (3)'!A:C,3,0)</f>
        <v>'010227204</v>
      </c>
      <c r="E61" s="8">
        <v>4741</v>
      </c>
      <c r="F61" s="8" t="s">
        <v>895</v>
      </c>
      <c r="G61" s="2" t="str">
        <f>VLOOKUP(E61,'SchoolInfo (3)'!A:K,11,0)</f>
        <v>lhuenemann@rmusd.net</v>
      </c>
    </row>
    <row r="62" spans="1:7" s="2" customFormat="1" ht="12.75" x14ac:dyDescent="0.2">
      <c r="A62" s="6" t="str">
        <f>VLOOKUP(B62,'SchoolInfo (3)'!A:C,3,0)</f>
        <v>'010227000</v>
      </c>
      <c r="B62" s="8">
        <v>4159</v>
      </c>
      <c r="C62" s="8" t="s">
        <v>325</v>
      </c>
      <c r="D62" s="8" t="str">
        <f>VLOOKUP(E62,'SchoolInfo (3)'!A:C,3,0)</f>
        <v>'010227205</v>
      </c>
      <c r="E62" s="8">
        <v>88386</v>
      </c>
      <c r="F62" s="8" t="s">
        <v>898</v>
      </c>
      <c r="G62" s="2" t="str">
        <f>VLOOKUP(E62,'SchoolInfo (3)'!A:K,11,0)</f>
        <v>lkady@rmusc.net</v>
      </c>
    </row>
    <row r="63" spans="1:7" s="2" customFormat="1" ht="12.75" x14ac:dyDescent="0.2">
      <c r="A63" s="6" t="str">
        <f>VLOOKUP(B63,'SchoolInfo (3)'!A:C,3,0)</f>
        <v>'078656000</v>
      </c>
      <c r="B63" s="8">
        <v>4320</v>
      </c>
      <c r="C63" s="8" t="s">
        <v>875</v>
      </c>
      <c r="D63" s="8" t="str">
        <f>VLOOKUP(E63,'SchoolInfo (3)'!A:C,3,0)</f>
        <v>'078656002</v>
      </c>
      <c r="E63" s="8">
        <v>90159</v>
      </c>
      <c r="F63" s="8" t="s">
        <v>876</v>
      </c>
      <c r="G63" s="2" t="str">
        <f>VLOOKUP(E63,'SchoolInfo (3)'!A:K,11,0)</f>
        <v>chris.mcintier@srpmic-ed.org</v>
      </c>
    </row>
    <row r="64" spans="1:7" s="2" customFormat="1" ht="12.75" x14ac:dyDescent="0.2">
      <c r="A64" s="6" t="str">
        <f>VLOOKUP(B64,'SchoolInfo (3)'!A:C,3,0)</f>
        <v>'040220000</v>
      </c>
      <c r="B64" s="8">
        <v>4210</v>
      </c>
      <c r="C64" s="8" t="s">
        <v>414</v>
      </c>
      <c r="D64" s="8" t="str">
        <f>VLOOKUP(E64,'SchoolInfo (3)'!A:C,3,0)</f>
        <v>'040220103</v>
      </c>
      <c r="E64" s="8">
        <v>4863</v>
      </c>
      <c r="F64" s="8" t="s">
        <v>887</v>
      </c>
      <c r="G64" s="2" t="str">
        <f>VLOOKUP(E64,'SchoolInfo (3)'!A:K,11,0)</f>
        <v>l.terania@sancarlos.k12.az.us</v>
      </c>
    </row>
    <row r="65" spans="1:7" s="2" customFormat="1" ht="12.75" x14ac:dyDescent="0.2">
      <c r="A65" s="6" t="str">
        <f>VLOOKUP(B65,'SchoolInfo (3)'!A:C,3,0)</f>
        <v>'010218000</v>
      </c>
      <c r="B65" s="8">
        <v>4156</v>
      </c>
      <c r="C65" s="8" t="s">
        <v>314</v>
      </c>
      <c r="D65" s="8" t="str">
        <f>VLOOKUP(E65,'SchoolInfo (3)'!A:C,3,0)</f>
        <v>'010218003</v>
      </c>
      <c r="E65" s="8">
        <v>4724</v>
      </c>
      <c r="F65" s="8" t="s">
        <v>1028</v>
      </c>
      <c r="G65" s="2" t="str">
        <f>VLOOKUP(E65,'SchoolInfo (3)'!A:K,11,0)</f>
        <v>ken.poppino@sandersusd.net</v>
      </c>
    </row>
    <row r="66" spans="1:7" s="2" customFormat="1" ht="12.75" x14ac:dyDescent="0.2">
      <c r="A66" s="6" t="str">
        <f>VLOOKUP(B66,'SchoolInfo (3)'!A:C,3,0)</f>
        <v>'070248000</v>
      </c>
      <c r="B66" s="8">
        <v>4240</v>
      </c>
      <c r="C66" s="8" t="s">
        <v>1574</v>
      </c>
      <c r="D66" s="8" t="str">
        <f>VLOOKUP(E66,'SchoolInfo (3)'!A:C,3,0)</f>
        <v>'070248293</v>
      </c>
      <c r="E66" s="8">
        <v>5067</v>
      </c>
      <c r="F66" s="8" t="s">
        <v>1575</v>
      </c>
      <c r="G66" s="2" t="str">
        <f>VLOOKUP(E66,'SchoolInfo (3)'!A:K,11,0)</f>
        <v>atarkington@susd.org</v>
      </c>
    </row>
    <row r="67" spans="1:7" s="2" customFormat="1" ht="12.75" x14ac:dyDescent="0.2">
      <c r="A67" s="6" t="str">
        <f>VLOOKUP(B67,'SchoolInfo (3)'!A:C,3,0)</f>
        <v>'098746000</v>
      </c>
      <c r="B67" s="8">
        <v>6353</v>
      </c>
      <c r="C67" s="8" t="s">
        <v>882</v>
      </c>
      <c r="D67" s="8" t="str">
        <f>VLOOKUP(E67,'SchoolInfo (3)'!A:C,3,0)</f>
        <v>'098746001</v>
      </c>
      <c r="E67" s="8">
        <v>5653</v>
      </c>
      <c r="F67" s="8" t="s">
        <v>883</v>
      </c>
      <c r="G67" s="2">
        <f>VLOOKUP(E67,'SchoolInfo (3)'!A:K,11,0)</f>
        <v>0</v>
      </c>
    </row>
    <row r="68" spans="1:7" s="2" customFormat="1" ht="12.75" x14ac:dyDescent="0.2">
      <c r="A68" s="6" t="str">
        <f>VLOOKUP(B68,'SchoolInfo (3)'!A:C,3,0)</f>
        <v>'078566000</v>
      </c>
      <c r="B68" s="8">
        <v>90329</v>
      </c>
      <c r="C68" s="8" t="s">
        <v>869</v>
      </c>
      <c r="D68" s="8" t="str">
        <f>VLOOKUP(E68,'SchoolInfo (3)'!A:C,3,0)</f>
        <v>'078566001</v>
      </c>
      <c r="E68" s="8">
        <v>89941</v>
      </c>
      <c r="F68" s="8" t="s">
        <v>870</v>
      </c>
      <c r="G68" s="2" t="str">
        <f>VLOOKUP(E68,'SchoolInfo (3)'!A:K,11,0)</f>
        <v>rowens@skylineschools.com</v>
      </c>
    </row>
    <row r="69" spans="1:7" s="2" customFormat="1" ht="12.75" x14ac:dyDescent="0.2">
      <c r="A69" s="6" t="str">
        <f>VLOOKUP(B69,'SchoolInfo (3)'!A:C,3,0)</f>
        <v>'078228000</v>
      </c>
      <c r="B69" s="8">
        <v>92043</v>
      </c>
      <c r="C69" s="8" t="s">
        <v>939</v>
      </c>
      <c r="D69" s="8" t="str">
        <f>VLOOKUP(E69,'SchoolInfo (3)'!A:C,3,0)</f>
        <v>'078228001</v>
      </c>
      <c r="E69" s="8">
        <v>92044</v>
      </c>
      <c r="F69" s="8" t="s">
        <v>939</v>
      </c>
      <c r="G69" s="2" t="str">
        <f>VLOOKUP(E69,'SchoolInfo (3)'!A:K,11,0)</f>
        <v>nancey.carter@rop.com</v>
      </c>
    </row>
    <row r="70" spans="1:7" s="2" customFormat="1" ht="12.75" x14ac:dyDescent="0.2">
      <c r="A70" s="6" t="str">
        <f>VLOOKUP(B70,'SchoolInfo (3)'!A:C,3,0)</f>
        <v>'100212000</v>
      </c>
      <c r="B70" s="8">
        <v>4407</v>
      </c>
      <c r="C70" s="8" t="s">
        <v>331</v>
      </c>
      <c r="D70" s="8" t="str">
        <f>VLOOKUP(E70,'SchoolInfo (3)'!A:C,3,0)</f>
        <v>'100212230</v>
      </c>
      <c r="E70" s="8">
        <v>5827</v>
      </c>
      <c r="F70" s="8" t="s">
        <v>999</v>
      </c>
      <c r="G70" s="2" t="str">
        <f>VLOOKUP(E70,'SchoolInfo (3)'!A:K,11,0)</f>
        <v>rauln@susd12.org</v>
      </c>
    </row>
    <row r="71" spans="1:7" s="2" customFormat="1" ht="12.75" x14ac:dyDescent="0.2">
      <c r="A71" s="6" t="str">
        <f>VLOOKUP(B71,'SchoolInfo (3)'!A:C,3,0)</f>
        <v>'100212000</v>
      </c>
      <c r="B71" s="8">
        <v>4407</v>
      </c>
      <c r="C71" s="8" t="s">
        <v>331</v>
      </c>
      <c r="D71" s="8" t="str">
        <f>VLOOKUP(E71,'SchoolInfo (3)'!A:C,3,0)</f>
        <v>'100212211</v>
      </c>
      <c r="E71" s="8">
        <v>5826</v>
      </c>
      <c r="F71" s="8" t="s">
        <v>1010</v>
      </c>
      <c r="G71" s="2" t="str">
        <f>VLOOKUP(E71,'SchoolInfo (3)'!A:K,11,0)</f>
        <v>dawnm@susd12.org</v>
      </c>
    </row>
    <row r="72" spans="1:7" s="2" customFormat="1" ht="12.75" x14ac:dyDescent="0.2">
      <c r="A72" s="6" t="str">
        <f>VLOOKUP(B72,'SchoolInfo (3)'!A:C,3,0)</f>
        <v>'070514000</v>
      </c>
      <c r="B72" s="8">
        <v>4288</v>
      </c>
      <c r="C72" s="8" t="s">
        <v>1556</v>
      </c>
      <c r="D72" s="8" t="str">
        <f>VLOOKUP(E72,'SchoolInfo (3)'!A:C,3,0)</f>
        <v>'070514203</v>
      </c>
      <c r="E72" s="8">
        <v>80051</v>
      </c>
      <c r="F72" s="8" t="s">
        <v>1557</v>
      </c>
      <c r="G72" s="2" t="str">
        <f>VLOOKUP(E72,'SchoolInfo (3)'!A:K,11,0)</f>
        <v>brandi.haskins@tuhsd.org</v>
      </c>
    </row>
    <row r="73" spans="1:7" s="2" customFormat="1" ht="12.75" x14ac:dyDescent="0.2">
      <c r="A73" s="6" t="str">
        <f>VLOOKUP(B73,'SchoolInfo (3)'!A:C,3,0)</f>
        <v>'070514000</v>
      </c>
      <c r="B73" s="8">
        <v>4288</v>
      </c>
      <c r="C73" s="8" t="s">
        <v>1556</v>
      </c>
      <c r="D73" s="8" t="str">
        <f>VLOOKUP(E73,'SchoolInfo (3)'!A:C,3,0)</f>
        <v>'070514205</v>
      </c>
      <c r="E73" s="8">
        <v>89908</v>
      </c>
      <c r="F73" s="8" t="s">
        <v>1559</v>
      </c>
      <c r="G73" s="2" t="str">
        <f>VLOOKUP(E73,'SchoolInfo (3)'!A:K,11,0)</f>
        <v>Tim.Madrid@tuhsd.org</v>
      </c>
    </row>
    <row r="74" spans="1:7" s="2" customFormat="1" ht="12.75" x14ac:dyDescent="0.2">
      <c r="A74" s="6" t="str">
        <f>VLOOKUP(B74,'SchoolInfo (3)'!A:C,3,0)</f>
        <v>'030215000</v>
      </c>
      <c r="B74" s="8">
        <v>4197</v>
      </c>
      <c r="C74" s="8" t="s">
        <v>399</v>
      </c>
      <c r="D74" s="8" t="str">
        <f>VLOOKUP(E74,'SchoolInfo (3)'!A:C,3,0)</f>
        <v>'030215240</v>
      </c>
      <c r="E74" s="8">
        <v>4838</v>
      </c>
      <c r="F74" s="8" t="s">
        <v>880</v>
      </c>
      <c r="G74" s="2" t="str">
        <f>VLOOKUP(E74,'SchoolInfo (3)'!A:K,11,0)</f>
        <v>rwilliams@tcusd.org</v>
      </c>
    </row>
    <row r="75" spans="1:7" s="2" customFormat="1" ht="12.75" x14ac:dyDescent="0.2">
      <c r="A75" s="6" t="str">
        <f>VLOOKUP(B75,'SchoolInfo (3)'!A:C,3,0)</f>
        <v>'108768000</v>
      </c>
      <c r="B75" s="8">
        <v>6374</v>
      </c>
      <c r="C75" s="8" t="s">
        <v>1601</v>
      </c>
      <c r="D75" s="8" t="str">
        <f>VLOOKUP(E75,'SchoolInfo (3)'!A:C,3,0)</f>
        <v>'108768001</v>
      </c>
      <c r="E75" s="8">
        <v>5892</v>
      </c>
      <c r="F75" s="8" t="s">
        <v>1601</v>
      </c>
      <c r="G75" s="2" t="str">
        <f>VLOOKUP(E75,'SchoolInfo (3)'!A:K,11,0)</f>
        <v>tucprep@dakotacom.net</v>
      </c>
    </row>
    <row r="76" spans="1:7" s="2" customFormat="1" ht="12.75" x14ac:dyDescent="0.2">
      <c r="A76" s="6" t="str">
        <f>VLOOKUP(B76,'SchoolInfo (3)'!A:C,3,0)</f>
        <v>'100201000</v>
      </c>
      <c r="B76" s="8">
        <v>4403</v>
      </c>
      <c r="C76" s="8" t="s">
        <v>330</v>
      </c>
      <c r="D76" s="8" t="str">
        <f>VLOOKUP(E76,'SchoolInfo (3)'!A:C,3,0)</f>
        <v>'100201630</v>
      </c>
      <c r="E76" s="8">
        <v>5759</v>
      </c>
      <c r="F76" s="8" t="s">
        <v>991</v>
      </c>
      <c r="G76" s="2">
        <f>VLOOKUP(E76,'SchoolInfo (3)'!A:K,11,0)</f>
        <v>0</v>
      </c>
    </row>
    <row r="77" spans="1:7" s="2" customFormat="1" ht="12.75" x14ac:dyDescent="0.2">
      <c r="A77" s="6" t="str">
        <f>VLOOKUP(B77,'SchoolInfo (3)'!A:C,3,0)</f>
        <v>'100201000</v>
      </c>
      <c r="B77" s="8">
        <v>4403</v>
      </c>
      <c r="C77" s="8" t="s">
        <v>330</v>
      </c>
      <c r="D77" s="8" t="str">
        <f>VLOOKUP(E77,'SchoolInfo (3)'!A:C,3,0)</f>
        <v>'100201610</v>
      </c>
      <c r="E77" s="8">
        <v>5756</v>
      </c>
      <c r="F77" s="8" t="s">
        <v>1008</v>
      </c>
      <c r="G77" s="2" t="str">
        <f>VLOOKUP(E77,'SchoolInfo (3)'!A:K,11,0)</f>
        <v>antasio.holley@tusd1.org</v>
      </c>
    </row>
    <row r="78" spans="1:7" s="2" customFormat="1" ht="12.75" x14ac:dyDescent="0.2">
      <c r="A78" s="6" t="str">
        <f>VLOOKUP(B78,'SchoolInfo (3)'!A:C,3,0)</f>
        <v>'090220000</v>
      </c>
      <c r="B78" s="8">
        <v>4394</v>
      </c>
      <c r="C78" s="8" t="s">
        <v>439</v>
      </c>
      <c r="D78" s="8" t="str">
        <f>VLOOKUP(E78,'SchoolInfo (3)'!A:C,3,0)</f>
        <v>'090220204</v>
      </c>
      <c r="E78" s="8">
        <v>5637</v>
      </c>
      <c r="F78" s="8" t="s">
        <v>1026</v>
      </c>
      <c r="G78" s="2" t="str">
        <f>VLOOKUP(E78,'SchoolInfo (3)'!A:K,11,0)</f>
        <v>llacapa@wusd.us</v>
      </c>
    </row>
    <row r="79" spans="1:7" s="2" customFormat="1" ht="12.75" x14ac:dyDescent="0.2">
      <c r="A79" s="6" t="str">
        <f>VLOOKUP(B79,'SchoolInfo (3)'!A:C,3,0)</f>
        <v>'070209000</v>
      </c>
      <c r="B79" s="8">
        <v>4236</v>
      </c>
      <c r="C79" s="8" t="s">
        <v>530</v>
      </c>
      <c r="D79" s="8" t="str">
        <f>VLOOKUP(E79,'SchoolInfo (3)'!A:C,3,0)</f>
        <v>'070209201</v>
      </c>
      <c r="E79" s="8">
        <v>4987</v>
      </c>
      <c r="F79" s="8" t="s">
        <v>920</v>
      </c>
      <c r="G79" s="2">
        <f>VLOOKUP(E79,'SchoolInfo (3)'!A:K,11,0)</f>
        <v>0</v>
      </c>
    </row>
    <row r="80" spans="1:7" s="2" customFormat="1" ht="12.75" x14ac:dyDescent="0.2">
      <c r="A80" s="6" t="str">
        <f>VLOOKUP(B80,'SchoolInfo (3)'!A:C,3,0)</f>
        <v>'010208000</v>
      </c>
      <c r="B80" s="8">
        <v>4154</v>
      </c>
      <c r="C80" s="8" t="s">
        <v>327</v>
      </c>
      <c r="D80" s="8" t="str">
        <f>VLOOKUP(E80,'SchoolInfo (3)'!A:C,3,0)</f>
        <v>'010208201</v>
      </c>
      <c r="E80" s="8">
        <v>4717</v>
      </c>
      <c r="F80" s="8" t="s">
        <v>897</v>
      </c>
      <c r="G80" s="2" t="str">
        <f>VLOOKUP(E80,'SchoolInfo (3)'!A:K,11,0)</f>
        <v>jamesf@wrschool.net</v>
      </c>
    </row>
    <row r="81" spans="1:7" s="2" customFormat="1" ht="12.75" x14ac:dyDescent="0.2">
      <c r="A81" s="6" t="str">
        <f>VLOOKUP(B81,'SchoolInfo (3)'!A:C,3,0)</f>
        <v>'140570000</v>
      </c>
      <c r="B81" s="8">
        <v>4507</v>
      </c>
      <c r="C81" s="8" t="s">
        <v>906</v>
      </c>
      <c r="D81" s="8" t="str">
        <f>VLOOKUP(E81,'SchoolInfo (3)'!A:C,3,0)</f>
        <v>'140570205</v>
      </c>
      <c r="E81" s="8">
        <v>80409</v>
      </c>
      <c r="F81" s="8" t="s">
        <v>907</v>
      </c>
      <c r="G81" s="2" t="str">
        <f>VLOOKUP(E81,'SchoolInfo (3)'!A:K,11,0)</f>
        <v>tray@yumaunion.org</v>
      </c>
    </row>
    <row r="82" spans="1:7" s="2" customFormat="1" ht="12.75" x14ac:dyDescent="0.2">
      <c r="A82" s="6" t="str">
        <f>VLOOKUP(B82,'SchoolInfo (3)'!A:C,3,0)</f>
        <v>'140570000</v>
      </c>
      <c r="B82" s="8">
        <v>4507</v>
      </c>
      <c r="C82" s="8" t="s">
        <v>906</v>
      </c>
      <c r="D82" s="8" t="str">
        <f>VLOOKUP(E82,'SchoolInfo (3)'!A:C,3,0)</f>
        <v>'140570204</v>
      </c>
      <c r="E82" s="8">
        <v>6302</v>
      </c>
      <c r="F82" s="8" t="s">
        <v>915</v>
      </c>
      <c r="G82" s="2" t="str">
        <f>VLOOKUP(E82,'SchoolInfo (3)'!A:K,11,0)</f>
        <v>lcampbell@yumaunion.org</v>
      </c>
    </row>
    <row r="83" spans="1:7" s="2" customFormat="1" ht="12.75" x14ac:dyDescent="0.2">
      <c r="A83" s="6" t="str">
        <f>VLOOKUP(B83,'SchoolInfo (3)'!A:C,3,0)</f>
        <v>'140570000</v>
      </c>
      <c r="B83" s="8">
        <v>4507</v>
      </c>
      <c r="C83" s="8" t="s">
        <v>906</v>
      </c>
      <c r="D83" s="8" t="str">
        <f>VLOOKUP(E83,'SchoolInfo (3)'!A:C,3,0)</f>
        <v>'140570201</v>
      </c>
      <c r="E83" s="8">
        <v>6189</v>
      </c>
      <c r="F83" s="8" t="s">
        <v>1565</v>
      </c>
      <c r="G83" s="2" t="str">
        <f>VLOOKUP(E83,'SchoolInfo (3)'!A:K,11,0)</f>
        <v>jmagin@yumaed.org</v>
      </c>
    </row>
    <row r="84" spans="1:7" s="2" customFormat="1" ht="12.75" x14ac:dyDescent="0.2">
      <c r="A84" s="6" t="str">
        <f>VLOOKUP(B84,'SchoolInfo (3)'!A:C,3,0)</f>
        <v>'070445000</v>
      </c>
      <c r="B84" s="8">
        <v>4273</v>
      </c>
      <c r="C84" s="8" t="s">
        <v>1375</v>
      </c>
      <c r="D84" s="8" t="str">
        <f>VLOOKUP(E84,'SchoolInfo (3)'!A:C,3,0)</f>
        <v>'070445105</v>
      </c>
      <c r="E84" s="8">
        <v>80915</v>
      </c>
      <c r="F84" s="8" t="s">
        <v>1520</v>
      </c>
      <c r="G84" s="2" t="str">
        <f>VLOOKUP(E84,'SchoolInfo (3)'!A:K,11,0)</f>
        <v>mruiz@fesd.org</v>
      </c>
    </row>
    <row r="85" spans="1:7" s="2" customFormat="1" ht="12.75" x14ac:dyDescent="0.2">
      <c r="A85" s="6" t="str">
        <f>VLOOKUP(B85,'SchoolInfo (3)'!A:C,3,0)</f>
        <v>'070445000</v>
      </c>
      <c r="B85" s="8">
        <v>4273</v>
      </c>
      <c r="C85" s="8" t="s">
        <v>1375</v>
      </c>
      <c r="D85" s="8" t="str">
        <f>VLOOKUP(E85,'SchoolInfo (3)'!A:C,3,0)</f>
        <v>'070445106</v>
      </c>
      <c r="E85" s="8">
        <v>80916</v>
      </c>
      <c r="F85" s="8" t="s">
        <v>1537</v>
      </c>
      <c r="G85" s="2" t="str">
        <f>VLOOKUP(E85,'SchoolInfo (3)'!A:K,11,0)</f>
        <v>tlyon@fesd.org</v>
      </c>
    </row>
    <row r="86" spans="1:7" s="2" customFormat="1" ht="12.75" x14ac:dyDescent="0.2">
      <c r="A86" s="6" t="str">
        <f>VLOOKUP(B86,'SchoolInfo (3)'!A:C,3,0)</f>
        <v>'078263000</v>
      </c>
      <c r="B86" s="8">
        <v>92596</v>
      </c>
      <c r="C86" s="8" t="s">
        <v>775</v>
      </c>
      <c r="D86" s="8" t="str">
        <f>VLOOKUP(E86,'SchoolInfo (3)'!A:C,3,0)</f>
        <v>'078263001</v>
      </c>
      <c r="E86" s="8">
        <v>92597</v>
      </c>
      <c r="F86" s="8" t="s">
        <v>776</v>
      </c>
      <c r="G86" s="2">
        <f>VLOOKUP(E86,'SchoolInfo (3)'!A:K,11,0)</f>
        <v>0</v>
      </c>
    </row>
    <row r="87" spans="1:7" s="2" customFormat="1" ht="12.75" x14ac:dyDescent="0.2">
      <c r="A87" s="6" t="str">
        <f>VLOOKUP(B87,'SchoolInfo (3)'!A:C,3,0)</f>
        <v>'078611000</v>
      </c>
      <c r="B87" s="8">
        <v>4303</v>
      </c>
      <c r="C87" s="8" t="s">
        <v>646</v>
      </c>
      <c r="D87" s="8" t="str">
        <f>VLOOKUP(E87,'SchoolInfo (3)'!A:C,3,0)</f>
        <v>'078611001</v>
      </c>
      <c r="E87" s="8">
        <v>6036</v>
      </c>
      <c r="F87" s="8" t="s">
        <v>647</v>
      </c>
      <c r="G87" s="2" t="str">
        <f>VLOOKUP(E87,'SchoolInfo (3)'!A:K,11,0)</f>
        <v>Michael.Henderson@academiadelpueblo.org</v>
      </c>
    </row>
    <row r="88" spans="1:7" s="2" customFormat="1" ht="12.75" x14ac:dyDescent="0.2">
      <c r="A88" s="6" t="str">
        <f>VLOOKUP(B88,'SchoolInfo (3)'!A:C,3,0)</f>
        <v>'140432000</v>
      </c>
      <c r="B88" s="8">
        <v>4505</v>
      </c>
      <c r="C88" s="8" t="s">
        <v>354</v>
      </c>
      <c r="D88" s="8" t="str">
        <f>VLOOKUP(E88,'SchoolInfo (3)'!A:C,3,0)</f>
        <v>'140432102</v>
      </c>
      <c r="E88" s="8">
        <v>6184</v>
      </c>
      <c r="F88" s="8" t="s">
        <v>497</v>
      </c>
      <c r="G88" s="2">
        <f>VLOOKUP(E88,'SchoolInfo (3)'!A:K,11,0)</f>
        <v>0</v>
      </c>
    </row>
    <row r="89" spans="1:7" s="2" customFormat="1" ht="12.75" x14ac:dyDescent="0.2">
      <c r="A89" s="6" t="str">
        <f>VLOOKUP(B89,'SchoolInfo (3)'!A:C,3,0)</f>
        <v>'140432000</v>
      </c>
      <c r="B89" s="8">
        <v>4505</v>
      </c>
      <c r="C89" s="8" t="s">
        <v>354</v>
      </c>
      <c r="D89" s="8" t="str">
        <f>VLOOKUP(E89,'SchoolInfo (3)'!A:C,3,0)</f>
        <v>'140432103</v>
      </c>
      <c r="E89" s="8">
        <v>6185</v>
      </c>
      <c r="F89" s="8" t="s">
        <v>500</v>
      </c>
      <c r="G89" s="2" t="str">
        <f>VLOOKUP(E89,'SchoolInfo (3)'!A:K,11,0)</f>
        <v>sarredondo@gesd32.org</v>
      </c>
    </row>
    <row r="90" spans="1:7" s="2" customFormat="1" ht="12.75" x14ac:dyDescent="0.2">
      <c r="A90" s="6" t="str">
        <f>VLOOKUP(B90,'SchoolInfo (3)'!A:C,3,0)</f>
        <v>'140432000</v>
      </c>
      <c r="B90" s="8">
        <v>4505</v>
      </c>
      <c r="C90" s="8" t="s">
        <v>354</v>
      </c>
      <c r="D90" s="8" t="str">
        <f>VLOOKUP(E90,'SchoolInfo (3)'!A:C,3,0)</f>
        <v>'140432105</v>
      </c>
      <c r="E90" s="8">
        <v>6187</v>
      </c>
      <c r="F90" s="8" t="s">
        <v>502</v>
      </c>
      <c r="G90" s="2" t="str">
        <f>VLOOKUP(E90,'SchoolInfo (3)'!A:K,11,0)</f>
        <v>lmesparza@gesd32.org</v>
      </c>
    </row>
    <row r="91" spans="1:7" s="2" customFormat="1" ht="12.75" x14ac:dyDescent="0.2">
      <c r="A91" s="6" t="str">
        <f>VLOOKUP(B91,'SchoolInfo (3)'!A:C,3,0)</f>
        <v>'140432000</v>
      </c>
      <c r="B91" s="8">
        <v>4505</v>
      </c>
      <c r="C91" s="8" t="s">
        <v>354</v>
      </c>
      <c r="D91" s="8" t="str">
        <f>VLOOKUP(E91,'SchoolInfo (3)'!A:C,3,0)</f>
        <v>'140432101</v>
      </c>
      <c r="E91" s="8">
        <v>6183</v>
      </c>
      <c r="F91" s="8" t="s">
        <v>504</v>
      </c>
      <c r="G91" s="2" t="str">
        <f>VLOOKUP(E91,'SchoolInfo (3)'!A:K,11,0)</f>
        <v>carvizo@gesd32.org</v>
      </c>
    </row>
    <row r="92" spans="1:7" s="2" customFormat="1" ht="12.75" x14ac:dyDescent="0.2">
      <c r="A92" s="6" t="str">
        <f>VLOOKUP(B92,'SchoolInfo (3)'!A:C,3,0)</f>
        <v>'010220000</v>
      </c>
      <c r="B92" s="8">
        <v>4157</v>
      </c>
      <c r="C92" s="8" t="s">
        <v>448</v>
      </c>
      <c r="D92" s="8" t="str">
        <f>VLOOKUP(E92,'SchoolInfo (3)'!A:C,3,0)</f>
        <v>'010220101</v>
      </c>
      <c r="E92" s="8">
        <v>4725</v>
      </c>
      <c r="F92" s="8" t="s">
        <v>449</v>
      </c>
      <c r="G92" s="2" t="str">
        <f>VLOOKUP(E92,'SchoolInfo (3)'!A:K,11,0)</f>
        <v>helen.aseret@ganado.k12.az.us</v>
      </c>
    </row>
    <row r="93" spans="1:7" s="2" customFormat="1" ht="12.75" x14ac:dyDescent="0.2">
      <c r="A93" s="6" t="str">
        <f>VLOOKUP(B93,'SchoolInfo (3)'!A:C,3,0)</f>
        <v>'010220000</v>
      </c>
      <c r="B93" s="8">
        <v>4157</v>
      </c>
      <c r="C93" s="8" t="s">
        <v>448</v>
      </c>
      <c r="D93" s="8" t="str">
        <f>VLOOKUP(E93,'SchoolInfo (3)'!A:C,3,0)</f>
        <v>'010220103</v>
      </c>
      <c r="E93" s="8">
        <v>4727</v>
      </c>
      <c r="F93" s="8" t="s">
        <v>452</v>
      </c>
      <c r="G93" s="2" t="str">
        <f>VLOOKUP(E93,'SchoolInfo (3)'!A:K,11,0)</f>
        <v>leandra.begaye@ganado.k12.az.us</v>
      </c>
    </row>
    <row r="94" spans="1:7" s="2" customFormat="1" ht="12.75" x14ac:dyDescent="0.2">
      <c r="A94" s="6" t="str">
        <f>VLOOKUP(B94,'SchoolInfo (3)'!A:C,3,0)</f>
        <v>'010220000</v>
      </c>
      <c r="B94" s="8">
        <v>4157</v>
      </c>
      <c r="C94" s="8" t="s">
        <v>448</v>
      </c>
      <c r="D94" s="8" t="str">
        <f>VLOOKUP(E94,'SchoolInfo (3)'!A:C,3,0)</f>
        <v>'010220102</v>
      </c>
      <c r="E94" s="8">
        <v>4726</v>
      </c>
      <c r="F94" s="8" t="s">
        <v>489</v>
      </c>
      <c r="G94" s="2" t="str">
        <f>VLOOKUP(E94,'SchoolInfo (3)'!A:K,11,0)</f>
        <v>roxane.martinez@ganado.k12.az.us</v>
      </c>
    </row>
    <row r="95" spans="1:7" s="2" customFormat="1" ht="12.75" x14ac:dyDescent="0.2">
      <c r="A95" s="6" t="str">
        <f>VLOOKUP(B95,'SchoolInfo (3)'!A:C,3,0)</f>
        <v>'070224000</v>
      </c>
      <c r="B95" s="8">
        <v>4238</v>
      </c>
      <c r="C95" s="8" t="s">
        <v>319</v>
      </c>
      <c r="D95" s="8" t="str">
        <f>VLOOKUP(E95,'SchoolInfo (3)'!A:C,3,0)</f>
        <v>'070224001</v>
      </c>
      <c r="E95" s="8">
        <v>5018</v>
      </c>
      <c r="F95" s="8" t="s">
        <v>528</v>
      </c>
      <c r="G95" s="2" t="str">
        <f>VLOOKUP(E95,'SchoolInfo (3)'!A:K,11,0)</f>
        <v>ramonag@gbusd.org</v>
      </c>
    </row>
    <row r="96" spans="1:7" s="2" customFormat="1" ht="12.75" x14ac:dyDescent="0.2">
      <c r="A96" s="6" t="str">
        <f>VLOOKUP(B96,'SchoolInfo (3)'!A:C,3,0)</f>
        <v>'070440000</v>
      </c>
      <c r="B96" s="8">
        <v>4271</v>
      </c>
      <c r="C96" s="8" t="s">
        <v>347</v>
      </c>
      <c r="D96" s="8" t="str">
        <f>VLOOKUP(E96,'SchoolInfo (3)'!A:C,3,0)</f>
        <v>'070440117</v>
      </c>
      <c r="E96" s="8">
        <v>79816</v>
      </c>
      <c r="F96" s="8" t="s">
        <v>559</v>
      </c>
      <c r="G96" s="2" t="str">
        <f>VLOOKUP(E96,'SchoolInfo (3)'!A:K,11,0)</f>
        <v>lhightower@gesd40.org</v>
      </c>
    </row>
    <row r="97" spans="1:7" s="2" customFormat="1" ht="12.75" x14ac:dyDescent="0.2">
      <c r="A97" s="6" t="str">
        <f>VLOOKUP(B97,'SchoolInfo (3)'!A:C,3,0)</f>
        <v>'070440000</v>
      </c>
      <c r="B97" s="8">
        <v>4271</v>
      </c>
      <c r="C97" s="8" t="s">
        <v>347</v>
      </c>
      <c r="D97" s="8" t="str">
        <f>VLOOKUP(E97,'SchoolInfo (3)'!A:C,3,0)</f>
        <v>'070440114</v>
      </c>
      <c r="E97" s="8">
        <v>5345</v>
      </c>
      <c r="F97" s="8" t="s">
        <v>562</v>
      </c>
      <c r="G97" s="2" t="str">
        <f>VLOOKUP(E97,'SchoolInfo (3)'!A:K,11,0)</f>
        <v>jrusky@gesd40.org</v>
      </c>
    </row>
    <row r="98" spans="1:7" s="2" customFormat="1" ht="12.75" x14ac:dyDescent="0.2">
      <c r="A98" s="6" t="str">
        <f>VLOOKUP(B98,'SchoolInfo (3)'!A:C,3,0)</f>
        <v>'070440000</v>
      </c>
      <c r="B98" s="8">
        <v>4271</v>
      </c>
      <c r="C98" s="8" t="s">
        <v>347</v>
      </c>
      <c r="D98" s="8" t="str">
        <f>VLOOKUP(E98,'SchoolInfo (3)'!A:C,3,0)</f>
        <v>'070440105</v>
      </c>
      <c r="E98" s="8">
        <v>5336</v>
      </c>
      <c r="F98" s="8" t="s">
        <v>567</v>
      </c>
      <c r="G98" s="2" t="str">
        <f>VLOOKUP(E98,'SchoolInfo (3)'!A:K,11,0)</f>
        <v>dparcells@gesd40.org</v>
      </c>
    </row>
    <row r="99" spans="1:7" s="2" customFormat="1" ht="12.75" x14ac:dyDescent="0.2">
      <c r="A99" s="6" t="str">
        <f>VLOOKUP(B99,'SchoolInfo (3)'!A:C,3,0)</f>
        <v>'070440000</v>
      </c>
      <c r="B99" s="8">
        <v>4271</v>
      </c>
      <c r="C99" s="8" t="s">
        <v>347</v>
      </c>
      <c r="D99" s="8" t="str">
        <f>VLOOKUP(E99,'SchoolInfo (3)'!A:C,3,0)</f>
        <v>'070440103</v>
      </c>
      <c r="E99" s="8">
        <v>5334</v>
      </c>
      <c r="F99" s="8" t="s">
        <v>569</v>
      </c>
      <c r="G99" s="2" t="str">
        <f>VLOOKUP(E99,'SchoolInfo (3)'!A:K,11,0)</f>
        <v>ralvarez@gesd40.org</v>
      </c>
    </row>
    <row r="100" spans="1:7" s="2" customFormat="1" ht="12.75" x14ac:dyDescent="0.2">
      <c r="A100" s="6" t="str">
        <f>VLOOKUP(B100,'SchoolInfo (3)'!A:C,3,0)</f>
        <v>'070440000</v>
      </c>
      <c r="B100" s="8">
        <v>4271</v>
      </c>
      <c r="C100" s="8" t="s">
        <v>347</v>
      </c>
      <c r="D100" s="8" t="str">
        <f>VLOOKUP(E100,'SchoolInfo (3)'!A:C,3,0)</f>
        <v>'070440108</v>
      </c>
      <c r="E100" s="8">
        <v>5339</v>
      </c>
      <c r="F100" s="8" t="s">
        <v>571</v>
      </c>
      <c r="G100" s="2" t="str">
        <f>VLOOKUP(E100,'SchoolInfo (3)'!A:K,11,0)</f>
        <v>kduguid@gesd40.org</v>
      </c>
    </row>
    <row r="101" spans="1:7" s="2" customFormat="1" ht="12.75" x14ac:dyDescent="0.2">
      <c r="A101" s="6" t="str">
        <f>VLOOKUP(B101,'SchoolInfo (3)'!A:C,3,0)</f>
        <v>'070440000</v>
      </c>
      <c r="B101" s="8">
        <v>4271</v>
      </c>
      <c r="C101" s="8" t="s">
        <v>347</v>
      </c>
      <c r="D101" s="8" t="str">
        <f>VLOOKUP(E101,'SchoolInfo (3)'!A:C,3,0)</f>
        <v>'070440101</v>
      </c>
      <c r="E101" s="8">
        <v>5332</v>
      </c>
      <c r="F101" s="8" t="s">
        <v>574</v>
      </c>
      <c r="G101" s="2" t="str">
        <f>VLOOKUP(E101,'SchoolInfo (3)'!A:K,11,0)</f>
        <v>dpesch@gesd40.org</v>
      </c>
    </row>
    <row r="102" spans="1:7" s="2" customFormat="1" ht="12.75" x14ac:dyDescent="0.2">
      <c r="A102" s="6" t="str">
        <f>VLOOKUP(B102,'SchoolInfo (3)'!A:C,3,0)</f>
        <v>'070440000</v>
      </c>
      <c r="B102" s="8">
        <v>4271</v>
      </c>
      <c r="C102" s="8" t="s">
        <v>347</v>
      </c>
      <c r="D102" s="8" t="str">
        <f>VLOOKUP(E102,'SchoolInfo (3)'!A:C,3,0)</f>
        <v>'070440102</v>
      </c>
      <c r="E102" s="8">
        <v>5333</v>
      </c>
      <c r="F102" s="8" t="s">
        <v>576</v>
      </c>
      <c r="G102" s="2" t="str">
        <f>VLOOKUP(E102,'SchoolInfo (3)'!A:K,11,0)</f>
        <v>krudisill@gesd40.org</v>
      </c>
    </row>
    <row r="103" spans="1:7" s="2" customFormat="1" ht="12.75" x14ac:dyDescent="0.2">
      <c r="A103" s="6" t="str">
        <f>VLOOKUP(B103,'SchoolInfo (3)'!A:C,3,0)</f>
        <v>'070440000</v>
      </c>
      <c r="B103" s="8">
        <v>4271</v>
      </c>
      <c r="C103" s="8" t="s">
        <v>347</v>
      </c>
      <c r="D103" s="8" t="str">
        <f>VLOOKUP(E103,'SchoolInfo (3)'!A:C,3,0)</f>
        <v>'070440104</v>
      </c>
      <c r="E103" s="8">
        <v>5335</v>
      </c>
      <c r="F103" s="8" t="s">
        <v>582</v>
      </c>
      <c r="G103" s="2" t="str">
        <f>VLOOKUP(E103,'SchoolInfo (3)'!A:K,11,0)</f>
        <v>tmineer@gesd40.org</v>
      </c>
    </row>
    <row r="104" spans="1:7" s="2" customFormat="1" ht="12.75" x14ac:dyDescent="0.2">
      <c r="A104" s="6" t="str">
        <f>VLOOKUP(B104,'SchoolInfo (3)'!A:C,3,0)</f>
        <v>'070440000</v>
      </c>
      <c r="B104" s="8">
        <v>4271</v>
      </c>
      <c r="C104" s="8" t="s">
        <v>347</v>
      </c>
      <c r="D104" s="8" t="str">
        <f>VLOOKUP(E104,'SchoolInfo (3)'!A:C,3,0)</f>
        <v>'070440113</v>
      </c>
      <c r="E104" s="8">
        <v>5344</v>
      </c>
      <c r="F104" s="8" t="s">
        <v>1300</v>
      </c>
      <c r="G104" s="2" t="str">
        <f>VLOOKUP(E104,'SchoolInfo (3)'!A:K,11,0)</f>
        <v>dpesch@gesd40.org</v>
      </c>
    </row>
    <row r="105" spans="1:7" s="2" customFormat="1" ht="12.75" x14ac:dyDescent="0.2">
      <c r="A105" s="6" t="str">
        <f>VLOOKUP(B105,'SchoolInfo (3)'!A:C,3,0)</f>
        <v>'040201000</v>
      </c>
      <c r="B105" s="8">
        <v>4208</v>
      </c>
      <c r="C105" s="8" t="s">
        <v>348</v>
      </c>
      <c r="D105" s="8" t="str">
        <f>VLOOKUP(E105,'SchoolInfo (3)'!A:C,3,0)</f>
        <v>'040201105</v>
      </c>
      <c r="E105" s="8">
        <v>85831</v>
      </c>
      <c r="F105" s="8" t="s">
        <v>1547</v>
      </c>
      <c r="G105" s="2" t="str">
        <f>VLOOKUP(E105,'SchoolInfo (3)'!A:K,11,0)</f>
        <v>lori.rodriguez@globeschools.org</v>
      </c>
    </row>
    <row r="106" spans="1:7" s="2" customFormat="1" ht="12.75" x14ac:dyDescent="0.2">
      <c r="A106" s="6" t="str">
        <f>VLOOKUP(B106,'SchoolInfo (3)'!A:C,3,0)</f>
        <v>'030204000</v>
      </c>
      <c r="B106" s="8">
        <v>4194</v>
      </c>
      <c r="C106" s="8" t="s">
        <v>335</v>
      </c>
      <c r="D106" s="8" t="str">
        <f>VLOOKUP(E106,'SchoolInfo (3)'!A:C,3,0)</f>
        <v>'030204001</v>
      </c>
      <c r="E106" s="8">
        <v>4824</v>
      </c>
      <c r="F106" s="8" t="s">
        <v>1290</v>
      </c>
      <c r="G106" s="2" t="str">
        <f>VLOOKUP(E106,'SchoolInfo (3)'!A:K,11,0)</f>
        <v>tmelster@grandcanyonschool.org</v>
      </c>
    </row>
    <row r="107" spans="1:7" s="2" customFormat="1" ht="12.75" x14ac:dyDescent="0.2">
      <c r="A107" s="6" t="str">
        <f>VLOOKUP(B107,'SchoolInfo (3)'!A:C,3,0)</f>
        <v>'078204000</v>
      </c>
      <c r="B107" s="8">
        <v>91275</v>
      </c>
      <c r="C107" s="8" t="s">
        <v>706</v>
      </c>
      <c r="D107" s="8" t="str">
        <f>VLOOKUP(E107,'SchoolInfo (3)'!A:C,3,0)</f>
        <v>'078204001</v>
      </c>
      <c r="E107" s="8">
        <v>92223</v>
      </c>
      <c r="F107" s="8" t="s">
        <v>706</v>
      </c>
      <c r="G107" s="2" t="str">
        <f>VLOOKUP(E107,'SchoolInfo (3)'!A:K,11,0)</f>
        <v>bespinoza@hirschaz.org</v>
      </c>
    </row>
    <row r="108" spans="1:7" s="2" customFormat="1" ht="12.75" x14ac:dyDescent="0.2">
      <c r="A108" s="6" t="str">
        <f>VLOOKUP(B108,'SchoolInfo (3)'!A:C,3,0)</f>
        <v>'090203000</v>
      </c>
      <c r="B108" s="8">
        <v>4389</v>
      </c>
      <c r="C108" s="8" t="s">
        <v>434</v>
      </c>
      <c r="D108" s="8" t="str">
        <f>VLOOKUP(E108,'SchoolInfo (3)'!A:C,3,0)</f>
        <v>'090203104</v>
      </c>
      <c r="E108" s="8">
        <v>79377</v>
      </c>
      <c r="F108" s="8" t="s">
        <v>435</v>
      </c>
      <c r="G108" s="2">
        <f>VLOOKUP(E108,'SchoolInfo (3)'!A:K,11,0)</f>
        <v>0</v>
      </c>
    </row>
    <row r="109" spans="1:7" s="2" customFormat="1" ht="12.75" x14ac:dyDescent="0.2">
      <c r="A109" s="6" t="str">
        <f>VLOOKUP(B109,'SchoolInfo (3)'!A:C,3,0)</f>
        <v>'130222000</v>
      </c>
      <c r="B109" s="8">
        <v>4469</v>
      </c>
      <c r="C109" s="8" t="s">
        <v>546</v>
      </c>
      <c r="D109" s="8" t="str">
        <f>VLOOKUP(E109,'SchoolInfo (3)'!A:C,3,0)</f>
        <v>'130222132</v>
      </c>
      <c r="E109" s="8">
        <v>6094</v>
      </c>
      <c r="F109" s="8" t="s">
        <v>547</v>
      </c>
      <c r="G109" s="2" t="str">
        <f>VLOOKUP(E109,'SchoolInfo (3)'!A:K,11,0)</f>
        <v>joanne.bindell@humboldtunified.com</v>
      </c>
    </row>
    <row r="110" spans="1:7" s="2" customFormat="1" ht="12.75" x14ac:dyDescent="0.2">
      <c r="A110" s="6" t="str">
        <f>VLOOKUP(B110,'SchoolInfo (3)'!A:C,3,0)</f>
        <v>'078531000</v>
      </c>
      <c r="B110" s="8">
        <v>89561</v>
      </c>
      <c r="C110" s="8" t="s">
        <v>619</v>
      </c>
      <c r="D110" s="8" t="str">
        <f>VLOOKUP(E110,'SchoolInfo (3)'!A:C,3,0)</f>
        <v>'078531101</v>
      </c>
      <c r="E110" s="8">
        <v>89562</v>
      </c>
      <c r="F110" s="8" t="s">
        <v>620</v>
      </c>
      <c r="G110" s="2" t="str">
        <f>VLOOKUP(E110,'SchoolInfo (3)'!A:K,11,0)</f>
        <v>monte.lange@imagineschools.com</v>
      </c>
    </row>
    <row r="111" spans="1:7" s="2" customFormat="1" ht="12.75" x14ac:dyDescent="0.2">
      <c r="A111" s="6" t="str">
        <f>VLOOKUP(B111,'SchoolInfo (3)'!A:C,3,0)</f>
        <v>'078519000</v>
      </c>
      <c r="B111" s="8">
        <v>88365</v>
      </c>
      <c r="C111" s="8" t="s">
        <v>616</v>
      </c>
      <c r="D111" s="8" t="str">
        <f>VLOOKUP(E111,'SchoolInfo (3)'!A:C,3,0)</f>
        <v>'078519101</v>
      </c>
      <c r="E111" s="8">
        <v>88366</v>
      </c>
      <c r="F111" s="8" t="s">
        <v>617</v>
      </c>
      <c r="G111" s="2" t="str">
        <f>VLOOKUP(E111,'SchoolInfo (3)'!A:K,11,0)</f>
        <v>Ilse.Roper@imagineschools.org</v>
      </c>
    </row>
    <row r="112" spans="1:7" s="2" customFormat="1" ht="12.75" x14ac:dyDescent="0.2">
      <c r="A112" s="6" t="str">
        <f>VLOOKUP(B112,'SchoolInfo (3)'!A:C,3,0)</f>
        <v>'078520000</v>
      </c>
      <c r="B112" s="8">
        <v>88367</v>
      </c>
      <c r="C112" s="8" t="s">
        <v>564</v>
      </c>
      <c r="D112" s="8" t="str">
        <f>VLOOKUP(E112,'SchoolInfo (3)'!A:C,3,0)</f>
        <v>'078520101</v>
      </c>
      <c r="E112" s="8">
        <v>88368</v>
      </c>
      <c r="F112" s="8" t="s">
        <v>565</v>
      </c>
      <c r="G112" s="2">
        <f>VLOOKUP(E112,'SchoolInfo (3)'!A:K,11,0)</f>
        <v>0</v>
      </c>
    </row>
    <row r="113" spans="1:7" s="2" customFormat="1" ht="12.75" x14ac:dyDescent="0.2">
      <c r="A113" s="6" t="str">
        <f>VLOOKUP(B113,'SchoolInfo (3)'!A:C,3,0)</f>
        <v>'078536000</v>
      </c>
      <c r="B113" s="8">
        <v>89786</v>
      </c>
      <c r="C113" s="8" t="s">
        <v>752</v>
      </c>
      <c r="D113" s="8" t="str">
        <f>VLOOKUP(E113,'SchoolInfo (3)'!A:C,3,0)</f>
        <v>'078536101</v>
      </c>
      <c r="E113" s="8">
        <v>89787</v>
      </c>
      <c r="F113" s="8" t="s">
        <v>753</v>
      </c>
      <c r="G113" s="2">
        <f>VLOOKUP(E113,'SchoolInfo (3)'!A:K,11,0)</f>
        <v>0</v>
      </c>
    </row>
    <row r="114" spans="1:7" s="2" customFormat="1" ht="12.75" x14ac:dyDescent="0.2">
      <c r="A114" s="6" t="str">
        <f>VLOOKUP(B114,'SchoolInfo (3)'!A:C,3,0)</f>
        <v>'070405000</v>
      </c>
      <c r="B114" s="8">
        <v>4259</v>
      </c>
      <c r="C114" s="8" t="s">
        <v>316</v>
      </c>
      <c r="D114" s="8" t="str">
        <f>VLOOKUP(E114,'SchoolInfo (3)'!A:C,3,0)</f>
        <v>'070405105</v>
      </c>
      <c r="E114" s="8">
        <v>5238</v>
      </c>
      <c r="F114" s="8" t="s">
        <v>584</v>
      </c>
      <c r="G114" s="2" t="str">
        <f>VLOOKUP(E114,'SchoolInfo (3)'!A:K,11,0)</f>
        <v>ghernandez@isaacschools.org</v>
      </c>
    </row>
    <row r="115" spans="1:7" s="2" customFormat="1" ht="12.75" x14ac:dyDescent="0.2">
      <c r="A115" s="6" t="str">
        <f>VLOOKUP(B115,'SchoolInfo (3)'!A:C,3,0)</f>
        <v>'070405000</v>
      </c>
      <c r="B115" s="8">
        <v>4259</v>
      </c>
      <c r="C115" s="8" t="s">
        <v>316</v>
      </c>
      <c r="D115" s="8" t="str">
        <f>VLOOKUP(E115,'SchoolInfo (3)'!A:C,3,0)</f>
        <v>'070405104</v>
      </c>
      <c r="E115" s="8">
        <v>5237</v>
      </c>
      <c r="F115" s="8" t="s">
        <v>590</v>
      </c>
      <c r="G115" s="2" t="str">
        <f>VLOOKUP(E115,'SchoolInfo (3)'!A:K,11,0)</f>
        <v>dhutson@isaacschools.org</v>
      </c>
    </row>
    <row r="116" spans="1:7" s="2" customFormat="1" ht="12.75" x14ac:dyDescent="0.2">
      <c r="A116" s="6" t="str">
        <f>VLOOKUP(B116,'SchoolInfo (3)'!A:C,3,0)</f>
        <v>'070405000</v>
      </c>
      <c r="B116" s="8">
        <v>4259</v>
      </c>
      <c r="C116" s="8" t="s">
        <v>316</v>
      </c>
      <c r="D116" s="8" t="str">
        <f>VLOOKUP(E116,'SchoolInfo (3)'!A:C,3,0)</f>
        <v>'070405111</v>
      </c>
      <c r="E116" s="8">
        <v>5243</v>
      </c>
      <c r="F116" s="8" t="s">
        <v>592</v>
      </c>
      <c r="G116" s="2" t="str">
        <f>VLOOKUP(E116,'SchoolInfo (3)'!A:K,11,0)</f>
        <v>achavez@isaacschools.org</v>
      </c>
    </row>
    <row r="117" spans="1:7" s="2" customFormat="1" ht="12.75" x14ac:dyDescent="0.2">
      <c r="A117" s="6" t="str">
        <f>VLOOKUP(B117,'SchoolInfo (3)'!A:C,3,0)</f>
        <v>'070405000</v>
      </c>
      <c r="B117" s="8">
        <v>4259</v>
      </c>
      <c r="C117" s="8" t="s">
        <v>316</v>
      </c>
      <c r="D117" s="8" t="str">
        <f>VLOOKUP(E117,'SchoolInfo (3)'!A:C,3,0)</f>
        <v>'070405101</v>
      </c>
      <c r="E117" s="8">
        <v>5234</v>
      </c>
      <c r="F117" s="8" t="s">
        <v>597</v>
      </c>
      <c r="G117" s="2" t="str">
        <f>VLOOKUP(E117,'SchoolInfo (3)'!A:K,11,0)</f>
        <v>bhoneycutt@isaacschools.org</v>
      </c>
    </row>
    <row r="118" spans="1:7" s="2" customFormat="1" ht="12.75" x14ac:dyDescent="0.2">
      <c r="A118" s="6" t="str">
        <f>VLOOKUP(B118,'SchoolInfo (3)'!A:C,3,0)</f>
        <v>'070405000</v>
      </c>
      <c r="B118" s="8">
        <v>4259</v>
      </c>
      <c r="C118" s="8" t="s">
        <v>316</v>
      </c>
      <c r="D118" s="8" t="str">
        <f>VLOOKUP(E118,'SchoolInfo (3)'!A:C,3,0)</f>
        <v>'070405112</v>
      </c>
      <c r="E118" s="8">
        <v>78934</v>
      </c>
      <c r="F118" s="8" t="s">
        <v>599</v>
      </c>
      <c r="G118" s="2" t="str">
        <f>VLOOKUP(E118,'SchoolInfo (3)'!A:K,11,0)</f>
        <v>aguerrero@isaacschools.org</v>
      </c>
    </row>
    <row r="119" spans="1:7" s="2" customFormat="1" ht="12.75" x14ac:dyDescent="0.2">
      <c r="A119" s="6" t="str">
        <f>VLOOKUP(B119,'SchoolInfo (3)'!A:C,3,0)</f>
        <v>'070405000</v>
      </c>
      <c r="B119" s="8">
        <v>4259</v>
      </c>
      <c r="C119" s="8" t="s">
        <v>316</v>
      </c>
      <c r="D119" s="8" t="str">
        <f>VLOOKUP(E119,'SchoolInfo (3)'!A:C,3,0)</f>
        <v>'070405103</v>
      </c>
      <c r="E119" s="8">
        <v>5236</v>
      </c>
      <c r="F119" s="8" t="s">
        <v>601</v>
      </c>
      <c r="G119" s="2" t="str">
        <f>VLOOKUP(E119,'SchoolInfo (3)'!A:K,11,0)</f>
        <v>jvaldez@isaaceld.k12.az.us</v>
      </c>
    </row>
    <row r="120" spans="1:7" s="2" customFormat="1" ht="12.75" x14ac:dyDescent="0.2">
      <c r="A120" s="6" t="str">
        <f>VLOOKUP(B120,'SchoolInfo (3)'!A:C,3,0)</f>
        <v>'070405000</v>
      </c>
      <c r="B120" s="8">
        <v>4259</v>
      </c>
      <c r="C120" s="8" t="s">
        <v>316</v>
      </c>
      <c r="D120" s="8" t="str">
        <f>VLOOKUP(E120,'SchoolInfo (3)'!A:C,3,0)</f>
        <v>'070405102</v>
      </c>
      <c r="E120" s="8">
        <v>5235</v>
      </c>
      <c r="F120" s="8" t="s">
        <v>602</v>
      </c>
      <c r="G120" s="2" t="str">
        <f>VLOOKUP(E120,'SchoolInfo (3)'!A:K,11,0)</f>
        <v>mchavez@isaacschools.org</v>
      </c>
    </row>
    <row r="121" spans="1:7" s="2" customFormat="1" ht="12.75" x14ac:dyDescent="0.2">
      <c r="A121" s="6" t="str">
        <f>VLOOKUP(B121,'SchoolInfo (3)'!A:C,3,0)</f>
        <v>'070405000</v>
      </c>
      <c r="B121" s="8">
        <v>4259</v>
      </c>
      <c r="C121" s="8" t="s">
        <v>316</v>
      </c>
      <c r="D121" s="8" t="str">
        <f>VLOOKUP(E121,'SchoolInfo (3)'!A:C,3,0)</f>
        <v>'070405108</v>
      </c>
      <c r="E121" s="8">
        <v>5240</v>
      </c>
      <c r="F121" s="8" t="s">
        <v>1425</v>
      </c>
      <c r="G121" s="2">
        <f>VLOOKUP(E121,'SchoolInfo (3)'!A:K,11,0)</f>
        <v>0</v>
      </c>
    </row>
    <row r="122" spans="1:7" s="2" customFormat="1" ht="12.75" x14ac:dyDescent="0.2">
      <c r="A122" s="6" t="str">
        <f>VLOOKUP(B122,'SchoolInfo (3)'!A:C,3,0)</f>
        <v>'110244000</v>
      </c>
      <c r="B122" s="8">
        <v>4445</v>
      </c>
      <c r="C122" s="8" t="s">
        <v>1305</v>
      </c>
      <c r="D122" s="8" t="str">
        <f>VLOOKUP(E122,'SchoolInfo (3)'!A:C,3,0)</f>
        <v>'110244104</v>
      </c>
      <c r="E122" s="8">
        <v>87489</v>
      </c>
      <c r="F122" s="8" t="s">
        <v>1306</v>
      </c>
      <c r="G122" s="2" t="str">
        <f>VLOOKUP(E122,'SchoolInfo (3)'!A:K,11,0)</f>
        <v>asingley@jocombs.k12.az.us</v>
      </c>
    </row>
    <row r="123" spans="1:7" s="2" customFormat="1" ht="12.75" x14ac:dyDescent="0.2">
      <c r="A123" s="6" t="str">
        <f>VLOOKUP(B123,'SchoolInfo (3)'!A:C,3,0)</f>
        <v>'128704000</v>
      </c>
      <c r="B123" s="8">
        <v>92989</v>
      </c>
      <c r="C123" s="8" t="s">
        <v>856</v>
      </c>
      <c r="D123" s="8" t="str">
        <f>VLOOKUP(E123,'SchoolInfo (3)'!A:C,3,0)</f>
        <v>'128704001</v>
      </c>
      <c r="E123" s="8">
        <v>766437</v>
      </c>
      <c r="F123" s="8" t="s">
        <v>857</v>
      </c>
      <c r="G123" s="2" t="str">
        <f>VLOOKUP(E123,'SchoolInfo (3)'!A:K,11,0)</f>
        <v>darla.eddy@leonagroup.com</v>
      </c>
    </row>
    <row r="124" spans="1:7" s="2" customFormat="1" ht="12.75" x14ac:dyDescent="0.2">
      <c r="A124" s="6" t="str">
        <f>VLOOKUP(B124,'SchoolInfo (3)'!A:C,3,0)</f>
        <v>'078571000</v>
      </c>
      <c r="B124" s="8">
        <v>90334</v>
      </c>
      <c r="C124" s="8" t="s">
        <v>1525</v>
      </c>
      <c r="D124" s="8" t="str">
        <f>VLOOKUP(E124,'SchoolInfo (3)'!A:C,3,0)</f>
        <v>'078571001</v>
      </c>
      <c r="E124" s="8">
        <v>89868</v>
      </c>
      <c r="F124" s="8" t="s">
        <v>1526</v>
      </c>
      <c r="G124" s="2">
        <f>VLOOKUP(E124,'SchoolInfo (3)'!A:K,11,0)</f>
        <v>0</v>
      </c>
    </row>
    <row r="125" spans="1:7" s="2" customFormat="1" ht="12.75" x14ac:dyDescent="0.2">
      <c r="A125" s="6" t="str">
        <f>VLOOKUP(B125,'SchoolInfo (3)'!A:C,3,0)</f>
        <v>'078999000</v>
      </c>
      <c r="B125" s="8">
        <v>79233</v>
      </c>
      <c r="C125" s="8" t="s">
        <v>662</v>
      </c>
      <c r="D125" s="8" t="str">
        <f>VLOOKUP(E125,'SchoolInfo (3)'!A:C,3,0)</f>
        <v>'078999001</v>
      </c>
      <c r="E125" s="8">
        <v>78851</v>
      </c>
      <c r="F125" s="8" t="s">
        <v>662</v>
      </c>
      <c r="G125" s="2" t="str">
        <f>VLOOKUP(E125,'SchoolInfo (3)'!A:K,11,0)</f>
        <v>Michele.Kaye@LeonaGroup.com</v>
      </c>
    </row>
    <row r="126" spans="1:7" s="2" customFormat="1" ht="12.75" x14ac:dyDescent="0.2">
      <c r="A126" s="6" t="str">
        <f>VLOOKUP(B126,'SchoolInfo (3)'!A:C,3,0)</f>
        <v>'078765000</v>
      </c>
      <c r="B126" s="8">
        <v>78965</v>
      </c>
      <c r="C126" s="8" t="s">
        <v>643</v>
      </c>
      <c r="D126" s="8" t="str">
        <f>VLOOKUP(E126,'SchoolInfo (3)'!A:C,3,0)</f>
        <v>'078765103</v>
      </c>
      <c r="E126" s="8">
        <v>79178</v>
      </c>
      <c r="F126" s="8" t="s">
        <v>644</v>
      </c>
      <c r="G126" s="2" t="str">
        <f>VLOOKUP(E126,'SchoolInfo (3)'!A:K,11,0)</f>
        <v>Michele.Kaye@LeonaGroup.com</v>
      </c>
    </row>
    <row r="127" spans="1:7" s="2" customFormat="1" ht="12.75" x14ac:dyDescent="0.2">
      <c r="A127" s="6" t="str">
        <f>VLOOKUP(B127,'SchoolInfo (3)'!A:C,3,0)</f>
        <v>'078567000</v>
      </c>
      <c r="B127" s="8">
        <v>90330</v>
      </c>
      <c r="C127" s="8" t="s">
        <v>746</v>
      </c>
      <c r="D127" s="8" t="str">
        <f>VLOOKUP(E127,'SchoolInfo (3)'!A:C,3,0)</f>
        <v>'078567001</v>
      </c>
      <c r="E127" s="8">
        <v>89867</v>
      </c>
      <c r="F127" s="8" t="s">
        <v>746</v>
      </c>
      <c r="G127" s="2" t="str">
        <f>VLOOKUP(E127,'SchoolInfo (3)'!A:K,11,0)</f>
        <v>Michele.Kaye@leonagroup.com</v>
      </c>
    </row>
    <row r="128" spans="1:7" s="2" customFormat="1" ht="12.75" x14ac:dyDescent="0.2">
      <c r="A128" s="6" t="str">
        <f>VLOOKUP(B128,'SchoolInfo (3)'!A:C,3,0)</f>
        <v>'090227000</v>
      </c>
      <c r="B128" s="8">
        <v>4396</v>
      </c>
      <c r="C128" s="8" t="s">
        <v>421</v>
      </c>
      <c r="D128" s="8" t="str">
        <f>VLOOKUP(E128,'SchoolInfo (3)'!A:C,3,0)</f>
        <v>'090227103</v>
      </c>
      <c r="E128" s="8">
        <v>5642</v>
      </c>
      <c r="F128" s="8" t="s">
        <v>422</v>
      </c>
      <c r="G128" s="2" t="str">
        <f>VLOOKUP(E128,'SchoolInfo (3)'!A:K,11,0)</f>
        <v>Andree.Matthews@kayenta.k12.az.us</v>
      </c>
    </row>
    <row r="129" spans="1:7" s="2" customFormat="1" ht="12.75" x14ac:dyDescent="0.2">
      <c r="A129" s="6" t="str">
        <f>VLOOKUP(B129,'SchoolInfo (3)'!A:C,3,0)</f>
        <v>'090227000</v>
      </c>
      <c r="B129" s="8">
        <v>4396</v>
      </c>
      <c r="C129" s="8" t="s">
        <v>421</v>
      </c>
      <c r="D129" s="8" t="str">
        <f>VLOOKUP(E129,'SchoolInfo (3)'!A:C,3,0)</f>
        <v>'090227102</v>
      </c>
      <c r="E129" s="8">
        <v>5641</v>
      </c>
      <c r="F129" s="8" t="s">
        <v>1540</v>
      </c>
      <c r="G129" s="2" t="str">
        <f>VLOOKUP(E129,'SchoolInfo (3)'!A:K,11,0)</f>
        <v>david.hawley@kayenta.k12.az.us</v>
      </c>
    </row>
    <row r="130" spans="1:7" s="2" customFormat="1" ht="12.75" x14ac:dyDescent="0.2">
      <c r="A130" s="6" t="str">
        <f>VLOOKUP(B130,'SchoolInfo (3)'!A:C,3,0)</f>
        <v>'080220000</v>
      </c>
      <c r="B130" s="8">
        <v>79598</v>
      </c>
      <c r="C130" s="8" t="s">
        <v>351</v>
      </c>
      <c r="D130" s="8" t="str">
        <f>VLOOKUP(E130,'SchoolInfo (3)'!A:C,3,0)</f>
        <v>'080220114</v>
      </c>
      <c r="E130" s="8">
        <v>5575</v>
      </c>
      <c r="F130" s="8" t="s">
        <v>520</v>
      </c>
      <c r="G130" s="2" t="str">
        <f>VLOOKUP(E130,'SchoolInfo (3)'!A:K,11,0)</f>
        <v>jarave@kusd.org</v>
      </c>
    </row>
    <row r="131" spans="1:7" s="2" customFormat="1" ht="12.75" x14ac:dyDescent="0.2">
      <c r="A131" s="6" t="str">
        <f>VLOOKUP(B131,'SchoolInfo (3)'!A:C,3,0)</f>
        <v>'070459000</v>
      </c>
      <c r="B131" s="8">
        <v>4276</v>
      </c>
      <c r="C131" s="8" t="s">
        <v>1324</v>
      </c>
      <c r="D131" s="8" t="str">
        <f>VLOOKUP(E131,'SchoolInfo (3)'!A:C,3,0)</f>
        <v>'070459101</v>
      </c>
      <c r="E131" s="8">
        <v>5356</v>
      </c>
      <c r="F131" s="8" t="s">
        <v>1325</v>
      </c>
      <c r="G131" s="2" t="str">
        <f>VLOOKUP(E131,'SchoolInfo (3)'!A:K,11,0)</f>
        <v>jroselle@laveeneld.org</v>
      </c>
    </row>
    <row r="132" spans="1:7" s="2" customFormat="1" ht="12.75" x14ac:dyDescent="0.2">
      <c r="A132" s="6" t="str">
        <f>VLOOKUP(B132,'SchoolInfo (3)'!A:C,3,0)</f>
        <v>'070459000</v>
      </c>
      <c r="B132" s="8">
        <v>4276</v>
      </c>
      <c r="C132" s="8" t="s">
        <v>1324</v>
      </c>
      <c r="D132" s="8" t="str">
        <f>VLOOKUP(E132,'SchoolInfo (3)'!A:C,3,0)</f>
        <v>'070459102</v>
      </c>
      <c r="E132" s="8">
        <v>5357</v>
      </c>
      <c r="F132" s="8" t="s">
        <v>1364</v>
      </c>
      <c r="G132" s="2" t="str">
        <f>VLOOKUP(E132,'SchoolInfo (3)'!A:K,11,0)</f>
        <v>lsandomir@laveeneld.org</v>
      </c>
    </row>
    <row r="133" spans="1:7" s="2" customFormat="1" ht="12.75" x14ac:dyDescent="0.2">
      <c r="A133" s="6" t="str">
        <f>VLOOKUP(B133,'SchoolInfo (3)'!A:C,3,0)</f>
        <v>'078784000</v>
      </c>
      <c r="B133" s="8">
        <v>10968</v>
      </c>
      <c r="C133" s="8" t="s">
        <v>588</v>
      </c>
      <c r="D133" s="8" t="str">
        <f>VLOOKUP(E133,'SchoolInfo (3)'!A:C,3,0)</f>
        <v>'078784101</v>
      </c>
      <c r="E133" s="8">
        <v>78811</v>
      </c>
      <c r="F133" s="8" t="s">
        <v>588</v>
      </c>
      <c r="G133" s="2" t="str">
        <f>VLOOKUP(E133,'SchoolInfo (3)'!A:K,11,0)</f>
        <v>rj@arizonacharterschools.org</v>
      </c>
    </row>
    <row r="134" spans="1:7" s="2" customFormat="1" ht="12.75" x14ac:dyDescent="0.2">
      <c r="A134" s="6" t="str">
        <f>VLOOKUP(B134,'SchoolInfo (3)'!A:C,3,0)</f>
        <v>'070465000</v>
      </c>
      <c r="B134" s="8">
        <v>4278</v>
      </c>
      <c r="C134" s="8" t="s">
        <v>551</v>
      </c>
      <c r="D134" s="8" t="str">
        <f>VLOOKUP(E134,'SchoolInfo (3)'!A:C,3,0)</f>
        <v>'070465101</v>
      </c>
      <c r="E134" s="8">
        <v>5360</v>
      </c>
      <c r="F134" s="8" t="s">
        <v>552</v>
      </c>
      <c r="G134" s="2" t="str">
        <f>VLOOKUP(E134,'SchoolInfo (3)'!A:K,11,0)</f>
        <v>jmendez@littletonaz.org</v>
      </c>
    </row>
    <row r="135" spans="1:7" s="2" customFormat="1" ht="12.75" x14ac:dyDescent="0.2">
      <c r="A135" s="6" t="str">
        <f>VLOOKUP(B135,'SchoolInfo (3)'!A:C,3,0)</f>
        <v>'070465000</v>
      </c>
      <c r="B135" s="8">
        <v>4278</v>
      </c>
      <c r="C135" s="8" t="s">
        <v>551</v>
      </c>
      <c r="D135" s="8" t="str">
        <f>VLOOKUP(E135,'SchoolInfo (3)'!A:C,3,0)</f>
        <v>'070465105</v>
      </c>
      <c r="E135" s="8">
        <v>85852</v>
      </c>
      <c r="F135" s="8" t="s">
        <v>1362</v>
      </c>
      <c r="G135" s="2" t="str">
        <f>VLOOKUP(E135,'SchoolInfo (3)'!A:K,11,0)</f>
        <v>jpacheco@littletonaz.org</v>
      </c>
    </row>
    <row r="136" spans="1:7" s="2" customFormat="1" ht="12.75" x14ac:dyDescent="0.2">
      <c r="A136" s="6" t="str">
        <f>VLOOKUP(B136,'SchoolInfo (3)'!A:C,3,0)</f>
        <v>'100206000</v>
      </c>
      <c r="B136" s="8">
        <v>4404</v>
      </c>
      <c r="C136" s="8" t="s">
        <v>1348</v>
      </c>
      <c r="D136" s="8" t="str">
        <f>VLOOKUP(E136,'SchoolInfo (3)'!A:C,3,0)</f>
        <v>'100206115</v>
      </c>
      <c r="E136" s="8">
        <v>5773</v>
      </c>
      <c r="F136" s="8" t="s">
        <v>1285</v>
      </c>
      <c r="G136" s="2" t="str">
        <f>VLOOKUP(E136,'SchoolInfo (3)'!A:K,11,0)</f>
        <v>K.M.Brewer@maranausd.org</v>
      </c>
    </row>
    <row r="137" spans="1:7" s="2" customFormat="1" ht="12.75" x14ac:dyDescent="0.2">
      <c r="A137" s="6" t="str">
        <f>VLOOKUP(B137,'SchoolInfo (3)'!A:C,3,0)</f>
        <v>'070199000</v>
      </c>
      <c r="B137" s="8">
        <v>4234</v>
      </c>
      <c r="C137" s="8" t="s">
        <v>864</v>
      </c>
      <c r="D137" s="8" t="str">
        <f>VLOOKUP(E137,'SchoolInfo (3)'!A:C,3,0)</f>
        <v>'070199009</v>
      </c>
      <c r="E137" s="8">
        <v>549878</v>
      </c>
      <c r="F137" s="8" t="s">
        <v>865</v>
      </c>
      <c r="G137" s="2" t="str">
        <f>VLOOKUP(E137,'SchoolInfo (3)'!A:K,11,0)</f>
        <v>dina.cutler@mcrsd.org</v>
      </c>
    </row>
    <row r="138" spans="1:7" s="2" customFormat="1" ht="12.75" x14ac:dyDescent="0.2">
      <c r="A138" s="6" t="str">
        <f>VLOOKUP(B138,'SchoolInfo (3)'!A:C,3,0)</f>
        <v>'110220000</v>
      </c>
      <c r="B138" s="8">
        <v>4441</v>
      </c>
      <c r="C138" s="8" t="s">
        <v>1505</v>
      </c>
      <c r="D138" s="8" t="str">
        <f>VLOOKUP(E138,'SchoolInfo (3)'!A:C,3,0)</f>
        <v>'110220134</v>
      </c>
      <c r="E138" s="8">
        <v>89911</v>
      </c>
      <c r="F138" s="8" t="s">
        <v>1506</v>
      </c>
      <c r="G138" s="2">
        <f>VLOOKUP(E138,'SchoolInfo (3)'!A:K,11,0)</f>
        <v>0</v>
      </c>
    </row>
    <row r="139" spans="1:7" s="2" customFormat="1" ht="12.75" x14ac:dyDescent="0.2">
      <c r="A139" s="6" t="str">
        <f>VLOOKUP(B139,'SchoolInfo (3)'!A:C,3,0)</f>
        <v>'010323000</v>
      </c>
      <c r="B139" s="8">
        <v>4163</v>
      </c>
      <c r="C139" s="8" t="s">
        <v>849</v>
      </c>
      <c r="D139" s="8" t="str">
        <f>VLOOKUP(E139,'SchoolInfo (3)'!A:C,3,0)</f>
        <v>'010323101</v>
      </c>
      <c r="E139" s="8">
        <v>4745</v>
      </c>
      <c r="F139" s="8" t="s">
        <v>850</v>
      </c>
      <c r="G139" s="2" t="str">
        <f>VLOOKUP(E139,'SchoolInfo (3)'!A:K,11,0)</f>
        <v>jbrummond@co.apache.az.us</v>
      </c>
    </row>
    <row r="140" spans="1:7" s="2" customFormat="1" ht="12.75" x14ac:dyDescent="0.2">
      <c r="A140" s="6" t="str">
        <f>VLOOKUP(B140,'SchoolInfo (3)'!A:C,3,0)</f>
        <v>'070204000</v>
      </c>
      <c r="B140" s="8">
        <v>4235</v>
      </c>
      <c r="C140" s="8" t="s">
        <v>341</v>
      </c>
      <c r="D140" s="8" t="str">
        <f>VLOOKUP(E140,'SchoolInfo (3)'!A:C,3,0)</f>
        <v>'070204115</v>
      </c>
      <c r="E140" s="8">
        <v>4927</v>
      </c>
      <c r="F140" s="8" t="s">
        <v>712</v>
      </c>
      <c r="G140" s="2">
        <f>VLOOKUP(E140,'SchoolInfo (3)'!A:K,11,0)</f>
        <v>0</v>
      </c>
    </row>
    <row r="141" spans="1:7" s="2" customFormat="1" ht="12.75" x14ac:dyDescent="0.2">
      <c r="A141" s="6" t="str">
        <f>VLOOKUP(B141,'SchoolInfo (3)'!A:C,3,0)</f>
        <v>'070204000</v>
      </c>
      <c r="B141" s="8">
        <v>4235</v>
      </c>
      <c r="C141" s="8" t="s">
        <v>341</v>
      </c>
      <c r="D141" s="8" t="str">
        <f>VLOOKUP(E141,'SchoolInfo (3)'!A:C,3,0)</f>
        <v>'070204253</v>
      </c>
      <c r="E141" s="8">
        <v>4970</v>
      </c>
      <c r="F141" s="8" t="s">
        <v>729</v>
      </c>
      <c r="G141" s="2" t="str">
        <f>VLOOKUP(E141,'SchoolInfo (3)'!A:K,11,0)</f>
        <v>afflax@mpsaz.org</v>
      </c>
    </row>
    <row r="142" spans="1:7" s="2" customFormat="1" ht="12.75" x14ac:dyDescent="0.2">
      <c r="A142" s="6" t="str">
        <f>VLOOKUP(B142,'SchoolInfo (3)'!A:C,3,0)</f>
        <v>'070204000</v>
      </c>
      <c r="B142" s="8">
        <v>4235</v>
      </c>
      <c r="C142" s="8" t="s">
        <v>341</v>
      </c>
      <c r="D142" s="8" t="str">
        <f>VLOOKUP(E142,'SchoolInfo (3)'!A:C,3,0)</f>
        <v>'070204113</v>
      </c>
      <c r="E142" s="8">
        <v>4925</v>
      </c>
      <c r="F142" s="8" t="s">
        <v>735</v>
      </c>
      <c r="G142" s="2">
        <f>VLOOKUP(E142,'SchoolInfo (3)'!A:K,11,0)</f>
        <v>0</v>
      </c>
    </row>
    <row r="143" spans="1:7" s="2" customFormat="1" ht="12.75" x14ac:dyDescent="0.2">
      <c r="A143" s="6" t="str">
        <f>VLOOKUP(B143,'SchoolInfo (3)'!A:C,3,0)</f>
        <v>'070204000</v>
      </c>
      <c r="B143" s="8">
        <v>4235</v>
      </c>
      <c r="C143" s="8" t="s">
        <v>341</v>
      </c>
      <c r="D143" s="8" t="str">
        <f>VLOOKUP(E143,'SchoolInfo (3)'!A:C,3,0)</f>
        <v>'070204110</v>
      </c>
      <c r="E143" s="8">
        <v>4922</v>
      </c>
      <c r="F143" s="8" t="s">
        <v>737</v>
      </c>
      <c r="G143" s="2" t="str">
        <f>VLOOKUP(E143,'SchoolInfo (3)'!A:K,11,0)</f>
        <v>jajacobs@mpsaz.org</v>
      </c>
    </row>
    <row r="144" spans="1:7" s="2" customFormat="1" ht="12.75" x14ac:dyDescent="0.2">
      <c r="A144" s="6" t="str">
        <f>VLOOKUP(B144,'SchoolInfo (3)'!A:C,3,0)</f>
        <v>'070204000</v>
      </c>
      <c r="B144" s="8">
        <v>4235</v>
      </c>
      <c r="C144" s="8" t="s">
        <v>341</v>
      </c>
      <c r="D144" s="8" t="str">
        <f>VLOOKUP(E144,'SchoolInfo (3)'!A:C,3,0)</f>
        <v>'070204122</v>
      </c>
      <c r="E144" s="8">
        <v>4934</v>
      </c>
      <c r="F144" s="8" t="s">
        <v>739</v>
      </c>
      <c r="G144" s="2" t="str">
        <f>VLOOKUP(E144,'SchoolInfo (3)'!A:K,11,0)</f>
        <v>jkoshea@mpsaz.org</v>
      </c>
    </row>
    <row r="145" spans="1:7" s="2" customFormat="1" ht="12.75" x14ac:dyDescent="0.2">
      <c r="A145" s="6" t="str">
        <f>VLOOKUP(B145,'SchoolInfo (3)'!A:C,3,0)</f>
        <v>'070204000</v>
      </c>
      <c r="B145" s="8">
        <v>4235</v>
      </c>
      <c r="C145" s="8" t="s">
        <v>341</v>
      </c>
      <c r="D145" s="8" t="str">
        <f>VLOOKUP(E145,'SchoolInfo (3)'!A:C,3,0)</f>
        <v>'070204112</v>
      </c>
      <c r="E145" s="8">
        <v>4924</v>
      </c>
      <c r="F145" s="8" t="s">
        <v>744</v>
      </c>
      <c r="G145" s="2">
        <f>VLOOKUP(E145,'SchoolInfo (3)'!A:K,11,0)</f>
        <v>0</v>
      </c>
    </row>
    <row r="146" spans="1:7" s="2" customFormat="1" ht="12.75" x14ac:dyDescent="0.2">
      <c r="A146" s="6" t="str">
        <f>VLOOKUP(B146,'SchoolInfo (3)'!A:C,3,0)</f>
        <v>'070204000</v>
      </c>
      <c r="B146" s="8">
        <v>4235</v>
      </c>
      <c r="C146" s="8" t="s">
        <v>341</v>
      </c>
      <c r="D146" s="8" t="str">
        <f>VLOOKUP(E146,'SchoolInfo (3)'!A:C,3,0)</f>
        <v>'070204128</v>
      </c>
      <c r="E146" s="8">
        <v>4940</v>
      </c>
      <c r="F146" s="8" t="s">
        <v>1320</v>
      </c>
      <c r="G146" s="2" t="str">
        <f>VLOOKUP(E146,'SchoolInfo (3)'!A:K,11,0)</f>
        <v>mmtorres@mpsaz.org</v>
      </c>
    </row>
    <row r="147" spans="1:7" s="2" customFormat="1" ht="12.75" x14ac:dyDescent="0.2">
      <c r="A147" s="6" t="str">
        <f>VLOOKUP(B147,'SchoolInfo (3)'!A:C,3,0)</f>
        <v>'070204000</v>
      </c>
      <c r="B147" s="8">
        <v>4235</v>
      </c>
      <c r="C147" s="8" t="s">
        <v>341</v>
      </c>
      <c r="D147" s="8" t="str">
        <f>VLOOKUP(E147,'SchoolInfo (3)'!A:C,3,0)</f>
        <v>'070204121</v>
      </c>
      <c r="E147" s="8">
        <v>4933</v>
      </c>
      <c r="F147" s="8" t="s">
        <v>1366</v>
      </c>
      <c r="G147" s="2">
        <f>VLOOKUP(E147,'SchoolInfo (3)'!A:K,11,0)</f>
        <v>0</v>
      </c>
    </row>
    <row r="148" spans="1:7" s="2" customFormat="1" ht="12.75" x14ac:dyDescent="0.2">
      <c r="A148" s="6" t="str">
        <f>VLOOKUP(B148,'SchoolInfo (3)'!A:C,3,0)</f>
        <v>'070204000</v>
      </c>
      <c r="B148" s="8">
        <v>4235</v>
      </c>
      <c r="C148" s="8" t="s">
        <v>341</v>
      </c>
      <c r="D148" s="8" t="str">
        <f>VLOOKUP(E148,'SchoolInfo (3)'!A:C,3,0)</f>
        <v>'070204101</v>
      </c>
      <c r="E148" s="8">
        <v>4913</v>
      </c>
      <c r="F148" s="8" t="s">
        <v>1373</v>
      </c>
      <c r="G148" s="2" t="str">
        <f>VLOOKUP(E148,'SchoolInfo (3)'!A:K,11,0)</f>
        <v>tlringland@mpsaz.org</v>
      </c>
    </row>
    <row r="149" spans="1:7" s="2" customFormat="1" ht="12.75" x14ac:dyDescent="0.2">
      <c r="A149" s="6" t="str">
        <f>VLOOKUP(B149,'SchoolInfo (3)'!A:C,3,0)</f>
        <v>'070204000</v>
      </c>
      <c r="B149" s="8">
        <v>4235</v>
      </c>
      <c r="C149" s="8" t="s">
        <v>341</v>
      </c>
      <c r="D149" s="8" t="str">
        <f>VLOOKUP(E149,'SchoolInfo (3)'!A:C,3,0)</f>
        <v>'070204155</v>
      </c>
      <c r="E149" s="8">
        <v>79225</v>
      </c>
      <c r="F149" s="8" t="s">
        <v>1397</v>
      </c>
      <c r="G149" s="2" t="str">
        <f>VLOOKUP(E149,'SchoolInfo (3)'!A:K,11,0)</f>
        <v>bkminarcik@mpsaz.org</v>
      </c>
    </row>
    <row r="150" spans="1:7" s="2" customFormat="1" ht="12.75" x14ac:dyDescent="0.2">
      <c r="A150" s="6" t="str">
        <f>VLOOKUP(B150,'SchoolInfo (3)'!A:C,3,0)</f>
        <v>'040240000</v>
      </c>
      <c r="B150" s="8">
        <v>4211</v>
      </c>
      <c r="C150" s="8" t="s">
        <v>1021</v>
      </c>
      <c r="D150" s="8" t="str">
        <f>VLOOKUP(E150,'SchoolInfo (3)'!A:C,3,0)</f>
        <v>'040240108</v>
      </c>
      <c r="E150" s="8">
        <v>81122</v>
      </c>
      <c r="F150" s="8" t="s">
        <v>1446</v>
      </c>
      <c r="G150" s="2" t="str">
        <f>VLOOKUP(E150,'SchoolInfo (3)'!A:K,11,0)</f>
        <v>dpastor@miamiusd40.org</v>
      </c>
    </row>
    <row r="151" spans="1:7" s="2" customFormat="1" ht="12.75" x14ac:dyDescent="0.2">
      <c r="A151" s="6" t="str">
        <f>VLOOKUP(B151,'SchoolInfo (3)'!A:C,3,0)</f>
        <v>'078976000</v>
      </c>
      <c r="B151" s="8">
        <v>79994</v>
      </c>
      <c r="C151" s="8" t="s">
        <v>614</v>
      </c>
      <c r="D151" s="8" t="str">
        <f>VLOOKUP(E151,'SchoolInfo (3)'!A:C,3,0)</f>
        <v>'078976101</v>
      </c>
      <c r="E151" s="8">
        <v>5526</v>
      </c>
      <c r="F151" s="8" t="s">
        <v>614</v>
      </c>
      <c r="G151" s="2" t="str">
        <f>VLOOKUP(E151,'SchoolInfo (3)'!A:K,11,0)</f>
        <v>midtownprimaryschool@hotmail.com</v>
      </c>
    </row>
    <row r="152" spans="1:7" s="2" customFormat="1" ht="12.75" x14ac:dyDescent="0.2">
      <c r="A152" s="6" t="str">
        <f>VLOOKUP(B152,'SchoolInfo (3)'!A:C,3,0)</f>
        <v>'140417000</v>
      </c>
      <c r="B152" s="8">
        <v>4503</v>
      </c>
      <c r="C152" s="8" t="s">
        <v>1276</v>
      </c>
      <c r="D152" s="8" t="str">
        <f>VLOOKUP(E152,'SchoolInfo (3)'!A:C,3,0)</f>
        <v>'140417101</v>
      </c>
      <c r="E152" s="8">
        <v>6181</v>
      </c>
      <c r="F152" s="8" t="s">
        <v>1277</v>
      </c>
      <c r="G152" s="2" t="str">
        <f>VLOOKUP(E152,'SchoolInfo (3)'!A:K,11,0)</f>
        <v>rluna@mohawk.apscc.org</v>
      </c>
    </row>
    <row r="153" spans="1:7" s="2" customFormat="1" ht="12.75" x14ac:dyDescent="0.2">
      <c r="A153" s="6" t="str">
        <f>VLOOKUP(B153,'SchoolInfo (3)'!A:C,3,0)</f>
        <v>'070421000</v>
      </c>
      <c r="B153" s="8">
        <v>4265</v>
      </c>
      <c r="C153" s="8" t="s">
        <v>322</v>
      </c>
      <c r="D153" s="8" t="str">
        <f>VLOOKUP(E153,'SchoolInfo (3)'!A:C,3,0)</f>
        <v>'070421101</v>
      </c>
      <c r="E153" s="8">
        <v>5290</v>
      </c>
      <c r="F153" s="8" t="s">
        <v>609</v>
      </c>
      <c r="G153" s="2">
        <f>VLOOKUP(E153,'SchoolInfo (3)'!A:K,11,0)</f>
        <v>0</v>
      </c>
    </row>
    <row r="154" spans="1:7" s="2" customFormat="1" ht="12.75" x14ac:dyDescent="0.2">
      <c r="A154" s="6" t="str">
        <f>VLOOKUP(B154,'SchoolInfo (3)'!A:C,3,0)</f>
        <v>'070421000</v>
      </c>
      <c r="B154" s="8">
        <v>4265</v>
      </c>
      <c r="C154" s="8" t="s">
        <v>322</v>
      </c>
      <c r="D154" s="8" t="str">
        <f>VLOOKUP(E154,'SchoolInfo (3)'!A:C,3,0)</f>
        <v>'070421103</v>
      </c>
      <c r="E154" s="8">
        <v>5292</v>
      </c>
      <c r="F154" s="8" t="s">
        <v>1461</v>
      </c>
      <c r="G154" s="2" t="str">
        <f>VLOOKUP(E154,'SchoolInfo (3)'!A:K,11,0)</f>
        <v>ydamian@msdaz.org</v>
      </c>
    </row>
    <row r="155" spans="1:7" s="2" customFormat="1" ht="12.75" x14ac:dyDescent="0.2">
      <c r="A155" s="6" t="str">
        <f>VLOOKUP(B155,'SchoolInfo (3)'!A:C,3,0)</f>
        <v>'020323000</v>
      </c>
      <c r="B155" s="8">
        <v>4176</v>
      </c>
      <c r="C155" s="8" t="s">
        <v>313</v>
      </c>
      <c r="D155" s="8" t="str">
        <f>VLOOKUP(E155,'SchoolInfo (3)'!A:C,3,0)</f>
        <v>'020323001</v>
      </c>
      <c r="E155" s="8">
        <v>4784</v>
      </c>
      <c r="F155" s="8" t="s">
        <v>833</v>
      </c>
      <c r="G155" s="2" t="str">
        <f>VLOOKUP(E155,'SchoolInfo (3)'!A:K,11,0)</f>
        <v>pmarsh@naco.k12.az.us</v>
      </c>
    </row>
    <row r="156" spans="1:7" s="2" customFormat="1" ht="12.75" x14ac:dyDescent="0.2">
      <c r="A156" s="6" t="str">
        <f>VLOOKUP(B156,'SchoolInfo (3)'!A:C,3,0)</f>
        <v>'070281000</v>
      </c>
      <c r="B156" s="8">
        <v>4252</v>
      </c>
      <c r="C156" s="8" t="s">
        <v>1511</v>
      </c>
      <c r="D156" s="8" t="str">
        <f>VLOOKUP(E156,'SchoolInfo (3)'!A:C,3,0)</f>
        <v>'070281101</v>
      </c>
      <c r="E156" s="8">
        <v>5190</v>
      </c>
      <c r="F156" s="8" t="s">
        <v>1512</v>
      </c>
      <c r="G156" s="2" t="str">
        <f>VLOOKUP(E156,'SchoolInfo (3)'!A:K,11,0)</f>
        <v>cmccandlish@nadaburgsd.org</v>
      </c>
    </row>
    <row r="157" spans="1:7" s="2" customFormat="1" ht="12.75" x14ac:dyDescent="0.2">
      <c r="A157" s="6" t="str">
        <f>VLOOKUP(B157,'SchoolInfo (3)'!A:C,3,0)</f>
        <v>'078771000</v>
      </c>
      <c r="B157" s="8">
        <v>4366</v>
      </c>
      <c r="C157" s="8" t="s">
        <v>726</v>
      </c>
      <c r="D157" s="8" t="str">
        <f>VLOOKUP(E157,'SchoolInfo (3)'!A:C,3,0)</f>
        <v>'078771001</v>
      </c>
      <c r="E157" s="8">
        <v>5554</v>
      </c>
      <c r="F157" s="8" t="s">
        <v>726</v>
      </c>
      <c r="G157" s="2">
        <f>VLOOKUP(E157,'SchoolInfo (3)'!A:K,11,0)</f>
        <v>0</v>
      </c>
    </row>
    <row r="158" spans="1:7" s="2" customFormat="1" ht="12.75" x14ac:dyDescent="0.2">
      <c r="A158" s="6" t="str">
        <f>VLOOKUP(B158,'SchoolInfo (3)'!A:C,3,0)</f>
        <v>'078261000</v>
      </c>
      <c r="B158" s="8">
        <v>92374</v>
      </c>
      <c r="C158" s="8" t="s">
        <v>1313</v>
      </c>
      <c r="D158" s="8" t="str">
        <f>VLOOKUP(E158,'SchoolInfo (3)'!A:C,3,0)</f>
        <v>'078261001</v>
      </c>
      <c r="E158" s="8">
        <v>92345</v>
      </c>
      <c r="F158" s="8" t="s">
        <v>1313</v>
      </c>
      <c r="G158" s="2" t="str">
        <f>VLOOKUP(E158,'SchoolInfo (3)'!A:K,11,0)</f>
        <v>jfriedermann@noahwebster.org</v>
      </c>
    </row>
    <row r="159" spans="1:7" s="2" customFormat="1" ht="12.75" x14ac:dyDescent="0.2">
      <c r="A159" s="6" t="str">
        <f>VLOOKUP(B159,'SchoolInfo (3)'!A:C,3,0)</f>
        <v>'120201000</v>
      </c>
      <c r="B159" s="8">
        <v>4457</v>
      </c>
      <c r="C159" s="8" t="s">
        <v>344</v>
      </c>
      <c r="D159" s="8" t="str">
        <f>VLOOKUP(E159,'SchoolInfo (3)'!A:C,3,0)</f>
        <v>'120201103</v>
      </c>
      <c r="E159" s="8">
        <v>6071</v>
      </c>
      <c r="F159" s="8" t="s">
        <v>411</v>
      </c>
      <c r="G159" s="2" t="str">
        <f>VLOOKUP(E159,'SchoolInfo (3)'!A:K,11,0)</f>
        <v>tcolgate@nusd.k12.az.us</v>
      </c>
    </row>
    <row r="160" spans="1:7" s="2" customFormat="1" ht="12.75" x14ac:dyDescent="0.2">
      <c r="A160" s="6" t="str">
        <f>VLOOKUP(B160,'SchoolInfo (3)'!A:C,3,0)</f>
        <v>'120201000</v>
      </c>
      <c r="B160" s="8">
        <v>4457</v>
      </c>
      <c r="C160" s="8" t="s">
        <v>344</v>
      </c>
      <c r="D160" s="8" t="str">
        <f>VLOOKUP(E160,'SchoolInfo (3)'!A:C,3,0)</f>
        <v>'120201115</v>
      </c>
      <c r="E160" s="8">
        <v>5959</v>
      </c>
      <c r="F160" s="8" t="s">
        <v>801</v>
      </c>
      <c r="G160" s="2" t="str">
        <f>VLOOKUP(E160,'SchoolInfo (3)'!A:K,11,0)</f>
        <v>abonillas@nusd.k12.az.us</v>
      </c>
    </row>
    <row r="161" spans="1:7" s="2" customFormat="1" ht="12.75" x14ac:dyDescent="0.2">
      <c r="A161" s="6" t="str">
        <f>VLOOKUP(B161,'SchoolInfo (3)'!A:C,3,0)</f>
        <v>'120201000</v>
      </c>
      <c r="B161" s="8">
        <v>4457</v>
      </c>
      <c r="C161" s="8" t="s">
        <v>344</v>
      </c>
      <c r="D161" s="8" t="str">
        <f>VLOOKUP(E161,'SchoolInfo (3)'!A:C,3,0)</f>
        <v>'120201111</v>
      </c>
      <c r="E161" s="8">
        <v>5956</v>
      </c>
      <c r="F161" s="8" t="s">
        <v>812</v>
      </c>
      <c r="G161" s="2" t="str">
        <f>VLOOKUP(E161,'SchoolInfo (3)'!A:K,11,0)</f>
        <v>rsoltero@nusd.k12.az.us</v>
      </c>
    </row>
    <row r="162" spans="1:7" s="2" customFormat="1" ht="12.75" x14ac:dyDescent="0.2">
      <c r="A162" s="6" t="str">
        <f>VLOOKUP(B162,'SchoolInfo (3)'!A:C,3,0)</f>
        <v>'120201000</v>
      </c>
      <c r="B162" s="8">
        <v>4457</v>
      </c>
      <c r="C162" s="8" t="s">
        <v>344</v>
      </c>
      <c r="D162" s="8" t="str">
        <f>VLOOKUP(E162,'SchoolInfo (3)'!A:C,3,0)</f>
        <v>'120201114</v>
      </c>
      <c r="E162" s="8">
        <v>5958</v>
      </c>
      <c r="F162" s="8" t="s">
        <v>814</v>
      </c>
      <c r="G162" s="2" t="str">
        <f>VLOOKUP(E162,'SchoolInfo (3)'!A:K,11,0)</f>
        <v>molguin@nusd.k12.az.us</v>
      </c>
    </row>
    <row r="163" spans="1:7" s="2" customFormat="1" ht="12.75" x14ac:dyDescent="0.2">
      <c r="A163" s="6" t="str">
        <f>VLOOKUP(B163,'SchoolInfo (3)'!A:C,3,0)</f>
        <v>'120201000</v>
      </c>
      <c r="B163" s="8">
        <v>4457</v>
      </c>
      <c r="C163" s="8" t="s">
        <v>344</v>
      </c>
      <c r="D163" s="8" t="str">
        <f>VLOOKUP(E163,'SchoolInfo (3)'!A:C,3,0)</f>
        <v>'120201113</v>
      </c>
      <c r="E163" s="8">
        <v>5957</v>
      </c>
      <c r="F163" s="8" t="s">
        <v>818</v>
      </c>
      <c r="G163" s="2">
        <f>VLOOKUP(E163,'SchoolInfo (3)'!A:K,11,0)</f>
        <v>0</v>
      </c>
    </row>
    <row r="164" spans="1:7" s="2" customFormat="1" ht="12.75" x14ac:dyDescent="0.2">
      <c r="A164" s="6" t="str">
        <f>VLOOKUP(B164,'SchoolInfo (3)'!A:C,3,0)</f>
        <v>'120201000</v>
      </c>
      <c r="B164" s="8">
        <v>4457</v>
      </c>
      <c r="C164" s="8" t="s">
        <v>344</v>
      </c>
      <c r="D164" s="8" t="str">
        <f>VLOOKUP(E164,'SchoolInfo (3)'!A:C,3,0)</f>
        <v>'120201119</v>
      </c>
      <c r="E164" s="8">
        <v>5960</v>
      </c>
      <c r="F164" s="8" t="s">
        <v>1293</v>
      </c>
      <c r="G164" s="2">
        <f>VLOOKUP(E164,'SchoolInfo (3)'!A:K,11,0)</f>
        <v>0</v>
      </c>
    </row>
    <row r="165" spans="1:7" s="2" customFormat="1" ht="12.75" x14ac:dyDescent="0.2">
      <c r="A165" s="6" t="str">
        <f>VLOOKUP(B165,'SchoolInfo (3)'!A:C,3,0)</f>
        <v>'108707000</v>
      </c>
      <c r="B165" s="8">
        <v>79881</v>
      </c>
      <c r="C165" s="8" t="s">
        <v>779</v>
      </c>
      <c r="D165" s="8" t="str">
        <f>VLOOKUP(E165,'SchoolInfo (3)'!A:C,3,0)</f>
        <v>'108707001</v>
      </c>
      <c r="E165" s="8">
        <v>79899</v>
      </c>
      <c r="F165" s="8" t="s">
        <v>780</v>
      </c>
      <c r="G165" s="2" t="str">
        <f>VLOOKUP(E165,'SchoolInfo (3)'!A:K,11,0)</f>
        <v>info@nosotrosacademy.org</v>
      </c>
    </row>
    <row r="166" spans="1:7" s="2" customFormat="1" ht="12.75" x14ac:dyDescent="0.2">
      <c r="A166" s="6" t="str">
        <f>VLOOKUP(B166,'SchoolInfo (3)'!A:C,3,0)</f>
        <v>'070408000</v>
      </c>
      <c r="B166" s="8">
        <v>4262</v>
      </c>
      <c r="C166" s="8" t="s">
        <v>628</v>
      </c>
      <c r="D166" s="8" t="str">
        <f>VLOOKUP(E166,'SchoolInfo (3)'!A:C,3,0)</f>
        <v>'070408106</v>
      </c>
      <c r="E166" s="8">
        <v>5281</v>
      </c>
      <c r="F166" s="8" t="s">
        <v>629</v>
      </c>
      <c r="G166" s="2" t="str">
        <f>VLOOKUP(E166,'SchoolInfo (3)'!A:K,11,0)</f>
        <v>kepps@osbornnet.org</v>
      </c>
    </row>
    <row r="167" spans="1:7" s="2" customFormat="1" ht="12.75" x14ac:dyDescent="0.2">
      <c r="A167" s="6" t="str">
        <f>VLOOKUP(B167,'SchoolInfo (3)'!A:C,3,0)</f>
        <v>'070408000</v>
      </c>
      <c r="B167" s="8">
        <v>4262</v>
      </c>
      <c r="C167" s="8" t="s">
        <v>628</v>
      </c>
      <c r="D167" s="8" t="str">
        <f>VLOOKUP(E167,'SchoolInfo (3)'!A:C,3,0)</f>
        <v>'070408104</v>
      </c>
      <c r="E167" s="8">
        <v>5280</v>
      </c>
      <c r="F167" s="8" t="s">
        <v>631</v>
      </c>
      <c r="G167" s="2" t="str">
        <f>VLOOKUP(E167,'SchoolInfo (3)'!A:K,11,0)</f>
        <v>mmakar@osbornnet.org</v>
      </c>
    </row>
    <row r="168" spans="1:7" s="2" customFormat="1" ht="12.75" x14ac:dyDescent="0.2">
      <c r="A168" s="6" t="str">
        <f>VLOOKUP(B168,'SchoolInfo (3)'!A:C,3,0)</f>
        <v>'070408000</v>
      </c>
      <c r="B168" s="8">
        <v>4262</v>
      </c>
      <c r="C168" s="8" t="s">
        <v>628</v>
      </c>
      <c r="D168" s="8" t="str">
        <f>VLOOKUP(E168,'SchoolInfo (3)'!A:C,3,0)</f>
        <v>'070408107</v>
      </c>
      <c r="E168" s="8">
        <v>5282</v>
      </c>
      <c r="F168" s="8" t="s">
        <v>1345</v>
      </c>
      <c r="G168" s="2" t="str">
        <f>VLOOKUP(E168,'SchoolInfo (3)'!A:K,11,0)</f>
        <v>meldridg@osbornnet.org</v>
      </c>
    </row>
    <row r="169" spans="1:7" s="2" customFormat="1" ht="12.75" x14ac:dyDescent="0.2">
      <c r="A169" s="6" t="str">
        <f>VLOOKUP(B169,'SchoolInfo (3)'!A:C,3,0)</f>
        <v>'070394000</v>
      </c>
      <c r="B169" s="8">
        <v>4255</v>
      </c>
      <c r="C169" s="8" t="s">
        <v>336</v>
      </c>
      <c r="D169" s="8" t="str">
        <f>VLOOKUP(E169,'SchoolInfo (3)'!A:C,3,0)</f>
        <v>'070394001</v>
      </c>
      <c r="E169" s="8">
        <v>5193</v>
      </c>
      <c r="F169" s="8" t="s">
        <v>524</v>
      </c>
      <c r="G169" s="2" t="str">
        <f>VLOOKUP(E169,'SchoolInfo (3)'!A:K,11,0)</f>
        <v>kturner@palomaesd.org</v>
      </c>
    </row>
    <row r="170" spans="1:7" s="2" customFormat="1" ht="12.75" x14ac:dyDescent="0.2">
      <c r="A170" s="6" t="str">
        <f>VLOOKUP(B170,'SchoolInfo (3)'!A:C,3,0)</f>
        <v>'070269000</v>
      </c>
      <c r="B170" s="8">
        <v>4241</v>
      </c>
      <c r="C170" s="8" t="s">
        <v>1354</v>
      </c>
      <c r="D170" s="8" t="str">
        <f>VLOOKUP(E170,'SchoolInfo (3)'!A:C,3,0)</f>
        <v>'070269140</v>
      </c>
      <c r="E170" s="8">
        <v>5089</v>
      </c>
      <c r="F170" s="8" t="s">
        <v>1355</v>
      </c>
      <c r="G170" s="2" t="str">
        <f>VLOOKUP(E170,'SchoolInfo (3)'!A:K,11,0)</f>
        <v>tcollins@pvschools.net</v>
      </c>
    </row>
    <row r="171" spans="1:7" s="2" customFormat="1" ht="12.75" x14ac:dyDescent="0.2">
      <c r="A171" s="6" t="str">
        <f>VLOOKUP(B171,'SchoolInfo (3)'!A:C,3,0)</f>
        <v>'070269000</v>
      </c>
      <c r="B171" s="8">
        <v>4241</v>
      </c>
      <c r="C171" s="8" t="s">
        <v>1354</v>
      </c>
      <c r="D171" s="8" t="str">
        <f>VLOOKUP(E171,'SchoolInfo (3)'!A:C,3,0)</f>
        <v>'070269175</v>
      </c>
      <c r="E171" s="8">
        <v>5101</v>
      </c>
      <c r="F171" s="8" t="s">
        <v>1413</v>
      </c>
      <c r="G171" s="2" t="str">
        <f>VLOOKUP(E171,'SchoolInfo (3)'!A:K,11,0)</f>
        <v>luhaley@pvschools.net</v>
      </c>
    </row>
    <row r="172" spans="1:7" s="2" customFormat="1" ht="12.75" x14ac:dyDescent="0.2">
      <c r="A172" s="6" t="str">
        <f>VLOOKUP(B172,'SchoolInfo (3)'!A:C,3,0)</f>
        <v>'070269000</v>
      </c>
      <c r="B172" s="8">
        <v>4241</v>
      </c>
      <c r="C172" s="8" t="s">
        <v>1354</v>
      </c>
      <c r="D172" s="8" t="str">
        <f>VLOOKUP(E172,'SchoolInfo (3)'!A:C,3,0)</f>
        <v>'070269150</v>
      </c>
      <c r="E172" s="8">
        <v>5094</v>
      </c>
      <c r="F172" s="8" t="s">
        <v>1432</v>
      </c>
      <c r="G172" s="2" t="str">
        <f>VLOOKUP(E172,'SchoolInfo (3)'!A:K,11,0)</f>
        <v>lhaley@pvschools.net</v>
      </c>
    </row>
    <row r="173" spans="1:7" s="2" customFormat="1" ht="12.75" x14ac:dyDescent="0.2">
      <c r="A173" s="6" t="str">
        <f>VLOOKUP(B173,'SchoolInfo (3)'!A:C,3,0)</f>
        <v>'150227000</v>
      </c>
      <c r="B173" s="8">
        <v>4510</v>
      </c>
      <c r="C173" s="8" t="s">
        <v>361</v>
      </c>
      <c r="D173" s="8" t="str">
        <f>VLOOKUP(E173,'SchoolInfo (3)'!A:C,3,0)</f>
        <v>'150227103</v>
      </c>
      <c r="E173" s="8">
        <v>6196</v>
      </c>
      <c r="F173" s="8" t="s">
        <v>362</v>
      </c>
      <c r="G173" s="2" t="str">
        <f>VLOOKUP(E173,'SchoolInfo (3)'!A:K,11,0)</f>
        <v>dwolfe@parkerusd.org</v>
      </c>
    </row>
    <row r="174" spans="1:7" s="2" customFormat="1" ht="12.75" x14ac:dyDescent="0.2">
      <c r="A174" s="6" t="str">
        <f>VLOOKUP(B174,'SchoolInfo (3)'!A:C,3,0)</f>
        <v>'080208000</v>
      </c>
      <c r="B174" s="8">
        <v>4369</v>
      </c>
      <c r="C174" s="8" t="s">
        <v>371</v>
      </c>
      <c r="D174" s="8" t="str">
        <f>VLOOKUP(E174,'SchoolInfo (3)'!A:C,3,0)</f>
        <v>'080208001</v>
      </c>
      <c r="E174" s="8">
        <v>5566</v>
      </c>
      <c r="F174" s="8" t="s">
        <v>372</v>
      </c>
      <c r="G174" s="2" t="str">
        <f>VLOOKUP(E174,'SchoolInfo (3)'!A:K,11,0)</f>
        <v>klainv@psusd.k12.az.us</v>
      </c>
    </row>
    <row r="175" spans="1:7" s="2" customFormat="1" ht="12.75" x14ac:dyDescent="0.2">
      <c r="A175" s="6" t="str">
        <f>VLOOKUP(B175,'SchoolInfo (3)'!A:C,3,0)</f>
        <v>'070492000</v>
      </c>
      <c r="B175" s="8">
        <v>4283</v>
      </c>
      <c r="C175" s="8" t="s">
        <v>1443</v>
      </c>
      <c r="D175" s="8" t="str">
        <f>VLOOKUP(E175,'SchoolInfo (3)'!A:C,3,0)</f>
        <v>'070492013</v>
      </c>
      <c r="E175" s="8">
        <v>5418</v>
      </c>
      <c r="F175" s="8" t="s">
        <v>1444</v>
      </c>
      <c r="G175" s="2" t="str">
        <f>VLOOKUP(E175,'SchoolInfo (3)'!A:K,11,0)</f>
        <v>sjaramillo@pesd92.org</v>
      </c>
    </row>
    <row r="176" spans="1:7" s="2" customFormat="1" ht="12.75" x14ac:dyDescent="0.2">
      <c r="A176" s="6" t="str">
        <f>VLOOKUP(B176,'SchoolInfo (3)'!A:C,3,0)</f>
        <v>'070492000</v>
      </c>
      <c r="B176" s="8">
        <v>4283</v>
      </c>
      <c r="C176" s="8" t="s">
        <v>1443</v>
      </c>
      <c r="D176" s="8" t="str">
        <f>VLOOKUP(E176,'SchoolInfo (3)'!A:C,3,0)</f>
        <v>'070492021</v>
      </c>
      <c r="E176" s="8">
        <v>79800</v>
      </c>
      <c r="F176" s="8" t="s">
        <v>1503</v>
      </c>
      <c r="G176" s="2" t="str">
        <f>VLOOKUP(E176,'SchoolInfo (3)'!A:K,11,0)</f>
        <v>smccarthy@pesd92.org</v>
      </c>
    </row>
    <row r="177" spans="1:7" s="2" customFormat="1" ht="12.75" x14ac:dyDescent="0.2">
      <c r="A177" s="6" t="str">
        <f>VLOOKUP(B177,'SchoolInfo (3)'!A:C,3,0)</f>
        <v>'078714000</v>
      </c>
      <c r="B177" s="8">
        <v>4338</v>
      </c>
      <c r="C177" s="8" t="s">
        <v>1450</v>
      </c>
      <c r="D177" s="8" t="str">
        <f>VLOOKUP(E177,'SchoolInfo (3)'!A:C,3,0)</f>
        <v>'078714001</v>
      </c>
      <c r="E177" s="8">
        <v>5512</v>
      </c>
      <c r="F177" s="8" t="s">
        <v>1451</v>
      </c>
      <c r="G177" s="2">
        <f>VLOOKUP(E177,'SchoolInfo (3)'!A:K,11,0)</f>
        <v>0</v>
      </c>
    </row>
    <row r="178" spans="1:7" s="2" customFormat="1" ht="12.75" x14ac:dyDescent="0.2">
      <c r="A178" s="6" t="str">
        <f>VLOOKUP(B178,'SchoolInfo (3)'!A:C,3,0)</f>
        <v>'070401000</v>
      </c>
      <c r="B178" s="8">
        <v>4256</v>
      </c>
      <c r="C178" s="8" t="s">
        <v>343</v>
      </c>
      <c r="D178" s="8" t="str">
        <f>VLOOKUP(E178,'SchoolInfo (3)'!A:C,3,0)</f>
        <v>'070401104</v>
      </c>
      <c r="E178" s="8">
        <v>5197</v>
      </c>
      <c r="F178" s="8" t="s">
        <v>638</v>
      </c>
      <c r="G178" s="2" t="str">
        <f>VLOOKUP(E178,'SchoolInfo (3)'!A:K,11,0)</f>
        <v>gail.harris@phxschools.org</v>
      </c>
    </row>
    <row r="179" spans="1:7" s="2" customFormat="1" ht="12.75" x14ac:dyDescent="0.2">
      <c r="A179" s="6" t="str">
        <f>VLOOKUP(B179,'SchoolInfo (3)'!A:C,3,0)</f>
        <v>'070401000</v>
      </c>
      <c r="B179" s="8">
        <v>4256</v>
      </c>
      <c r="C179" s="8" t="s">
        <v>343</v>
      </c>
      <c r="D179" s="8" t="str">
        <f>VLOOKUP(E179,'SchoolInfo (3)'!A:C,3,0)</f>
        <v>'070401106</v>
      </c>
      <c r="E179" s="8">
        <v>5199</v>
      </c>
      <c r="F179" s="8" t="s">
        <v>656</v>
      </c>
      <c r="G179" s="2" t="str">
        <f>VLOOKUP(E179,'SchoolInfo (3)'!A:K,11,0)</f>
        <v>Lucia.Raz@phxschools.org</v>
      </c>
    </row>
    <row r="180" spans="1:7" s="2" customFormat="1" ht="12.75" x14ac:dyDescent="0.2">
      <c r="A180" s="6" t="str">
        <f>VLOOKUP(B180,'SchoolInfo (3)'!A:C,3,0)</f>
        <v>'070401000</v>
      </c>
      <c r="B180" s="8">
        <v>4256</v>
      </c>
      <c r="C180" s="8" t="s">
        <v>343</v>
      </c>
      <c r="D180" s="8" t="str">
        <f>VLOOKUP(E180,'SchoolInfo (3)'!A:C,3,0)</f>
        <v>'070401108</v>
      </c>
      <c r="E180" s="8">
        <v>5200</v>
      </c>
      <c r="F180" s="8" t="s">
        <v>660</v>
      </c>
      <c r="G180" s="2" t="str">
        <f>VLOOKUP(E180,'SchoolInfo (3)'!A:K,11,0)</f>
        <v>sylvia.bernal@phxschools.org</v>
      </c>
    </row>
    <row r="181" spans="1:7" s="2" customFormat="1" ht="12.75" x14ac:dyDescent="0.2">
      <c r="A181" s="6" t="str">
        <f>VLOOKUP(B181,'SchoolInfo (3)'!A:C,3,0)</f>
        <v>'070401000</v>
      </c>
      <c r="B181" s="8">
        <v>4256</v>
      </c>
      <c r="C181" s="8" t="s">
        <v>343</v>
      </c>
      <c r="D181" s="8" t="str">
        <f>VLOOKUP(E181,'SchoolInfo (3)'!A:C,3,0)</f>
        <v>'070401105</v>
      </c>
      <c r="E181" s="8">
        <v>5198</v>
      </c>
      <c r="F181" s="8" t="s">
        <v>671</v>
      </c>
      <c r="G181" s="2" t="str">
        <f>VLOOKUP(E181,'SchoolInfo (3)'!A:K,11,0)</f>
        <v>fred.graef@phxschools.org</v>
      </c>
    </row>
    <row r="182" spans="1:7" s="2" customFormat="1" ht="12.75" x14ac:dyDescent="0.2">
      <c r="A182" s="6" t="str">
        <f>VLOOKUP(B182,'SchoolInfo (3)'!A:C,3,0)</f>
        <v>'070401000</v>
      </c>
      <c r="B182" s="8">
        <v>4256</v>
      </c>
      <c r="C182" s="8" t="s">
        <v>343</v>
      </c>
      <c r="D182" s="8" t="str">
        <f>VLOOKUP(E182,'SchoolInfo (3)'!A:C,3,0)</f>
        <v>'070401101</v>
      </c>
      <c r="E182" s="8">
        <v>5195</v>
      </c>
      <c r="F182" s="8" t="s">
        <v>716</v>
      </c>
      <c r="G182" s="2" t="str">
        <f>VLOOKUP(E182,'SchoolInfo (3)'!A:K,11,0)</f>
        <v>ronnie.pitre@phxschools.org</v>
      </c>
    </row>
    <row r="183" spans="1:7" s="2" customFormat="1" ht="12.75" x14ac:dyDescent="0.2">
      <c r="A183" s="6" t="str">
        <f>VLOOKUP(B183,'SchoolInfo (3)'!A:C,3,0)</f>
        <v>'070401000</v>
      </c>
      <c r="B183" s="8">
        <v>4256</v>
      </c>
      <c r="C183" s="8" t="s">
        <v>343</v>
      </c>
      <c r="D183" s="8" t="str">
        <f>VLOOKUP(E183,'SchoolInfo (3)'!A:C,3,0)</f>
        <v>'070401102</v>
      </c>
      <c r="E183" s="8">
        <v>5196</v>
      </c>
      <c r="F183" s="8" t="s">
        <v>1335</v>
      </c>
      <c r="G183" s="2" t="str">
        <f>VLOOKUP(E183,'SchoolInfo (3)'!A:K,11,0)</f>
        <v>russell.sanders@phxelem.k12.az.us</v>
      </c>
    </row>
    <row r="184" spans="1:7" s="2" customFormat="1" ht="12.75" x14ac:dyDescent="0.2">
      <c r="A184" s="6" t="str">
        <f>VLOOKUP(B184,'SchoolInfo (3)'!A:C,3,0)</f>
        <v>'070401000</v>
      </c>
      <c r="B184" s="8">
        <v>4256</v>
      </c>
      <c r="C184" s="8" t="s">
        <v>343</v>
      </c>
      <c r="D184" s="8" t="str">
        <f>VLOOKUP(E184,'SchoolInfo (3)'!A:C,3,0)</f>
        <v>'070401112</v>
      </c>
      <c r="E184" s="8">
        <v>5203</v>
      </c>
      <c r="F184" s="8" t="s">
        <v>1360</v>
      </c>
      <c r="G184" s="2">
        <f>VLOOKUP(E184,'SchoolInfo (3)'!A:K,11,0)</f>
        <v>0</v>
      </c>
    </row>
    <row r="185" spans="1:7" s="2" customFormat="1" ht="12.75" x14ac:dyDescent="0.2">
      <c r="A185" s="6" t="str">
        <f>VLOOKUP(B185,'SchoolInfo (3)'!A:C,3,0)</f>
        <v>'070401000</v>
      </c>
      <c r="B185" s="8">
        <v>4256</v>
      </c>
      <c r="C185" s="8" t="s">
        <v>343</v>
      </c>
      <c r="D185" s="8" t="str">
        <f>VLOOKUP(E185,'SchoolInfo (3)'!A:C,3,0)</f>
        <v>'070401125</v>
      </c>
      <c r="E185" s="8">
        <v>5209</v>
      </c>
      <c r="F185" s="8" t="s">
        <v>1501</v>
      </c>
      <c r="G185" s="2" t="str">
        <f>VLOOKUP(E185,'SchoolInfo (3)'!A:K,11,0)</f>
        <v>clare.okyere@phxschools.org</v>
      </c>
    </row>
    <row r="186" spans="1:7" s="2" customFormat="1" ht="12.75" x14ac:dyDescent="0.2">
      <c r="A186" s="6" t="str">
        <f>VLOOKUP(B186,'SchoolInfo (3)'!A:C,3,0)</f>
        <v>'070401000</v>
      </c>
      <c r="B186" s="8">
        <v>4256</v>
      </c>
      <c r="C186" s="8" t="s">
        <v>343</v>
      </c>
      <c r="D186" s="8" t="str">
        <f>VLOOKUP(E186,'SchoolInfo (3)'!A:C,3,0)</f>
        <v>'070401118</v>
      </c>
      <c r="E186" s="8">
        <v>5206</v>
      </c>
      <c r="F186" s="8" t="s">
        <v>735</v>
      </c>
      <c r="G186" s="2" t="str">
        <f>VLOOKUP(E186,'SchoolInfo (3)'!A:K,11,0)</f>
        <v>Tyson.Kelly@phxschools.org</v>
      </c>
    </row>
    <row r="187" spans="1:7" s="2" customFormat="1" ht="12.75" x14ac:dyDescent="0.2">
      <c r="A187" s="6" t="str">
        <f>VLOOKUP(B187,'SchoolInfo (3)'!A:C,3,0)</f>
        <v>'110433000</v>
      </c>
      <c r="B187" s="8">
        <v>4452</v>
      </c>
      <c r="C187" s="8" t="s">
        <v>755</v>
      </c>
      <c r="D187" s="8" t="str">
        <f>VLOOKUP(E187,'SchoolInfo (3)'!A:C,3,0)</f>
        <v>'110433133</v>
      </c>
      <c r="E187" s="8">
        <v>5947</v>
      </c>
      <c r="F187" s="8" t="s">
        <v>756</v>
      </c>
      <c r="G187" s="2" t="str">
        <f>VLOOKUP(E187,'SchoolInfo (3)'!A:K,11,0)</f>
        <v>arogers@picacho.k12.az.us</v>
      </c>
    </row>
    <row r="188" spans="1:7" s="2" customFormat="1" ht="12.75" x14ac:dyDescent="0.2">
      <c r="A188" s="6" t="str">
        <f>VLOOKUP(B188,'SchoolInfo (3)'!A:C,3,0)</f>
        <v>'108799000</v>
      </c>
      <c r="B188" s="8">
        <v>89864</v>
      </c>
      <c r="C188" s="8" t="s">
        <v>786</v>
      </c>
      <c r="D188" s="8" t="str">
        <f>VLOOKUP(E188,'SchoolInfo (3)'!A:C,3,0)</f>
        <v>'108799101</v>
      </c>
      <c r="E188" s="8">
        <v>89865</v>
      </c>
      <c r="F188" s="8" t="s">
        <v>787</v>
      </c>
      <c r="G188" s="2" t="str">
        <f>VLOOKUP(E188,'SchoolInfo (3)'!A:K,11,0)</f>
        <v>tmiller@thepartnership.us</v>
      </c>
    </row>
    <row r="189" spans="1:7" s="2" customFormat="1" ht="12.75" x14ac:dyDescent="0.2">
      <c r="A189" s="6" t="str">
        <f>VLOOKUP(B189,'SchoolInfo (3)'!A:C,3,0)</f>
        <v>'090204000</v>
      </c>
      <c r="B189" s="8">
        <v>4390</v>
      </c>
      <c r="C189" s="8" t="s">
        <v>312</v>
      </c>
      <c r="D189" s="8" t="str">
        <f>VLOOKUP(E189,'SchoolInfo (3)'!A:C,3,0)</f>
        <v>'090204102</v>
      </c>
      <c r="E189" s="8">
        <v>5612</v>
      </c>
      <c r="F189" s="8" t="s">
        <v>425</v>
      </c>
      <c r="G189" s="2" t="str">
        <f>VLOOKUP(E189,'SchoolInfo (3)'!A:K,11,0)</f>
        <v>LMChee@pusdatsa.org</v>
      </c>
    </row>
    <row r="190" spans="1:7" s="2" customFormat="1" ht="12.75" x14ac:dyDescent="0.2">
      <c r="A190" s="6" t="str">
        <f>VLOOKUP(B190,'SchoolInfo (3)'!A:C,3,0)</f>
        <v>'090204000</v>
      </c>
      <c r="B190" s="8">
        <v>4390</v>
      </c>
      <c r="C190" s="8" t="s">
        <v>312</v>
      </c>
      <c r="D190" s="8" t="str">
        <f>VLOOKUP(E190,'SchoolInfo (3)'!A:C,3,0)</f>
        <v>'090204101</v>
      </c>
      <c r="E190" s="8">
        <v>5611</v>
      </c>
      <c r="F190" s="8" t="s">
        <v>428</v>
      </c>
      <c r="G190" s="2">
        <f>VLOOKUP(E190,'SchoolInfo (3)'!A:K,11,0)</f>
        <v>0</v>
      </c>
    </row>
    <row r="191" spans="1:7" s="2" customFormat="1" ht="12.75" x14ac:dyDescent="0.2">
      <c r="A191" s="6" t="str">
        <f>VLOOKUP(B191,'SchoolInfo (3)'!A:C,3,0)</f>
        <v>'010227000</v>
      </c>
      <c r="B191" s="8">
        <v>4159</v>
      </c>
      <c r="C191" s="8" t="s">
        <v>325</v>
      </c>
      <c r="D191" s="8" t="str">
        <f>VLOOKUP(E191,'SchoolInfo (3)'!A:C,3,0)</f>
        <v>'010227102</v>
      </c>
      <c r="E191" s="8">
        <v>4739</v>
      </c>
      <c r="F191" s="8" t="s">
        <v>467</v>
      </c>
      <c r="G191" s="2" t="str">
        <f>VLOOKUP(E191,'SchoolInfo (3)'!A:K,11,0)</f>
        <v>genevieve@rmusd.net</v>
      </c>
    </row>
    <row r="192" spans="1:7" s="2" customFormat="1" ht="12.75" x14ac:dyDescent="0.2">
      <c r="A192" s="6" t="str">
        <f>VLOOKUP(B192,'SchoolInfo (3)'!A:C,3,0)</f>
        <v>'010227000</v>
      </c>
      <c r="B192" s="8">
        <v>4159</v>
      </c>
      <c r="C192" s="8" t="s">
        <v>325</v>
      </c>
      <c r="D192" s="8" t="str">
        <f>VLOOKUP(E192,'SchoolInfo (3)'!A:C,3,0)</f>
        <v>'010227101</v>
      </c>
      <c r="E192" s="8">
        <v>4738</v>
      </c>
      <c r="F192" s="8" t="s">
        <v>480</v>
      </c>
      <c r="G192" s="2" t="str">
        <f>VLOOKUP(E192,'SchoolInfo (3)'!A:K,11,0)</f>
        <v>bdebus@rmusd.net</v>
      </c>
    </row>
    <row r="193" spans="1:7" s="2" customFormat="1" ht="12.75" x14ac:dyDescent="0.2">
      <c r="A193" s="6" t="str">
        <f>VLOOKUP(B193,'SchoolInfo (3)'!A:C,3,0)</f>
        <v>'070402000</v>
      </c>
      <c r="B193" s="8">
        <v>4257</v>
      </c>
      <c r="C193" s="8" t="s">
        <v>1522</v>
      </c>
      <c r="D193" s="8" t="str">
        <f>VLOOKUP(E193,'SchoolInfo (3)'!A:C,3,0)</f>
        <v>'070402102</v>
      </c>
      <c r="E193" s="8">
        <v>84660</v>
      </c>
      <c r="F193" s="8" t="s">
        <v>1523</v>
      </c>
      <c r="G193" s="2" t="str">
        <f>VLOOKUP(E193,'SchoolInfo (3)'!A:K,11,0)</f>
        <v>rgutierrez@riverside.k12.az.us</v>
      </c>
    </row>
    <row r="194" spans="1:7" s="2" customFormat="1" ht="12.75" x14ac:dyDescent="0.2">
      <c r="A194" s="6" t="str">
        <f>VLOOKUP(B194,'SchoolInfo (3)'!A:C,3,0)</f>
        <v>'070466000</v>
      </c>
      <c r="B194" s="8">
        <v>4279</v>
      </c>
      <c r="C194" s="8" t="s">
        <v>328</v>
      </c>
      <c r="D194" s="8" t="str">
        <f>VLOOKUP(E194,'SchoolInfo (3)'!A:C,3,0)</f>
        <v>'070466017</v>
      </c>
      <c r="E194" s="8">
        <v>5377</v>
      </c>
      <c r="F194" s="8" t="s">
        <v>626</v>
      </c>
      <c r="G194" s="2" t="str">
        <f>VLOOKUP(E194,'SchoolInfo (3)'!A:K,11,0)</f>
        <v>benjamin.roat@rsd.k12.az.us</v>
      </c>
    </row>
    <row r="195" spans="1:7" s="2" customFormat="1" ht="12.75" x14ac:dyDescent="0.2">
      <c r="A195" s="6" t="str">
        <f>VLOOKUP(B195,'SchoolInfo (3)'!A:C,3,0)</f>
        <v>'070466000</v>
      </c>
      <c r="B195" s="8">
        <v>4279</v>
      </c>
      <c r="C195" s="8" t="s">
        <v>328</v>
      </c>
      <c r="D195" s="8" t="str">
        <f>VLOOKUP(E195,'SchoolInfo (3)'!A:C,3,0)</f>
        <v>'070466018</v>
      </c>
      <c r="E195" s="8">
        <v>5378</v>
      </c>
      <c r="F195" s="8" t="s">
        <v>634</v>
      </c>
      <c r="G195" s="2" t="str">
        <f>VLOOKUP(E195,'SchoolInfo (3)'!A:K,11,0)</f>
        <v>anitam@rsd.k12.az.us</v>
      </c>
    </row>
    <row r="196" spans="1:7" s="2" customFormat="1" ht="12.75" x14ac:dyDescent="0.2">
      <c r="A196" s="6" t="str">
        <f>VLOOKUP(B196,'SchoolInfo (3)'!A:C,3,0)</f>
        <v>'070466000</v>
      </c>
      <c r="B196" s="8">
        <v>4279</v>
      </c>
      <c r="C196" s="8" t="s">
        <v>328</v>
      </c>
      <c r="D196" s="8" t="str">
        <f>VLOOKUP(E196,'SchoolInfo (3)'!A:C,3,0)</f>
        <v>'070466013</v>
      </c>
      <c r="E196" s="8">
        <v>5373</v>
      </c>
      <c r="F196" s="8" t="s">
        <v>636</v>
      </c>
      <c r="G196" s="2" t="str">
        <f>VLOOKUP(E196,'SchoolInfo (3)'!A:K,11,0)</f>
        <v>Aida.Frietz@rsd.k12.az.us</v>
      </c>
    </row>
    <row r="197" spans="1:7" s="2" customFormat="1" ht="12.75" x14ac:dyDescent="0.2">
      <c r="A197" s="6" t="str">
        <f>VLOOKUP(B197,'SchoolInfo (3)'!A:C,3,0)</f>
        <v>'070466000</v>
      </c>
      <c r="B197" s="8">
        <v>4279</v>
      </c>
      <c r="C197" s="8" t="s">
        <v>328</v>
      </c>
      <c r="D197" s="8" t="str">
        <f>VLOOKUP(E197,'SchoolInfo (3)'!A:C,3,0)</f>
        <v>'070466019</v>
      </c>
      <c r="E197" s="8">
        <v>5379</v>
      </c>
      <c r="F197" s="8" t="s">
        <v>652</v>
      </c>
      <c r="G197" s="2" t="str">
        <f>VLOOKUP(E197,'SchoolInfo (3)'!A:K,11,0)</f>
        <v>lisa.norwood@rsd.k12.az.us</v>
      </c>
    </row>
    <row r="198" spans="1:7" s="2" customFormat="1" ht="12.75" x14ac:dyDescent="0.2">
      <c r="A198" s="6" t="str">
        <f>VLOOKUP(B198,'SchoolInfo (3)'!A:C,3,0)</f>
        <v>'070466000</v>
      </c>
      <c r="B198" s="8">
        <v>4279</v>
      </c>
      <c r="C198" s="8" t="s">
        <v>328</v>
      </c>
      <c r="D198" s="8" t="str">
        <f>VLOOKUP(E198,'SchoolInfo (3)'!A:C,3,0)</f>
        <v>'070466002</v>
      </c>
      <c r="E198" s="8">
        <v>5363</v>
      </c>
      <c r="F198" s="8" t="s">
        <v>654</v>
      </c>
      <c r="G198" s="2" t="str">
        <f>VLOOKUP(E198,'SchoolInfo (3)'!A:K,11,0)</f>
        <v>ivette.rodriguez@rsd.k12.az.us</v>
      </c>
    </row>
    <row r="199" spans="1:7" s="2" customFormat="1" ht="12.75" x14ac:dyDescent="0.2">
      <c r="A199" s="6" t="str">
        <f>VLOOKUP(B199,'SchoolInfo (3)'!A:C,3,0)</f>
        <v>'070466000</v>
      </c>
      <c r="B199" s="8">
        <v>4279</v>
      </c>
      <c r="C199" s="8" t="s">
        <v>328</v>
      </c>
      <c r="D199" s="8" t="str">
        <f>VLOOKUP(E199,'SchoolInfo (3)'!A:C,3,0)</f>
        <v>'070466014</v>
      </c>
      <c r="E199" s="8">
        <v>5374</v>
      </c>
      <c r="F199" s="8" t="s">
        <v>658</v>
      </c>
      <c r="G199" s="2">
        <f>VLOOKUP(E199,'SchoolInfo (3)'!A:K,11,0)</f>
        <v>0</v>
      </c>
    </row>
    <row r="200" spans="1:7" s="2" customFormat="1" ht="12.75" x14ac:dyDescent="0.2">
      <c r="A200" s="6" t="str">
        <f>VLOOKUP(B200,'SchoolInfo (3)'!A:C,3,0)</f>
        <v>'070466000</v>
      </c>
      <c r="B200" s="8">
        <v>4279</v>
      </c>
      <c r="C200" s="8" t="s">
        <v>328</v>
      </c>
      <c r="D200" s="8" t="str">
        <f>VLOOKUP(E200,'SchoolInfo (3)'!A:C,3,0)</f>
        <v>'070466012</v>
      </c>
      <c r="E200" s="8">
        <v>5372</v>
      </c>
      <c r="F200" s="8" t="s">
        <v>664</v>
      </c>
      <c r="G200" s="2">
        <f>VLOOKUP(E200,'SchoolInfo (3)'!A:K,11,0)</f>
        <v>0</v>
      </c>
    </row>
    <row r="201" spans="1:7" s="2" customFormat="1" ht="12.75" x14ac:dyDescent="0.2">
      <c r="A201" s="6" t="str">
        <f>VLOOKUP(B201,'SchoolInfo (3)'!A:C,3,0)</f>
        <v>'070466000</v>
      </c>
      <c r="B201" s="8">
        <v>4279</v>
      </c>
      <c r="C201" s="8" t="s">
        <v>328</v>
      </c>
      <c r="D201" s="8" t="str">
        <f>VLOOKUP(E201,'SchoolInfo (3)'!A:C,3,0)</f>
        <v>'070466003</v>
      </c>
      <c r="E201" s="8">
        <v>5364</v>
      </c>
      <c r="F201" s="8" t="s">
        <v>669</v>
      </c>
      <c r="G201" s="2" t="str">
        <f>VLOOKUP(E201,'SchoolInfo (3)'!A:K,11,0)</f>
        <v>nicole.shamblin@rsd.k12.az.us</v>
      </c>
    </row>
    <row r="202" spans="1:7" s="2" customFormat="1" ht="12.75" x14ac:dyDescent="0.2">
      <c r="A202" s="6" t="str">
        <f>VLOOKUP(B202,'SchoolInfo (3)'!A:C,3,0)</f>
        <v>'070466000</v>
      </c>
      <c r="B202" s="8">
        <v>4279</v>
      </c>
      <c r="C202" s="8" t="s">
        <v>328</v>
      </c>
      <c r="D202" s="8" t="str">
        <f>VLOOKUP(E202,'SchoolInfo (3)'!A:C,3,0)</f>
        <v>'070466022</v>
      </c>
      <c r="E202" s="8">
        <v>79012</v>
      </c>
      <c r="F202" s="8" t="s">
        <v>1316</v>
      </c>
      <c r="G202" s="2" t="str">
        <f>VLOOKUP(E202,'SchoolInfo (3)'!A:K,11,0)</f>
        <v>william.collins@rsd.k12.az.us</v>
      </c>
    </row>
    <row r="203" spans="1:7" s="2" customFormat="1" ht="12.75" x14ac:dyDescent="0.2">
      <c r="A203" s="6" t="str">
        <f>VLOOKUP(B203,'SchoolInfo (3)'!A:C,3,0)</f>
        <v>'070466000</v>
      </c>
      <c r="B203" s="8">
        <v>4279</v>
      </c>
      <c r="C203" s="8" t="s">
        <v>328</v>
      </c>
      <c r="D203" s="8" t="str">
        <f>VLOOKUP(E203,'SchoolInfo (3)'!A:C,3,0)</f>
        <v>'070466021</v>
      </c>
      <c r="E203" s="8">
        <v>79013</v>
      </c>
      <c r="F203" s="8" t="s">
        <v>1382</v>
      </c>
      <c r="G203" s="2" t="str">
        <f>VLOOKUP(E203,'SchoolInfo (3)'!A:K,11,0)</f>
        <v>stephanie.acosta@rsd.k12.az.us</v>
      </c>
    </row>
    <row r="204" spans="1:7" s="2" customFormat="1" ht="12.75" x14ac:dyDescent="0.2">
      <c r="A204" s="6" t="str">
        <f>VLOOKUP(B204,'SchoolInfo (3)'!A:C,3,0)</f>
        <v>'070466000</v>
      </c>
      <c r="B204" s="8">
        <v>4279</v>
      </c>
      <c r="C204" s="8" t="s">
        <v>328</v>
      </c>
      <c r="D204" s="8" t="str">
        <f>VLOOKUP(E204,'SchoolInfo (3)'!A:C,3,0)</f>
        <v>'070466016</v>
      </c>
      <c r="E204" s="8">
        <v>5376</v>
      </c>
      <c r="F204" s="8" t="s">
        <v>1403</v>
      </c>
      <c r="G204" s="2" t="str">
        <f>VLOOKUP(E204,'SchoolInfo (3)'!A:K,11,0)</f>
        <v>stuart.starky@rsd.k12.az.us</v>
      </c>
    </row>
    <row r="205" spans="1:7" s="2" customFormat="1" ht="12.75" x14ac:dyDescent="0.2">
      <c r="A205" s="6" t="str">
        <f>VLOOKUP(B205,'SchoolInfo (3)'!A:C,3,0)</f>
        <v>'070466000</v>
      </c>
      <c r="B205" s="8">
        <v>4279</v>
      </c>
      <c r="C205" s="8" t="s">
        <v>328</v>
      </c>
      <c r="D205" s="8" t="str">
        <f>VLOOKUP(E205,'SchoolInfo (3)'!A:C,3,0)</f>
        <v>'070466007</v>
      </c>
      <c r="E205" s="8">
        <v>5368</v>
      </c>
      <c r="F205" s="8" t="s">
        <v>1457</v>
      </c>
      <c r="G205" s="2" t="str">
        <f>VLOOKUP(E205,'SchoolInfo (3)'!A:K,11,0)</f>
        <v>joyce.luckie@rsd.k12.az.us</v>
      </c>
    </row>
    <row r="206" spans="1:7" s="2" customFormat="1" ht="12.75" x14ac:dyDescent="0.2">
      <c r="A206" s="6" t="str">
        <f>VLOOKUP(B206,'SchoolInfo (3)'!A:C,3,0)</f>
        <v>'110418000</v>
      </c>
      <c r="B206" s="8">
        <v>4449</v>
      </c>
      <c r="C206" s="8" t="s">
        <v>393</v>
      </c>
      <c r="D206" s="8" t="str">
        <f>VLOOKUP(E206,'SchoolInfo (3)'!A:C,3,0)</f>
        <v>'110418001</v>
      </c>
      <c r="E206" s="8">
        <v>5943</v>
      </c>
      <c r="F206" s="8" t="s">
        <v>394</v>
      </c>
      <c r="G206" s="2" t="str">
        <f>VLOOKUP(E206,'SchoolInfo (3)'!A:K,11,0)</f>
        <v>wburton@sacatonschools.org</v>
      </c>
    </row>
    <row r="207" spans="1:7" s="2" customFormat="1" ht="12.75" x14ac:dyDescent="0.2">
      <c r="A207" s="6" t="str">
        <f>VLOOKUP(B207,'SchoolInfo (3)'!A:C,3,0)</f>
        <v>'110418000</v>
      </c>
      <c r="B207" s="8">
        <v>4449</v>
      </c>
      <c r="C207" s="8" t="s">
        <v>393</v>
      </c>
      <c r="D207" s="8" t="str">
        <f>VLOOKUP(E207,'SchoolInfo (3)'!A:C,3,0)</f>
        <v>'110418002</v>
      </c>
      <c r="E207" s="8">
        <v>5944</v>
      </c>
      <c r="F207" s="8" t="s">
        <v>398</v>
      </c>
      <c r="G207" s="2" t="str">
        <f>VLOOKUP(E207,'SchoolInfo (3)'!A:K,11,0)</f>
        <v>agillespie@sacatonschools.org</v>
      </c>
    </row>
    <row r="208" spans="1:7" s="2" customFormat="1" ht="12.75" x14ac:dyDescent="0.2">
      <c r="A208" s="6" t="str">
        <f>VLOOKUP(B208,'SchoolInfo (3)'!A:C,3,0)</f>
        <v>'100230000</v>
      </c>
      <c r="B208" s="8">
        <v>4411</v>
      </c>
      <c r="C208" s="8" t="s">
        <v>332</v>
      </c>
      <c r="D208" s="8" t="str">
        <f>VLOOKUP(E208,'SchoolInfo (3)'!A:C,3,0)</f>
        <v>'100230102</v>
      </c>
      <c r="E208" s="8">
        <v>5841</v>
      </c>
      <c r="F208" s="8" t="s">
        <v>769</v>
      </c>
      <c r="G208" s="2" t="str">
        <f>VLOOKUP(E208,'SchoolInfo (3)'!A:K,11,0)</f>
        <v>draulston@sahuarita.net</v>
      </c>
    </row>
    <row r="209" spans="1:7" s="2" customFormat="1" ht="12.75" x14ac:dyDescent="0.2">
      <c r="A209" s="6" t="str">
        <f>VLOOKUP(B209,'SchoolInfo (3)'!A:C,3,0)</f>
        <v>'150430000</v>
      </c>
      <c r="B209" s="8">
        <v>4514</v>
      </c>
      <c r="C209" s="8" t="s">
        <v>366</v>
      </c>
      <c r="D209" s="8" t="str">
        <f>VLOOKUP(E209,'SchoolInfo (3)'!A:C,3,0)</f>
        <v>'150430101</v>
      </c>
      <c r="E209" s="8">
        <v>6202</v>
      </c>
      <c r="F209" s="8" t="s">
        <v>367</v>
      </c>
      <c r="G209" s="2" t="str">
        <f>VLOOKUP(E209,'SchoolInfo (3)'!A:K,11,0)</f>
        <v>gdean@salomek8.org</v>
      </c>
    </row>
    <row r="210" spans="1:7" x14ac:dyDescent="0.25">
      <c r="A210" s="6" t="str">
        <f>VLOOKUP(B210,'SchoolInfo (3)'!A:C,3,0)</f>
        <v>'040220000</v>
      </c>
      <c r="B210" s="8">
        <v>4210</v>
      </c>
      <c r="C210" s="8" t="s">
        <v>414</v>
      </c>
      <c r="D210" s="8" t="str">
        <f>VLOOKUP(E210,'SchoolInfo (3)'!A:C,3,0)</f>
        <v>'040220203</v>
      </c>
      <c r="E210" s="8">
        <v>89776</v>
      </c>
      <c r="F210" s="8" t="s">
        <v>415</v>
      </c>
      <c r="G210" s="2">
        <f>VLOOKUP(E210,'SchoolInfo (3)'!A:K,11,0)</f>
        <v>0</v>
      </c>
    </row>
    <row r="211" spans="1:7" x14ac:dyDescent="0.25">
      <c r="A211" s="6" t="str">
        <f>VLOOKUP(B211,'SchoolInfo (3)'!A:C,3,0)</f>
        <v>'040220000</v>
      </c>
      <c r="B211" s="8">
        <v>4210</v>
      </c>
      <c r="C211" s="8" t="s">
        <v>414</v>
      </c>
      <c r="D211" s="8" t="str">
        <f>VLOOKUP(E211,'SchoolInfo (3)'!A:C,3,0)</f>
        <v>'040220104</v>
      </c>
      <c r="E211" s="8">
        <v>5989</v>
      </c>
      <c r="F211" s="8" t="s">
        <v>419</v>
      </c>
      <c r="G211" s="2" t="str">
        <f>VLOOKUP(E211,'SchoolInfo (3)'!A:K,11,0)</f>
        <v>valerie_cervantez_lead@yahoo.com</v>
      </c>
    </row>
    <row r="212" spans="1:7" x14ac:dyDescent="0.25">
      <c r="A212" s="6" t="str">
        <f>VLOOKUP(B212,'SchoolInfo (3)'!A:C,3,0)</f>
        <v>'010218000</v>
      </c>
      <c r="B212" s="8">
        <v>4156</v>
      </c>
      <c r="C212" s="8" t="s">
        <v>314</v>
      </c>
      <c r="D212" s="8" t="str">
        <f>VLOOKUP(E212,'SchoolInfo (3)'!A:C,3,0)</f>
        <v>'010218002</v>
      </c>
      <c r="E212" s="8">
        <v>4723</v>
      </c>
      <c r="F212" s="8" t="s">
        <v>471</v>
      </c>
      <c r="G212" s="2" t="str">
        <f>VLOOKUP(E212,'SchoolInfo (3)'!A:K,11,0)</f>
        <v>Sherylsoderstrom@sandersusd.net</v>
      </c>
    </row>
    <row r="213" spans="1:7" x14ac:dyDescent="0.25">
      <c r="A213" s="6" t="str">
        <f>VLOOKUP(B213,'SchoolInfo (3)'!A:C,3,0)</f>
        <v>'010218000</v>
      </c>
      <c r="B213" s="8">
        <v>4156</v>
      </c>
      <c r="C213" s="8" t="s">
        <v>314</v>
      </c>
      <c r="D213" s="8" t="str">
        <f>VLOOKUP(E213,'SchoolInfo (3)'!A:C,3,0)</f>
        <v>'010218001</v>
      </c>
      <c r="E213" s="8">
        <v>4722</v>
      </c>
      <c r="F213" s="8" t="s">
        <v>854</v>
      </c>
      <c r="G213" s="2" t="str">
        <f>VLOOKUP(E213,'SchoolInfo (3)'!A:K,11,0)</f>
        <v>lucinda.swedberg@sandersusd.net</v>
      </c>
    </row>
    <row r="214" spans="1:7" x14ac:dyDescent="0.25">
      <c r="A214" s="6" t="str">
        <f>VLOOKUP(B214,'SchoolInfo (3)'!A:C,3,0)</f>
        <v>'120235000</v>
      </c>
      <c r="B214" s="8">
        <v>4458</v>
      </c>
      <c r="C214" s="8" t="s">
        <v>1268</v>
      </c>
      <c r="D214" s="8" t="str">
        <f>VLOOKUP(E214,'SchoolInfo (3)'!A:C,3,0)</f>
        <v>'120235110</v>
      </c>
      <c r="E214" s="8">
        <v>5963</v>
      </c>
      <c r="F214" s="8" t="s">
        <v>1269</v>
      </c>
      <c r="G214" s="2" t="str">
        <f>VLOOKUP(E214,'SchoolInfo (3)'!A:K,11,0)</f>
        <v>mrenteria@scv35.org</v>
      </c>
    </row>
    <row r="215" spans="1:7" x14ac:dyDescent="0.25">
      <c r="A215" s="6" t="str">
        <f>VLOOKUP(B215,'SchoolInfo (3)'!A:C,3,0)</f>
        <v>'120235000</v>
      </c>
      <c r="B215" s="8">
        <v>4458</v>
      </c>
      <c r="C215" s="8" t="s">
        <v>1268</v>
      </c>
      <c r="D215" s="8" t="str">
        <f>VLOOKUP(E215,'SchoolInfo (3)'!A:C,3,0)</f>
        <v>'120235130</v>
      </c>
      <c r="E215" s="8">
        <v>5965</v>
      </c>
      <c r="F215" s="8" t="s">
        <v>1333</v>
      </c>
      <c r="G215" s="2">
        <f>VLOOKUP(E215,'SchoolInfo (3)'!A:K,11,0)</f>
        <v>0</v>
      </c>
    </row>
    <row r="216" spans="1:7" x14ac:dyDescent="0.25">
      <c r="A216" s="6" t="str">
        <f>VLOOKUP(B216,'SchoolInfo (3)'!A:C,3,0)</f>
        <v>'090205000</v>
      </c>
      <c r="B216" s="8">
        <v>4391</v>
      </c>
      <c r="C216" s="8" t="s">
        <v>1470</v>
      </c>
      <c r="D216" s="8" t="str">
        <f>VLOOKUP(E216,'SchoolInfo (3)'!A:C,3,0)</f>
        <v>'090205001</v>
      </c>
      <c r="E216" s="8">
        <v>5614</v>
      </c>
      <c r="F216" s="8" t="s">
        <v>1471</v>
      </c>
      <c r="G216" s="2" t="str">
        <f>VLOOKUP(E216,'SchoolInfo (3)'!A:K,11,0)</f>
        <v>shonf@snowflake.k12.az.us</v>
      </c>
    </row>
    <row r="217" spans="1:7" x14ac:dyDescent="0.25">
      <c r="A217" s="6" t="str">
        <f>VLOOKUP(B217,'SchoolInfo (3)'!A:C,3,0)</f>
        <v>'078599000</v>
      </c>
      <c r="B217" s="8">
        <v>91108</v>
      </c>
      <c r="C217" s="8" t="s">
        <v>685</v>
      </c>
      <c r="D217" s="8" t="str">
        <f>VLOOKUP(E217,'SchoolInfo (3)'!A:C,3,0)</f>
        <v>'078599301</v>
      </c>
      <c r="E217" s="8">
        <v>91109</v>
      </c>
      <c r="F217" s="8" t="s">
        <v>686</v>
      </c>
      <c r="G217" s="2" t="str">
        <f>VLOOKUP(E217,'SchoolInfo (3)'!A:K,11,0)</f>
        <v>dcoleman@skylineschools.com</v>
      </c>
    </row>
    <row r="218" spans="1:7" x14ac:dyDescent="0.25">
      <c r="A218" s="6" t="str">
        <f>VLOOKUP(B218,'SchoolInfo (3)'!A:C,3,0)</f>
        <v>'108779000</v>
      </c>
      <c r="B218" s="8">
        <v>79085</v>
      </c>
      <c r="C218" s="8" t="s">
        <v>1467</v>
      </c>
      <c r="D218" s="8" t="str">
        <f>VLOOKUP(E218,'SchoolInfo (3)'!A:C,3,0)</f>
        <v>'108779101</v>
      </c>
      <c r="E218" s="8">
        <v>79091</v>
      </c>
      <c r="F218" s="8" t="s">
        <v>1468</v>
      </c>
      <c r="G218" s="2" t="str">
        <f>VLOOKUP(E218,'SchoolInfo (3)'!A:K,11,0)</f>
        <v>dmccraley@southgateaz.org</v>
      </c>
    </row>
    <row r="219" spans="1:7" x14ac:dyDescent="0.25">
      <c r="A219" s="6" t="str">
        <f>VLOOKUP(B219,'SchoolInfo (3)'!A:C,3,0)</f>
        <v>'110424000</v>
      </c>
      <c r="B219" s="8">
        <v>4451</v>
      </c>
      <c r="C219" s="8" t="s">
        <v>317</v>
      </c>
      <c r="D219" s="8" t="str">
        <f>VLOOKUP(E219,'SchoolInfo (3)'!A:C,3,0)</f>
        <v>'110424001</v>
      </c>
      <c r="E219" s="8">
        <v>5946</v>
      </c>
      <c r="F219" s="8" t="s">
        <v>697</v>
      </c>
      <c r="G219" s="2" t="str">
        <f>VLOOKUP(E219,'SchoolInfo (3)'!A:K,11,0)</f>
        <v>djohnson@stanfield.k12.az.us</v>
      </c>
    </row>
    <row r="220" spans="1:7" x14ac:dyDescent="0.25">
      <c r="A220" s="6" t="str">
        <f>VLOOKUP(B220,'SchoolInfo (3)'!A:C,3,0)</f>
        <v>'108227000</v>
      </c>
      <c r="B220" s="8">
        <v>91992</v>
      </c>
      <c r="C220" s="8" t="s">
        <v>1464</v>
      </c>
      <c r="D220" s="8" t="str">
        <f>VLOOKUP(E220,'SchoolInfo (3)'!A:C,3,0)</f>
        <v>'108227001</v>
      </c>
      <c r="E220" s="8">
        <v>92497</v>
      </c>
      <c r="F220" s="8" t="s">
        <v>1465</v>
      </c>
      <c r="G220" s="2">
        <f>VLOOKUP(E220,'SchoolInfo (3)'!A:K,11,0)</f>
        <v>0</v>
      </c>
    </row>
    <row r="221" spans="1:7" x14ac:dyDescent="0.25">
      <c r="A221" s="6" t="str">
        <f>VLOOKUP(B221,'SchoolInfo (3)'!A:C,3,0)</f>
        <v>'100212000</v>
      </c>
      <c r="B221" s="8">
        <v>4407</v>
      </c>
      <c r="C221" s="8" t="s">
        <v>331</v>
      </c>
      <c r="D221" s="8" t="str">
        <f>VLOOKUP(E221,'SchoolInfo (3)'!A:C,3,0)</f>
        <v>'100212106</v>
      </c>
      <c r="E221" s="8">
        <v>5809</v>
      </c>
      <c r="F221" s="8" t="s">
        <v>791</v>
      </c>
      <c r="G221" s="2" t="str">
        <f>VLOOKUP(E221,'SchoolInfo (3)'!A:K,11,0)</f>
        <v>RosemaryR1@susd12.org</v>
      </c>
    </row>
    <row r="222" spans="1:7" x14ac:dyDescent="0.25">
      <c r="A222" s="6" t="str">
        <f>VLOOKUP(B222,'SchoolInfo (3)'!A:C,3,0)</f>
        <v>'100212000</v>
      </c>
      <c r="B222" s="8">
        <v>4407</v>
      </c>
      <c r="C222" s="8" t="s">
        <v>331</v>
      </c>
      <c r="D222" s="8" t="str">
        <f>VLOOKUP(E222,'SchoolInfo (3)'!A:C,3,0)</f>
        <v>'100212112</v>
      </c>
      <c r="E222" s="8">
        <v>5812</v>
      </c>
      <c r="F222" s="8" t="s">
        <v>797</v>
      </c>
      <c r="G222" s="2" t="str">
        <f>VLOOKUP(E222,'SchoolInfo (3)'!A:K,11,0)</f>
        <v>lorenae@susd12.org</v>
      </c>
    </row>
    <row r="223" spans="1:7" x14ac:dyDescent="0.25">
      <c r="A223" s="6" t="str">
        <f>VLOOKUP(B223,'SchoolInfo (3)'!A:C,3,0)</f>
        <v>'100212000</v>
      </c>
      <c r="B223" s="8">
        <v>4407</v>
      </c>
      <c r="C223" s="8" t="s">
        <v>331</v>
      </c>
      <c r="D223" s="8" t="str">
        <f>VLOOKUP(E223,'SchoolInfo (3)'!A:C,3,0)</f>
        <v>'100212131</v>
      </c>
      <c r="E223" s="8">
        <v>5823</v>
      </c>
      <c r="F223" s="8" t="s">
        <v>805</v>
      </c>
      <c r="G223" s="2" t="str">
        <f>VLOOKUP(E223,'SchoolInfo (3)'!A:K,11,0)</f>
        <v>DonnaS@susd12.org</v>
      </c>
    </row>
    <row r="224" spans="1:7" x14ac:dyDescent="0.25">
      <c r="A224" s="6" t="str">
        <f>VLOOKUP(B224,'SchoolInfo (3)'!A:C,3,0)</f>
        <v>'100212000</v>
      </c>
      <c r="B224" s="8">
        <v>4407</v>
      </c>
      <c r="C224" s="8" t="s">
        <v>331</v>
      </c>
      <c r="D224" s="8" t="str">
        <f>VLOOKUP(E224,'SchoolInfo (3)'!A:C,3,0)</f>
        <v>'100212134</v>
      </c>
      <c r="E224" s="8">
        <v>5825</v>
      </c>
      <c r="F224" s="8" t="s">
        <v>810</v>
      </c>
      <c r="G224" s="2" t="str">
        <f>VLOOKUP(E224,'SchoolInfo (3)'!A:K,11,0)</f>
        <v>stevep@susd12.org</v>
      </c>
    </row>
    <row r="225" spans="1:7" x14ac:dyDescent="0.25">
      <c r="A225" s="6" t="str">
        <f>VLOOKUP(B225,'SchoolInfo (3)'!A:C,3,0)</f>
        <v>'100212000</v>
      </c>
      <c r="B225" s="8">
        <v>4407</v>
      </c>
      <c r="C225" s="8" t="s">
        <v>331</v>
      </c>
      <c r="D225" s="8" t="str">
        <f>VLOOKUP(E225,'SchoolInfo (3)'!A:C,3,0)</f>
        <v>'100212119</v>
      </c>
      <c r="E225" s="8">
        <v>5818</v>
      </c>
      <c r="F225" s="8" t="s">
        <v>816</v>
      </c>
      <c r="G225" s="2" t="str">
        <f>VLOOKUP(E225,'SchoolInfo (3)'!A:K,11,0)</f>
        <v>pamb@susd12.org</v>
      </c>
    </row>
    <row r="226" spans="1:7" x14ac:dyDescent="0.25">
      <c r="A226" s="6" t="str">
        <f>VLOOKUP(B226,'SchoolInfo (3)'!A:C,3,0)</f>
        <v>'100212000</v>
      </c>
      <c r="B226" s="8">
        <v>4407</v>
      </c>
      <c r="C226" s="8" t="s">
        <v>331</v>
      </c>
      <c r="D226" s="8" t="str">
        <f>VLOOKUP(E226,'SchoolInfo (3)'!A:C,3,0)</f>
        <v>'100212132</v>
      </c>
      <c r="E226" s="8">
        <v>5824</v>
      </c>
      <c r="F226" s="8" t="s">
        <v>1430</v>
      </c>
      <c r="G226" s="2">
        <f>VLOOKUP(E226,'SchoolInfo (3)'!A:K,11,0)</f>
        <v>0</v>
      </c>
    </row>
    <row r="227" spans="1:7" x14ac:dyDescent="0.25">
      <c r="A227" s="6" t="str">
        <f>VLOOKUP(B227,'SchoolInfo (3)'!A:C,3,0)</f>
        <v>'100212000</v>
      </c>
      <c r="B227" s="8">
        <v>4407</v>
      </c>
      <c r="C227" s="8" t="s">
        <v>331</v>
      </c>
      <c r="D227" s="8" t="str">
        <f>VLOOKUP(E227,'SchoolInfo (3)'!A:C,3,0)</f>
        <v>'100212117</v>
      </c>
      <c r="E227" s="8">
        <v>5816</v>
      </c>
      <c r="F227" s="8" t="s">
        <v>1480</v>
      </c>
      <c r="G227" s="2" t="str">
        <f>VLOOKUP(E227,'SchoolInfo (3)'!A:K,11,0)</f>
        <v>CristelaA@susd12.org</v>
      </c>
    </row>
    <row r="228" spans="1:7" x14ac:dyDescent="0.25">
      <c r="A228" s="6" t="str">
        <f>VLOOKUP(B228,'SchoolInfo (3)'!A:C,3,0)</f>
        <v>'100212000</v>
      </c>
      <c r="B228" s="8">
        <v>4407</v>
      </c>
      <c r="C228" s="8" t="s">
        <v>331</v>
      </c>
      <c r="D228" s="8" t="str">
        <f>VLOOKUP(E228,'SchoolInfo (3)'!A:C,3,0)</f>
        <v>'100212116</v>
      </c>
      <c r="E228" s="8">
        <v>5815</v>
      </c>
      <c r="F228" s="8" t="s">
        <v>1516</v>
      </c>
      <c r="G228" s="2" t="str">
        <f>VLOOKUP(E228,'SchoolInfo (3)'!A:K,11,0)</f>
        <v>ClaudiaG@susd12.org</v>
      </c>
    </row>
    <row r="229" spans="1:7" x14ac:dyDescent="0.25">
      <c r="A229" s="6" t="str">
        <f>VLOOKUP(B229,'SchoolInfo (3)'!A:C,3,0)</f>
        <v>'100212000</v>
      </c>
      <c r="B229" s="8">
        <v>4407</v>
      </c>
      <c r="C229" s="8" t="s">
        <v>331</v>
      </c>
      <c r="D229" s="8" t="str">
        <f>VLOOKUP(E229,'SchoolInfo (3)'!A:C,3,0)</f>
        <v>'100212118</v>
      </c>
      <c r="E229" s="8">
        <v>5817</v>
      </c>
      <c r="F229" s="8" t="s">
        <v>1538</v>
      </c>
      <c r="G229" s="2" t="str">
        <f>VLOOKUP(E229,'SchoolInfo (3)'!A:K,11,0)</f>
        <v>DedeeK@susd12.org</v>
      </c>
    </row>
    <row r="230" spans="1:7" x14ac:dyDescent="0.25">
      <c r="A230" s="6" t="str">
        <f>VLOOKUP(B230,'SchoolInfo (3)'!A:C,3,0)</f>
        <v>'070403000</v>
      </c>
      <c r="B230" s="8">
        <v>4258</v>
      </c>
      <c r="C230" s="8" t="s">
        <v>701</v>
      </c>
      <c r="D230" s="8" t="str">
        <f>VLOOKUP(E230,'SchoolInfo (3)'!A:C,3,0)</f>
        <v>'070403121</v>
      </c>
      <c r="E230" s="8">
        <v>5220</v>
      </c>
      <c r="F230" s="8" t="s">
        <v>702</v>
      </c>
      <c r="G230" s="2">
        <f>VLOOKUP(E230,'SchoolInfo (3)'!A:K,11,0)</f>
        <v>0</v>
      </c>
    </row>
    <row r="231" spans="1:7" x14ac:dyDescent="0.25">
      <c r="A231" s="6" t="str">
        <f>VLOOKUP(B231,'SchoolInfo (3)'!A:C,3,0)</f>
        <v>'070403000</v>
      </c>
      <c r="B231" s="8">
        <v>4258</v>
      </c>
      <c r="C231" s="8" t="s">
        <v>701</v>
      </c>
      <c r="D231" s="8" t="str">
        <f>VLOOKUP(E231,'SchoolInfo (3)'!A:C,3,0)</f>
        <v>'070403117</v>
      </c>
      <c r="E231" s="8">
        <v>5216</v>
      </c>
      <c r="F231" s="8" t="s">
        <v>710</v>
      </c>
      <c r="G231" s="2" t="str">
        <f>VLOOKUP(E231,'SchoolInfo (3)'!A:K,11,0)</f>
        <v>mnikolic@tempeschools.org</v>
      </c>
    </row>
    <row r="232" spans="1:7" x14ac:dyDescent="0.25">
      <c r="A232" s="6" t="str">
        <f>VLOOKUP(B232,'SchoolInfo (3)'!A:C,3,0)</f>
        <v>'070403000</v>
      </c>
      <c r="B232" s="8">
        <v>4258</v>
      </c>
      <c r="C232" s="8" t="s">
        <v>701</v>
      </c>
      <c r="D232" s="8" t="str">
        <f>VLOOKUP(E232,'SchoolInfo (3)'!A:C,3,0)</f>
        <v>'070403115</v>
      </c>
      <c r="E232" s="8">
        <v>5215</v>
      </c>
      <c r="F232" s="8" t="s">
        <v>1387</v>
      </c>
      <c r="G232" s="2">
        <f>VLOOKUP(E232,'SchoolInfo (3)'!A:K,11,0)</f>
        <v>0</v>
      </c>
    </row>
    <row r="233" spans="1:7" x14ac:dyDescent="0.25">
      <c r="A233" s="6" t="str">
        <f>VLOOKUP(B233,'SchoolInfo (3)'!A:C,3,0)</f>
        <v>'070403000</v>
      </c>
      <c r="B233" s="8">
        <v>4258</v>
      </c>
      <c r="C233" s="8" t="s">
        <v>701</v>
      </c>
      <c r="D233" s="8" t="str">
        <f>VLOOKUP(E233,'SchoolInfo (3)'!A:C,3,0)</f>
        <v>'070403143</v>
      </c>
      <c r="E233" s="8">
        <v>5230</v>
      </c>
      <c r="F233" s="8" t="s">
        <v>1415</v>
      </c>
      <c r="G233" s="2" t="str">
        <f>VLOOKUP(E233,'SchoolInfo (3)'!A:K,11,0)</f>
        <v>Jolyn.gibbons@tempeschools.org</v>
      </c>
    </row>
    <row r="234" spans="1:7" x14ac:dyDescent="0.25">
      <c r="A234" s="6" t="str">
        <f>VLOOKUP(B234,'SchoolInfo (3)'!A:C,3,0)</f>
        <v>'070417000</v>
      </c>
      <c r="B234" s="8">
        <v>4264</v>
      </c>
      <c r="C234" s="8" t="s">
        <v>1281</v>
      </c>
      <c r="D234" s="8" t="str">
        <f>VLOOKUP(E234,'SchoolInfo (3)'!A:C,3,0)</f>
        <v>'070417102</v>
      </c>
      <c r="E234" s="8">
        <v>10869</v>
      </c>
      <c r="F234" s="8" t="s">
        <v>502</v>
      </c>
      <c r="G234" s="2">
        <f>VLOOKUP(E234,'SchoolInfo (3)'!A:K,11,0)</f>
        <v>0</v>
      </c>
    </row>
    <row r="235" spans="1:7" x14ac:dyDescent="0.25">
      <c r="A235" s="6" t="str">
        <f>VLOOKUP(B235,'SchoolInfo (3)'!A:C,3,0)</f>
        <v>'070417000</v>
      </c>
      <c r="B235" s="8">
        <v>4264</v>
      </c>
      <c r="C235" s="8" t="s">
        <v>1281</v>
      </c>
      <c r="D235" s="8" t="str">
        <f>VLOOKUP(E235,'SchoolInfo (3)'!A:C,3,0)</f>
        <v>'070417103</v>
      </c>
      <c r="E235" s="8">
        <v>79402</v>
      </c>
      <c r="F235" s="8" t="s">
        <v>1357</v>
      </c>
      <c r="G235" s="2" t="str">
        <f>VLOOKUP(E235,'SchoolInfo (3)'!A:K,11,0)</f>
        <v>jscudder@tesd.k12.az.us</v>
      </c>
    </row>
    <row r="236" spans="1:7" x14ac:dyDescent="0.25">
      <c r="A236" s="6" t="str">
        <f>VLOOKUP(B236,'SchoolInfo (3)'!A:C,3,0)</f>
        <v>'110422000</v>
      </c>
      <c r="B236" s="8">
        <v>4450</v>
      </c>
      <c r="C236" s="8" t="s">
        <v>1541</v>
      </c>
      <c r="D236" s="8" t="str">
        <f>VLOOKUP(E236,'SchoolInfo (3)'!A:C,3,0)</f>
        <v>'110422105</v>
      </c>
      <c r="E236" s="8">
        <v>92244</v>
      </c>
      <c r="F236" s="8" t="s">
        <v>1542</v>
      </c>
      <c r="G236" s="2" t="str">
        <f>VLOOKUP(E236,'SchoolInfo (3)'!A:K,11,0)</f>
        <v>bmccleney@toltecsd.org</v>
      </c>
    </row>
    <row r="237" spans="1:7" x14ac:dyDescent="0.25">
      <c r="A237" s="6" t="str">
        <f>VLOOKUP(B237,'SchoolInfo (3)'!A:C,3,0)</f>
        <v>'080412000</v>
      </c>
      <c r="B237" s="8">
        <v>4376</v>
      </c>
      <c r="C237" s="8" t="s">
        <v>1255</v>
      </c>
      <c r="D237" s="8" t="str">
        <f>VLOOKUP(E237,'SchoolInfo (3)'!A:C,3,0)</f>
        <v>'080412012</v>
      </c>
      <c r="E237" s="8">
        <v>5581</v>
      </c>
      <c r="F237" s="8" t="s">
        <v>1256</v>
      </c>
      <c r="G237" s="2" t="str">
        <f>VLOOKUP(E237,'SchoolInfo (3)'!A:K,11,0)</f>
        <v>jwarren@topockschool.com</v>
      </c>
    </row>
    <row r="238" spans="1:7" x14ac:dyDescent="0.25">
      <c r="A238" s="6" t="str">
        <f>VLOOKUP(B238,'SchoolInfo (3)'!A:C,3,0)</f>
        <v>'030215000</v>
      </c>
      <c r="B238" s="8">
        <v>4197</v>
      </c>
      <c r="C238" s="8" t="s">
        <v>399</v>
      </c>
      <c r="D238" s="8" t="str">
        <f>VLOOKUP(E238,'SchoolInfo (3)'!A:C,3,0)</f>
        <v>'030215111</v>
      </c>
      <c r="E238" s="8">
        <v>4834</v>
      </c>
      <c r="F238" s="8" t="s">
        <v>400</v>
      </c>
      <c r="G238" s="2" t="str">
        <f>VLOOKUP(E238,'SchoolInfo (3)'!A:K,11,0)</f>
        <v>sisaac@tcusd.org</v>
      </c>
    </row>
    <row r="239" spans="1:7" x14ac:dyDescent="0.25">
      <c r="A239" s="6" t="str">
        <f>VLOOKUP(B239,'SchoolInfo (3)'!A:C,3,0)</f>
        <v>'030215000</v>
      </c>
      <c r="B239" s="8">
        <v>4197</v>
      </c>
      <c r="C239" s="8" t="s">
        <v>399</v>
      </c>
      <c r="D239" s="8" t="str">
        <f>VLOOKUP(E239,'SchoolInfo (3)'!A:C,3,0)</f>
        <v>'030215110</v>
      </c>
      <c r="E239" s="8">
        <v>4833</v>
      </c>
      <c r="F239" s="8" t="s">
        <v>404</v>
      </c>
      <c r="G239" s="2" t="str">
        <f>VLOOKUP(E239,'SchoolInfo (3)'!A:K,11,0)</f>
        <v>snavaho@tcusd.org</v>
      </c>
    </row>
    <row r="240" spans="1:7" x14ac:dyDescent="0.25">
      <c r="A240" s="6" t="str">
        <f>VLOOKUP(B240,'SchoolInfo (3)'!A:C,3,0)</f>
        <v>'030215000</v>
      </c>
      <c r="B240" s="8">
        <v>4197</v>
      </c>
      <c r="C240" s="8" t="s">
        <v>399</v>
      </c>
      <c r="D240" s="8" t="str">
        <f>VLOOKUP(E240,'SchoolInfo (3)'!A:C,3,0)</f>
        <v>'030215112</v>
      </c>
      <c r="E240" s="8">
        <v>4835</v>
      </c>
      <c r="F240" s="8" t="s">
        <v>407</v>
      </c>
      <c r="G240" s="2" t="str">
        <f>VLOOKUP(E240,'SchoolInfo (3)'!A:K,11,0)</f>
        <v>sisaac@tcusd.org</v>
      </c>
    </row>
    <row r="241" spans="1:7" x14ac:dyDescent="0.25">
      <c r="A241" s="6" t="str">
        <f>VLOOKUP(B241,'SchoolInfo (3)'!A:C,3,0)</f>
        <v>'030215000</v>
      </c>
      <c r="B241" s="8">
        <v>4197</v>
      </c>
      <c r="C241" s="8" t="s">
        <v>399</v>
      </c>
      <c r="D241" s="8" t="str">
        <f>VLOOKUP(E241,'SchoolInfo (3)'!A:C,3,0)</f>
        <v>'030215130</v>
      </c>
      <c r="E241" s="8">
        <v>4837</v>
      </c>
      <c r="F241" s="8" t="s">
        <v>409</v>
      </c>
      <c r="G241" s="2" t="str">
        <f>VLOOKUP(E241,'SchoolInfo (3)'!A:K,11,0)</f>
        <v>hgbegay@tcusd.org</v>
      </c>
    </row>
    <row r="242" spans="1:7" x14ac:dyDescent="0.25">
      <c r="A242" s="6" t="str">
        <f>VLOOKUP(B242,'SchoolInfo (3)'!A:C,3,0)</f>
        <v>'108714000</v>
      </c>
      <c r="B242" s="8">
        <v>79979</v>
      </c>
      <c r="C242" s="8" t="s">
        <v>1427</v>
      </c>
      <c r="D242" s="8" t="str">
        <f>VLOOKUP(E242,'SchoolInfo (3)'!A:C,3,0)</f>
        <v>'108714104</v>
      </c>
      <c r="E242" s="8">
        <v>90045</v>
      </c>
      <c r="F242" s="8" t="s">
        <v>1428</v>
      </c>
      <c r="G242" s="2">
        <f>VLOOKUP(E242,'SchoolInfo (3)'!A:K,11,0)</f>
        <v>0</v>
      </c>
    </row>
    <row r="243" spans="1:7" x14ac:dyDescent="0.25">
      <c r="A243" s="6" t="str">
        <f>VLOOKUP(B243,'SchoolInfo (3)'!A:C,3,0)</f>
        <v>'100201000</v>
      </c>
      <c r="B243" s="8">
        <v>4403</v>
      </c>
      <c r="C243" s="8" t="s">
        <v>330</v>
      </c>
      <c r="D243" s="8" t="str">
        <f>VLOOKUP(E243,'SchoolInfo (3)'!A:C,3,0)</f>
        <v>'100201277</v>
      </c>
      <c r="E243" s="8">
        <v>5694</v>
      </c>
      <c r="F243" s="8" t="s">
        <v>766</v>
      </c>
      <c r="G243" s="2" t="str">
        <f>VLOOKUP(E243,'SchoolInfo (3)'!A:K,11,0)</f>
        <v>Zulema.Stanbrook@tusd1.org</v>
      </c>
    </row>
    <row r="244" spans="1:7" x14ac:dyDescent="0.25">
      <c r="A244" s="6" t="str">
        <f>VLOOKUP(B244,'SchoolInfo (3)'!A:C,3,0)</f>
        <v>'100201000</v>
      </c>
      <c r="B244" s="8">
        <v>4403</v>
      </c>
      <c r="C244" s="8" t="s">
        <v>330</v>
      </c>
      <c r="D244" s="8" t="str">
        <f>VLOOKUP(E244,'SchoolInfo (3)'!A:C,3,0)</f>
        <v>'100201557</v>
      </c>
      <c r="E244" s="8">
        <v>5751</v>
      </c>
      <c r="F244" s="8" t="s">
        <v>772</v>
      </c>
      <c r="G244" s="2" t="str">
        <f>VLOOKUP(E244,'SchoolInfo (3)'!A:K,11,0)</f>
        <v>Patricia.acosta@tusd1.org</v>
      </c>
    </row>
    <row r="245" spans="1:7" x14ac:dyDescent="0.25">
      <c r="A245" s="6" t="str">
        <f>VLOOKUP(B245,'SchoolInfo (3)'!A:C,3,0)</f>
        <v>'100201000</v>
      </c>
      <c r="B245" s="8">
        <v>4403</v>
      </c>
      <c r="C245" s="8" t="s">
        <v>330</v>
      </c>
      <c r="D245" s="8" t="str">
        <f>VLOOKUP(E245,'SchoolInfo (3)'!A:C,3,0)</f>
        <v>'100201311</v>
      </c>
      <c r="E245" s="8">
        <v>5705</v>
      </c>
      <c r="F245" s="8" t="s">
        <v>784</v>
      </c>
      <c r="G245" s="2" t="str">
        <f>VLOOKUP(E245,'SchoolInfo (3)'!A:K,11,0)</f>
        <v>Sandra.Calkins@tusd1.org</v>
      </c>
    </row>
    <row r="246" spans="1:7" x14ac:dyDescent="0.25">
      <c r="A246" s="6" t="str">
        <f>VLOOKUP(B246,'SchoolInfo (3)'!A:C,3,0)</f>
        <v>'100201000</v>
      </c>
      <c r="B246" s="8">
        <v>4403</v>
      </c>
      <c r="C246" s="8" t="s">
        <v>330</v>
      </c>
      <c r="D246" s="8" t="str">
        <f>VLOOKUP(E246,'SchoolInfo (3)'!A:C,3,0)</f>
        <v>'100201323</v>
      </c>
      <c r="E246" s="8">
        <v>5707</v>
      </c>
      <c r="F246" s="8" t="s">
        <v>793</v>
      </c>
      <c r="G246" s="2" t="str">
        <f>VLOOKUP(E246,'SchoolInfo (3)'!A:K,11,0)</f>
        <v>Rosamaria.DuarteRaub@tusd1.org</v>
      </c>
    </row>
    <row r="247" spans="1:7" x14ac:dyDescent="0.25">
      <c r="A247" s="6" t="str">
        <f>VLOOKUP(B247,'SchoolInfo (3)'!A:C,3,0)</f>
        <v>'100201000</v>
      </c>
      <c r="B247" s="8">
        <v>4403</v>
      </c>
      <c r="C247" s="8" t="s">
        <v>330</v>
      </c>
      <c r="D247" s="8" t="str">
        <f>VLOOKUP(E247,'SchoolInfo (3)'!A:C,3,0)</f>
        <v>'100201535</v>
      </c>
      <c r="E247" s="8">
        <v>5746</v>
      </c>
      <c r="F247" s="8" t="s">
        <v>795</v>
      </c>
      <c r="G247" s="2" t="str">
        <f>VLOOKUP(E247,'SchoolInfo (3)'!A:K,11,0)</f>
        <v>steve.gabaldon@tusd1.org</v>
      </c>
    </row>
    <row r="248" spans="1:7" x14ac:dyDescent="0.25">
      <c r="A248" s="6" t="str">
        <f>VLOOKUP(B248,'SchoolInfo (3)'!A:C,3,0)</f>
        <v>'100201000</v>
      </c>
      <c r="B248" s="8">
        <v>4403</v>
      </c>
      <c r="C248" s="8" t="s">
        <v>330</v>
      </c>
      <c r="D248" s="8" t="str">
        <f>VLOOKUP(E248,'SchoolInfo (3)'!A:C,3,0)</f>
        <v>'100201431</v>
      </c>
      <c r="E248" s="8">
        <v>5726</v>
      </c>
      <c r="F248" s="8" t="s">
        <v>799</v>
      </c>
      <c r="G248" s="2" t="str">
        <f>VLOOKUP(E248,'SchoolInfo (3)'!A:K,11,0)</f>
        <v>Roberto.Thompson@tusd1.org</v>
      </c>
    </row>
    <row r="249" spans="1:7" x14ac:dyDescent="0.25">
      <c r="A249" s="6" t="str">
        <f>VLOOKUP(B249,'SchoolInfo (3)'!A:C,3,0)</f>
        <v>'100201000</v>
      </c>
      <c r="B249" s="8">
        <v>4403</v>
      </c>
      <c r="C249" s="8" t="s">
        <v>330</v>
      </c>
      <c r="D249" s="8" t="str">
        <f>VLOOKUP(E249,'SchoolInfo (3)'!A:C,3,0)</f>
        <v>'100201239</v>
      </c>
      <c r="E249" s="8">
        <v>5686</v>
      </c>
      <c r="F249" s="8" t="s">
        <v>803</v>
      </c>
      <c r="G249" s="2" t="str">
        <f>VLOOKUP(E249,'SchoolInfo (3)'!A:K,11,0)</f>
        <v>Tonya.Stozier@tusd1.org</v>
      </c>
    </row>
    <row r="250" spans="1:7" x14ac:dyDescent="0.25">
      <c r="A250" s="6" t="str">
        <f>VLOOKUP(B250,'SchoolInfo (3)'!A:C,3,0)</f>
        <v>'100201000</v>
      </c>
      <c r="B250" s="8">
        <v>4403</v>
      </c>
      <c r="C250" s="8" t="s">
        <v>330</v>
      </c>
      <c r="D250" s="8" t="str">
        <f>VLOOKUP(E250,'SchoolInfo (3)'!A:C,3,0)</f>
        <v>'100201505</v>
      </c>
      <c r="E250" s="8">
        <v>5737</v>
      </c>
      <c r="F250" s="8" t="s">
        <v>820</v>
      </c>
      <c r="G250" s="2" t="str">
        <f>VLOOKUP(E250,'SchoolInfo (3)'!A:K,11,0)</f>
        <v>venessa.morales@tusd1.org</v>
      </c>
    </row>
    <row r="251" spans="1:7" x14ac:dyDescent="0.25">
      <c r="A251" s="6" t="str">
        <f>VLOOKUP(B251,'SchoolInfo (3)'!A:C,3,0)</f>
        <v>'100201000</v>
      </c>
      <c r="B251" s="8">
        <v>4403</v>
      </c>
      <c r="C251" s="8" t="s">
        <v>330</v>
      </c>
      <c r="D251" s="8" t="str">
        <f>VLOOKUP(E251,'SchoolInfo (3)'!A:C,3,0)</f>
        <v>'100201461</v>
      </c>
      <c r="E251" s="8">
        <v>5733</v>
      </c>
      <c r="F251" s="8" t="s">
        <v>822</v>
      </c>
      <c r="G251" s="2">
        <f>VLOOKUP(E251,'SchoolInfo (3)'!A:K,11,0)</f>
        <v>0</v>
      </c>
    </row>
    <row r="252" spans="1:7" x14ac:dyDescent="0.25">
      <c r="A252" s="6" t="str">
        <f>VLOOKUP(B252,'SchoolInfo (3)'!A:C,3,0)</f>
        <v>'100201000</v>
      </c>
      <c r="B252" s="8">
        <v>4403</v>
      </c>
      <c r="C252" s="8" t="s">
        <v>330</v>
      </c>
      <c r="D252" s="8" t="str">
        <f>VLOOKUP(E252,'SchoolInfo (3)'!A:C,3,0)</f>
        <v>'100201525</v>
      </c>
      <c r="E252" s="8">
        <v>5744</v>
      </c>
      <c r="F252" s="8" t="s">
        <v>824</v>
      </c>
      <c r="G252" s="2" t="str">
        <f>VLOOKUP(E252,'SchoolInfo (3)'!A:K,11,0)</f>
        <v>Bernasette.RosthenhauslerEspinoza@tusd1.org</v>
      </c>
    </row>
    <row r="253" spans="1:7" x14ac:dyDescent="0.25">
      <c r="A253" s="6" t="str">
        <f>VLOOKUP(B253,'SchoolInfo (3)'!A:C,3,0)</f>
        <v>'100201000</v>
      </c>
      <c r="B253" s="8">
        <v>4403</v>
      </c>
      <c r="C253" s="8" t="s">
        <v>330</v>
      </c>
      <c r="D253" s="8" t="str">
        <f>VLOOKUP(E253,'SchoolInfo (3)'!A:C,3,0)</f>
        <v>'100201317</v>
      </c>
      <c r="E253" s="8">
        <v>5706</v>
      </c>
      <c r="F253" s="8" t="s">
        <v>826</v>
      </c>
      <c r="G253" s="2">
        <f>VLOOKUP(E253,'SchoolInfo (3)'!A:K,11,0)</f>
        <v>0</v>
      </c>
    </row>
    <row r="254" spans="1:7" x14ac:dyDescent="0.25">
      <c r="A254" s="6" t="str">
        <f>VLOOKUP(B254,'SchoolInfo (3)'!A:C,3,0)</f>
        <v>'100201000</v>
      </c>
      <c r="B254" s="8">
        <v>4403</v>
      </c>
      <c r="C254" s="8" t="s">
        <v>330</v>
      </c>
      <c r="D254" s="8" t="str">
        <f>VLOOKUP(E254,'SchoolInfo (3)'!A:C,3,0)</f>
        <v>'100201197</v>
      </c>
      <c r="E254" s="8">
        <v>5673</v>
      </c>
      <c r="F254" s="8" t="s">
        <v>828</v>
      </c>
      <c r="G254" s="2">
        <f>VLOOKUP(E254,'SchoolInfo (3)'!A:K,11,0)</f>
        <v>0</v>
      </c>
    </row>
    <row r="255" spans="1:7" x14ac:dyDescent="0.25">
      <c r="A255" s="6" t="str">
        <f>VLOOKUP(B255,'SchoolInfo (3)'!A:C,3,0)</f>
        <v>'100201000</v>
      </c>
      <c r="B255" s="8">
        <v>4403</v>
      </c>
      <c r="C255" s="8" t="s">
        <v>330</v>
      </c>
      <c r="D255" s="8" t="str">
        <f>VLOOKUP(E255,'SchoolInfo (3)'!A:C,3,0)</f>
        <v>'100201537</v>
      </c>
      <c r="E255" s="8">
        <v>5747</v>
      </c>
      <c r="F255" s="8" t="s">
        <v>831</v>
      </c>
      <c r="G255" s="2" t="str">
        <f>VLOOKUP(E255,'SchoolInfo (3)'!A:K,11,0)</f>
        <v>Deborah.Garcia@tusd1.org</v>
      </c>
    </row>
    <row r="256" spans="1:7" x14ac:dyDescent="0.25">
      <c r="A256" s="6" t="str">
        <f>VLOOKUP(B256,'SchoolInfo (3)'!A:C,3,0)</f>
        <v>'100201000</v>
      </c>
      <c r="B256" s="8">
        <v>4403</v>
      </c>
      <c r="C256" s="8" t="s">
        <v>330</v>
      </c>
      <c r="D256" s="8" t="str">
        <f>VLOOKUP(E256,'SchoolInfo (3)'!A:C,3,0)</f>
        <v>'100201128</v>
      </c>
      <c r="E256" s="8">
        <v>5660</v>
      </c>
      <c r="F256" s="8" t="s">
        <v>1310</v>
      </c>
      <c r="G256" s="2" t="str">
        <f>VLOOKUP(E256,'SchoolInfo (3)'!A:K,11,0)</f>
        <v>lucinda.brunenkant@tusd1.org</v>
      </c>
    </row>
    <row r="257" spans="1:7" x14ac:dyDescent="0.25">
      <c r="A257" s="6" t="str">
        <f>VLOOKUP(B257,'SchoolInfo (3)'!A:C,3,0)</f>
        <v>'100201000</v>
      </c>
      <c r="B257" s="8">
        <v>4403</v>
      </c>
      <c r="C257" s="8" t="s">
        <v>330</v>
      </c>
      <c r="D257" s="8" t="str">
        <f>VLOOKUP(E257,'SchoolInfo (3)'!A:C,3,0)</f>
        <v>'100201131</v>
      </c>
      <c r="E257" s="8">
        <v>5661</v>
      </c>
      <c r="F257" s="8" t="s">
        <v>1318</v>
      </c>
      <c r="G257" s="2" t="str">
        <f>VLOOKUP(E257,'SchoolInfo (3)'!A:K,11,0)</f>
        <v>frank.schiavone@tusd1.org</v>
      </c>
    </row>
    <row r="258" spans="1:7" x14ac:dyDescent="0.25">
      <c r="A258" s="6" t="str">
        <f>VLOOKUP(B258,'SchoolInfo (3)'!A:C,3,0)</f>
        <v>'100201000</v>
      </c>
      <c r="B258" s="8">
        <v>4403</v>
      </c>
      <c r="C258" s="8" t="s">
        <v>330</v>
      </c>
      <c r="D258" s="8" t="str">
        <f>VLOOKUP(E258,'SchoolInfo (3)'!A:C,3,0)</f>
        <v>'100201233</v>
      </c>
      <c r="E258" s="8">
        <v>5684</v>
      </c>
      <c r="F258" s="8" t="s">
        <v>1341</v>
      </c>
      <c r="G258" s="2">
        <f>VLOOKUP(E258,'SchoolInfo (3)'!A:K,11,0)</f>
        <v>0</v>
      </c>
    </row>
    <row r="259" spans="1:7" x14ac:dyDescent="0.25">
      <c r="A259" s="6" t="str">
        <f>VLOOKUP(B259,'SchoolInfo (3)'!A:C,3,0)</f>
        <v>'100201000</v>
      </c>
      <c r="B259" s="8">
        <v>4403</v>
      </c>
      <c r="C259" s="8" t="s">
        <v>330</v>
      </c>
      <c r="D259" s="8" t="str">
        <f>VLOOKUP(E259,'SchoolInfo (3)'!A:C,3,0)</f>
        <v>'100201125</v>
      </c>
      <c r="E259" s="8">
        <v>5659</v>
      </c>
      <c r="F259" s="8" t="s">
        <v>1417</v>
      </c>
      <c r="G259" s="2" t="str">
        <f>VLOOKUP(E259,'SchoolInfo (3)'!A:K,11,0)</f>
        <v>kelly.mack@tusd1.org</v>
      </c>
    </row>
    <row r="260" spans="1:7" x14ac:dyDescent="0.25">
      <c r="A260" s="6" t="str">
        <f>VLOOKUP(B260,'SchoolInfo (3)'!A:C,3,0)</f>
        <v>'100201000</v>
      </c>
      <c r="B260" s="8">
        <v>4403</v>
      </c>
      <c r="C260" s="8" t="s">
        <v>330</v>
      </c>
      <c r="D260" s="8" t="str">
        <f>VLOOKUP(E260,'SchoolInfo (3)'!A:C,3,0)</f>
        <v>'100201167</v>
      </c>
      <c r="E260" s="8">
        <v>5667</v>
      </c>
      <c r="F260" s="8" t="s">
        <v>1419</v>
      </c>
      <c r="G260" s="2" t="str">
        <f>VLOOKUP(E260,'SchoolInfo (3)'!A:K,11,0)</f>
        <v>carol.leeson@tusd1.org</v>
      </c>
    </row>
    <row r="261" spans="1:7" x14ac:dyDescent="0.25">
      <c r="A261" s="6" t="str">
        <f>VLOOKUP(B261,'SchoolInfo (3)'!A:C,3,0)</f>
        <v>'100201000</v>
      </c>
      <c r="B261" s="8">
        <v>4403</v>
      </c>
      <c r="C261" s="8" t="s">
        <v>330</v>
      </c>
      <c r="D261" s="8" t="str">
        <f>VLOOKUP(E261,'SchoolInfo (3)'!A:C,3,0)</f>
        <v>'100201231</v>
      </c>
      <c r="E261" s="8">
        <v>5683</v>
      </c>
      <c r="F261" s="8" t="s">
        <v>1423</v>
      </c>
      <c r="G261" s="2" t="str">
        <f>VLOOKUP(E261,'SchoolInfo (3)'!A:K,11,0)</f>
        <v>timothy.grivois-shah@tusd1.org</v>
      </c>
    </row>
    <row r="262" spans="1:7" x14ac:dyDescent="0.25">
      <c r="A262" s="6" t="str">
        <f>VLOOKUP(B262,'SchoolInfo (3)'!A:C,3,0)</f>
        <v>'100201000</v>
      </c>
      <c r="B262" s="8">
        <v>4403</v>
      </c>
      <c r="C262" s="8" t="s">
        <v>330</v>
      </c>
      <c r="D262" s="8" t="str">
        <f>VLOOKUP(E262,'SchoolInfo (3)'!A:C,3,0)</f>
        <v>'100201353</v>
      </c>
      <c r="E262" s="8">
        <v>5713</v>
      </c>
      <c r="F262" s="8" t="s">
        <v>1434</v>
      </c>
      <c r="G262" s="2">
        <f>VLOOKUP(E262,'SchoolInfo (3)'!A:K,11,0)</f>
        <v>0</v>
      </c>
    </row>
    <row r="263" spans="1:7" x14ac:dyDescent="0.25">
      <c r="A263" s="6" t="str">
        <f>VLOOKUP(B263,'SchoolInfo (3)'!A:C,3,0)</f>
        <v>'100201000</v>
      </c>
      <c r="B263" s="8">
        <v>4403</v>
      </c>
      <c r="C263" s="8" t="s">
        <v>330</v>
      </c>
      <c r="D263" s="8" t="str">
        <f>VLOOKUP(E263,'SchoolInfo (3)'!A:C,3,0)</f>
        <v>'100201550</v>
      </c>
      <c r="E263" s="8">
        <v>5749</v>
      </c>
      <c r="F263" s="8" t="s">
        <v>1448</v>
      </c>
      <c r="G263" s="2" t="str">
        <f>VLOOKUP(E263,'SchoolInfo (3)'!A:K,11,0)</f>
        <v>robin.dunbar@tusd1.org</v>
      </c>
    </row>
    <row r="264" spans="1:7" x14ac:dyDescent="0.25">
      <c r="A264" s="6" t="str">
        <f>VLOOKUP(B264,'SchoolInfo (3)'!A:C,3,0)</f>
        <v>'100201000</v>
      </c>
      <c r="B264" s="8">
        <v>4403</v>
      </c>
      <c r="C264" s="8" t="s">
        <v>330</v>
      </c>
      <c r="D264" s="8" t="str">
        <f>VLOOKUP(E264,'SchoolInfo (3)'!A:C,3,0)</f>
        <v>'100201371</v>
      </c>
      <c r="E264" s="8">
        <v>5715</v>
      </c>
      <c r="F264" s="8" t="s">
        <v>1518</v>
      </c>
      <c r="G264" s="2" t="str">
        <f>VLOOKUP(E264,'SchoolInfo (3)'!A:K,11,0)</f>
        <v>alma.carmona@tusd1.org</v>
      </c>
    </row>
    <row r="265" spans="1:7" x14ac:dyDescent="0.25">
      <c r="A265" s="6" t="str">
        <f>VLOOKUP(B265,'SchoolInfo (3)'!A:C,3,0)</f>
        <v>'100201000</v>
      </c>
      <c r="B265" s="8">
        <v>4403</v>
      </c>
      <c r="C265" s="8" t="s">
        <v>330</v>
      </c>
      <c r="D265" s="8" t="str">
        <f>VLOOKUP(E265,'SchoolInfo (3)'!A:C,3,0)</f>
        <v>'100201419</v>
      </c>
      <c r="E265" s="8">
        <v>5725</v>
      </c>
      <c r="F265" s="8" t="s">
        <v>1529</v>
      </c>
      <c r="G265" s="2">
        <f>VLOOKUP(E265,'SchoolInfo (3)'!A:K,11,0)</f>
        <v>0</v>
      </c>
    </row>
    <row r="266" spans="1:7" x14ac:dyDescent="0.25">
      <c r="A266" s="6" t="str">
        <f>VLOOKUP(B266,'SchoolInfo (3)'!A:C,3,0)</f>
        <v>'010309000</v>
      </c>
      <c r="B266" s="8">
        <v>4162</v>
      </c>
      <c r="C266" s="8" t="s">
        <v>1260</v>
      </c>
      <c r="D266" s="8" t="str">
        <f>VLOOKUP(E266,'SchoolInfo (3)'!A:C,3,0)</f>
        <v>'010309101</v>
      </c>
      <c r="E266" s="8">
        <v>4744</v>
      </c>
      <c r="F266" s="8" t="s">
        <v>1261</v>
      </c>
      <c r="G266" s="2" t="str">
        <f>VLOOKUP(E266,'SchoolInfo (3)'!A:K,11,0)</f>
        <v>bbaca@vernon.k12.az.us</v>
      </c>
    </row>
    <row r="267" spans="1:7" x14ac:dyDescent="0.25">
      <c r="A267" s="6" t="str">
        <f>VLOOKUP(B267,'SchoolInfo (3)'!A:C,3,0)</f>
        <v>'078410000</v>
      </c>
      <c r="B267" s="8">
        <v>92985</v>
      </c>
      <c r="C267" s="8" t="s">
        <v>492</v>
      </c>
      <c r="D267" s="8" t="str">
        <f>VLOOKUP(E267,'SchoolInfo (3)'!A:C,3,0)</f>
        <v>'078410001</v>
      </c>
      <c r="E267" s="8">
        <v>829726</v>
      </c>
      <c r="F267" s="8" t="s">
        <v>493</v>
      </c>
      <c r="G267" s="2" t="str">
        <f>VLOOKUP(E267,'SchoolInfo (3)'!A:K,11,0)</f>
        <v>edu.compliance.svcs@gmail.com</v>
      </c>
    </row>
    <row r="268" spans="1:7" x14ac:dyDescent="0.25">
      <c r="A268" s="6" t="str">
        <f>VLOOKUP(B268,'SchoolInfo (3)'!A:C,3,0)</f>
        <v>'070406000</v>
      </c>
      <c r="B268" s="8">
        <v>4260</v>
      </c>
      <c r="C268" s="8" t="s">
        <v>611</v>
      </c>
      <c r="D268" s="8" t="str">
        <f>VLOOKUP(E268,'SchoolInfo (3)'!A:C,3,0)</f>
        <v>'070406138</v>
      </c>
      <c r="E268" s="8">
        <v>5257</v>
      </c>
      <c r="F268" s="8" t="s">
        <v>612</v>
      </c>
      <c r="G268" s="2" t="str">
        <f>VLOOKUP(E268,'SchoolInfo (3)'!A:K,11,0)</f>
        <v>adele.russell@wesdschools.org</v>
      </c>
    </row>
    <row r="269" spans="1:7" x14ac:dyDescent="0.25">
      <c r="A269" s="6" t="str">
        <f>VLOOKUP(B269,'SchoolInfo (3)'!A:C,3,0)</f>
        <v>'070406000</v>
      </c>
      <c r="B269" s="8">
        <v>4260</v>
      </c>
      <c r="C269" s="8" t="s">
        <v>611</v>
      </c>
      <c r="D269" s="8" t="str">
        <f>VLOOKUP(E269,'SchoolInfo (3)'!A:C,3,0)</f>
        <v>'070406154</v>
      </c>
      <c r="E269" s="8">
        <v>5266</v>
      </c>
      <c r="F269" s="8" t="s">
        <v>621</v>
      </c>
      <c r="G269" s="2" t="str">
        <f>VLOOKUP(E269,'SchoolInfo (3)'!A:K,11,0)</f>
        <v>lenny.hoover@wesdschools.org</v>
      </c>
    </row>
    <row r="270" spans="1:7" x14ac:dyDescent="0.25">
      <c r="A270" s="6" t="str">
        <f>VLOOKUP(B270,'SchoolInfo (3)'!A:C,3,0)</f>
        <v>'070406000</v>
      </c>
      <c r="B270" s="8">
        <v>4260</v>
      </c>
      <c r="C270" s="8" t="s">
        <v>611</v>
      </c>
      <c r="D270" s="8" t="str">
        <f>VLOOKUP(E270,'SchoolInfo (3)'!A:C,3,0)</f>
        <v>'070406146</v>
      </c>
      <c r="E270" s="8">
        <v>5262</v>
      </c>
      <c r="F270" s="8" t="s">
        <v>624</v>
      </c>
      <c r="G270" s="2" t="str">
        <f>VLOOKUP(E270,'SchoolInfo (3)'!A:K,11,0)</f>
        <v>andree.charlson@wesdschools.org</v>
      </c>
    </row>
    <row r="271" spans="1:7" x14ac:dyDescent="0.25">
      <c r="A271" s="6" t="str">
        <f>VLOOKUP(B271,'SchoolInfo (3)'!A:C,3,0)</f>
        <v>'070406000</v>
      </c>
      <c r="B271" s="8">
        <v>4260</v>
      </c>
      <c r="C271" s="8" t="s">
        <v>611</v>
      </c>
      <c r="D271" s="8" t="str">
        <f>VLOOKUP(E271,'SchoolInfo (3)'!A:C,3,0)</f>
        <v>'070406168</v>
      </c>
      <c r="E271" s="8">
        <v>5275</v>
      </c>
      <c r="F271" s="8" t="s">
        <v>695</v>
      </c>
      <c r="G271" s="2">
        <f>VLOOKUP(E271,'SchoolInfo (3)'!A:K,11,0)</f>
        <v>0</v>
      </c>
    </row>
    <row r="272" spans="1:7" x14ac:dyDescent="0.25">
      <c r="A272" s="6" t="str">
        <f>VLOOKUP(B272,'SchoolInfo (3)'!A:C,3,0)</f>
        <v>'070406000</v>
      </c>
      <c r="B272" s="8">
        <v>4260</v>
      </c>
      <c r="C272" s="8" t="s">
        <v>611</v>
      </c>
      <c r="D272" s="8" t="str">
        <f>VLOOKUP(E272,'SchoolInfo (3)'!A:C,3,0)</f>
        <v>'070406140</v>
      </c>
      <c r="E272" s="8">
        <v>5258</v>
      </c>
      <c r="F272" s="8" t="s">
        <v>1274</v>
      </c>
      <c r="G272" s="2" t="str">
        <f>VLOOKUP(E272,'SchoolInfo (3)'!A:K,11,0)</f>
        <v>marylou.palmer@wesdschools.org</v>
      </c>
    </row>
    <row r="273" spans="1:7" x14ac:dyDescent="0.25">
      <c r="A273" s="6" t="str">
        <f>VLOOKUP(B273,'SchoolInfo (3)'!A:C,3,0)</f>
        <v>'070406000</v>
      </c>
      <c r="B273" s="8">
        <v>4260</v>
      </c>
      <c r="C273" s="8" t="s">
        <v>611</v>
      </c>
      <c r="D273" s="8" t="str">
        <f>VLOOKUP(E273,'SchoolInfo (3)'!A:C,3,0)</f>
        <v>'070406152</v>
      </c>
      <c r="E273" s="8">
        <v>5265</v>
      </c>
      <c r="F273" s="8" t="s">
        <v>1285</v>
      </c>
      <c r="G273" s="2" t="str">
        <f>VLOOKUP(E273,'SchoolInfo (3)'!A:K,11,0)</f>
        <v>karen.menaugh@wesdschools.org</v>
      </c>
    </row>
    <row r="274" spans="1:7" x14ac:dyDescent="0.25">
      <c r="A274" s="6" t="str">
        <f>VLOOKUP(B274,'SchoolInfo (3)'!A:C,3,0)</f>
        <v>'070406000</v>
      </c>
      <c r="B274" s="8">
        <v>4260</v>
      </c>
      <c r="C274" s="8" t="s">
        <v>611</v>
      </c>
      <c r="D274" s="8" t="str">
        <f>VLOOKUP(E274,'SchoolInfo (3)'!A:C,3,0)</f>
        <v>'070406120</v>
      </c>
      <c r="E274" s="8">
        <v>5247</v>
      </c>
      <c r="F274" s="8" t="s">
        <v>1329</v>
      </c>
      <c r="G274" s="2" t="str">
        <f>VLOOKUP(E274,'SchoolInfo (3)'!A:K,11,0)</f>
        <v>kaylene.ashbridge@wesdschools.org</v>
      </c>
    </row>
    <row r="275" spans="1:7" x14ac:dyDescent="0.25">
      <c r="A275" s="6" t="str">
        <f>VLOOKUP(B275,'SchoolInfo (3)'!A:C,3,0)</f>
        <v>'070406000</v>
      </c>
      <c r="B275" s="8">
        <v>4260</v>
      </c>
      <c r="C275" s="8" t="s">
        <v>611</v>
      </c>
      <c r="D275" s="8" t="str">
        <f>VLOOKUP(E275,'SchoolInfo (3)'!A:C,3,0)</f>
        <v>'070406128</v>
      </c>
      <c r="E275" s="8">
        <v>5251</v>
      </c>
      <c r="F275" s="8" t="s">
        <v>1337</v>
      </c>
      <c r="G275" s="2" t="str">
        <f>VLOOKUP(E275,'SchoolInfo (3)'!A:K,11,0)</f>
        <v>rocio.ramirez@wesdschools.org</v>
      </c>
    </row>
    <row r="276" spans="1:7" x14ac:dyDescent="0.25">
      <c r="A276" s="6" t="str">
        <f>VLOOKUP(B276,'SchoolInfo (3)'!A:C,3,0)</f>
        <v>'070406000</v>
      </c>
      <c r="B276" s="8">
        <v>4260</v>
      </c>
      <c r="C276" s="8" t="s">
        <v>611</v>
      </c>
      <c r="D276" s="8" t="str">
        <f>VLOOKUP(E276,'SchoolInfo (3)'!A:C,3,0)</f>
        <v>'070406164</v>
      </c>
      <c r="E276" s="8">
        <v>5271</v>
      </c>
      <c r="F276" s="8" t="s">
        <v>1352</v>
      </c>
      <c r="G276" s="2" t="str">
        <f>VLOOKUP(E276,'SchoolInfo (3)'!A:K,11,0)</f>
        <v>lori.ritz@wesdschools.org</v>
      </c>
    </row>
    <row r="277" spans="1:7" x14ac:dyDescent="0.25">
      <c r="A277" s="6" t="str">
        <f>VLOOKUP(B277,'SchoolInfo (3)'!A:C,3,0)</f>
        <v>'070406000</v>
      </c>
      <c r="B277" s="8">
        <v>4260</v>
      </c>
      <c r="C277" s="8" t="s">
        <v>611</v>
      </c>
      <c r="D277" s="8" t="str">
        <f>VLOOKUP(E277,'SchoolInfo (3)'!A:C,3,0)</f>
        <v>'070406160</v>
      </c>
      <c r="E277" s="8">
        <v>5268</v>
      </c>
      <c r="F277" s="8" t="s">
        <v>1371</v>
      </c>
      <c r="G277" s="2" t="str">
        <f>VLOOKUP(E277,'SchoolInfo (3)'!A:K,11,0)</f>
        <v>tracy.maynard@wesdschools.org</v>
      </c>
    </row>
    <row r="278" spans="1:7" x14ac:dyDescent="0.25">
      <c r="A278" s="6" t="str">
        <f>VLOOKUP(B278,'SchoolInfo (3)'!A:C,3,0)</f>
        <v>'070406000</v>
      </c>
      <c r="B278" s="8">
        <v>4260</v>
      </c>
      <c r="C278" s="8" t="s">
        <v>611</v>
      </c>
      <c r="D278" s="8" t="str">
        <f>VLOOKUP(E278,'SchoolInfo (3)'!A:C,3,0)</f>
        <v>'070406116</v>
      </c>
      <c r="E278" s="8">
        <v>5245</v>
      </c>
      <c r="F278" s="8" t="s">
        <v>1410</v>
      </c>
      <c r="G278" s="2" t="str">
        <f>VLOOKUP(E278,'SchoolInfo (3)'!A:K,11,0)</f>
        <v>carla.aronowitz@wesdschools.org</v>
      </c>
    </row>
    <row r="279" spans="1:7" x14ac:dyDescent="0.25">
      <c r="A279" s="6" t="str">
        <f>VLOOKUP(B279,'SchoolInfo (3)'!A:C,3,0)</f>
        <v>'070406000</v>
      </c>
      <c r="B279" s="8">
        <v>4260</v>
      </c>
      <c r="C279" s="8" t="s">
        <v>611</v>
      </c>
      <c r="D279" s="8" t="str">
        <f>VLOOKUP(E279,'SchoolInfo (3)'!A:C,3,0)</f>
        <v>'070406142</v>
      </c>
      <c r="E279" s="8">
        <v>5260</v>
      </c>
      <c r="F279" s="8" t="s">
        <v>547</v>
      </c>
      <c r="G279" s="2" t="str">
        <f>VLOOKUP(E279,'SchoolInfo (3)'!A:K,11,0)</f>
        <v>alice.pickel@wesdschools.org</v>
      </c>
    </row>
    <row r="280" spans="1:7" x14ac:dyDescent="0.25">
      <c r="A280" s="6" t="str">
        <f>VLOOKUP(B280,'SchoolInfo (3)'!A:C,3,0)</f>
        <v>'070406000</v>
      </c>
      <c r="B280" s="8">
        <v>4260</v>
      </c>
      <c r="C280" s="8" t="s">
        <v>611</v>
      </c>
      <c r="D280" s="8" t="str">
        <f>VLOOKUP(E280,'SchoolInfo (3)'!A:C,3,0)</f>
        <v>'070406150</v>
      </c>
      <c r="E280" s="8">
        <v>5264</v>
      </c>
      <c r="F280" s="8" t="s">
        <v>1533</v>
      </c>
      <c r="G280" s="2" t="str">
        <f>VLOOKUP(E280,'SchoolInfo (3)'!A:K,11,0)</f>
        <v>jim.paczosa@wesdschools.org</v>
      </c>
    </row>
    <row r="281" spans="1:7" x14ac:dyDescent="0.25">
      <c r="A281" s="6" t="str">
        <f>VLOOKUP(B281,'SchoolInfo (3)'!A:C,3,0)</f>
        <v>'150419000</v>
      </c>
      <c r="B281" s="8">
        <v>4512</v>
      </c>
      <c r="C281" s="8" t="s">
        <v>326</v>
      </c>
      <c r="D281" s="8" t="str">
        <f>VLOOKUP(E281,'SchoolInfo (3)'!A:C,3,0)</f>
        <v>'150419101</v>
      </c>
      <c r="E281" s="8">
        <v>6200</v>
      </c>
      <c r="F281" s="8" t="s">
        <v>1407</v>
      </c>
      <c r="G281" s="2" t="str">
        <f>VLOOKUP(E281,'SchoolInfo (3)'!A:K,11,0)</f>
        <v>gloriadean@wendenk8.org</v>
      </c>
    </row>
    <row r="282" spans="1:7" x14ac:dyDescent="0.25">
      <c r="A282" s="6" t="str">
        <f>VLOOKUP(B282,'SchoolInfo (3)'!A:C,3,0)</f>
        <v>'090220000</v>
      </c>
      <c r="B282" s="8">
        <v>4394</v>
      </c>
      <c r="C282" s="8" t="s">
        <v>439</v>
      </c>
      <c r="D282" s="8" t="str">
        <f>VLOOKUP(E282,'SchoolInfo (3)'!A:C,3,0)</f>
        <v>'090220107</v>
      </c>
      <c r="E282" s="8">
        <v>79698</v>
      </c>
      <c r="F282" s="8" t="s">
        <v>440</v>
      </c>
      <c r="G282" s="2" t="str">
        <f>VLOOKUP(E282,'SchoolInfo (3)'!A:K,11,0)</f>
        <v>chad.greer@wusd.us</v>
      </c>
    </row>
    <row r="283" spans="1:7" x14ac:dyDescent="0.25">
      <c r="A283" s="6" t="str">
        <f>VLOOKUP(B283,'SchoolInfo (3)'!A:C,3,0)</f>
        <v>'090220000</v>
      </c>
      <c r="B283" s="8">
        <v>4394</v>
      </c>
      <c r="C283" s="8" t="s">
        <v>439</v>
      </c>
      <c r="D283" s="8" t="str">
        <f>VLOOKUP(E283,'SchoolInfo (3)'!A:C,3,0)</f>
        <v>'090220103</v>
      </c>
      <c r="E283" s="8">
        <v>5635</v>
      </c>
      <c r="F283" s="8" t="s">
        <v>444</v>
      </c>
      <c r="G283" s="2" t="str">
        <f>VLOOKUP(E283,'SchoolInfo (3)'!A:K,11,0)</f>
        <v>jay.cox@wusd.us</v>
      </c>
    </row>
    <row r="284" spans="1:7" x14ac:dyDescent="0.25">
      <c r="A284" s="6" t="str">
        <f>VLOOKUP(B284,'SchoolInfo (3)'!A:C,3,0)</f>
        <v>'090220000</v>
      </c>
      <c r="B284" s="8">
        <v>4394</v>
      </c>
      <c r="C284" s="8" t="s">
        <v>439</v>
      </c>
      <c r="D284" s="8" t="str">
        <f>VLOOKUP(E284,'SchoolInfo (3)'!A:C,3,0)</f>
        <v>'090220106</v>
      </c>
      <c r="E284" s="8">
        <v>5636</v>
      </c>
      <c r="F284" s="8" t="s">
        <v>446</v>
      </c>
      <c r="G284" s="2" t="str">
        <f>VLOOKUP(E284,'SchoolInfo (3)'!A:K,11,0)</f>
        <v>pcastleberry@wusd.k12.az.us</v>
      </c>
    </row>
    <row r="285" spans="1:7" x14ac:dyDescent="0.25">
      <c r="A285" s="6" t="str">
        <f>VLOOKUP(B285,'SchoolInfo (3)'!A:C,3,0)</f>
        <v>'090220000</v>
      </c>
      <c r="B285" s="8">
        <v>4394</v>
      </c>
      <c r="C285" s="8" t="s">
        <v>439</v>
      </c>
      <c r="D285" s="8" t="str">
        <f>VLOOKUP(E285,'SchoolInfo (3)'!A:C,3,0)</f>
        <v>'090220101</v>
      </c>
      <c r="E285" s="8">
        <v>5633</v>
      </c>
      <c r="F285" s="8" t="s">
        <v>847</v>
      </c>
      <c r="G285" s="2" t="str">
        <f>VLOOKUP(E285,'SchoolInfo (3)'!A:K,11,0)</f>
        <v>jplath@wusd.us</v>
      </c>
    </row>
    <row r="286" spans="1:7" x14ac:dyDescent="0.25">
      <c r="A286" s="6" t="str">
        <f>VLOOKUP(B286,'SchoolInfo (3)'!A:C,3,0)</f>
        <v>'070209000</v>
      </c>
      <c r="B286" s="8">
        <v>4236</v>
      </c>
      <c r="C286" s="8" t="s">
        <v>530</v>
      </c>
      <c r="D286" s="8" t="str">
        <f>VLOOKUP(E286,'SchoolInfo (3)'!A:C,3,0)</f>
        <v>'070209102</v>
      </c>
      <c r="E286" s="8">
        <v>6001</v>
      </c>
      <c r="F286" s="8" t="s">
        <v>531</v>
      </c>
      <c r="G286" s="2" t="str">
        <f>VLOOKUP(E286,'SchoolInfo (3)'!A:K,11,0)</f>
        <v>cahershkowitz@wusd9.org</v>
      </c>
    </row>
    <row r="287" spans="1:7" x14ac:dyDescent="0.25">
      <c r="A287" s="6" t="str">
        <f>VLOOKUP(B287,'SchoolInfo (3)'!A:C,3,0)</f>
        <v>'070407000</v>
      </c>
      <c r="B287" s="8">
        <v>4261</v>
      </c>
      <c r="C287" s="8" t="s">
        <v>1127</v>
      </c>
      <c r="D287" s="8" t="str">
        <f>VLOOKUP(E287,'SchoolInfo (3)'!A:C,3,0)</f>
        <v>'070407101</v>
      </c>
      <c r="E287" s="8">
        <v>5276</v>
      </c>
      <c r="F287" s="8" t="s">
        <v>1343</v>
      </c>
      <c r="G287" s="2" t="str">
        <f>VLOOKUP(E287,'SchoolInfo (3)'!A:K,11,0)</f>
        <v>cindy.campton@wsd.k12.az.us</v>
      </c>
    </row>
    <row r="288" spans="1:7" x14ac:dyDescent="0.25">
      <c r="A288" s="6" t="str">
        <f>VLOOKUP(B288,'SchoolInfo (3)'!A:C,3,0)</f>
        <v>'070407000</v>
      </c>
      <c r="B288" s="8">
        <v>4261</v>
      </c>
      <c r="C288" s="8" t="s">
        <v>1127</v>
      </c>
      <c r="D288" s="8" t="str">
        <f>VLOOKUP(E288,'SchoolInfo (3)'!A:C,3,0)</f>
        <v>'070407102</v>
      </c>
      <c r="E288" s="8">
        <v>5277</v>
      </c>
      <c r="F288" s="8" t="s">
        <v>1405</v>
      </c>
      <c r="G288" s="2" t="str">
        <f>VLOOKUP(E288,'SchoolInfo (3)'!A:K,11,0)</f>
        <v>araceli.cecena@wsd.k12.az.us</v>
      </c>
    </row>
    <row r="289" spans="1:7" x14ac:dyDescent="0.25">
      <c r="A289" s="6" t="str">
        <f>VLOOKUP(B289,'SchoolInfo (3)'!A:C,3,0)</f>
        <v>'010208000</v>
      </c>
      <c r="B289" s="8">
        <v>4154</v>
      </c>
      <c r="C289" s="8" t="s">
        <v>327</v>
      </c>
      <c r="D289" s="8" t="str">
        <f>VLOOKUP(E289,'SchoolInfo (3)'!A:C,3,0)</f>
        <v>'010208110</v>
      </c>
      <c r="E289" s="8">
        <v>4714</v>
      </c>
      <c r="F289" s="8" t="s">
        <v>477</v>
      </c>
      <c r="G289" s="2" t="str">
        <f>VLOOKUP(E289,'SchoolInfo (3)'!A:K,11,0)</f>
        <v>Wbeach@wrschool.net</v>
      </c>
    </row>
    <row r="290" spans="1:7" x14ac:dyDescent="0.25">
      <c r="A290" s="6" t="str">
        <f>VLOOKUP(B290,'SchoolInfo (3)'!A:C,3,0)</f>
        <v>'010208000</v>
      </c>
      <c r="B290" s="8">
        <v>4154</v>
      </c>
      <c r="C290" s="8" t="s">
        <v>327</v>
      </c>
      <c r="D290" s="8" t="str">
        <f>VLOOKUP(E290,'SchoolInfo (3)'!A:C,3,0)</f>
        <v>'010208115</v>
      </c>
      <c r="E290" s="8">
        <v>4716</v>
      </c>
      <c r="F290" s="8" t="s">
        <v>483</v>
      </c>
      <c r="G290" s="2" t="str">
        <f>VLOOKUP(E290,'SchoolInfo (3)'!A:K,11,0)</f>
        <v>robertat@wrschool.net</v>
      </c>
    </row>
    <row r="291" spans="1:7" x14ac:dyDescent="0.25">
      <c r="A291" s="6" t="str">
        <f>VLOOKUP(B291,'SchoolInfo (3)'!A:C,3,0)</f>
        <v>'010208000</v>
      </c>
      <c r="B291" s="8">
        <v>4154</v>
      </c>
      <c r="C291" s="8" t="s">
        <v>327</v>
      </c>
      <c r="D291" s="8" t="str">
        <f>VLOOKUP(E291,'SchoolInfo (3)'!A:C,3,0)</f>
        <v>'010208116</v>
      </c>
      <c r="E291" s="8">
        <v>85882</v>
      </c>
      <c r="F291" s="8" t="s">
        <v>485</v>
      </c>
      <c r="G291" s="2" t="str">
        <f>VLOOKUP(E291,'SchoolInfo (3)'!A:K,11,0)</f>
        <v>carenab@wrschool.net</v>
      </c>
    </row>
    <row r="292" spans="1:7" x14ac:dyDescent="0.25">
      <c r="A292" s="6" t="str">
        <f>VLOOKUP(B292,'SchoolInfo (3)'!A:C,3,0)</f>
        <v>'140401000</v>
      </c>
      <c r="B292" s="8">
        <v>4499</v>
      </c>
      <c r="C292" s="8" t="s">
        <v>513</v>
      </c>
      <c r="D292" s="8" t="str">
        <f>VLOOKUP(E292,'SchoolInfo (3)'!A:C,3,0)</f>
        <v>'140401108</v>
      </c>
      <c r="E292" s="8">
        <v>6154</v>
      </c>
      <c r="F292" s="8" t="s">
        <v>514</v>
      </c>
      <c r="G292" s="2" t="str">
        <f>VLOOKUP(E292,'SchoolInfo (3)'!A:K,11,0)</f>
        <v>jzepeda@yumaed.org</v>
      </c>
    </row>
    <row r="293" spans="1:7" x14ac:dyDescent="0.25">
      <c r="A293" s="6" t="str">
        <f>VLOOKUP(B293,'SchoolInfo (3)'!A:C,3,0)</f>
        <v>'140401000</v>
      </c>
      <c r="B293" s="8">
        <v>4499</v>
      </c>
      <c r="C293" s="8" t="s">
        <v>513</v>
      </c>
      <c r="D293" s="8" t="str">
        <f>VLOOKUP(E293,'SchoolInfo (3)'!A:C,3,0)</f>
        <v>'140401102</v>
      </c>
      <c r="E293" s="8">
        <v>6148</v>
      </c>
      <c r="F293" s="8" t="s">
        <v>516</v>
      </c>
      <c r="G293" s="2" t="str">
        <f>VLOOKUP(E293,'SchoolInfo (3)'!A:K,11,0)</f>
        <v>ddrysdale@yumaed.org</v>
      </c>
    </row>
    <row r="294" spans="1:7" x14ac:dyDescent="0.25">
      <c r="A294" s="6" t="str">
        <f>VLOOKUP(B294,'SchoolInfo (3)'!A:C,3,0)</f>
        <v>'140401000</v>
      </c>
      <c r="B294" s="8">
        <v>4499</v>
      </c>
      <c r="C294" s="8" t="s">
        <v>513</v>
      </c>
      <c r="D294" s="8" t="str">
        <f>VLOOKUP(E294,'SchoolInfo (3)'!A:C,3,0)</f>
        <v>'140401109</v>
      </c>
      <c r="E294" s="8">
        <v>6155</v>
      </c>
      <c r="F294" s="8" t="s">
        <v>518</v>
      </c>
      <c r="G294" s="2" t="str">
        <f>VLOOKUP(E294,'SchoolInfo (3)'!A:K,11,0)</f>
        <v>sramirez@yumaed.org</v>
      </c>
    </row>
    <row r="295" spans="1:7" x14ac:dyDescent="0.25">
      <c r="A295" s="6" t="str">
        <f>VLOOKUP(B295,'SchoolInfo (3)'!A:C,3,0)</f>
        <v>'140401000</v>
      </c>
      <c r="B295" s="8">
        <v>4499</v>
      </c>
      <c r="C295" s="8" t="s">
        <v>513</v>
      </c>
      <c r="D295" s="8" t="str">
        <f>VLOOKUP(E295,'SchoolInfo (3)'!A:C,3,0)</f>
        <v>'140401121</v>
      </c>
      <c r="E295" s="8">
        <v>6160</v>
      </c>
      <c r="F295" s="8" t="s">
        <v>1459</v>
      </c>
      <c r="G295" s="2" t="str">
        <f>VLOOKUP(E295,'SchoolInfo (3)'!A:K,11,0)</f>
        <v>jcazares@yuma.org</v>
      </c>
    </row>
    <row r="296" spans="1:7" x14ac:dyDescent="0.25">
      <c r="A296" s="6" t="str">
        <f>VLOOKUP(B296,'SchoolInfo (3)'!A:C,3,0)</f>
        <v>'140401000</v>
      </c>
      <c r="B296" s="8">
        <v>4499</v>
      </c>
      <c r="C296" s="8" t="s">
        <v>513</v>
      </c>
      <c r="D296" s="8" t="str">
        <f>VLOOKUP(E296,'SchoolInfo (3)'!A:C,3,0)</f>
        <v>'140401103</v>
      </c>
      <c r="E296" s="8">
        <v>6149</v>
      </c>
      <c r="F296" s="8" t="s">
        <v>1509</v>
      </c>
      <c r="G296" s="2" t="str">
        <f>VLOOKUP(E296,'SchoolInfo (3)'!A:K,11,0)</f>
        <v>agarcia@yumaed.org</v>
      </c>
    </row>
    <row r="297" spans="1:7" x14ac:dyDescent="0.25">
      <c r="B297" s="12"/>
      <c r="C297" s="13"/>
      <c r="D297" s="13"/>
      <c r="E297" s="13"/>
      <c r="F297" s="13"/>
    </row>
    <row r="298" spans="1:7" x14ac:dyDescent="0.25">
      <c r="B298" s="12"/>
      <c r="C298" s="13"/>
      <c r="D298" s="13"/>
      <c r="E298" s="13"/>
      <c r="F298" s="13"/>
    </row>
    <row r="299" spans="1:7" x14ac:dyDescent="0.25">
      <c r="B299" s="12"/>
      <c r="C299" s="13"/>
      <c r="D299" s="13"/>
      <c r="E299" s="13"/>
      <c r="F299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E99EC-B27B-4D59-8D92-1AF5A23B5BCC}">
  <dimension ref="A1:M6073"/>
  <sheetViews>
    <sheetView workbookViewId="0">
      <selection activeCell="B17" sqref="B17"/>
    </sheetView>
  </sheetViews>
  <sheetFormatPr defaultRowHeight="15" x14ac:dyDescent="0.25"/>
  <cols>
    <col min="1" max="1" width="7.85546875" bestFit="1" customWidth="1"/>
    <col min="2" max="2" width="73.5703125" bestFit="1" customWidth="1"/>
    <col min="3" max="3" width="10.28515625" bestFit="1" customWidth="1"/>
    <col min="4" max="4" width="13.42578125" bestFit="1" customWidth="1"/>
    <col min="5" max="5" width="9.5703125" bestFit="1" customWidth="1"/>
    <col min="6" max="6" width="17.140625" bestFit="1" customWidth="1"/>
    <col min="7" max="7" width="22.42578125" bestFit="1" customWidth="1"/>
    <col min="8" max="8" width="10.85546875" bestFit="1" customWidth="1"/>
    <col min="9" max="9" width="5.85546875" bestFit="1" customWidth="1"/>
    <col min="10" max="10" width="10.85546875" bestFit="1" customWidth="1"/>
    <col min="11" max="11" width="43.42578125" bestFit="1" customWidth="1"/>
    <col min="12" max="12" width="57.140625" bestFit="1" customWidth="1"/>
    <col min="13" max="13" width="25.7109375" bestFit="1" customWidth="1"/>
  </cols>
  <sheetData>
    <row r="1" spans="1:13" s="14" customFormat="1" x14ac:dyDescent="0.25">
      <c r="A1" s="14" t="s">
        <v>0</v>
      </c>
      <c r="B1" s="14" t="s">
        <v>1614</v>
      </c>
      <c r="C1" s="14" t="s">
        <v>1615</v>
      </c>
      <c r="D1" s="14" t="s">
        <v>1616</v>
      </c>
      <c r="E1" s="14" t="s">
        <v>1617</v>
      </c>
      <c r="F1" s="14" t="s">
        <v>1618</v>
      </c>
      <c r="G1" s="14" t="s">
        <v>1619</v>
      </c>
      <c r="H1" s="14" t="s">
        <v>1620</v>
      </c>
      <c r="I1" s="14" t="s">
        <v>1621</v>
      </c>
      <c r="J1" s="14" t="s">
        <v>1622</v>
      </c>
      <c r="K1" s="14" t="s">
        <v>1623</v>
      </c>
      <c r="L1" s="14" t="s">
        <v>1624</v>
      </c>
      <c r="M1" s="14" t="s">
        <v>1625</v>
      </c>
    </row>
    <row r="2" spans="1:13" x14ac:dyDescent="0.25">
      <c r="A2">
        <v>4153</v>
      </c>
      <c r="B2" t="s">
        <v>1626</v>
      </c>
      <c r="C2" t="s">
        <v>1627</v>
      </c>
      <c r="D2" t="s">
        <v>1628</v>
      </c>
      <c r="E2" t="s">
        <v>1629</v>
      </c>
      <c r="F2" t="s">
        <v>1630</v>
      </c>
      <c r="G2" t="s">
        <v>1631</v>
      </c>
      <c r="J2">
        <v>9282454516</v>
      </c>
      <c r="K2" t="s">
        <v>1632</v>
      </c>
      <c r="L2" t="s">
        <v>1633</v>
      </c>
      <c r="M2" t="s">
        <v>1634</v>
      </c>
    </row>
    <row r="3" spans="1:13" x14ac:dyDescent="0.25">
      <c r="A3">
        <v>4153</v>
      </c>
      <c r="B3" t="s">
        <v>1626</v>
      </c>
      <c r="C3" t="s">
        <v>1627</v>
      </c>
      <c r="D3" t="s">
        <v>1628</v>
      </c>
      <c r="E3" t="s">
        <v>1629</v>
      </c>
      <c r="F3" t="s">
        <v>1635</v>
      </c>
      <c r="G3" t="s">
        <v>1636</v>
      </c>
      <c r="H3">
        <v>9283372132</v>
      </c>
      <c r="I3" t="s">
        <v>1637</v>
      </c>
      <c r="K3" t="s">
        <v>1638</v>
      </c>
      <c r="L3" t="s">
        <v>1639</v>
      </c>
      <c r="M3" t="s">
        <v>1640</v>
      </c>
    </row>
    <row r="4" spans="1:13" x14ac:dyDescent="0.25">
      <c r="A4">
        <v>4517</v>
      </c>
      <c r="B4" t="s">
        <v>1641</v>
      </c>
      <c r="C4" t="s">
        <v>1642</v>
      </c>
      <c r="D4" t="s">
        <v>1643</v>
      </c>
      <c r="E4" t="s">
        <v>1629</v>
      </c>
      <c r="F4" t="s">
        <v>1644</v>
      </c>
      <c r="G4" t="s">
        <v>1645</v>
      </c>
      <c r="H4">
        <v>9283372255</v>
      </c>
      <c r="K4" t="s">
        <v>1646</v>
      </c>
      <c r="L4" t="s">
        <v>1647</v>
      </c>
      <c r="M4" t="s">
        <v>1634</v>
      </c>
    </row>
    <row r="5" spans="1:13" x14ac:dyDescent="0.25">
      <c r="A5">
        <v>4710</v>
      </c>
      <c r="B5" t="s">
        <v>1648</v>
      </c>
      <c r="C5" t="s">
        <v>1649</v>
      </c>
      <c r="D5" t="s">
        <v>1643</v>
      </c>
      <c r="E5" t="s">
        <v>1629</v>
      </c>
      <c r="F5" t="s">
        <v>1630</v>
      </c>
      <c r="G5" t="s">
        <v>1631</v>
      </c>
      <c r="J5">
        <v>9283373147</v>
      </c>
      <c r="K5" t="s">
        <v>1632</v>
      </c>
      <c r="L5" t="s">
        <v>1647</v>
      </c>
      <c r="M5" t="s">
        <v>1634</v>
      </c>
    </row>
    <row r="6" spans="1:13" x14ac:dyDescent="0.25">
      <c r="A6">
        <v>4711</v>
      </c>
      <c r="B6" t="s">
        <v>1650</v>
      </c>
      <c r="C6" t="s">
        <v>1651</v>
      </c>
      <c r="D6" t="s">
        <v>1643</v>
      </c>
      <c r="E6" t="s">
        <v>1629</v>
      </c>
      <c r="F6" t="s">
        <v>1652</v>
      </c>
      <c r="G6" t="s">
        <v>1653</v>
      </c>
      <c r="H6">
        <v>9283372221</v>
      </c>
      <c r="J6">
        <v>9283372867</v>
      </c>
      <c r="K6" t="s">
        <v>1654</v>
      </c>
      <c r="M6" t="s">
        <v>1634</v>
      </c>
    </row>
    <row r="7" spans="1:13" x14ac:dyDescent="0.25">
      <c r="A7">
        <v>4711</v>
      </c>
      <c r="B7" t="s">
        <v>1650</v>
      </c>
      <c r="C7" t="s">
        <v>1651</v>
      </c>
      <c r="D7" t="s">
        <v>1643</v>
      </c>
      <c r="E7" t="s">
        <v>1629</v>
      </c>
      <c r="F7" t="s">
        <v>1635</v>
      </c>
      <c r="G7" t="s">
        <v>1636</v>
      </c>
      <c r="H7">
        <v>9283372132</v>
      </c>
      <c r="K7" t="s">
        <v>1638</v>
      </c>
      <c r="M7" t="s">
        <v>1640</v>
      </c>
    </row>
    <row r="8" spans="1:13" x14ac:dyDescent="0.25">
      <c r="A8">
        <v>89607</v>
      </c>
      <c r="B8" t="s">
        <v>1655</v>
      </c>
      <c r="C8" t="s">
        <v>1656</v>
      </c>
      <c r="D8" t="s">
        <v>1643</v>
      </c>
      <c r="E8" t="s">
        <v>1629</v>
      </c>
    </row>
    <row r="9" spans="1:13" x14ac:dyDescent="0.25">
      <c r="A9">
        <v>4154</v>
      </c>
      <c r="B9" t="s">
        <v>327</v>
      </c>
      <c r="C9" t="s">
        <v>1657</v>
      </c>
      <c r="D9" t="s">
        <v>1628</v>
      </c>
      <c r="E9" t="s">
        <v>1629</v>
      </c>
      <c r="F9" t="s">
        <v>1658</v>
      </c>
      <c r="G9" t="s">
        <v>1659</v>
      </c>
      <c r="H9">
        <v>9287296706</v>
      </c>
      <c r="K9" t="s">
        <v>1660</v>
      </c>
      <c r="L9" t="s">
        <v>1633</v>
      </c>
      <c r="M9" t="s">
        <v>1634</v>
      </c>
    </row>
    <row r="10" spans="1:13" x14ac:dyDescent="0.25">
      <c r="A10">
        <v>4154</v>
      </c>
      <c r="B10" t="s">
        <v>327</v>
      </c>
      <c r="C10" t="s">
        <v>1657</v>
      </c>
      <c r="D10" t="s">
        <v>1628</v>
      </c>
      <c r="E10" t="s">
        <v>1629</v>
      </c>
      <c r="F10" t="s">
        <v>1661</v>
      </c>
      <c r="G10" t="s">
        <v>1662</v>
      </c>
      <c r="H10">
        <v>9287296823</v>
      </c>
      <c r="K10" t="s">
        <v>1663</v>
      </c>
      <c r="L10" t="s">
        <v>1664</v>
      </c>
      <c r="M10" t="s">
        <v>1634</v>
      </c>
    </row>
    <row r="11" spans="1:13" x14ac:dyDescent="0.25">
      <c r="A11">
        <v>4154</v>
      </c>
      <c r="B11" t="s">
        <v>327</v>
      </c>
      <c r="C11" t="s">
        <v>1657</v>
      </c>
      <c r="D11" t="s">
        <v>1628</v>
      </c>
      <c r="E11" t="s">
        <v>1629</v>
      </c>
      <c r="F11" t="s">
        <v>1665</v>
      </c>
      <c r="G11" t="s">
        <v>1666</v>
      </c>
      <c r="H11">
        <v>9287296706</v>
      </c>
      <c r="K11" t="s">
        <v>1667</v>
      </c>
      <c r="L11" t="s">
        <v>1668</v>
      </c>
      <c r="M11" t="s">
        <v>1634</v>
      </c>
    </row>
    <row r="12" spans="1:13" x14ac:dyDescent="0.25">
      <c r="A12">
        <v>4154</v>
      </c>
      <c r="B12" t="s">
        <v>327</v>
      </c>
      <c r="C12" t="s">
        <v>1657</v>
      </c>
      <c r="D12" t="s">
        <v>1628</v>
      </c>
      <c r="E12" t="s">
        <v>1629</v>
      </c>
      <c r="F12" t="s">
        <v>1669</v>
      </c>
      <c r="G12" t="s">
        <v>1670</v>
      </c>
      <c r="K12" t="s">
        <v>1671</v>
      </c>
      <c r="L12" t="s">
        <v>1640</v>
      </c>
      <c r="M12" t="s">
        <v>1640</v>
      </c>
    </row>
    <row r="13" spans="1:13" x14ac:dyDescent="0.25">
      <c r="A13">
        <v>4713</v>
      </c>
      <c r="B13" t="s">
        <v>1672</v>
      </c>
      <c r="C13" t="s">
        <v>1673</v>
      </c>
      <c r="D13" t="s">
        <v>1643</v>
      </c>
      <c r="E13" t="s">
        <v>1629</v>
      </c>
      <c r="F13" t="s">
        <v>1674</v>
      </c>
      <c r="G13" t="s">
        <v>1675</v>
      </c>
      <c r="H13">
        <v>9287296753</v>
      </c>
      <c r="J13">
        <v>9287297630</v>
      </c>
      <c r="K13" t="s">
        <v>1676</v>
      </c>
      <c r="L13" t="s">
        <v>1677</v>
      </c>
      <c r="M13" t="s">
        <v>1634</v>
      </c>
    </row>
    <row r="14" spans="1:13" x14ac:dyDescent="0.25">
      <c r="A14">
        <v>4714</v>
      </c>
      <c r="B14" t="s">
        <v>477</v>
      </c>
      <c r="C14" t="s">
        <v>1678</v>
      </c>
      <c r="D14" t="s">
        <v>1643</v>
      </c>
      <c r="E14" t="s">
        <v>1629</v>
      </c>
      <c r="F14" t="s">
        <v>1679</v>
      </c>
      <c r="G14" t="s">
        <v>1680</v>
      </c>
      <c r="K14" t="s">
        <v>1681</v>
      </c>
      <c r="L14" t="s">
        <v>1647</v>
      </c>
      <c r="M14" t="s">
        <v>1634</v>
      </c>
    </row>
    <row r="15" spans="1:13" x14ac:dyDescent="0.25">
      <c r="A15">
        <v>4714</v>
      </c>
      <c r="B15" t="s">
        <v>477</v>
      </c>
      <c r="C15" t="s">
        <v>1678</v>
      </c>
      <c r="D15" t="s">
        <v>1643</v>
      </c>
      <c r="E15" t="s">
        <v>1629</v>
      </c>
      <c r="F15" t="s">
        <v>1682</v>
      </c>
      <c r="G15" t="s">
        <v>1683</v>
      </c>
      <c r="H15">
        <v>9287296802</v>
      </c>
      <c r="K15" t="s">
        <v>1684</v>
      </c>
      <c r="M15" t="s">
        <v>1634</v>
      </c>
    </row>
    <row r="16" spans="1:13" x14ac:dyDescent="0.25">
      <c r="A16">
        <v>4715</v>
      </c>
      <c r="B16" t="s">
        <v>1685</v>
      </c>
      <c r="C16" t="s">
        <v>1686</v>
      </c>
      <c r="D16" t="s">
        <v>1643</v>
      </c>
      <c r="E16" t="s">
        <v>1629</v>
      </c>
      <c r="F16" t="s">
        <v>1687</v>
      </c>
      <c r="G16" t="s">
        <v>1688</v>
      </c>
      <c r="H16">
        <v>9287297802</v>
      </c>
      <c r="J16">
        <v>9287297638</v>
      </c>
      <c r="K16" t="s">
        <v>1689</v>
      </c>
      <c r="M16" t="s">
        <v>1634</v>
      </c>
    </row>
    <row r="17" spans="1:13" x14ac:dyDescent="0.25">
      <c r="A17">
        <v>4715</v>
      </c>
      <c r="B17" t="s">
        <v>1685</v>
      </c>
      <c r="C17" t="s">
        <v>1686</v>
      </c>
      <c r="D17" t="s">
        <v>1643</v>
      </c>
      <c r="E17" t="s">
        <v>1629</v>
      </c>
      <c r="F17" t="s">
        <v>1690</v>
      </c>
      <c r="G17" t="s">
        <v>1691</v>
      </c>
      <c r="L17" t="s">
        <v>1647</v>
      </c>
      <c r="M17" t="s">
        <v>1634</v>
      </c>
    </row>
    <row r="18" spans="1:13" x14ac:dyDescent="0.25">
      <c r="A18">
        <v>4715</v>
      </c>
      <c r="B18" t="s">
        <v>1685</v>
      </c>
      <c r="C18" t="s">
        <v>1686</v>
      </c>
      <c r="D18" t="s">
        <v>1643</v>
      </c>
      <c r="E18" t="s">
        <v>1629</v>
      </c>
      <c r="F18" t="s">
        <v>1692</v>
      </c>
      <c r="G18" t="s">
        <v>1693</v>
      </c>
      <c r="K18" t="s">
        <v>1694</v>
      </c>
      <c r="M18" t="s">
        <v>1634</v>
      </c>
    </row>
    <row r="19" spans="1:13" x14ac:dyDescent="0.25">
      <c r="A19">
        <v>4715</v>
      </c>
      <c r="B19" t="s">
        <v>1685</v>
      </c>
      <c r="C19" t="s">
        <v>1686</v>
      </c>
      <c r="D19" t="s">
        <v>1643</v>
      </c>
      <c r="E19" t="s">
        <v>1629</v>
      </c>
      <c r="F19" t="s">
        <v>1695</v>
      </c>
      <c r="G19" t="s">
        <v>1696</v>
      </c>
      <c r="H19">
        <v>9287297800</v>
      </c>
      <c r="J19">
        <v>9287296847</v>
      </c>
      <c r="K19" t="s">
        <v>1697</v>
      </c>
      <c r="L19" t="s">
        <v>1647</v>
      </c>
      <c r="M19" t="s">
        <v>1634</v>
      </c>
    </row>
    <row r="20" spans="1:13" x14ac:dyDescent="0.25">
      <c r="A20">
        <v>4716</v>
      </c>
      <c r="B20" t="s">
        <v>483</v>
      </c>
      <c r="C20" t="s">
        <v>1698</v>
      </c>
      <c r="D20" t="s">
        <v>1643</v>
      </c>
      <c r="E20" t="s">
        <v>1629</v>
      </c>
      <c r="F20" t="s">
        <v>1699</v>
      </c>
      <c r="G20" t="s">
        <v>1700</v>
      </c>
      <c r="K20" t="s">
        <v>1701</v>
      </c>
      <c r="L20" t="s">
        <v>1647</v>
      </c>
      <c r="M20" t="s">
        <v>1634</v>
      </c>
    </row>
    <row r="21" spans="1:13" x14ac:dyDescent="0.25">
      <c r="A21">
        <v>4716</v>
      </c>
      <c r="B21" t="s">
        <v>483</v>
      </c>
      <c r="C21" t="s">
        <v>1698</v>
      </c>
      <c r="D21" t="s">
        <v>1643</v>
      </c>
      <c r="E21" t="s">
        <v>1629</v>
      </c>
      <c r="F21" t="s">
        <v>1702</v>
      </c>
      <c r="G21" t="s">
        <v>1703</v>
      </c>
      <c r="K21" t="s">
        <v>1704</v>
      </c>
      <c r="L21" t="s">
        <v>1647</v>
      </c>
      <c r="M21" t="s">
        <v>1634</v>
      </c>
    </row>
    <row r="22" spans="1:13" x14ac:dyDescent="0.25">
      <c r="A22">
        <v>4716</v>
      </c>
      <c r="B22" t="s">
        <v>483</v>
      </c>
      <c r="C22" t="s">
        <v>1698</v>
      </c>
      <c r="D22" t="s">
        <v>1643</v>
      </c>
      <c r="E22" t="s">
        <v>1629</v>
      </c>
      <c r="F22" t="s">
        <v>1705</v>
      </c>
      <c r="G22" t="s">
        <v>1588</v>
      </c>
      <c r="K22" t="s">
        <v>1706</v>
      </c>
      <c r="L22" t="s">
        <v>1647</v>
      </c>
      <c r="M22" t="s">
        <v>1634</v>
      </c>
    </row>
    <row r="23" spans="1:13" x14ac:dyDescent="0.25">
      <c r="A23">
        <v>4716</v>
      </c>
      <c r="B23" t="s">
        <v>483</v>
      </c>
      <c r="C23" t="s">
        <v>1698</v>
      </c>
      <c r="D23" t="s">
        <v>1643</v>
      </c>
      <c r="E23" t="s">
        <v>1629</v>
      </c>
      <c r="F23" t="s">
        <v>1707</v>
      </c>
      <c r="G23" t="s">
        <v>1708</v>
      </c>
      <c r="K23" t="s">
        <v>1709</v>
      </c>
      <c r="L23" t="s">
        <v>1647</v>
      </c>
      <c r="M23" t="s">
        <v>1634</v>
      </c>
    </row>
    <row r="24" spans="1:13" x14ac:dyDescent="0.25">
      <c r="A24">
        <v>4716</v>
      </c>
      <c r="B24" t="s">
        <v>483</v>
      </c>
      <c r="C24" t="s">
        <v>1698</v>
      </c>
      <c r="D24" t="s">
        <v>1643</v>
      </c>
      <c r="E24" t="s">
        <v>1629</v>
      </c>
      <c r="F24" t="s">
        <v>1710</v>
      </c>
      <c r="G24" t="s">
        <v>1711</v>
      </c>
      <c r="H24">
        <v>9287296804</v>
      </c>
      <c r="K24" t="s">
        <v>1712</v>
      </c>
      <c r="L24" t="s">
        <v>1647</v>
      </c>
      <c r="M24" t="s">
        <v>1634</v>
      </c>
    </row>
    <row r="25" spans="1:13" x14ac:dyDescent="0.25">
      <c r="A25">
        <v>85882</v>
      </c>
      <c r="B25" t="s">
        <v>1713</v>
      </c>
      <c r="C25" t="s">
        <v>1714</v>
      </c>
      <c r="D25" t="s">
        <v>1643</v>
      </c>
      <c r="E25" t="s">
        <v>1629</v>
      </c>
      <c r="F25" t="s">
        <v>1715</v>
      </c>
      <c r="G25" t="s">
        <v>1716</v>
      </c>
      <c r="K25" t="s">
        <v>1717</v>
      </c>
      <c r="L25" t="s">
        <v>1647</v>
      </c>
      <c r="M25" t="s">
        <v>1634</v>
      </c>
    </row>
    <row r="26" spans="1:13" x14ac:dyDescent="0.25">
      <c r="A26">
        <v>85882</v>
      </c>
      <c r="B26" t="s">
        <v>1713</v>
      </c>
      <c r="C26" t="s">
        <v>1714</v>
      </c>
      <c r="D26" t="s">
        <v>1643</v>
      </c>
      <c r="E26" t="s">
        <v>1629</v>
      </c>
      <c r="F26" t="s">
        <v>1718</v>
      </c>
      <c r="G26" t="s">
        <v>1719</v>
      </c>
      <c r="K26" t="s">
        <v>1720</v>
      </c>
      <c r="L26" t="s">
        <v>1721</v>
      </c>
      <c r="M26" t="s">
        <v>1634</v>
      </c>
    </row>
    <row r="27" spans="1:13" x14ac:dyDescent="0.25">
      <c r="A27">
        <v>4717</v>
      </c>
      <c r="B27" t="s">
        <v>897</v>
      </c>
      <c r="C27" t="s">
        <v>1722</v>
      </c>
      <c r="D27" t="s">
        <v>1643</v>
      </c>
      <c r="E27" t="s">
        <v>1629</v>
      </c>
      <c r="F27" t="s">
        <v>1723</v>
      </c>
      <c r="G27" t="s">
        <v>1724</v>
      </c>
      <c r="H27">
        <v>9287297001</v>
      </c>
      <c r="J27">
        <v>9287297661</v>
      </c>
      <c r="K27" t="s">
        <v>1725</v>
      </c>
      <c r="L27" t="s">
        <v>1647</v>
      </c>
      <c r="M27" t="s">
        <v>1634</v>
      </c>
    </row>
    <row r="28" spans="1:13" x14ac:dyDescent="0.25">
      <c r="A28">
        <v>4717</v>
      </c>
      <c r="B28" t="s">
        <v>897</v>
      </c>
      <c r="C28" t="s">
        <v>1722</v>
      </c>
      <c r="D28" t="s">
        <v>1643</v>
      </c>
      <c r="E28" t="s">
        <v>1629</v>
      </c>
      <c r="F28" t="s">
        <v>1723</v>
      </c>
      <c r="G28" t="s">
        <v>1724</v>
      </c>
      <c r="H28">
        <v>9287297001</v>
      </c>
      <c r="K28" t="s">
        <v>1725</v>
      </c>
      <c r="L28" t="s">
        <v>1647</v>
      </c>
      <c r="M28" t="s">
        <v>1634</v>
      </c>
    </row>
    <row r="29" spans="1:13" x14ac:dyDescent="0.25">
      <c r="A29">
        <v>4717</v>
      </c>
      <c r="B29" t="s">
        <v>897</v>
      </c>
      <c r="C29" t="s">
        <v>1722</v>
      </c>
      <c r="D29" t="s">
        <v>1643</v>
      </c>
      <c r="E29" t="s">
        <v>1629</v>
      </c>
      <c r="F29" t="s">
        <v>1726</v>
      </c>
      <c r="G29" t="s">
        <v>1727</v>
      </c>
      <c r="L29" t="s">
        <v>1728</v>
      </c>
      <c r="M29" t="s">
        <v>1634</v>
      </c>
    </row>
    <row r="30" spans="1:13" x14ac:dyDescent="0.25">
      <c r="A30">
        <v>4717</v>
      </c>
      <c r="B30" t="s">
        <v>897</v>
      </c>
      <c r="C30" t="s">
        <v>1722</v>
      </c>
      <c r="D30" t="s">
        <v>1643</v>
      </c>
      <c r="E30" t="s">
        <v>1629</v>
      </c>
      <c r="F30" t="s">
        <v>1729</v>
      </c>
      <c r="G30" t="s">
        <v>1730</v>
      </c>
      <c r="K30" t="s">
        <v>1731</v>
      </c>
      <c r="L30" t="s">
        <v>1647</v>
      </c>
      <c r="M30" t="s">
        <v>1634</v>
      </c>
    </row>
    <row r="31" spans="1:13" x14ac:dyDescent="0.25">
      <c r="A31">
        <v>4717</v>
      </c>
      <c r="B31" t="s">
        <v>897</v>
      </c>
      <c r="C31" t="s">
        <v>1722</v>
      </c>
      <c r="D31" t="s">
        <v>1643</v>
      </c>
      <c r="E31" t="s">
        <v>1629</v>
      </c>
      <c r="F31" t="s">
        <v>1732</v>
      </c>
      <c r="G31" t="s">
        <v>1733</v>
      </c>
      <c r="H31">
        <v>9287297006</v>
      </c>
      <c r="J31">
        <v>9287297661</v>
      </c>
      <c r="K31" t="s">
        <v>1734</v>
      </c>
      <c r="L31" t="s">
        <v>1721</v>
      </c>
      <c r="M31" t="s">
        <v>1634</v>
      </c>
    </row>
    <row r="32" spans="1:13" x14ac:dyDescent="0.25">
      <c r="A32">
        <v>4717</v>
      </c>
      <c r="B32" t="s">
        <v>897</v>
      </c>
      <c r="C32" t="s">
        <v>1722</v>
      </c>
      <c r="D32" t="s">
        <v>1643</v>
      </c>
      <c r="E32" t="s">
        <v>1629</v>
      </c>
      <c r="F32" t="s">
        <v>1735</v>
      </c>
      <c r="G32" t="s">
        <v>1736</v>
      </c>
      <c r="H32">
        <v>9287297006</v>
      </c>
      <c r="J32">
        <v>9287297661</v>
      </c>
      <c r="K32" t="s">
        <v>1737</v>
      </c>
      <c r="L32" t="s">
        <v>1738</v>
      </c>
      <c r="M32" t="s">
        <v>1634</v>
      </c>
    </row>
    <row r="33" spans="1:13" x14ac:dyDescent="0.25">
      <c r="A33">
        <v>4717</v>
      </c>
      <c r="B33" t="s">
        <v>897</v>
      </c>
      <c r="C33" t="s">
        <v>1722</v>
      </c>
      <c r="D33" t="s">
        <v>1643</v>
      </c>
      <c r="E33" t="s">
        <v>1629</v>
      </c>
      <c r="F33" t="s">
        <v>1679</v>
      </c>
      <c r="G33" t="s">
        <v>1739</v>
      </c>
      <c r="H33">
        <v>9287297001</v>
      </c>
      <c r="K33" t="s">
        <v>1740</v>
      </c>
      <c r="L33" t="s">
        <v>1721</v>
      </c>
      <c r="M33" t="s">
        <v>1634</v>
      </c>
    </row>
    <row r="34" spans="1:13" x14ac:dyDescent="0.25">
      <c r="A34">
        <v>4155</v>
      </c>
      <c r="B34" t="s">
        <v>1741</v>
      </c>
      <c r="C34" t="s">
        <v>1742</v>
      </c>
      <c r="D34" t="s">
        <v>1628</v>
      </c>
      <c r="E34" t="s">
        <v>1629</v>
      </c>
      <c r="F34" t="s">
        <v>1743</v>
      </c>
      <c r="G34" t="s">
        <v>1744</v>
      </c>
      <c r="J34">
        <v>9283330442</v>
      </c>
      <c r="K34" t="s">
        <v>1745</v>
      </c>
      <c r="L34" t="s">
        <v>1746</v>
      </c>
      <c r="M34" t="s">
        <v>1634</v>
      </c>
    </row>
    <row r="35" spans="1:13" x14ac:dyDescent="0.25">
      <c r="A35">
        <v>4155</v>
      </c>
      <c r="B35" t="s">
        <v>1741</v>
      </c>
      <c r="C35" t="s">
        <v>1742</v>
      </c>
      <c r="D35" t="s">
        <v>1628</v>
      </c>
      <c r="E35" t="s">
        <v>1629</v>
      </c>
      <c r="F35" t="s">
        <v>1747</v>
      </c>
      <c r="G35" t="s">
        <v>1748</v>
      </c>
      <c r="H35">
        <v>9283336580</v>
      </c>
      <c r="K35" t="s">
        <v>1749</v>
      </c>
      <c r="L35" t="s">
        <v>1668</v>
      </c>
      <c r="M35" t="s">
        <v>1634</v>
      </c>
    </row>
    <row r="36" spans="1:13" x14ac:dyDescent="0.25">
      <c r="A36">
        <v>4155</v>
      </c>
      <c r="B36" t="s">
        <v>1741</v>
      </c>
      <c r="C36" t="s">
        <v>1742</v>
      </c>
      <c r="D36" t="s">
        <v>1628</v>
      </c>
      <c r="E36" t="s">
        <v>1629</v>
      </c>
      <c r="F36" t="s">
        <v>1750</v>
      </c>
      <c r="G36" t="s">
        <v>1751</v>
      </c>
      <c r="H36">
        <v>9283336807</v>
      </c>
      <c r="J36">
        <v>9283336818</v>
      </c>
      <c r="K36" t="s">
        <v>1752</v>
      </c>
      <c r="L36" t="s">
        <v>1753</v>
      </c>
      <c r="M36" t="s">
        <v>1634</v>
      </c>
    </row>
    <row r="37" spans="1:13" x14ac:dyDescent="0.25">
      <c r="A37">
        <v>4155</v>
      </c>
      <c r="B37" t="s">
        <v>1741</v>
      </c>
      <c r="C37" t="s">
        <v>1742</v>
      </c>
      <c r="D37" t="s">
        <v>1628</v>
      </c>
      <c r="E37" t="s">
        <v>1629</v>
      </c>
      <c r="F37" t="s">
        <v>1754</v>
      </c>
      <c r="G37" t="s">
        <v>1755</v>
      </c>
      <c r="H37">
        <v>6232974768</v>
      </c>
      <c r="K37" t="s">
        <v>1756</v>
      </c>
      <c r="L37" t="s">
        <v>1757</v>
      </c>
      <c r="M37" t="s">
        <v>1640</v>
      </c>
    </row>
    <row r="38" spans="1:13" x14ac:dyDescent="0.25">
      <c r="A38">
        <v>4155</v>
      </c>
      <c r="B38" t="s">
        <v>1741</v>
      </c>
      <c r="C38" t="s">
        <v>1742</v>
      </c>
      <c r="D38" t="s">
        <v>1628</v>
      </c>
      <c r="E38" t="s">
        <v>1629</v>
      </c>
      <c r="F38" t="s">
        <v>1758</v>
      </c>
      <c r="G38" t="s">
        <v>1759</v>
      </c>
      <c r="H38">
        <v>9283336572</v>
      </c>
      <c r="K38" t="s">
        <v>1760</v>
      </c>
      <c r="L38" t="s">
        <v>1639</v>
      </c>
      <c r="M38" t="s">
        <v>1640</v>
      </c>
    </row>
    <row r="39" spans="1:13" x14ac:dyDescent="0.25">
      <c r="A39">
        <v>4155</v>
      </c>
      <c r="B39" t="s">
        <v>1741</v>
      </c>
      <c r="C39" t="s">
        <v>1742</v>
      </c>
      <c r="D39" t="s">
        <v>1628</v>
      </c>
      <c r="E39" t="s">
        <v>1629</v>
      </c>
      <c r="F39" t="s">
        <v>1761</v>
      </c>
      <c r="G39" t="s">
        <v>1762</v>
      </c>
      <c r="H39">
        <v>9283336780</v>
      </c>
      <c r="K39" t="s">
        <v>1763</v>
      </c>
      <c r="L39" t="s">
        <v>1764</v>
      </c>
      <c r="M39" t="s">
        <v>1640</v>
      </c>
    </row>
    <row r="40" spans="1:13" x14ac:dyDescent="0.25">
      <c r="A40">
        <v>4155</v>
      </c>
      <c r="B40" t="s">
        <v>1741</v>
      </c>
      <c r="C40" t="s">
        <v>1742</v>
      </c>
      <c r="D40" t="s">
        <v>1628</v>
      </c>
      <c r="E40" t="s">
        <v>1629</v>
      </c>
      <c r="F40" t="s">
        <v>1743</v>
      </c>
      <c r="G40" t="s">
        <v>1744</v>
      </c>
      <c r="J40">
        <v>9283330442</v>
      </c>
      <c r="K40" t="s">
        <v>1745</v>
      </c>
      <c r="L40" t="s">
        <v>1746</v>
      </c>
      <c r="M40" t="s">
        <v>1765</v>
      </c>
    </row>
    <row r="41" spans="1:13" x14ac:dyDescent="0.25">
      <c r="A41">
        <v>4155</v>
      </c>
      <c r="B41" t="s">
        <v>1741</v>
      </c>
      <c r="C41" t="s">
        <v>1742</v>
      </c>
      <c r="D41" t="s">
        <v>1628</v>
      </c>
      <c r="E41" t="s">
        <v>1629</v>
      </c>
      <c r="F41" t="s">
        <v>1766</v>
      </c>
      <c r="G41" t="s">
        <v>1767</v>
      </c>
      <c r="H41">
        <v>9283336591</v>
      </c>
      <c r="K41" t="s">
        <v>1768</v>
      </c>
      <c r="L41" t="s">
        <v>1769</v>
      </c>
      <c r="M41" t="s">
        <v>1765</v>
      </c>
    </row>
    <row r="42" spans="1:13" x14ac:dyDescent="0.25">
      <c r="A42">
        <v>4719</v>
      </c>
      <c r="B42" t="s">
        <v>1770</v>
      </c>
      <c r="C42" t="s">
        <v>1771</v>
      </c>
      <c r="D42" t="s">
        <v>1643</v>
      </c>
      <c r="E42" t="s">
        <v>1629</v>
      </c>
      <c r="F42" t="s">
        <v>1772</v>
      </c>
      <c r="G42" t="s">
        <v>1773</v>
      </c>
      <c r="H42">
        <v>9283336601</v>
      </c>
      <c r="J42">
        <v>9283336619</v>
      </c>
      <c r="K42" t="s">
        <v>1774</v>
      </c>
      <c r="L42" t="s">
        <v>1647</v>
      </c>
      <c r="M42" t="s">
        <v>1634</v>
      </c>
    </row>
    <row r="43" spans="1:13" x14ac:dyDescent="0.25">
      <c r="A43">
        <v>4719</v>
      </c>
      <c r="B43" t="s">
        <v>1770</v>
      </c>
      <c r="C43" t="s">
        <v>1771</v>
      </c>
      <c r="D43" t="s">
        <v>1643</v>
      </c>
      <c r="E43" t="s">
        <v>1629</v>
      </c>
      <c r="F43" t="s">
        <v>1775</v>
      </c>
      <c r="G43" t="s">
        <v>1776</v>
      </c>
      <c r="H43">
        <v>9283336601</v>
      </c>
      <c r="J43">
        <v>9283331929</v>
      </c>
      <c r="K43" t="s">
        <v>1777</v>
      </c>
      <c r="L43" t="s">
        <v>1778</v>
      </c>
      <c r="M43" t="s">
        <v>1634</v>
      </c>
    </row>
    <row r="44" spans="1:13" x14ac:dyDescent="0.25">
      <c r="A44">
        <v>4719</v>
      </c>
      <c r="B44" t="s">
        <v>1770</v>
      </c>
      <c r="C44" t="s">
        <v>1771</v>
      </c>
      <c r="D44" t="s">
        <v>1643</v>
      </c>
      <c r="E44" t="s">
        <v>1629</v>
      </c>
      <c r="F44" t="s">
        <v>1779</v>
      </c>
      <c r="G44" t="s">
        <v>1780</v>
      </c>
      <c r="H44">
        <v>9283336601</v>
      </c>
      <c r="I44" t="s">
        <v>1781</v>
      </c>
      <c r="K44" t="s">
        <v>1782</v>
      </c>
      <c r="L44" t="s">
        <v>1647</v>
      </c>
      <c r="M44" t="s">
        <v>1634</v>
      </c>
    </row>
    <row r="45" spans="1:13" x14ac:dyDescent="0.25">
      <c r="A45">
        <v>4719</v>
      </c>
      <c r="B45" t="s">
        <v>1770</v>
      </c>
      <c r="C45" t="s">
        <v>1771</v>
      </c>
      <c r="D45" t="s">
        <v>1643</v>
      </c>
      <c r="E45" t="s">
        <v>1629</v>
      </c>
      <c r="F45" t="s">
        <v>1783</v>
      </c>
      <c r="G45" t="s">
        <v>1748</v>
      </c>
      <c r="H45">
        <v>9283336606</v>
      </c>
      <c r="K45" t="s">
        <v>1784</v>
      </c>
      <c r="L45" t="s">
        <v>1738</v>
      </c>
      <c r="M45" t="s">
        <v>1640</v>
      </c>
    </row>
    <row r="46" spans="1:13" x14ac:dyDescent="0.25">
      <c r="A46">
        <v>4720</v>
      </c>
      <c r="B46" t="s">
        <v>1785</v>
      </c>
      <c r="C46" t="s">
        <v>1786</v>
      </c>
      <c r="D46" t="s">
        <v>1643</v>
      </c>
      <c r="E46" t="s">
        <v>1629</v>
      </c>
      <c r="F46" t="s">
        <v>1787</v>
      </c>
      <c r="G46" t="s">
        <v>1788</v>
      </c>
      <c r="H46">
        <v>9283336701</v>
      </c>
      <c r="J46">
        <v>9283336819</v>
      </c>
      <c r="K46" t="s">
        <v>1789</v>
      </c>
      <c r="L46" t="s">
        <v>1790</v>
      </c>
      <c r="M46" t="s">
        <v>1634</v>
      </c>
    </row>
    <row r="47" spans="1:13" x14ac:dyDescent="0.25">
      <c r="A47">
        <v>4720</v>
      </c>
      <c r="B47" t="s">
        <v>1785</v>
      </c>
      <c r="C47" t="s">
        <v>1786</v>
      </c>
      <c r="D47" t="s">
        <v>1643</v>
      </c>
      <c r="E47" t="s">
        <v>1629</v>
      </c>
      <c r="F47" t="s">
        <v>1783</v>
      </c>
      <c r="G47" t="s">
        <v>1748</v>
      </c>
      <c r="H47">
        <v>9283336606</v>
      </c>
      <c r="K47" t="s">
        <v>1784</v>
      </c>
      <c r="L47" t="s">
        <v>1647</v>
      </c>
      <c r="M47" t="s">
        <v>1634</v>
      </c>
    </row>
    <row r="48" spans="1:13" x14ac:dyDescent="0.25">
      <c r="A48">
        <v>4720</v>
      </c>
      <c r="B48" t="s">
        <v>1785</v>
      </c>
      <c r="C48" t="s">
        <v>1786</v>
      </c>
      <c r="D48" t="s">
        <v>1643</v>
      </c>
      <c r="E48" t="s">
        <v>1629</v>
      </c>
      <c r="F48" t="s">
        <v>1779</v>
      </c>
      <c r="G48" t="s">
        <v>1780</v>
      </c>
      <c r="H48">
        <v>9283336600</v>
      </c>
      <c r="I48">
        <v>6601</v>
      </c>
      <c r="K48" t="s">
        <v>1782</v>
      </c>
      <c r="L48" t="s">
        <v>1647</v>
      </c>
      <c r="M48" t="s">
        <v>1634</v>
      </c>
    </row>
    <row r="49" spans="1:13" x14ac:dyDescent="0.25">
      <c r="A49">
        <v>4721</v>
      </c>
      <c r="B49" t="s">
        <v>1791</v>
      </c>
      <c r="C49" t="s">
        <v>1792</v>
      </c>
      <c r="D49" t="s">
        <v>1643</v>
      </c>
      <c r="E49" t="s">
        <v>1629</v>
      </c>
      <c r="F49" t="s">
        <v>1793</v>
      </c>
      <c r="G49" t="s">
        <v>1794</v>
      </c>
      <c r="K49" t="s">
        <v>1795</v>
      </c>
      <c r="L49" t="s">
        <v>1796</v>
      </c>
      <c r="M49" t="s">
        <v>1634</v>
      </c>
    </row>
    <row r="50" spans="1:13" x14ac:dyDescent="0.25">
      <c r="A50">
        <v>4721</v>
      </c>
      <c r="B50" t="s">
        <v>1791</v>
      </c>
      <c r="C50" t="s">
        <v>1792</v>
      </c>
      <c r="D50" t="s">
        <v>1643</v>
      </c>
      <c r="E50" t="s">
        <v>1629</v>
      </c>
      <c r="F50" t="s">
        <v>1797</v>
      </c>
      <c r="G50" t="s">
        <v>1798</v>
      </c>
      <c r="H50">
        <v>9283336804</v>
      </c>
      <c r="J50">
        <v>9283336819</v>
      </c>
      <c r="K50" t="s">
        <v>1799</v>
      </c>
      <c r="L50" t="s">
        <v>1800</v>
      </c>
      <c r="M50" t="s">
        <v>1765</v>
      </c>
    </row>
    <row r="51" spans="1:13" x14ac:dyDescent="0.25">
      <c r="A51">
        <v>92686</v>
      </c>
      <c r="B51" t="s">
        <v>1801</v>
      </c>
      <c r="C51" t="s">
        <v>1802</v>
      </c>
      <c r="D51" t="s">
        <v>1643</v>
      </c>
      <c r="E51" t="s">
        <v>1629</v>
      </c>
      <c r="F51" t="s">
        <v>1690</v>
      </c>
      <c r="G51" t="s">
        <v>1803</v>
      </c>
      <c r="H51">
        <v>9283336891</v>
      </c>
      <c r="K51" t="s">
        <v>1804</v>
      </c>
      <c r="M51" t="s">
        <v>1634</v>
      </c>
    </row>
    <row r="52" spans="1:13" x14ac:dyDescent="0.25">
      <c r="A52">
        <v>4156</v>
      </c>
      <c r="B52" t="s">
        <v>314</v>
      </c>
      <c r="C52" t="s">
        <v>1805</v>
      </c>
      <c r="D52" t="s">
        <v>1628</v>
      </c>
      <c r="E52" t="s">
        <v>1629</v>
      </c>
      <c r="F52" t="s">
        <v>1806</v>
      </c>
      <c r="G52" t="s">
        <v>1807</v>
      </c>
      <c r="H52">
        <v>9286884770</v>
      </c>
      <c r="K52" t="s">
        <v>1808</v>
      </c>
      <c r="L52" t="s">
        <v>1809</v>
      </c>
      <c r="M52" t="s">
        <v>1634</v>
      </c>
    </row>
    <row r="53" spans="1:13" x14ac:dyDescent="0.25">
      <c r="A53">
        <v>4156</v>
      </c>
      <c r="B53" t="s">
        <v>314</v>
      </c>
      <c r="C53" t="s">
        <v>1805</v>
      </c>
      <c r="D53" t="s">
        <v>1628</v>
      </c>
      <c r="E53" t="s">
        <v>1629</v>
      </c>
      <c r="F53" t="s">
        <v>1750</v>
      </c>
      <c r="G53" t="s">
        <v>1810</v>
      </c>
      <c r="H53">
        <v>9286884747</v>
      </c>
      <c r="K53" t="s">
        <v>1811</v>
      </c>
      <c r="L53" t="s">
        <v>1668</v>
      </c>
      <c r="M53" t="s">
        <v>1634</v>
      </c>
    </row>
    <row r="54" spans="1:13" x14ac:dyDescent="0.25">
      <c r="A54">
        <v>4156</v>
      </c>
      <c r="B54" t="s">
        <v>314</v>
      </c>
      <c r="C54" t="s">
        <v>1805</v>
      </c>
      <c r="D54" t="s">
        <v>1628</v>
      </c>
      <c r="E54" t="s">
        <v>1629</v>
      </c>
      <c r="F54" t="s">
        <v>1812</v>
      </c>
      <c r="G54" t="s">
        <v>1813</v>
      </c>
      <c r="I54">
        <v>4758</v>
      </c>
      <c r="K54" t="s">
        <v>1814</v>
      </c>
      <c r="L54" t="s">
        <v>1815</v>
      </c>
      <c r="M54" t="s">
        <v>1634</v>
      </c>
    </row>
    <row r="55" spans="1:13" x14ac:dyDescent="0.25">
      <c r="A55">
        <v>4156</v>
      </c>
      <c r="B55" t="s">
        <v>314</v>
      </c>
      <c r="C55" t="s">
        <v>1805</v>
      </c>
      <c r="D55" t="s">
        <v>1628</v>
      </c>
      <c r="E55" t="s">
        <v>1629</v>
      </c>
      <c r="F55" t="s">
        <v>1816</v>
      </c>
      <c r="G55" t="s">
        <v>1817</v>
      </c>
      <c r="H55">
        <v>9286884755</v>
      </c>
      <c r="K55" t="s">
        <v>1818</v>
      </c>
      <c r="L55" t="s">
        <v>1819</v>
      </c>
      <c r="M55" t="s">
        <v>1765</v>
      </c>
    </row>
    <row r="56" spans="1:13" x14ac:dyDescent="0.25">
      <c r="A56">
        <v>4156</v>
      </c>
      <c r="B56" t="s">
        <v>314</v>
      </c>
      <c r="C56" t="s">
        <v>1805</v>
      </c>
      <c r="D56" t="s">
        <v>1628</v>
      </c>
      <c r="E56" t="s">
        <v>1629</v>
      </c>
      <c r="F56" t="s">
        <v>1820</v>
      </c>
      <c r="G56" t="s">
        <v>1821</v>
      </c>
      <c r="K56" t="s">
        <v>1822</v>
      </c>
      <c r="M56" t="s">
        <v>1765</v>
      </c>
    </row>
    <row r="57" spans="1:13" x14ac:dyDescent="0.25">
      <c r="A57">
        <v>4722</v>
      </c>
      <c r="B57" t="s">
        <v>854</v>
      </c>
      <c r="C57" t="s">
        <v>1823</v>
      </c>
      <c r="D57" t="s">
        <v>1643</v>
      </c>
      <c r="E57" t="s">
        <v>1629</v>
      </c>
      <c r="F57" t="s">
        <v>1824</v>
      </c>
      <c r="G57" t="s">
        <v>1825</v>
      </c>
      <c r="H57">
        <v>9286883851</v>
      </c>
      <c r="J57">
        <v>9286883888</v>
      </c>
      <c r="K57" t="s">
        <v>1826</v>
      </c>
      <c r="L57" t="s">
        <v>1647</v>
      </c>
      <c r="M57" t="s">
        <v>1634</v>
      </c>
    </row>
    <row r="58" spans="1:13" x14ac:dyDescent="0.25">
      <c r="A58">
        <v>4723</v>
      </c>
      <c r="B58" t="s">
        <v>471</v>
      </c>
      <c r="C58" t="s">
        <v>1827</v>
      </c>
      <c r="D58" t="s">
        <v>1643</v>
      </c>
      <c r="E58" t="s">
        <v>1629</v>
      </c>
      <c r="F58" t="s">
        <v>1828</v>
      </c>
      <c r="G58" t="s">
        <v>1829</v>
      </c>
      <c r="K58" t="s">
        <v>1830</v>
      </c>
      <c r="L58" t="s">
        <v>1721</v>
      </c>
      <c r="M58" t="s">
        <v>1634</v>
      </c>
    </row>
    <row r="59" spans="1:13" x14ac:dyDescent="0.25">
      <c r="A59">
        <v>4724</v>
      </c>
      <c r="B59" t="s">
        <v>1028</v>
      </c>
      <c r="C59" t="s">
        <v>1831</v>
      </c>
      <c r="D59" t="s">
        <v>1643</v>
      </c>
      <c r="E59" t="s">
        <v>1629</v>
      </c>
      <c r="F59" t="s">
        <v>1832</v>
      </c>
      <c r="G59" t="s">
        <v>1833</v>
      </c>
      <c r="H59">
        <v>9286884203</v>
      </c>
      <c r="J59">
        <v>9286884202</v>
      </c>
      <c r="K59" t="s">
        <v>1834</v>
      </c>
      <c r="L59" t="s">
        <v>1647</v>
      </c>
      <c r="M59" t="s">
        <v>1634</v>
      </c>
    </row>
    <row r="60" spans="1:13" x14ac:dyDescent="0.25">
      <c r="A60">
        <v>4724</v>
      </c>
      <c r="B60" t="s">
        <v>1028</v>
      </c>
      <c r="C60" t="s">
        <v>1831</v>
      </c>
      <c r="D60" t="s">
        <v>1643</v>
      </c>
      <c r="E60" t="s">
        <v>1629</v>
      </c>
      <c r="F60" t="s">
        <v>1835</v>
      </c>
      <c r="G60" t="s">
        <v>1836</v>
      </c>
      <c r="K60" t="s">
        <v>1837</v>
      </c>
      <c r="L60" t="s">
        <v>1721</v>
      </c>
      <c r="M60" t="s">
        <v>1634</v>
      </c>
    </row>
    <row r="61" spans="1:13" x14ac:dyDescent="0.25">
      <c r="A61">
        <v>4157</v>
      </c>
      <c r="B61" t="s">
        <v>448</v>
      </c>
      <c r="C61" t="s">
        <v>1838</v>
      </c>
      <c r="D61" t="s">
        <v>1628</v>
      </c>
      <c r="E61" t="s">
        <v>1629</v>
      </c>
      <c r="F61" t="s">
        <v>1839</v>
      </c>
      <c r="G61" t="s">
        <v>1840</v>
      </c>
      <c r="H61" t="s">
        <v>1841</v>
      </c>
      <c r="I61">
        <v>1065</v>
      </c>
      <c r="K61" t="s">
        <v>1842</v>
      </c>
      <c r="L61" t="s">
        <v>1843</v>
      </c>
      <c r="M61" t="s">
        <v>1634</v>
      </c>
    </row>
    <row r="62" spans="1:13" x14ac:dyDescent="0.25">
      <c r="A62">
        <v>4157</v>
      </c>
      <c r="B62" t="s">
        <v>448</v>
      </c>
      <c r="C62" t="s">
        <v>1838</v>
      </c>
      <c r="D62" t="s">
        <v>1628</v>
      </c>
      <c r="E62" t="s">
        <v>1629</v>
      </c>
      <c r="F62" t="s">
        <v>1695</v>
      </c>
      <c r="G62" t="s">
        <v>1696</v>
      </c>
      <c r="H62">
        <v>9287551018</v>
      </c>
      <c r="K62" t="s">
        <v>1844</v>
      </c>
      <c r="L62" t="s">
        <v>1647</v>
      </c>
      <c r="M62" t="s">
        <v>1634</v>
      </c>
    </row>
    <row r="63" spans="1:13" x14ac:dyDescent="0.25">
      <c r="A63">
        <v>4157</v>
      </c>
      <c r="B63" t="s">
        <v>448</v>
      </c>
      <c r="C63" t="s">
        <v>1838</v>
      </c>
      <c r="D63" t="s">
        <v>1628</v>
      </c>
      <c r="E63" t="s">
        <v>1629</v>
      </c>
      <c r="F63" t="s">
        <v>1845</v>
      </c>
      <c r="G63" t="s">
        <v>1846</v>
      </c>
      <c r="H63">
        <v>9287551400</v>
      </c>
      <c r="K63" t="s">
        <v>1847</v>
      </c>
      <c r="L63" t="s">
        <v>1647</v>
      </c>
      <c r="M63" t="s">
        <v>1634</v>
      </c>
    </row>
    <row r="64" spans="1:13" x14ac:dyDescent="0.25">
      <c r="A64">
        <v>4157</v>
      </c>
      <c r="B64" t="s">
        <v>448</v>
      </c>
      <c r="C64" t="s">
        <v>1838</v>
      </c>
      <c r="D64" t="s">
        <v>1628</v>
      </c>
      <c r="E64" t="s">
        <v>1629</v>
      </c>
      <c r="F64" t="s">
        <v>1848</v>
      </c>
      <c r="G64" t="s">
        <v>1849</v>
      </c>
      <c r="H64">
        <v>9287551148</v>
      </c>
      <c r="K64" t="s">
        <v>1850</v>
      </c>
      <c r="L64" t="s">
        <v>1851</v>
      </c>
      <c r="M64" t="s">
        <v>1634</v>
      </c>
    </row>
    <row r="65" spans="1:13" x14ac:dyDescent="0.25">
      <c r="A65">
        <v>4157</v>
      </c>
      <c r="B65" t="s">
        <v>448</v>
      </c>
      <c r="C65" t="s">
        <v>1838</v>
      </c>
      <c r="D65" t="s">
        <v>1628</v>
      </c>
      <c r="E65" t="s">
        <v>1629</v>
      </c>
      <c r="F65" t="s">
        <v>1852</v>
      </c>
      <c r="G65" t="s">
        <v>1853</v>
      </c>
      <c r="H65">
        <v>9287551048</v>
      </c>
      <c r="K65" t="s">
        <v>1854</v>
      </c>
      <c r="L65" t="s">
        <v>1855</v>
      </c>
      <c r="M65" t="s">
        <v>1634</v>
      </c>
    </row>
    <row r="66" spans="1:13" x14ac:dyDescent="0.25">
      <c r="A66">
        <v>4157</v>
      </c>
      <c r="B66" t="s">
        <v>448</v>
      </c>
      <c r="C66" t="s">
        <v>1838</v>
      </c>
      <c r="D66" t="s">
        <v>1628</v>
      </c>
      <c r="E66" t="s">
        <v>1629</v>
      </c>
      <c r="F66" t="s">
        <v>1856</v>
      </c>
      <c r="G66" t="s">
        <v>1857</v>
      </c>
      <c r="H66">
        <v>9287551011</v>
      </c>
      <c r="K66" t="s">
        <v>1858</v>
      </c>
      <c r="L66" t="s">
        <v>1859</v>
      </c>
      <c r="M66" t="s">
        <v>1634</v>
      </c>
    </row>
    <row r="67" spans="1:13" x14ac:dyDescent="0.25">
      <c r="A67">
        <v>4157</v>
      </c>
      <c r="B67" t="s">
        <v>448</v>
      </c>
      <c r="C67" t="s">
        <v>1838</v>
      </c>
      <c r="D67" t="s">
        <v>1628</v>
      </c>
      <c r="E67" t="s">
        <v>1629</v>
      </c>
      <c r="F67" t="s">
        <v>1860</v>
      </c>
      <c r="G67" t="s">
        <v>1861</v>
      </c>
      <c r="H67">
        <v>9287551048</v>
      </c>
      <c r="K67" t="s">
        <v>1862</v>
      </c>
      <c r="L67" t="s">
        <v>1855</v>
      </c>
      <c r="M67" t="s">
        <v>1634</v>
      </c>
    </row>
    <row r="68" spans="1:13" x14ac:dyDescent="0.25">
      <c r="A68">
        <v>4157</v>
      </c>
      <c r="B68" t="s">
        <v>448</v>
      </c>
      <c r="C68" t="s">
        <v>1838</v>
      </c>
      <c r="D68" t="s">
        <v>1628</v>
      </c>
      <c r="E68" t="s">
        <v>1629</v>
      </c>
      <c r="F68" t="s">
        <v>1852</v>
      </c>
      <c r="G68" t="s">
        <v>1853</v>
      </c>
      <c r="H68">
        <v>9287551048</v>
      </c>
      <c r="K68" t="s">
        <v>1854</v>
      </c>
      <c r="L68" t="s">
        <v>1855</v>
      </c>
      <c r="M68" t="s">
        <v>1640</v>
      </c>
    </row>
    <row r="69" spans="1:13" x14ac:dyDescent="0.25">
      <c r="A69">
        <v>4157</v>
      </c>
      <c r="B69" t="s">
        <v>448</v>
      </c>
      <c r="C69" t="s">
        <v>1838</v>
      </c>
      <c r="D69" t="s">
        <v>1628</v>
      </c>
      <c r="E69" t="s">
        <v>1629</v>
      </c>
      <c r="F69" t="s">
        <v>1856</v>
      </c>
      <c r="G69" t="s">
        <v>1857</v>
      </c>
      <c r="H69">
        <v>9287551011</v>
      </c>
      <c r="K69" t="s">
        <v>1858</v>
      </c>
      <c r="L69" t="s">
        <v>1859</v>
      </c>
      <c r="M69" t="s">
        <v>1640</v>
      </c>
    </row>
    <row r="70" spans="1:13" x14ac:dyDescent="0.25">
      <c r="A70">
        <v>4157</v>
      </c>
      <c r="B70" t="s">
        <v>448</v>
      </c>
      <c r="C70" t="s">
        <v>1838</v>
      </c>
      <c r="D70" t="s">
        <v>1628</v>
      </c>
      <c r="E70" t="s">
        <v>1629</v>
      </c>
      <c r="F70" t="s">
        <v>1860</v>
      </c>
      <c r="G70" t="s">
        <v>1861</v>
      </c>
      <c r="H70">
        <v>9287551048</v>
      </c>
      <c r="K70" t="s">
        <v>1862</v>
      </c>
      <c r="L70" t="s">
        <v>1855</v>
      </c>
      <c r="M70" t="s">
        <v>1640</v>
      </c>
    </row>
    <row r="71" spans="1:13" x14ac:dyDescent="0.25">
      <c r="A71">
        <v>4157</v>
      </c>
      <c r="B71" t="s">
        <v>448</v>
      </c>
      <c r="C71" t="s">
        <v>1838</v>
      </c>
      <c r="D71" t="s">
        <v>1628</v>
      </c>
      <c r="E71" t="s">
        <v>1629</v>
      </c>
      <c r="F71" t="s">
        <v>1839</v>
      </c>
      <c r="G71" t="s">
        <v>1840</v>
      </c>
      <c r="H71" t="s">
        <v>1841</v>
      </c>
      <c r="I71">
        <v>1065</v>
      </c>
      <c r="K71" t="s">
        <v>1842</v>
      </c>
      <c r="L71" t="s">
        <v>1843</v>
      </c>
      <c r="M71" t="s">
        <v>1765</v>
      </c>
    </row>
    <row r="72" spans="1:13" x14ac:dyDescent="0.25">
      <c r="A72">
        <v>4725</v>
      </c>
      <c r="B72" t="s">
        <v>1863</v>
      </c>
      <c r="C72" t="s">
        <v>1864</v>
      </c>
      <c r="D72" t="s">
        <v>1643</v>
      </c>
      <c r="E72" t="s">
        <v>1629</v>
      </c>
      <c r="F72" t="s">
        <v>1865</v>
      </c>
      <c r="G72" t="s">
        <v>1866</v>
      </c>
      <c r="H72">
        <v>9287551200</v>
      </c>
      <c r="J72">
        <v>9287551085</v>
      </c>
      <c r="K72" t="s">
        <v>1867</v>
      </c>
      <c r="M72" t="s">
        <v>1634</v>
      </c>
    </row>
    <row r="73" spans="1:13" x14ac:dyDescent="0.25">
      <c r="A73">
        <v>4725</v>
      </c>
      <c r="B73" t="s">
        <v>1863</v>
      </c>
      <c r="C73" t="s">
        <v>1864</v>
      </c>
      <c r="D73" t="s">
        <v>1643</v>
      </c>
      <c r="E73" t="s">
        <v>1629</v>
      </c>
      <c r="F73" t="s">
        <v>1868</v>
      </c>
      <c r="G73" t="s">
        <v>1666</v>
      </c>
      <c r="K73" t="s">
        <v>1869</v>
      </c>
      <c r="M73" t="s">
        <v>1634</v>
      </c>
    </row>
    <row r="74" spans="1:13" x14ac:dyDescent="0.25">
      <c r="A74">
        <v>4725</v>
      </c>
      <c r="B74" t="s">
        <v>1863</v>
      </c>
      <c r="C74" t="s">
        <v>1864</v>
      </c>
      <c r="D74" t="s">
        <v>1643</v>
      </c>
      <c r="E74" t="s">
        <v>1629</v>
      </c>
      <c r="F74" t="s">
        <v>1870</v>
      </c>
      <c r="G74" t="s">
        <v>1871</v>
      </c>
      <c r="L74" t="s">
        <v>1721</v>
      </c>
      <c r="M74" t="s">
        <v>1634</v>
      </c>
    </row>
    <row r="75" spans="1:13" x14ac:dyDescent="0.25">
      <c r="A75">
        <v>4725</v>
      </c>
      <c r="B75" t="s">
        <v>1863</v>
      </c>
      <c r="C75" t="s">
        <v>1864</v>
      </c>
      <c r="D75" t="s">
        <v>1643</v>
      </c>
      <c r="E75" t="s">
        <v>1629</v>
      </c>
      <c r="F75" t="s">
        <v>1872</v>
      </c>
      <c r="G75" t="s">
        <v>1873</v>
      </c>
      <c r="H75">
        <v>9287551200</v>
      </c>
      <c r="K75" t="s">
        <v>1874</v>
      </c>
      <c r="M75" t="s">
        <v>1765</v>
      </c>
    </row>
    <row r="76" spans="1:13" x14ac:dyDescent="0.25">
      <c r="A76">
        <v>4726</v>
      </c>
      <c r="B76" t="s">
        <v>489</v>
      </c>
      <c r="C76" t="s">
        <v>1875</v>
      </c>
      <c r="D76" t="s">
        <v>1643</v>
      </c>
      <c r="E76" t="s">
        <v>1629</v>
      </c>
      <c r="F76" t="s">
        <v>1876</v>
      </c>
      <c r="G76" t="s">
        <v>1877</v>
      </c>
      <c r="H76">
        <v>9287551126</v>
      </c>
      <c r="K76" t="s">
        <v>1878</v>
      </c>
      <c r="M76" t="s">
        <v>1765</v>
      </c>
    </row>
    <row r="77" spans="1:13" x14ac:dyDescent="0.25">
      <c r="A77">
        <v>4727</v>
      </c>
      <c r="B77" t="s">
        <v>452</v>
      </c>
      <c r="C77" t="s">
        <v>1879</v>
      </c>
      <c r="D77" t="s">
        <v>1643</v>
      </c>
      <c r="E77" t="s">
        <v>1629</v>
      </c>
      <c r="F77" t="s">
        <v>1695</v>
      </c>
      <c r="G77" t="s">
        <v>1696</v>
      </c>
      <c r="H77">
        <v>9287551418</v>
      </c>
      <c r="K77" t="s">
        <v>1844</v>
      </c>
      <c r="L77" t="s">
        <v>1647</v>
      </c>
      <c r="M77" t="s">
        <v>1634</v>
      </c>
    </row>
    <row r="78" spans="1:13" x14ac:dyDescent="0.25">
      <c r="A78">
        <v>4727</v>
      </c>
      <c r="B78" t="s">
        <v>452</v>
      </c>
      <c r="C78" t="s">
        <v>1879</v>
      </c>
      <c r="D78" t="s">
        <v>1643</v>
      </c>
      <c r="E78" t="s">
        <v>1629</v>
      </c>
      <c r="F78" t="s">
        <v>1880</v>
      </c>
      <c r="G78" t="s">
        <v>1881</v>
      </c>
      <c r="H78">
        <v>9287551411</v>
      </c>
      <c r="J78">
        <v>9287551402</v>
      </c>
      <c r="K78" t="s">
        <v>1882</v>
      </c>
      <c r="L78" t="s">
        <v>1647</v>
      </c>
      <c r="M78" t="s">
        <v>1634</v>
      </c>
    </row>
    <row r="79" spans="1:13" x14ac:dyDescent="0.25">
      <c r="A79">
        <v>4727</v>
      </c>
      <c r="B79" t="s">
        <v>452</v>
      </c>
      <c r="C79" t="s">
        <v>1879</v>
      </c>
      <c r="D79" t="s">
        <v>1643</v>
      </c>
      <c r="E79" t="s">
        <v>1629</v>
      </c>
      <c r="F79" t="s">
        <v>1883</v>
      </c>
      <c r="G79" t="s">
        <v>1884</v>
      </c>
      <c r="H79">
        <v>9287551222</v>
      </c>
      <c r="K79" t="s">
        <v>1885</v>
      </c>
      <c r="M79" t="s">
        <v>1765</v>
      </c>
    </row>
    <row r="80" spans="1:13" x14ac:dyDescent="0.25">
      <c r="A80">
        <v>4728</v>
      </c>
      <c r="B80" t="s">
        <v>893</v>
      </c>
      <c r="C80" t="s">
        <v>1886</v>
      </c>
      <c r="D80" t="s">
        <v>1643</v>
      </c>
      <c r="E80" t="s">
        <v>1629</v>
      </c>
      <c r="F80" t="s">
        <v>1887</v>
      </c>
      <c r="G80" t="s">
        <v>1888</v>
      </c>
      <c r="H80">
        <v>9287551518</v>
      </c>
      <c r="K80" t="s">
        <v>1889</v>
      </c>
      <c r="L80" t="s">
        <v>1647</v>
      </c>
      <c r="M80" t="s">
        <v>1634</v>
      </c>
    </row>
    <row r="81" spans="1:13" x14ac:dyDescent="0.25">
      <c r="A81">
        <v>4728</v>
      </c>
      <c r="B81" t="s">
        <v>893</v>
      </c>
      <c r="C81" t="s">
        <v>1886</v>
      </c>
      <c r="D81" t="s">
        <v>1643</v>
      </c>
      <c r="E81" t="s">
        <v>1629</v>
      </c>
      <c r="F81" t="s">
        <v>1890</v>
      </c>
      <c r="G81" t="s">
        <v>1891</v>
      </c>
      <c r="H81">
        <v>9287551400</v>
      </c>
      <c r="K81" t="s">
        <v>1892</v>
      </c>
      <c r="M81" t="s">
        <v>1765</v>
      </c>
    </row>
    <row r="82" spans="1:13" x14ac:dyDescent="0.25">
      <c r="A82">
        <v>4158</v>
      </c>
      <c r="B82" t="s">
        <v>318</v>
      </c>
      <c r="C82" t="s">
        <v>1893</v>
      </c>
      <c r="D82" t="s">
        <v>1628</v>
      </c>
      <c r="E82" t="s">
        <v>1629</v>
      </c>
      <c r="F82" t="s">
        <v>1894</v>
      </c>
      <c r="G82" t="s">
        <v>1895</v>
      </c>
      <c r="H82" t="s">
        <v>1896</v>
      </c>
      <c r="J82" t="s">
        <v>1637</v>
      </c>
      <c r="K82" t="s">
        <v>1897</v>
      </c>
      <c r="L82" t="s">
        <v>1668</v>
      </c>
      <c r="M82" t="s">
        <v>1634</v>
      </c>
    </row>
    <row r="83" spans="1:13" x14ac:dyDescent="0.25">
      <c r="A83">
        <v>4158</v>
      </c>
      <c r="B83" t="s">
        <v>318</v>
      </c>
      <c r="C83" t="s">
        <v>1893</v>
      </c>
      <c r="D83" t="s">
        <v>1628</v>
      </c>
      <c r="E83" t="s">
        <v>1629</v>
      </c>
      <c r="F83" t="s">
        <v>1298</v>
      </c>
      <c r="G83" t="s">
        <v>1898</v>
      </c>
      <c r="H83">
        <v>9286749605</v>
      </c>
      <c r="K83" t="s">
        <v>1899</v>
      </c>
      <c r="L83" t="s">
        <v>1647</v>
      </c>
      <c r="M83" t="s">
        <v>1634</v>
      </c>
    </row>
    <row r="84" spans="1:13" x14ac:dyDescent="0.25">
      <c r="A84">
        <v>4158</v>
      </c>
      <c r="B84" t="s">
        <v>318</v>
      </c>
      <c r="C84" t="s">
        <v>1893</v>
      </c>
      <c r="D84" t="s">
        <v>1628</v>
      </c>
      <c r="E84" t="s">
        <v>1629</v>
      </c>
      <c r="F84" t="s">
        <v>1894</v>
      </c>
      <c r="G84" t="s">
        <v>1895</v>
      </c>
      <c r="H84" t="s">
        <v>1896</v>
      </c>
      <c r="J84" t="s">
        <v>1637</v>
      </c>
      <c r="K84" t="s">
        <v>1897</v>
      </c>
      <c r="L84" t="s">
        <v>1668</v>
      </c>
      <c r="M84" t="s">
        <v>1640</v>
      </c>
    </row>
    <row r="85" spans="1:13" x14ac:dyDescent="0.25">
      <c r="A85">
        <v>4158</v>
      </c>
      <c r="B85" t="s">
        <v>318</v>
      </c>
      <c r="C85" t="s">
        <v>1893</v>
      </c>
      <c r="D85" t="s">
        <v>1628</v>
      </c>
      <c r="E85" t="s">
        <v>1629</v>
      </c>
      <c r="F85" t="s">
        <v>1900</v>
      </c>
      <c r="G85" t="s">
        <v>1901</v>
      </c>
      <c r="H85" t="s">
        <v>1902</v>
      </c>
      <c r="K85" t="s">
        <v>1903</v>
      </c>
      <c r="L85" t="s">
        <v>1640</v>
      </c>
      <c r="M85" t="s">
        <v>1640</v>
      </c>
    </row>
    <row r="86" spans="1:13" x14ac:dyDescent="0.25">
      <c r="A86">
        <v>4158</v>
      </c>
      <c r="B86" t="s">
        <v>318</v>
      </c>
      <c r="C86" t="s">
        <v>1893</v>
      </c>
      <c r="D86" t="s">
        <v>1628</v>
      </c>
      <c r="E86" t="s">
        <v>1629</v>
      </c>
      <c r="F86" t="s">
        <v>1904</v>
      </c>
      <c r="G86" t="s">
        <v>1905</v>
      </c>
      <c r="K86" t="s">
        <v>1906</v>
      </c>
      <c r="M86" t="s">
        <v>1765</v>
      </c>
    </row>
    <row r="87" spans="1:13" x14ac:dyDescent="0.25">
      <c r="A87">
        <v>4731</v>
      </c>
      <c r="B87" t="s">
        <v>465</v>
      </c>
      <c r="C87" t="s">
        <v>1907</v>
      </c>
      <c r="D87" t="s">
        <v>1643</v>
      </c>
      <c r="E87" t="s">
        <v>1629</v>
      </c>
      <c r="F87" t="s">
        <v>1908</v>
      </c>
      <c r="G87" t="s">
        <v>1909</v>
      </c>
      <c r="H87">
        <v>9286749403</v>
      </c>
      <c r="J87">
        <v>9286749499</v>
      </c>
      <c r="K87" t="s">
        <v>1910</v>
      </c>
      <c r="L87" t="s">
        <v>1647</v>
      </c>
      <c r="M87" t="s">
        <v>1634</v>
      </c>
    </row>
    <row r="88" spans="1:13" x14ac:dyDescent="0.25">
      <c r="A88">
        <v>4731</v>
      </c>
      <c r="B88" t="s">
        <v>465</v>
      </c>
      <c r="C88" t="s">
        <v>1907</v>
      </c>
      <c r="D88" t="s">
        <v>1643</v>
      </c>
      <c r="E88" t="s">
        <v>1629</v>
      </c>
      <c r="F88" t="s">
        <v>1911</v>
      </c>
      <c r="G88" t="s">
        <v>1912</v>
      </c>
      <c r="H88">
        <v>9286749443</v>
      </c>
      <c r="K88" t="s">
        <v>1913</v>
      </c>
      <c r="M88" t="s">
        <v>1634</v>
      </c>
    </row>
    <row r="89" spans="1:13" x14ac:dyDescent="0.25">
      <c r="A89">
        <v>4731</v>
      </c>
      <c r="B89" t="s">
        <v>465</v>
      </c>
      <c r="C89" t="s">
        <v>1907</v>
      </c>
      <c r="D89" t="s">
        <v>1643</v>
      </c>
      <c r="E89" t="s">
        <v>1629</v>
      </c>
      <c r="F89" t="s">
        <v>1914</v>
      </c>
      <c r="G89" t="s">
        <v>1915</v>
      </c>
      <c r="H89">
        <v>9286749444</v>
      </c>
      <c r="K89" t="s">
        <v>1916</v>
      </c>
      <c r="M89" t="s">
        <v>1634</v>
      </c>
    </row>
    <row r="90" spans="1:13" x14ac:dyDescent="0.25">
      <c r="A90">
        <v>4731</v>
      </c>
      <c r="B90" t="s">
        <v>465</v>
      </c>
      <c r="C90" t="s">
        <v>1907</v>
      </c>
      <c r="D90" t="s">
        <v>1643</v>
      </c>
      <c r="E90" t="s">
        <v>1629</v>
      </c>
      <c r="F90" t="s">
        <v>1917</v>
      </c>
      <c r="G90" t="s">
        <v>1918</v>
      </c>
      <c r="H90">
        <v>9286749439</v>
      </c>
      <c r="K90" t="s">
        <v>1919</v>
      </c>
      <c r="M90" t="s">
        <v>1634</v>
      </c>
    </row>
    <row r="91" spans="1:13" x14ac:dyDescent="0.25">
      <c r="A91">
        <v>4731</v>
      </c>
      <c r="B91" t="s">
        <v>465</v>
      </c>
      <c r="C91" t="s">
        <v>1907</v>
      </c>
      <c r="D91" t="s">
        <v>1643</v>
      </c>
      <c r="E91" t="s">
        <v>1629</v>
      </c>
      <c r="F91" t="s">
        <v>1920</v>
      </c>
      <c r="G91" t="s">
        <v>1921</v>
      </c>
      <c r="H91">
        <v>9286749405</v>
      </c>
      <c r="K91" t="s">
        <v>1922</v>
      </c>
      <c r="L91" t="s">
        <v>1923</v>
      </c>
      <c r="M91" t="s">
        <v>1765</v>
      </c>
    </row>
    <row r="92" spans="1:13" x14ac:dyDescent="0.25">
      <c r="A92">
        <v>4732</v>
      </c>
      <c r="B92" t="s">
        <v>1482</v>
      </c>
      <c r="C92" t="s">
        <v>1924</v>
      </c>
      <c r="D92" t="s">
        <v>1643</v>
      </c>
      <c r="E92" t="s">
        <v>1629</v>
      </c>
      <c r="F92" t="s">
        <v>1925</v>
      </c>
      <c r="G92" t="s">
        <v>1926</v>
      </c>
      <c r="H92">
        <v>9286749302</v>
      </c>
      <c r="K92" t="s">
        <v>1927</v>
      </c>
      <c r="L92" t="s">
        <v>1647</v>
      </c>
      <c r="M92" t="s">
        <v>1634</v>
      </c>
    </row>
    <row r="93" spans="1:13" x14ac:dyDescent="0.25">
      <c r="A93">
        <v>4732</v>
      </c>
      <c r="B93" t="s">
        <v>1482</v>
      </c>
      <c r="C93" t="s">
        <v>1924</v>
      </c>
      <c r="D93" t="s">
        <v>1643</v>
      </c>
      <c r="E93" t="s">
        <v>1629</v>
      </c>
      <c r="F93" t="s">
        <v>1928</v>
      </c>
      <c r="G93" t="s">
        <v>1929</v>
      </c>
      <c r="H93">
        <v>9286749212</v>
      </c>
      <c r="K93" t="s">
        <v>1930</v>
      </c>
      <c r="L93" t="s">
        <v>1647</v>
      </c>
      <c r="M93" t="s">
        <v>1634</v>
      </c>
    </row>
    <row r="94" spans="1:13" x14ac:dyDescent="0.25">
      <c r="A94">
        <v>4732</v>
      </c>
      <c r="B94" t="s">
        <v>1482</v>
      </c>
      <c r="C94" t="s">
        <v>1924</v>
      </c>
      <c r="D94" t="s">
        <v>1643</v>
      </c>
      <c r="E94" t="s">
        <v>1629</v>
      </c>
      <c r="F94" t="s">
        <v>1931</v>
      </c>
      <c r="G94" t="s">
        <v>1932</v>
      </c>
      <c r="H94">
        <v>9286749307</v>
      </c>
      <c r="K94" t="s">
        <v>1933</v>
      </c>
      <c r="M94" t="s">
        <v>1765</v>
      </c>
    </row>
    <row r="95" spans="1:13" x14ac:dyDescent="0.25">
      <c r="A95">
        <v>4733</v>
      </c>
      <c r="B95" t="s">
        <v>461</v>
      </c>
      <c r="C95" t="s">
        <v>1934</v>
      </c>
      <c r="D95" t="s">
        <v>1643</v>
      </c>
      <c r="E95" t="s">
        <v>1629</v>
      </c>
      <c r="F95" t="s">
        <v>1935</v>
      </c>
      <c r="G95" t="s">
        <v>1936</v>
      </c>
      <c r="H95">
        <v>9286749202</v>
      </c>
      <c r="K95" t="s">
        <v>1937</v>
      </c>
      <c r="L95" t="s">
        <v>1647</v>
      </c>
      <c r="M95" t="s">
        <v>1634</v>
      </c>
    </row>
    <row r="96" spans="1:13" x14ac:dyDescent="0.25">
      <c r="A96">
        <v>4733</v>
      </c>
      <c r="B96" t="s">
        <v>461</v>
      </c>
      <c r="C96" t="s">
        <v>1934</v>
      </c>
      <c r="D96" t="s">
        <v>1643</v>
      </c>
      <c r="E96" t="s">
        <v>1629</v>
      </c>
      <c r="F96" t="s">
        <v>1938</v>
      </c>
      <c r="G96" t="s">
        <v>1939</v>
      </c>
      <c r="H96">
        <v>9286749200</v>
      </c>
      <c r="K96" t="s">
        <v>1940</v>
      </c>
      <c r="L96" t="s">
        <v>1647</v>
      </c>
      <c r="M96" t="s">
        <v>1634</v>
      </c>
    </row>
    <row r="97" spans="1:13" x14ac:dyDescent="0.25">
      <c r="A97">
        <v>4733</v>
      </c>
      <c r="B97" t="s">
        <v>461</v>
      </c>
      <c r="C97" t="s">
        <v>1934</v>
      </c>
      <c r="D97" t="s">
        <v>1643</v>
      </c>
      <c r="E97" t="s">
        <v>1629</v>
      </c>
      <c r="F97" t="s">
        <v>1941</v>
      </c>
      <c r="G97" t="s">
        <v>1840</v>
      </c>
      <c r="K97" t="s">
        <v>1942</v>
      </c>
      <c r="L97" t="s">
        <v>1647</v>
      </c>
      <c r="M97" t="s">
        <v>1634</v>
      </c>
    </row>
    <row r="98" spans="1:13" x14ac:dyDescent="0.25">
      <c r="A98">
        <v>4733</v>
      </c>
      <c r="B98" t="s">
        <v>461</v>
      </c>
      <c r="C98" t="s">
        <v>1934</v>
      </c>
      <c r="D98" t="s">
        <v>1643</v>
      </c>
      <c r="E98" t="s">
        <v>1629</v>
      </c>
      <c r="F98" t="s">
        <v>1943</v>
      </c>
      <c r="G98" t="s">
        <v>1944</v>
      </c>
      <c r="H98">
        <v>9286749462</v>
      </c>
      <c r="K98" t="s">
        <v>1945</v>
      </c>
      <c r="L98" t="s">
        <v>1946</v>
      </c>
      <c r="M98" t="s">
        <v>1765</v>
      </c>
    </row>
    <row r="99" spans="1:13" x14ac:dyDescent="0.25">
      <c r="A99">
        <v>4734</v>
      </c>
      <c r="B99" t="s">
        <v>458</v>
      </c>
      <c r="C99" t="s">
        <v>1947</v>
      </c>
      <c r="D99" t="s">
        <v>1643</v>
      </c>
      <c r="E99" t="s">
        <v>1629</v>
      </c>
      <c r="F99" t="s">
        <v>1948</v>
      </c>
      <c r="G99" t="s">
        <v>1949</v>
      </c>
      <c r="K99" t="s">
        <v>1950</v>
      </c>
      <c r="L99" t="s">
        <v>1647</v>
      </c>
      <c r="M99" t="s">
        <v>1634</v>
      </c>
    </row>
    <row r="100" spans="1:13" x14ac:dyDescent="0.25">
      <c r="A100">
        <v>4734</v>
      </c>
      <c r="B100" t="s">
        <v>458</v>
      </c>
      <c r="C100" t="s">
        <v>1947</v>
      </c>
      <c r="D100" t="s">
        <v>1643</v>
      </c>
      <c r="E100" t="s">
        <v>1629</v>
      </c>
      <c r="F100" t="s">
        <v>1917</v>
      </c>
      <c r="G100" t="s">
        <v>1693</v>
      </c>
      <c r="H100">
        <v>9286749002</v>
      </c>
      <c r="K100" t="s">
        <v>1951</v>
      </c>
      <c r="L100" t="s">
        <v>1647</v>
      </c>
      <c r="M100" t="s">
        <v>1634</v>
      </c>
    </row>
    <row r="101" spans="1:13" x14ac:dyDescent="0.25">
      <c r="A101">
        <v>4734</v>
      </c>
      <c r="B101" t="s">
        <v>458</v>
      </c>
      <c r="C101" t="s">
        <v>1947</v>
      </c>
      <c r="D101" t="s">
        <v>1643</v>
      </c>
      <c r="E101" t="s">
        <v>1629</v>
      </c>
      <c r="F101" t="s">
        <v>1952</v>
      </c>
      <c r="G101" t="s">
        <v>1711</v>
      </c>
      <c r="H101">
        <v>9286749001</v>
      </c>
      <c r="K101" t="s">
        <v>1953</v>
      </c>
      <c r="M101" t="s">
        <v>1765</v>
      </c>
    </row>
    <row r="102" spans="1:13" x14ac:dyDescent="0.25">
      <c r="A102">
        <v>4735</v>
      </c>
      <c r="B102" t="s">
        <v>474</v>
      </c>
      <c r="C102" t="s">
        <v>1954</v>
      </c>
      <c r="D102" t="s">
        <v>1643</v>
      </c>
      <c r="E102" t="s">
        <v>1629</v>
      </c>
      <c r="F102" t="s">
        <v>1955</v>
      </c>
      <c r="G102" t="s">
        <v>1956</v>
      </c>
      <c r="K102" t="s">
        <v>1957</v>
      </c>
      <c r="L102" t="s">
        <v>1647</v>
      </c>
      <c r="M102" t="s">
        <v>1634</v>
      </c>
    </row>
    <row r="103" spans="1:13" x14ac:dyDescent="0.25">
      <c r="A103">
        <v>4736</v>
      </c>
      <c r="B103" t="s">
        <v>464</v>
      </c>
      <c r="C103" t="s">
        <v>1958</v>
      </c>
      <c r="D103" t="s">
        <v>1643</v>
      </c>
      <c r="E103" t="s">
        <v>1629</v>
      </c>
      <c r="F103" t="s">
        <v>1959</v>
      </c>
      <c r="G103" t="s">
        <v>1960</v>
      </c>
      <c r="H103">
        <v>9286749801</v>
      </c>
      <c r="K103" t="s">
        <v>1961</v>
      </c>
      <c r="L103" t="s">
        <v>1647</v>
      </c>
      <c r="M103" t="s">
        <v>1634</v>
      </c>
    </row>
    <row r="104" spans="1:13" x14ac:dyDescent="0.25">
      <c r="A104">
        <v>4736</v>
      </c>
      <c r="B104" t="s">
        <v>464</v>
      </c>
      <c r="C104" t="s">
        <v>1958</v>
      </c>
      <c r="D104" t="s">
        <v>1643</v>
      </c>
      <c r="E104" t="s">
        <v>1629</v>
      </c>
      <c r="F104" t="s">
        <v>1962</v>
      </c>
      <c r="G104" t="s">
        <v>1963</v>
      </c>
      <c r="H104">
        <v>9286749802</v>
      </c>
      <c r="K104" t="s">
        <v>1964</v>
      </c>
      <c r="L104" t="s">
        <v>1647</v>
      </c>
      <c r="M104" t="s">
        <v>1634</v>
      </c>
    </row>
    <row r="105" spans="1:13" x14ac:dyDescent="0.25">
      <c r="A105">
        <v>4736</v>
      </c>
      <c r="B105" t="s">
        <v>464</v>
      </c>
      <c r="C105" t="s">
        <v>1958</v>
      </c>
      <c r="D105" t="s">
        <v>1643</v>
      </c>
      <c r="E105" t="s">
        <v>1629</v>
      </c>
      <c r="F105" t="s">
        <v>1965</v>
      </c>
      <c r="G105" t="s">
        <v>1966</v>
      </c>
      <c r="H105">
        <v>9286749842</v>
      </c>
      <c r="K105" t="s">
        <v>1967</v>
      </c>
      <c r="M105" t="s">
        <v>1634</v>
      </c>
    </row>
    <row r="106" spans="1:13" x14ac:dyDescent="0.25">
      <c r="A106">
        <v>4736</v>
      </c>
      <c r="B106" t="s">
        <v>464</v>
      </c>
      <c r="C106" t="s">
        <v>1958</v>
      </c>
      <c r="D106" t="s">
        <v>1643</v>
      </c>
      <c r="E106" t="s">
        <v>1629</v>
      </c>
      <c r="F106" t="s">
        <v>1682</v>
      </c>
      <c r="G106" t="s">
        <v>1683</v>
      </c>
      <c r="H106">
        <v>9286749503</v>
      </c>
      <c r="K106" t="s">
        <v>1968</v>
      </c>
      <c r="L106" t="s">
        <v>1647</v>
      </c>
      <c r="M106" t="s">
        <v>1634</v>
      </c>
    </row>
    <row r="107" spans="1:13" x14ac:dyDescent="0.25">
      <c r="A107">
        <v>4736</v>
      </c>
      <c r="B107" t="s">
        <v>464</v>
      </c>
      <c r="C107" t="s">
        <v>1958</v>
      </c>
      <c r="D107" t="s">
        <v>1643</v>
      </c>
      <c r="E107" t="s">
        <v>1629</v>
      </c>
      <c r="F107" t="s">
        <v>1969</v>
      </c>
      <c r="G107" t="s">
        <v>1970</v>
      </c>
      <c r="H107">
        <v>9286749730</v>
      </c>
      <c r="K107" t="s">
        <v>1971</v>
      </c>
      <c r="M107" t="s">
        <v>1765</v>
      </c>
    </row>
    <row r="108" spans="1:13" x14ac:dyDescent="0.25">
      <c r="A108">
        <v>4737</v>
      </c>
      <c r="B108" t="s">
        <v>894</v>
      </c>
      <c r="C108" t="s">
        <v>1972</v>
      </c>
      <c r="D108" t="s">
        <v>1643</v>
      </c>
      <c r="E108" t="s">
        <v>1629</v>
      </c>
      <c r="F108" t="s">
        <v>1973</v>
      </c>
      <c r="G108" t="s">
        <v>1974</v>
      </c>
      <c r="K108" t="s">
        <v>1975</v>
      </c>
      <c r="M108" t="s">
        <v>1634</v>
      </c>
    </row>
    <row r="109" spans="1:13" x14ac:dyDescent="0.25">
      <c r="A109">
        <v>4737</v>
      </c>
      <c r="B109" t="s">
        <v>894</v>
      </c>
      <c r="C109" t="s">
        <v>1972</v>
      </c>
      <c r="D109" t="s">
        <v>1643</v>
      </c>
      <c r="E109" t="s">
        <v>1629</v>
      </c>
      <c r="F109" t="s">
        <v>1938</v>
      </c>
      <c r="G109" t="s">
        <v>1939</v>
      </c>
      <c r="K109" t="s">
        <v>1940</v>
      </c>
      <c r="M109" t="s">
        <v>1634</v>
      </c>
    </row>
    <row r="110" spans="1:13" x14ac:dyDescent="0.25">
      <c r="A110">
        <v>4737</v>
      </c>
      <c r="B110" t="s">
        <v>894</v>
      </c>
      <c r="C110" t="s">
        <v>1972</v>
      </c>
      <c r="D110" t="s">
        <v>1643</v>
      </c>
      <c r="E110" t="s">
        <v>1629</v>
      </c>
      <c r="F110" t="s">
        <v>1976</v>
      </c>
      <c r="G110" t="s">
        <v>1977</v>
      </c>
      <c r="H110">
        <v>9286749589</v>
      </c>
      <c r="K110" t="s">
        <v>1978</v>
      </c>
      <c r="M110" t="s">
        <v>1634</v>
      </c>
    </row>
    <row r="111" spans="1:13" x14ac:dyDescent="0.25">
      <c r="A111">
        <v>4737</v>
      </c>
      <c r="B111" t="s">
        <v>894</v>
      </c>
      <c r="C111" t="s">
        <v>1972</v>
      </c>
      <c r="D111" t="s">
        <v>1643</v>
      </c>
      <c r="E111" t="s">
        <v>1629</v>
      </c>
      <c r="F111" t="s">
        <v>1690</v>
      </c>
      <c r="G111" t="s">
        <v>1979</v>
      </c>
      <c r="H111">
        <v>9286749463</v>
      </c>
      <c r="K111" t="s">
        <v>1980</v>
      </c>
      <c r="M111" t="s">
        <v>1634</v>
      </c>
    </row>
    <row r="112" spans="1:13" x14ac:dyDescent="0.25">
      <c r="A112">
        <v>4737</v>
      </c>
      <c r="B112" t="s">
        <v>894</v>
      </c>
      <c r="C112" t="s">
        <v>1972</v>
      </c>
      <c r="D112" t="s">
        <v>1643</v>
      </c>
      <c r="E112" t="s">
        <v>1629</v>
      </c>
      <c r="F112" t="s">
        <v>1981</v>
      </c>
      <c r="G112" t="s">
        <v>1982</v>
      </c>
      <c r="K112" t="s">
        <v>1983</v>
      </c>
      <c r="M112" t="s">
        <v>1634</v>
      </c>
    </row>
    <row r="113" spans="1:13" x14ac:dyDescent="0.25">
      <c r="A113">
        <v>4737</v>
      </c>
      <c r="B113" t="s">
        <v>894</v>
      </c>
      <c r="C113" t="s">
        <v>1972</v>
      </c>
      <c r="D113" t="s">
        <v>1643</v>
      </c>
      <c r="E113" t="s">
        <v>1629</v>
      </c>
      <c r="F113" t="s">
        <v>1298</v>
      </c>
      <c r="G113" t="s">
        <v>1984</v>
      </c>
      <c r="K113" t="s">
        <v>1899</v>
      </c>
      <c r="L113" t="s">
        <v>1647</v>
      </c>
      <c r="M113" t="s">
        <v>1634</v>
      </c>
    </row>
    <row r="114" spans="1:13" x14ac:dyDescent="0.25">
      <c r="A114">
        <v>4737</v>
      </c>
      <c r="B114" t="s">
        <v>894</v>
      </c>
      <c r="C114" t="s">
        <v>1972</v>
      </c>
      <c r="D114" t="s">
        <v>1643</v>
      </c>
      <c r="E114" t="s">
        <v>1629</v>
      </c>
      <c r="F114" t="s">
        <v>1985</v>
      </c>
      <c r="G114" t="s">
        <v>1986</v>
      </c>
      <c r="H114">
        <v>9286749504</v>
      </c>
      <c r="K114" t="s">
        <v>1987</v>
      </c>
      <c r="L114" t="s">
        <v>1647</v>
      </c>
      <c r="M114" t="s">
        <v>1634</v>
      </c>
    </row>
    <row r="115" spans="1:13" x14ac:dyDescent="0.25">
      <c r="A115">
        <v>4159</v>
      </c>
      <c r="B115" t="s">
        <v>325</v>
      </c>
      <c r="C115" t="s">
        <v>1988</v>
      </c>
      <c r="D115" t="s">
        <v>1628</v>
      </c>
      <c r="E115" t="s">
        <v>1629</v>
      </c>
      <c r="F115" t="s">
        <v>1989</v>
      </c>
      <c r="G115" t="s">
        <v>1711</v>
      </c>
      <c r="H115">
        <v>9286564112</v>
      </c>
      <c r="K115" t="s">
        <v>1990</v>
      </c>
      <c r="M115" t="s">
        <v>1634</v>
      </c>
    </row>
    <row r="116" spans="1:13" x14ac:dyDescent="0.25">
      <c r="A116">
        <v>4159</v>
      </c>
      <c r="B116" t="s">
        <v>325</v>
      </c>
      <c r="C116" t="s">
        <v>1988</v>
      </c>
      <c r="D116" t="s">
        <v>1628</v>
      </c>
      <c r="E116" t="s">
        <v>1629</v>
      </c>
      <c r="F116" t="s">
        <v>1991</v>
      </c>
      <c r="G116" t="s">
        <v>1992</v>
      </c>
      <c r="H116">
        <v>9286564113</v>
      </c>
      <c r="K116" t="s">
        <v>1993</v>
      </c>
      <c r="L116" t="s">
        <v>1668</v>
      </c>
      <c r="M116" t="s">
        <v>1634</v>
      </c>
    </row>
    <row r="117" spans="1:13" x14ac:dyDescent="0.25">
      <c r="A117">
        <v>4159</v>
      </c>
      <c r="B117" t="s">
        <v>325</v>
      </c>
      <c r="C117" t="s">
        <v>1988</v>
      </c>
      <c r="D117" t="s">
        <v>1628</v>
      </c>
      <c r="E117" t="s">
        <v>1629</v>
      </c>
      <c r="F117" t="s">
        <v>1973</v>
      </c>
      <c r="G117" t="s">
        <v>1994</v>
      </c>
      <c r="H117">
        <v>9286564111</v>
      </c>
      <c r="K117" t="s">
        <v>1995</v>
      </c>
      <c r="L117" t="s">
        <v>1664</v>
      </c>
      <c r="M117" t="s">
        <v>1634</v>
      </c>
    </row>
    <row r="118" spans="1:13" x14ac:dyDescent="0.25">
      <c r="A118">
        <v>4159</v>
      </c>
      <c r="B118" t="s">
        <v>325</v>
      </c>
      <c r="C118" t="s">
        <v>1988</v>
      </c>
      <c r="D118" t="s">
        <v>1628</v>
      </c>
      <c r="E118" t="s">
        <v>1629</v>
      </c>
      <c r="F118" t="s">
        <v>1989</v>
      </c>
      <c r="G118" t="s">
        <v>1711</v>
      </c>
      <c r="H118">
        <v>9286564112</v>
      </c>
      <c r="K118" t="s">
        <v>1990</v>
      </c>
      <c r="M118" t="s">
        <v>1640</v>
      </c>
    </row>
    <row r="119" spans="1:13" x14ac:dyDescent="0.25">
      <c r="A119">
        <v>4738</v>
      </c>
      <c r="B119" t="s">
        <v>480</v>
      </c>
      <c r="C119" t="s">
        <v>1996</v>
      </c>
      <c r="D119" t="s">
        <v>1643</v>
      </c>
      <c r="E119" t="s">
        <v>1629</v>
      </c>
      <c r="F119" t="s">
        <v>1997</v>
      </c>
      <c r="G119" t="s">
        <v>1998</v>
      </c>
      <c r="H119">
        <v>9286564141</v>
      </c>
      <c r="J119">
        <v>9286564252</v>
      </c>
      <c r="K119" t="s">
        <v>1999</v>
      </c>
      <c r="L119" t="s">
        <v>1647</v>
      </c>
      <c r="M119" t="s">
        <v>1634</v>
      </c>
    </row>
    <row r="120" spans="1:13" x14ac:dyDescent="0.25">
      <c r="A120">
        <v>4738</v>
      </c>
      <c r="B120" t="s">
        <v>480</v>
      </c>
      <c r="C120" t="s">
        <v>1996</v>
      </c>
      <c r="D120" t="s">
        <v>1643</v>
      </c>
      <c r="E120" t="s">
        <v>1629</v>
      </c>
      <c r="F120" t="s">
        <v>2000</v>
      </c>
      <c r="G120" t="s">
        <v>1716</v>
      </c>
      <c r="H120">
        <v>9286564252</v>
      </c>
      <c r="J120">
        <v>9286564251</v>
      </c>
      <c r="L120" t="s">
        <v>1647</v>
      </c>
      <c r="M120" t="s">
        <v>1634</v>
      </c>
    </row>
    <row r="121" spans="1:13" x14ac:dyDescent="0.25">
      <c r="A121">
        <v>4738</v>
      </c>
      <c r="B121" t="s">
        <v>480</v>
      </c>
      <c r="C121" t="s">
        <v>1996</v>
      </c>
      <c r="D121" t="s">
        <v>1643</v>
      </c>
      <c r="E121" t="s">
        <v>1629</v>
      </c>
      <c r="F121" t="s">
        <v>2001</v>
      </c>
      <c r="G121" t="s">
        <v>2002</v>
      </c>
      <c r="H121">
        <v>9286564113</v>
      </c>
      <c r="K121" t="s">
        <v>2003</v>
      </c>
      <c r="L121" t="s">
        <v>1647</v>
      </c>
      <c r="M121" t="s">
        <v>1634</v>
      </c>
    </row>
    <row r="122" spans="1:13" x14ac:dyDescent="0.25">
      <c r="A122">
        <v>4739</v>
      </c>
      <c r="B122" t="s">
        <v>467</v>
      </c>
      <c r="C122" t="s">
        <v>2004</v>
      </c>
      <c r="D122" t="s">
        <v>1643</v>
      </c>
      <c r="E122" t="s">
        <v>1629</v>
      </c>
      <c r="F122" t="s">
        <v>2000</v>
      </c>
      <c r="G122" t="s">
        <v>1716</v>
      </c>
      <c r="H122">
        <v>9286564252</v>
      </c>
      <c r="K122" t="s">
        <v>2005</v>
      </c>
      <c r="L122" t="s">
        <v>1647</v>
      </c>
      <c r="M122" t="s">
        <v>1634</v>
      </c>
    </row>
    <row r="123" spans="1:13" x14ac:dyDescent="0.25">
      <c r="A123">
        <v>4740</v>
      </c>
      <c r="B123" t="s">
        <v>2006</v>
      </c>
      <c r="C123" t="s">
        <v>2007</v>
      </c>
      <c r="D123" t="s">
        <v>1643</v>
      </c>
      <c r="E123" t="s">
        <v>1629</v>
      </c>
    </row>
    <row r="124" spans="1:13" x14ac:dyDescent="0.25">
      <c r="A124">
        <v>4741</v>
      </c>
      <c r="B124" t="s">
        <v>895</v>
      </c>
      <c r="C124" t="s">
        <v>2008</v>
      </c>
      <c r="D124" t="s">
        <v>1643</v>
      </c>
      <c r="E124" t="s">
        <v>1629</v>
      </c>
      <c r="F124" t="s">
        <v>2009</v>
      </c>
      <c r="G124" t="s">
        <v>2010</v>
      </c>
      <c r="K124" t="s">
        <v>2011</v>
      </c>
      <c r="L124" t="s">
        <v>1647</v>
      </c>
      <c r="M124" t="s">
        <v>1634</v>
      </c>
    </row>
    <row r="125" spans="1:13" x14ac:dyDescent="0.25">
      <c r="A125">
        <v>88386</v>
      </c>
      <c r="B125" t="s">
        <v>898</v>
      </c>
      <c r="C125" t="s">
        <v>2012</v>
      </c>
      <c r="D125" t="s">
        <v>1643</v>
      </c>
      <c r="E125" t="s">
        <v>1629</v>
      </c>
      <c r="F125" t="s">
        <v>2013</v>
      </c>
      <c r="G125" t="s">
        <v>2014</v>
      </c>
      <c r="K125" t="s">
        <v>2015</v>
      </c>
      <c r="L125" t="s">
        <v>1647</v>
      </c>
      <c r="M125" t="s">
        <v>1634</v>
      </c>
    </row>
    <row r="126" spans="1:13" x14ac:dyDescent="0.25">
      <c r="A126">
        <v>88386</v>
      </c>
      <c r="B126" t="s">
        <v>898</v>
      </c>
      <c r="C126" t="s">
        <v>2012</v>
      </c>
      <c r="D126" t="s">
        <v>1643</v>
      </c>
      <c r="E126" t="s">
        <v>1629</v>
      </c>
      <c r="F126" t="s">
        <v>1715</v>
      </c>
      <c r="G126" t="s">
        <v>1716</v>
      </c>
      <c r="K126" t="s">
        <v>2016</v>
      </c>
      <c r="L126" t="s">
        <v>1647</v>
      </c>
      <c r="M126" t="s">
        <v>1634</v>
      </c>
    </row>
    <row r="127" spans="1:13" x14ac:dyDescent="0.25">
      <c r="A127">
        <v>4160</v>
      </c>
      <c r="B127" t="s">
        <v>453</v>
      </c>
      <c r="C127" t="s">
        <v>2017</v>
      </c>
      <c r="D127" t="s">
        <v>1628</v>
      </c>
      <c r="E127" t="s">
        <v>1629</v>
      </c>
      <c r="F127" t="s">
        <v>1707</v>
      </c>
      <c r="G127" t="s">
        <v>2018</v>
      </c>
      <c r="H127">
        <v>9283374665</v>
      </c>
      <c r="I127">
        <v>308</v>
      </c>
      <c r="K127" t="s">
        <v>2019</v>
      </c>
      <c r="L127" t="s">
        <v>1668</v>
      </c>
      <c r="M127" t="s">
        <v>1634</v>
      </c>
    </row>
    <row r="128" spans="1:13" x14ac:dyDescent="0.25">
      <c r="A128">
        <v>4160</v>
      </c>
      <c r="B128" t="s">
        <v>453</v>
      </c>
      <c r="C128" t="s">
        <v>2017</v>
      </c>
      <c r="D128" t="s">
        <v>1628</v>
      </c>
      <c r="E128" t="s">
        <v>1629</v>
      </c>
      <c r="F128" t="s">
        <v>2020</v>
      </c>
      <c r="G128" t="s">
        <v>2021</v>
      </c>
      <c r="H128">
        <v>9283379356</v>
      </c>
      <c r="I128">
        <v>309</v>
      </c>
      <c r="J128">
        <v>9283372455</v>
      </c>
      <c r="K128" t="s">
        <v>2022</v>
      </c>
      <c r="L128" t="s">
        <v>1640</v>
      </c>
      <c r="M128" t="s">
        <v>1640</v>
      </c>
    </row>
    <row r="129" spans="1:13" x14ac:dyDescent="0.25">
      <c r="A129">
        <v>4160</v>
      </c>
      <c r="B129" t="s">
        <v>453</v>
      </c>
      <c r="C129" t="s">
        <v>2017</v>
      </c>
      <c r="D129" t="s">
        <v>1628</v>
      </c>
      <c r="E129" t="s">
        <v>1629</v>
      </c>
      <c r="F129" t="s">
        <v>2023</v>
      </c>
      <c r="G129" t="s">
        <v>2024</v>
      </c>
      <c r="K129" t="s">
        <v>2025</v>
      </c>
      <c r="M129" t="s">
        <v>1765</v>
      </c>
    </row>
    <row r="130" spans="1:13" x14ac:dyDescent="0.25">
      <c r="A130">
        <v>4742</v>
      </c>
      <c r="B130" t="s">
        <v>454</v>
      </c>
      <c r="C130" t="s">
        <v>2026</v>
      </c>
      <c r="D130" t="s">
        <v>1643</v>
      </c>
      <c r="E130" t="s">
        <v>1629</v>
      </c>
      <c r="F130" t="s">
        <v>2027</v>
      </c>
      <c r="G130" t="s">
        <v>2028</v>
      </c>
      <c r="H130">
        <v>9283374665</v>
      </c>
      <c r="K130" t="s">
        <v>2029</v>
      </c>
      <c r="L130" t="s">
        <v>2030</v>
      </c>
      <c r="M130" t="s">
        <v>1634</v>
      </c>
    </row>
    <row r="131" spans="1:13" x14ac:dyDescent="0.25">
      <c r="A131">
        <v>4742</v>
      </c>
      <c r="B131" t="s">
        <v>454</v>
      </c>
      <c r="C131" t="s">
        <v>2026</v>
      </c>
      <c r="D131" t="s">
        <v>1643</v>
      </c>
      <c r="E131" t="s">
        <v>1629</v>
      </c>
      <c r="F131" t="s">
        <v>2020</v>
      </c>
      <c r="G131" t="s">
        <v>2021</v>
      </c>
      <c r="H131">
        <v>9283379356</v>
      </c>
      <c r="K131" t="s">
        <v>2022</v>
      </c>
      <c r="M131" t="s">
        <v>1640</v>
      </c>
    </row>
    <row r="132" spans="1:13" x14ac:dyDescent="0.25">
      <c r="A132">
        <v>4161</v>
      </c>
      <c r="B132" t="s">
        <v>2031</v>
      </c>
      <c r="C132" t="s">
        <v>2032</v>
      </c>
      <c r="D132" t="s">
        <v>1628</v>
      </c>
      <c r="E132" t="s">
        <v>1629</v>
      </c>
      <c r="F132" t="s">
        <v>2033</v>
      </c>
      <c r="G132" t="s">
        <v>2034</v>
      </c>
      <c r="H132">
        <v>9283394570</v>
      </c>
      <c r="K132" t="s">
        <v>2035</v>
      </c>
      <c r="L132" t="s">
        <v>1668</v>
      </c>
      <c r="M132" t="s">
        <v>1634</v>
      </c>
    </row>
    <row r="133" spans="1:13" x14ac:dyDescent="0.25">
      <c r="A133">
        <v>4161</v>
      </c>
      <c r="B133" t="s">
        <v>2031</v>
      </c>
      <c r="C133" t="s">
        <v>2032</v>
      </c>
      <c r="D133" t="s">
        <v>1628</v>
      </c>
      <c r="E133" t="s">
        <v>1629</v>
      </c>
      <c r="F133" t="s">
        <v>2036</v>
      </c>
      <c r="G133" t="s">
        <v>2037</v>
      </c>
      <c r="H133">
        <v>9283394570</v>
      </c>
      <c r="K133" t="s">
        <v>2038</v>
      </c>
      <c r="L133" t="s">
        <v>1640</v>
      </c>
      <c r="M133" t="s">
        <v>1634</v>
      </c>
    </row>
    <row r="134" spans="1:13" x14ac:dyDescent="0.25">
      <c r="A134">
        <v>4161</v>
      </c>
      <c r="B134" t="s">
        <v>2031</v>
      </c>
      <c r="C134" t="s">
        <v>2032</v>
      </c>
      <c r="D134" t="s">
        <v>1628</v>
      </c>
      <c r="E134" t="s">
        <v>1629</v>
      </c>
      <c r="F134" t="s">
        <v>2036</v>
      </c>
      <c r="G134" t="s">
        <v>2037</v>
      </c>
      <c r="H134">
        <v>9283394570</v>
      </c>
      <c r="K134" t="s">
        <v>2038</v>
      </c>
      <c r="L134" t="s">
        <v>1640</v>
      </c>
      <c r="M134" t="s">
        <v>1640</v>
      </c>
    </row>
    <row r="135" spans="1:13" x14ac:dyDescent="0.25">
      <c r="A135">
        <v>4743</v>
      </c>
      <c r="B135" t="s">
        <v>2039</v>
      </c>
      <c r="C135" t="s">
        <v>2040</v>
      </c>
      <c r="D135" t="s">
        <v>1643</v>
      </c>
      <c r="E135" t="s">
        <v>1629</v>
      </c>
      <c r="F135" t="s">
        <v>2033</v>
      </c>
      <c r="G135" t="s">
        <v>2034</v>
      </c>
      <c r="H135">
        <v>9283394570</v>
      </c>
      <c r="K135" t="s">
        <v>2035</v>
      </c>
      <c r="L135" t="s">
        <v>1647</v>
      </c>
      <c r="M135" t="s">
        <v>1634</v>
      </c>
    </row>
    <row r="136" spans="1:13" x14ac:dyDescent="0.25">
      <c r="A136">
        <v>4162</v>
      </c>
      <c r="B136" t="s">
        <v>1260</v>
      </c>
      <c r="C136" t="s">
        <v>2041</v>
      </c>
      <c r="D136" t="s">
        <v>1628</v>
      </c>
      <c r="E136" t="s">
        <v>1629</v>
      </c>
      <c r="F136" t="s">
        <v>2042</v>
      </c>
      <c r="G136" t="s">
        <v>2043</v>
      </c>
      <c r="H136">
        <v>9285375463</v>
      </c>
      <c r="J136">
        <v>9285371820</v>
      </c>
      <c r="K136" t="s">
        <v>2044</v>
      </c>
      <c r="L136" t="s">
        <v>2045</v>
      </c>
      <c r="M136" t="s">
        <v>1634</v>
      </c>
    </row>
    <row r="137" spans="1:13" x14ac:dyDescent="0.25">
      <c r="A137">
        <v>4162</v>
      </c>
      <c r="B137" t="s">
        <v>1260</v>
      </c>
      <c r="C137" t="s">
        <v>2041</v>
      </c>
      <c r="D137" t="s">
        <v>1628</v>
      </c>
      <c r="E137" t="s">
        <v>1629</v>
      </c>
      <c r="F137" t="s">
        <v>2046</v>
      </c>
      <c r="G137" t="s">
        <v>2047</v>
      </c>
      <c r="H137">
        <v>9285375463</v>
      </c>
      <c r="K137" t="s">
        <v>2048</v>
      </c>
      <c r="L137" t="s">
        <v>1668</v>
      </c>
      <c r="M137" t="s">
        <v>1634</v>
      </c>
    </row>
    <row r="138" spans="1:13" x14ac:dyDescent="0.25">
      <c r="A138">
        <v>4162</v>
      </c>
      <c r="B138" t="s">
        <v>1260</v>
      </c>
      <c r="C138" t="s">
        <v>2041</v>
      </c>
      <c r="D138" t="s">
        <v>1628</v>
      </c>
      <c r="E138" t="s">
        <v>1629</v>
      </c>
      <c r="F138" t="s">
        <v>2049</v>
      </c>
      <c r="G138" t="s">
        <v>2050</v>
      </c>
      <c r="K138" t="s">
        <v>2051</v>
      </c>
      <c r="L138" t="s">
        <v>2052</v>
      </c>
      <c r="M138" t="s">
        <v>1634</v>
      </c>
    </row>
    <row r="139" spans="1:13" x14ac:dyDescent="0.25">
      <c r="A139">
        <v>4162</v>
      </c>
      <c r="B139" t="s">
        <v>1260</v>
      </c>
      <c r="C139" t="s">
        <v>2041</v>
      </c>
      <c r="D139" t="s">
        <v>1628</v>
      </c>
      <c r="E139" t="s">
        <v>1629</v>
      </c>
      <c r="F139" t="s">
        <v>2053</v>
      </c>
      <c r="G139" t="s">
        <v>2054</v>
      </c>
      <c r="H139">
        <v>9285375463</v>
      </c>
      <c r="K139" t="s">
        <v>2055</v>
      </c>
      <c r="L139" t="s">
        <v>1640</v>
      </c>
      <c r="M139" t="s">
        <v>1640</v>
      </c>
    </row>
    <row r="140" spans="1:13" x14ac:dyDescent="0.25">
      <c r="A140">
        <v>4744</v>
      </c>
      <c r="B140" t="s">
        <v>1261</v>
      </c>
      <c r="C140" t="s">
        <v>2056</v>
      </c>
      <c r="D140" t="s">
        <v>1643</v>
      </c>
      <c r="E140" t="s">
        <v>1629</v>
      </c>
      <c r="F140" t="s">
        <v>1812</v>
      </c>
      <c r="G140" t="s">
        <v>1813</v>
      </c>
      <c r="H140">
        <v>9285375463</v>
      </c>
      <c r="I140">
        <v>108</v>
      </c>
      <c r="K140" t="s">
        <v>2057</v>
      </c>
      <c r="L140" t="s">
        <v>1640</v>
      </c>
      <c r="M140" t="s">
        <v>1640</v>
      </c>
    </row>
    <row r="141" spans="1:13" x14ac:dyDescent="0.25">
      <c r="A141">
        <v>4744</v>
      </c>
      <c r="B141" t="s">
        <v>1261</v>
      </c>
      <c r="C141" t="s">
        <v>2056</v>
      </c>
      <c r="D141" t="s">
        <v>1643</v>
      </c>
      <c r="E141" t="s">
        <v>1629</v>
      </c>
      <c r="F141" t="s">
        <v>2058</v>
      </c>
      <c r="G141" t="s">
        <v>2059</v>
      </c>
      <c r="K141" t="s">
        <v>2060</v>
      </c>
      <c r="M141" t="s">
        <v>1765</v>
      </c>
    </row>
    <row r="142" spans="1:13" x14ac:dyDescent="0.25">
      <c r="A142">
        <v>4163</v>
      </c>
      <c r="B142" t="s">
        <v>849</v>
      </c>
      <c r="C142" t="s">
        <v>2061</v>
      </c>
      <c r="D142" t="s">
        <v>1628</v>
      </c>
      <c r="E142" t="s">
        <v>1629</v>
      </c>
      <c r="F142" t="s">
        <v>2062</v>
      </c>
      <c r="G142" t="s">
        <v>2063</v>
      </c>
      <c r="H142">
        <v>9283342293</v>
      </c>
      <c r="K142" t="s">
        <v>2064</v>
      </c>
      <c r="L142" t="s">
        <v>2065</v>
      </c>
      <c r="M142" t="s">
        <v>1634</v>
      </c>
    </row>
    <row r="143" spans="1:13" x14ac:dyDescent="0.25">
      <c r="A143">
        <v>4163</v>
      </c>
      <c r="B143" t="s">
        <v>849</v>
      </c>
      <c r="C143" t="s">
        <v>2061</v>
      </c>
      <c r="D143" t="s">
        <v>1628</v>
      </c>
      <c r="E143" t="s">
        <v>1629</v>
      </c>
      <c r="F143" t="s">
        <v>2066</v>
      </c>
      <c r="G143" t="s">
        <v>2067</v>
      </c>
      <c r="H143">
        <v>9283342226</v>
      </c>
      <c r="I143">
        <v>100</v>
      </c>
      <c r="J143">
        <v>9283342336</v>
      </c>
      <c r="K143" t="s">
        <v>2068</v>
      </c>
      <c r="L143" t="s">
        <v>1640</v>
      </c>
      <c r="M143" t="s">
        <v>1640</v>
      </c>
    </row>
    <row r="144" spans="1:13" x14ac:dyDescent="0.25">
      <c r="A144">
        <v>4163</v>
      </c>
      <c r="B144" t="s">
        <v>849</v>
      </c>
      <c r="C144" t="s">
        <v>2061</v>
      </c>
      <c r="D144" t="s">
        <v>1628</v>
      </c>
      <c r="E144" t="s">
        <v>1629</v>
      </c>
      <c r="F144" t="s">
        <v>2069</v>
      </c>
      <c r="G144" t="s">
        <v>2070</v>
      </c>
      <c r="K144" t="s">
        <v>2071</v>
      </c>
      <c r="L144" t="s">
        <v>2072</v>
      </c>
      <c r="M144" t="s">
        <v>1765</v>
      </c>
    </row>
    <row r="145" spans="1:13" x14ac:dyDescent="0.25">
      <c r="A145">
        <v>4745</v>
      </c>
      <c r="B145" t="s">
        <v>850</v>
      </c>
      <c r="C145" t="s">
        <v>2073</v>
      </c>
      <c r="D145" t="s">
        <v>1643</v>
      </c>
      <c r="E145" t="s">
        <v>1629</v>
      </c>
      <c r="F145" t="s">
        <v>2066</v>
      </c>
      <c r="G145" t="s">
        <v>2074</v>
      </c>
      <c r="H145">
        <v>9283342293</v>
      </c>
      <c r="K145" t="s">
        <v>2075</v>
      </c>
      <c r="L145" t="s">
        <v>1640</v>
      </c>
      <c r="M145" t="s">
        <v>1640</v>
      </c>
    </row>
    <row r="146" spans="1:13" x14ac:dyDescent="0.25">
      <c r="A146">
        <v>4167</v>
      </c>
      <c r="B146" t="s">
        <v>2076</v>
      </c>
      <c r="C146" t="s">
        <v>2077</v>
      </c>
      <c r="D146" t="s">
        <v>1628</v>
      </c>
      <c r="E146" t="s">
        <v>2078</v>
      </c>
      <c r="F146" t="s">
        <v>2079</v>
      </c>
      <c r="G146" t="s">
        <v>2080</v>
      </c>
      <c r="H146">
        <v>5204585082</v>
      </c>
      <c r="I146">
        <v>1009</v>
      </c>
      <c r="J146">
        <v>5204598771</v>
      </c>
      <c r="K146" t="s">
        <v>2081</v>
      </c>
      <c r="L146" t="s">
        <v>1668</v>
      </c>
      <c r="M146" t="s">
        <v>1634</v>
      </c>
    </row>
    <row r="147" spans="1:13" x14ac:dyDescent="0.25">
      <c r="A147">
        <v>4167</v>
      </c>
      <c r="B147" t="s">
        <v>2076</v>
      </c>
      <c r="C147" t="s">
        <v>2077</v>
      </c>
      <c r="D147" t="s">
        <v>1628</v>
      </c>
      <c r="E147" t="s">
        <v>2078</v>
      </c>
      <c r="F147" t="s">
        <v>2082</v>
      </c>
      <c r="G147" t="s">
        <v>2083</v>
      </c>
      <c r="K147" t="s">
        <v>2084</v>
      </c>
      <c r="L147" t="s">
        <v>1668</v>
      </c>
      <c r="M147" t="s">
        <v>1634</v>
      </c>
    </row>
    <row r="148" spans="1:13" x14ac:dyDescent="0.25">
      <c r="A148">
        <v>4167</v>
      </c>
      <c r="B148" t="s">
        <v>2076</v>
      </c>
      <c r="C148" t="s">
        <v>2077</v>
      </c>
      <c r="D148" t="s">
        <v>1628</v>
      </c>
      <c r="E148" t="s">
        <v>2078</v>
      </c>
      <c r="F148" t="s">
        <v>2085</v>
      </c>
      <c r="G148" t="s">
        <v>2086</v>
      </c>
      <c r="H148">
        <v>5204178401</v>
      </c>
      <c r="I148">
        <v>1001</v>
      </c>
      <c r="J148">
        <v>5204598771</v>
      </c>
      <c r="K148" t="s">
        <v>2087</v>
      </c>
      <c r="L148" t="s">
        <v>2088</v>
      </c>
      <c r="M148" t="s">
        <v>1640</v>
      </c>
    </row>
    <row r="149" spans="1:13" x14ac:dyDescent="0.25">
      <c r="A149">
        <v>4167</v>
      </c>
      <c r="B149" t="s">
        <v>2076</v>
      </c>
      <c r="C149" t="s">
        <v>2077</v>
      </c>
      <c r="D149" t="s">
        <v>1628</v>
      </c>
      <c r="E149" t="s">
        <v>2078</v>
      </c>
      <c r="F149" t="s">
        <v>2089</v>
      </c>
      <c r="G149" t="s">
        <v>2021</v>
      </c>
      <c r="K149" t="s">
        <v>2090</v>
      </c>
      <c r="L149" t="s">
        <v>2091</v>
      </c>
      <c r="M149" t="s">
        <v>1765</v>
      </c>
    </row>
    <row r="150" spans="1:13" x14ac:dyDescent="0.25">
      <c r="A150">
        <v>5982</v>
      </c>
      <c r="B150" t="s">
        <v>2092</v>
      </c>
      <c r="C150" t="s">
        <v>2093</v>
      </c>
      <c r="D150" t="s">
        <v>1643</v>
      </c>
      <c r="E150" t="s">
        <v>2078</v>
      </c>
      <c r="F150" t="s">
        <v>2094</v>
      </c>
      <c r="G150" t="s">
        <v>1853</v>
      </c>
      <c r="H150">
        <v>5204598986</v>
      </c>
      <c r="J150">
        <v>5204594092</v>
      </c>
      <c r="K150" t="s">
        <v>2095</v>
      </c>
      <c r="L150" t="s">
        <v>2096</v>
      </c>
      <c r="M150" t="s">
        <v>1634</v>
      </c>
    </row>
    <row r="151" spans="1:13" x14ac:dyDescent="0.25">
      <c r="A151">
        <v>4747</v>
      </c>
      <c r="B151" t="s">
        <v>2097</v>
      </c>
      <c r="C151" t="s">
        <v>2098</v>
      </c>
      <c r="D151" t="s">
        <v>1643</v>
      </c>
      <c r="E151" t="s">
        <v>2078</v>
      </c>
      <c r="F151" t="s">
        <v>2099</v>
      </c>
      <c r="G151" t="s">
        <v>2100</v>
      </c>
      <c r="H151">
        <v>5204598798</v>
      </c>
      <c r="J151">
        <v>5204524090</v>
      </c>
      <c r="K151" t="s">
        <v>2101</v>
      </c>
      <c r="M151" t="s">
        <v>1634</v>
      </c>
    </row>
    <row r="152" spans="1:13" x14ac:dyDescent="0.25">
      <c r="A152">
        <v>4748</v>
      </c>
      <c r="B152" t="s">
        <v>2102</v>
      </c>
      <c r="C152" t="s">
        <v>2103</v>
      </c>
      <c r="D152" t="s">
        <v>1643</v>
      </c>
      <c r="E152" t="s">
        <v>2078</v>
      </c>
      <c r="F152" t="s">
        <v>1820</v>
      </c>
      <c r="G152" t="s">
        <v>2104</v>
      </c>
      <c r="K152" t="s">
        <v>2105</v>
      </c>
      <c r="L152" t="s">
        <v>1647</v>
      </c>
      <c r="M152" t="s">
        <v>1634</v>
      </c>
    </row>
    <row r="153" spans="1:13" x14ac:dyDescent="0.25">
      <c r="A153">
        <v>4168</v>
      </c>
      <c r="B153" t="s">
        <v>2106</v>
      </c>
      <c r="C153" t="s">
        <v>2107</v>
      </c>
      <c r="D153" t="s">
        <v>1628</v>
      </c>
      <c r="E153" t="s">
        <v>2078</v>
      </c>
      <c r="F153" t="s">
        <v>2108</v>
      </c>
      <c r="G153" t="s">
        <v>2109</v>
      </c>
      <c r="H153">
        <v>5204572217</v>
      </c>
      <c r="I153">
        <v>3202</v>
      </c>
      <c r="K153" t="s">
        <v>2110</v>
      </c>
      <c r="L153" t="s">
        <v>2111</v>
      </c>
      <c r="M153" t="s">
        <v>1634</v>
      </c>
    </row>
    <row r="154" spans="1:13" x14ac:dyDescent="0.25">
      <c r="A154">
        <v>4168</v>
      </c>
      <c r="B154" t="s">
        <v>2106</v>
      </c>
      <c r="C154" t="s">
        <v>2107</v>
      </c>
      <c r="D154" t="s">
        <v>1628</v>
      </c>
      <c r="E154" t="s">
        <v>2078</v>
      </c>
      <c r="F154" t="s">
        <v>1820</v>
      </c>
      <c r="G154" t="s">
        <v>2112</v>
      </c>
      <c r="J154">
        <v>5204573643</v>
      </c>
      <c r="K154" t="s">
        <v>2113</v>
      </c>
      <c r="L154" t="s">
        <v>1668</v>
      </c>
      <c r="M154" t="s">
        <v>1634</v>
      </c>
    </row>
    <row r="155" spans="1:13" x14ac:dyDescent="0.25">
      <c r="A155">
        <v>4168</v>
      </c>
      <c r="B155" t="s">
        <v>2106</v>
      </c>
      <c r="C155" t="s">
        <v>2107</v>
      </c>
      <c r="D155" t="s">
        <v>1628</v>
      </c>
      <c r="E155" t="s">
        <v>2078</v>
      </c>
      <c r="F155" t="s">
        <v>2114</v>
      </c>
      <c r="G155" t="s">
        <v>2115</v>
      </c>
      <c r="H155">
        <v>5204572217</v>
      </c>
      <c r="K155" t="s">
        <v>2116</v>
      </c>
      <c r="L155" t="s">
        <v>2117</v>
      </c>
      <c r="M155" t="s">
        <v>1634</v>
      </c>
    </row>
    <row r="156" spans="1:13" x14ac:dyDescent="0.25">
      <c r="A156">
        <v>4168</v>
      </c>
      <c r="B156" t="s">
        <v>2106</v>
      </c>
      <c r="C156" t="s">
        <v>2107</v>
      </c>
      <c r="D156" t="s">
        <v>1628</v>
      </c>
      <c r="E156" t="s">
        <v>2078</v>
      </c>
      <c r="F156" t="s">
        <v>1707</v>
      </c>
      <c r="G156" t="s">
        <v>2118</v>
      </c>
      <c r="K156" t="s">
        <v>2119</v>
      </c>
      <c r="L156" t="s">
        <v>1647</v>
      </c>
      <c r="M156" t="s">
        <v>1634</v>
      </c>
    </row>
    <row r="157" spans="1:13" x14ac:dyDescent="0.25">
      <c r="A157">
        <v>4168</v>
      </c>
      <c r="B157" t="s">
        <v>2106</v>
      </c>
      <c r="C157" t="s">
        <v>2107</v>
      </c>
      <c r="D157" t="s">
        <v>1628</v>
      </c>
      <c r="E157" t="s">
        <v>2078</v>
      </c>
      <c r="F157" t="s">
        <v>1761</v>
      </c>
      <c r="G157" t="s">
        <v>2120</v>
      </c>
      <c r="K157" t="s">
        <v>2121</v>
      </c>
      <c r="L157" t="s">
        <v>1647</v>
      </c>
      <c r="M157" t="s">
        <v>1634</v>
      </c>
    </row>
    <row r="158" spans="1:13" x14ac:dyDescent="0.25">
      <c r="A158">
        <v>4168</v>
      </c>
      <c r="B158" t="s">
        <v>2106</v>
      </c>
      <c r="C158" t="s">
        <v>2107</v>
      </c>
      <c r="D158" t="s">
        <v>1628</v>
      </c>
      <c r="E158" t="s">
        <v>2078</v>
      </c>
      <c r="F158" t="s">
        <v>2122</v>
      </c>
      <c r="G158" t="s">
        <v>2123</v>
      </c>
      <c r="K158" t="s">
        <v>2124</v>
      </c>
      <c r="L158" t="s">
        <v>2125</v>
      </c>
      <c r="M158" t="s">
        <v>1634</v>
      </c>
    </row>
    <row r="159" spans="1:13" x14ac:dyDescent="0.25">
      <c r="A159">
        <v>4168</v>
      </c>
      <c r="B159" t="s">
        <v>2106</v>
      </c>
      <c r="C159" t="s">
        <v>2107</v>
      </c>
      <c r="D159" t="s">
        <v>1628</v>
      </c>
      <c r="E159" t="s">
        <v>2078</v>
      </c>
      <c r="F159" t="s">
        <v>2126</v>
      </c>
      <c r="G159" t="s">
        <v>2127</v>
      </c>
      <c r="H159">
        <v>5204569842</v>
      </c>
      <c r="K159" t="s">
        <v>2128</v>
      </c>
      <c r="M159" t="s">
        <v>1634</v>
      </c>
    </row>
    <row r="160" spans="1:13" x14ac:dyDescent="0.25">
      <c r="A160">
        <v>4168</v>
      </c>
      <c r="B160" t="s">
        <v>2106</v>
      </c>
      <c r="C160" t="s">
        <v>2107</v>
      </c>
      <c r="D160" t="s">
        <v>1628</v>
      </c>
      <c r="E160" t="s">
        <v>2078</v>
      </c>
      <c r="F160" t="s">
        <v>1787</v>
      </c>
      <c r="G160" t="s">
        <v>2129</v>
      </c>
      <c r="H160">
        <v>5204572217</v>
      </c>
      <c r="K160" t="s">
        <v>2130</v>
      </c>
      <c r="L160" t="s">
        <v>1640</v>
      </c>
      <c r="M160" t="s">
        <v>1640</v>
      </c>
    </row>
    <row r="161" spans="1:13" x14ac:dyDescent="0.25">
      <c r="A161">
        <v>4168</v>
      </c>
      <c r="B161" t="s">
        <v>2106</v>
      </c>
      <c r="C161" t="s">
        <v>2107</v>
      </c>
      <c r="D161" t="s">
        <v>1628</v>
      </c>
      <c r="E161" t="s">
        <v>2078</v>
      </c>
      <c r="F161" t="s">
        <v>2122</v>
      </c>
      <c r="G161" t="s">
        <v>2123</v>
      </c>
      <c r="K161" t="s">
        <v>2124</v>
      </c>
      <c r="L161" t="s">
        <v>2125</v>
      </c>
      <c r="M161" t="s">
        <v>1765</v>
      </c>
    </row>
    <row r="162" spans="1:13" x14ac:dyDescent="0.25">
      <c r="A162">
        <v>4749</v>
      </c>
      <c r="B162" t="s">
        <v>2131</v>
      </c>
      <c r="C162" t="s">
        <v>2132</v>
      </c>
      <c r="D162" t="s">
        <v>1643</v>
      </c>
      <c r="E162" t="s">
        <v>2078</v>
      </c>
      <c r="F162" t="s">
        <v>1761</v>
      </c>
      <c r="G162" t="s">
        <v>2120</v>
      </c>
      <c r="K162" t="s">
        <v>2121</v>
      </c>
      <c r="L162" t="s">
        <v>1647</v>
      </c>
      <c r="M162" t="s">
        <v>1634</v>
      </c>
    </row>
    <row r="163" spans="1:13" x14ac:dyDescent="0.25">
      <c r="A163">
        <v>4749</v>
      </c>
      <c r="B163" t="s">
        <v>2131</v>
      </c>
      <c r="C163" t="s">
        <v>2132</v>
      </c>
      <c r="D163" t="s">
        <v>1643</v>
      </c>
      <c r="E163" t="s">
        <v>2078</v>
      </c>
      <c r="F163" t="s">
        <v>1787</v>
      </c>
      <c r="G163" t="s">
        <v>2129</v>
      </c>
      <c r="M163" t="s">
        <v>1640</v>
      </c>
    </row>
    <row r="164" spans="1:13" x14ac:dyDescent="0.25">
      <c r="A164">
        <v>4750</v>
      </c>
      <c r="B164" t="s">
        <v>2133</v>
      </c>
      <c r="C164" t="s">
        <v>2134</v>
      </c>
      <c r="D164" t="s">
        <v>1643</v>
      </c>
      <c r="E164" t="s">
        <v>2078</v>
      </c>
      <c r="F164" t="s">
        <v>2135</v>
      </c>
      <c r="G164" t="s">
        <v>2136</v>
      </c>
      <c r="K164" t="s">
        <v>2137</v>
      </c>
      <c r="L164" t="s">
        <v>1647</v>
      </c>
      <c r="M164" t="s">
        <v>1634</v>
      </c>
    </row>
    <row r="165" spans="1:13" x14ac:dyDescent="0.25">
      <c r="A165">
        <v>4751</v>
      </c>
      <c r="B165" t="s">
        <v>2138</v>
      </c>
      <c r="C165" t="s">
        <v>2139</v>
      </c>
      <c r="D165" t="s">
        <v>1643</v>
      </c>
      <c r="E165" t="s">
        <v>2078</v>
      </c>
      <c r="F165" t="s">
        <v>1820</v>
      </c>
      <c r="G165" t="s">
        <v>2112</v>
      </c>
      <c r="H165">
        <v>5204572215</v>
      </c>
      <c r="J165">
        <v>5204573643</v>
      </c>
      <c r="K165" t="s">
        <v>2140</v>
      </c>
      <c r="L165" t="s">
        <v>1668</v>
      </c>
      <c r="M165" t="s">
        <v>1634</v>
      </c>
    </row>
    <row r="166" spans="1:13" x14ac:dyDescent="0.25">
      <c r="A166">
        <v>4751</v>
      </c>
      <c r="B166" t="s">
        <v>2138</v>
      </c>
      <c r="C166" t="s">
        <v>2139</v>
      </c>
      <c r="D166" t="s">
        <v>1643</v>
      </c>
      <c r="E166" t="s">
        <v>2078</v>
      </c>
      <c r="F166" t="s">
        <v>1707</v>
      </c>
      <c r="G166" t="s">
        <v>2118</v>
      </c>
      <c r="K166" t="s">
        <v>2119</v>
      </c>
      <c r="M166" t="s">
        <v>1634</v>
      </c>
    </row>
    <row r="167" spans="1:13" x14ac:dyDescent="0.25">
      <c r="A167">
        <v>4169</v>
      </c>
      <c r="B167" t="s">
        <v>350</v>
      </c>
      <c r="C167" t="s">
        <v>2141</v>
      </c>
      <c r="D167" t="s">
        <v>1628</v>
      </c>
      <c r="E167" t="s">
        <v>2078</v>
      </c>
      <c r="F167" t="s">
        <v>2142</v>
      </c>
      <c r="G167" t="s">
        <v>2143</v>
      </c>
      <c r="K167" t="s">
        <v>2144</v>
      </c>
      <c r="L167" t="s">
        <v>1668</v>
      </c>
      <c r="M167" t="s">
        <v>1634</v>
      </c>
    </row>
    <row r="168" spans="1:13" x14ac:dyDescent="0.25">
      <c r="A168">
        <v>4752</v>
      </c>
      <c r="B168" t="s">
        <v>2145</v>
      </c>
      <c r="C168" t="s">
        <v>2146</v>
      </c>
      <c r="D168" t="s">
        <v>1643</v>
      </c>
      <c r="E168" t="s">
        <v>2078</v>
      </c>
      <c r="F168" t="s">
        <v>1707</v>
      </c>
      <c r="G168" t="s">
        <v>2147</v>
      </c>
      <c r="H168">
        <v>5204324361</v>
      </c>
      <c r="J168">
        <v>5204326121</v>
      </c>
      <c r="K168" t="s">
        <v>2148</v>
      </c>
      <c r="L168" t="s">
        <v>1647</v>
      </c>
      <c r="M168" t="s">
        <v>1634</v>
      </c>
    </row>
    <row r="169" spans="1:13" x14ac:dyDescent="0.25">
      <c r="A169">
        <v>4752</v>
      </c>
      <c r="B169" t="s">
        <v>2145</v>
      </c>
      <c r="C169" t="s">
        <v>2146</v>
      </c>
      <c r="D169" t="s">
        <v>1643</v>
      </c>
      <c r="E169" t="s">
        <v>2078</v>
      </c>
      <c r="F169" t="s">
        <v>2149</v>
      </c>
      <c r="G169" t="s">
        <v>2150</v>
      </c>
      <c r="K169" t="s">
        <v>2151</v>
      </c>
      <c r="L169" t="s">
        <v>1647</v>
      </c>
      <c r="M169" t="s">
        <v>1634</v>
      </c>
    </row>
    <row r="170" spans="1:13" x14ac:dyDescent="0.25">
      <c r="A170">
        <v>4753</v>
      </c>
      <c r="B170" t="s">
        <v>2152</v>
      </c>
      <c r="C170" t="s">
        <v>2153</v>
      </c>
      <c r="D170" t="s">
        <v>1643</v>
      </c>
      <c r="E170" t="s">
        <v>2078</v>
      </c>
      <c r="F170" t="s">
        <v>1806</v>
      </c>
      <c r="G170" t="s">
        <v>1807</v>
      </c>
      <c r="H170">
        <v>5204325391</v>
      </c>
      <c r="K170" t="s">
        <v>2154</v>
      </c>
      <c r="L170" t="s">
        <v>1647</v>
      </c>
      <c r="M170" t="s">
        <v>1634</v>
      </c>
    </row>
    <row r="171" spans="1:13" x14ac:dyDescent="0.25">
      <c r="A171">
        <v>4754</v>
      </c>
      <c r="B171" t="s">
        <v>891</v>
      </c>
      <c r="C171" t="s">
        <v>2155</v>
      </c>
      <c r="D171" t="s">
        <v>1643</v>
      </c>
      <c r="E171" t="s">
        <v>2078</v>
      </c>
      <c r="F171" t="s">
        <v>2156</v>
      </c>
      <c r="G171" t="s">
        <v>1918</v>
      </c>
      <c r="K171" t="s">
        <v>2157</v>
      </c>
      <c r="L171" t="s">
        <v>2096</v>
      </c>
      <c r="M171" t="s">
        <v>1634</v>
      </c>
    </row>
    <row r="172" spans="1:13" x14ac:dyDescent="0.25">
      <c r="A172">
        <v>1000301</v>
      </c>
      <c r="B172" t="s">
        <v>2158</v>
      </c>
      <c r="C172" t="s">
        <v>2159</v>
      </c>
      <c r="D172" t="s">
        <v>1643</v>
      </c>
      <c r="E172" t="s">
        <v>2078</v>
      </c>
    </row>
    <row r="173" spans="1:13" x14ac:dyDescent="0.25">
      <c r="A173">
        <v>79226</v>
      </c>
      <c r="B173" t="s">
        <v>2160</v>
      </c>
      <c r="C173" t="s">
        <v>2161</v>
      </c>
      <c r="D173" t="s">
        <v>1628</v>
      </c>
      <c r="E173" t="s">
        <v>2078</v>
      </c>
      <c r="F173" t="s">
        <v>1666</v>
      </c>
      <c r="G173" t="s">
        <v>2162</v>
      </c>
      <c r="H173">
        <v>5207206841</v>
      </c>
      <c r="J173">
        <v>5207206710</v>
      </c>
      <c r="K173" t="s">
        <v>2163</v>
      </c>
      <c r="L173" t="s">
        <v>2164</v>
      </c>
      <c r="M173" t="s">
        <v>1634</v>
      </c>
    </row>
    <row r="174" spans="1:13" x14ac:dyDescent="0.25">
      <c r="A174">
        <v>79226</v>
      </c>
      <c r="B174" t="s">
        <v>2160</v>
      </c>
      <c r="C174" t="s">
        <v>2161</v>
      </c>
      <c r="D174" t="s">
        <v>1628</v>
      </c>
      <c r="E174" t="s">
        <v>2078</v>
      </c>
      <c r="F174" t="s">
        <v>2165</v>
      </c>
      <c r="G174" t="s">
        <v>2166</v>
      </c>
      <c r="H174">
        <v>5207206731</v>
      </c>
      <c r="K174" t="s">
        <v>2167</v>
      </c>
      <c r="L174" t="s">
        <v>1668</v>
      </c>
      <c r="M174" t="s">
        <v>1634</v>
      </c>
    </row>
    <row r="175" spans="1:13" x14ac:dyDescent="0.25">
      <c r="A175">
        <v>79226</v>
      </c>
      <c r="B175" t="s">
        <v>2160</v>
      </c>
      <c r="C175" t="s">
        <v>2161</v>
      </c>
      <c r="D175" t="s">
        <v>1628</v>
      </c>
      <c r="E175" t="s">
        <v>2078</v>
      </c>
      <c r="F175" t="s">
        <v>2094</v>
      </c>
      <c r="G175" t="s">
        <v>2168</v>
      </c>
      <c r="J175">
        <v>5207206701</v>
      </c>
      <c r="K175" t="s">
        <v>2169</v>
      </c>
      <c r="L175" t="s">
        <v>1640</v>
      </c>
      <c r="M175" t="s">
        <v>1640</v>
      </c>
    </row>
    <row r="176" spans="1:13" x14ac:dyDescent="0.25">
      <c r="A176">
        <v>4793</v>
      </c>
      <c r="B176" t="s">
        <v>2170</v>
      </c>
      <c r="C176" t="s">
        <v>2171</v>
      </c>
      <c r="D176" t="s">
        <v>1643</v>
      </c>
      <c r="E176" t="s">
        <v>2078</v>
      </c>
      <c r="F176" t="s">
        <v>2172</v>
      </c>
      <c r="G176" t="s">
        <v>2173</v>
      </c>
      <c r="H176">
        <v>5207206732</v>
      </c>
      <c r="K176" t="s">
        <v>2174</v>
      </c>
      <c r="L176" t="s">
        <v>1647</v>
      </c>
      <c r="M176" t="s">
        <v>1634</v>
      </c>
    </row>
    <row r="177" spans="1:13" x14ac:dyDescent="0.25">
      <c r="A177">
        <v>4793</v>
      </c>
      <c r="B177" t="s">
        <v>2170</v>
      </c>
      <c r="C177" t="s">
        <v>2171</v>
      </c>
      <c r="D177" t="s">
        <v>1643</v>
      </c>
      <c r="E177" t="s">
        <v>2078</v>
      </c>
      <c r="F177" t="s">
        <v>2094</v>
      </c>
      <c r="G177" t="s">
        <v>2168</v>
      </c>
      <c r="J177">
        <v>5025866708</v>
      </c>
      <c r="K177" t="s">
        <v>2169</v>
      </c>
      <c r="L177" t="s">
        <v>1640</v>
      </c>
      <c r="M177" t="s">
        <v>1640</v>
      </c>
    </row>
    <row r="178" spans="1:13" x14ac:dyDescent="0.25">
      <c r="A178">
        <v>4794</v>
      </c>
      <c r="B178" t="s">
        <v>2175</v>
      </c>
      <c r="C178" t="s">
        <v>2176</v>
      </c>
      <c r="D178" t="s">
        <v>1643</v>
      </c>
      <c r="E178" t="s">
        <v>2078</v>
      </c>
      <c r="F178" t="s">
        <v>2172</v>
      </c>
      <c r="G178" t="s">
        <v>2173</v>
      </c>
      <c r="H178">
        <v>5205862213</v>
      </c>
      <c r="I178">
        <v>660</v>
      </c>
      <c r="J178">
        <v>5205862305</v>
      </c>
      <c r="K178" t="s">
        <v>2174</v>
      </c>
      <c r="M178" t="s">
        <v>1634</v>
      </c>
    </row>
    <row r="179" spans="1:13" x14ac:dyDescent="0.25">
      <c r="A179">
        <v>4794</v>
      </c>
      <c r="B179" t="s">
        <v>2175</v>
      </c>
      <c r="C179" t="s">
        <v>2176</v>
      </c>
      <c r="D179" t="s">
        <v>1643</v>
      </c>
      <c r="E179" t="s">
        <v>2078</v>
      </c>
      <c r="F179" t="s">
        <v>2177</v>
      </c>
      <c r="G179" t="s">
        <v>2178</v>
      </c>
      <c r="H179">
        <v>5207206831</v>
      </c>
      <c r="K179" t="s">
        <v>2179</v>
      </c>
      <c r="L179" t="s">
        <v>2180</v>
      </c>
      <c r="M179" t="s">
        <v>1634</v>
      </c>
    </row>
    <row r="180" spans="1:13" x14ac:dyDescent="0.25">
      <c r="A180">
        <v>4799</v>
      </c>
      <c r="B180" t="s">
        <v>2181</v>
      </c>
      <c r="C180" t="s">
        <v>2182</v>
      </c>
      <c r="D180" t="s">
        <v>1643</v>
      </c>
      <c r="E180" t="s">
        <v>2078</v>
      </c>
      <c r="F180" t="s">
        <v>1666</v>
      </c>
      <c r="G180" t="s">
        <v>2162</v>
      </c>
      <c r="H180">
        <v>5207206841</v>
      </c>
      <c r="J180">
        <v>5207206710</v>
      </c>
      <c r="K180" t="s">
        <v>2163</v>
      </c>
      <c r="L180" t="s">
        <v>1647</v>
      </c>
      <c r="M180" t="s">
        <v>1634</v>
      </c>
    </row>
    <row r="181" spans="1:13" x14ac:dyDescent="0.25">
      <c r="A181">
        <v>4799</v>
      </c>
      <c r="B181" t="s">
        <v>2181</v>
      </c>
      <c r="C181" t="s">
        <v>2182</v>
      </c>
      <c r="D181" t="s">
        <v>1643</v>
      </c>
      <c r="E181" t="s">
        <v>2078</v>
      </c>
      <c r="F181" t="s">
        <v>2183</v>
      </c>
      <c r="G181" t="s">
        <v>2184</v>
      </c>
      <c r="H181">
        <v>5207206843</v>
      </c>
      <c r="K181" t="s">
        <v>2185</v>
      </c>
      <c r="L181" t="s">
        <v>2180</v>
      </c>
      <c r="M181" t="s">
        <v>1634</v>
      </c>
    </row>
    <row r="182" spans="1:13" x14ac:dyDescent="0.25">
      <c r="A182">
        <v>4799</v>
      </c>
      <c r="B182" t="s">
        <v>2181</v>
      </c>
      <c r="C182" t="s">
        <v>2182</v>
      </c>
      <c r="D182" t="s">
        <v>1643</v>
      </c>
      <c r="E182" t="s">
        <v>2078</v>
      </c>
      <c r="F182" t="s">
        <v>2094</v>
      </c>
      <c r="G182" t="s">
        <v>2168</v>
      </c>
      <c r="H182">
        <v>5205862213</v>
      </c>
      <c r="J182">
        <v>5205862506</v>
      </c>
      <c r="K182" t="s">
        <v>2186</v>
      </c>
      <c r="L182" t="s">
        <v>1640</v>
      </c>
      <c r="M182" t="s">
        <v>1640</v>
      </c>
    </row>
    <row r="183" spans="1:13" x14ac:dyDescent="0.25">
      <c r="A183">
        <v>85879</v>
      </c>
      <c r="B183" t="s">
        <v>2187</v>
      </c>
      <c r="C183" t="s">
        <v>2188</v>
      </c>
      <c r="D183" t="s">
        <v>1643</v>
      </c>
      <c r="E183" t="s">
        <v>2078</v>
      </c>
      <c r="F183" t="s">
        <v>2189</v>
      </c>
      <c r="G183" t="s">
        <v>2190</v>
      </c>
      <c r="H183">
        <v>5207206726</v>
      </c>
      <c r="J183">
        <v>5207206732</v>
      </c>
      <c r="K183" t="s">
        <v>2191</v>
      </c>
      <c r="L183" t="s">
        <v>1647</v>
      </c>
      <c r="M183" t="s">
        <v>1634</v>
      </c>
    </row>
    <row r="184" spans="1:13" x14ac:dyDescent="0.25">
      <c r="A184">
        <v>85879</v>
      </c>
      <c r="B184" t="s">
        <v>2187</v>
      </c>
      <c r="C184" t="s">
        <v>2188</v>
      </c>
      <c r="D184" t="s">
        <v>1643</v>
      </c>
      <c r="E184" t="s">
        <v>2078</v>
      </c>
      <c r="F184" t="s">
        <v>2094</v>
      </c>
      <c r="G184" t="s">
        <v>2168</v>
      </c>
      <c r="J184">
        <v>5205862506</v>
      </c>
      <c r="K184" t="s">
        <v>2169</v>
      </c>
      <c r="L184" t="s">
        <v>1640</v>
      </c>
      <c r="M184" t="s">
        <v>1640</v>
      </c>
    </row>
    <row r="185" spans="1:13" x14ac:dyDescent="0.25">
      <c r="A185">
        <v>85879</v>
      </c>
      <c r="B185" t="s">
        <v>2187</v>
      </c>
      <c r="C185" t="s">
        <v>2188</v>
      </c>
      <c r="D185" t="s">
        <v>1643</v>
      </c>
      <c r="E185" t="s">
        <v>2078</v>
      </c>
      <c r="F185" t="s">
        <v>2192</v>
      </c>
      <c r="G185" t="s">
        <v>2193</v>
      </c>
      <c r="H185">
        <v>5207206726</v>
      </c>
      <c r="J185">
        <v>5205866189</v>
      </c>
      <c r="K185" t="s">
        <v>2194</v>
      </c>
      <c r="L185" t="s">
        <v>1647</v>
      </c>
      <c r="M185" t="s">
        <v>1640</v>
      </c>
    </row>
    <row r="186" spans="1:13" x14ac:dyDescent="0.25">
      <c r="A186">
        <v>90775</v>
      </c>
      <c r="B186" t="s">
        <v>2195</v>
      </c>
      <c r="C186" t="s">
        <v>2196</v>
      </c>
      <c r="D186" t="s">
        <v>1643</v>
      </c>
      <c r="E186" t="s">
        <v>2078</v>
      </c>
      <c r="F186" t="s">
        <v>2192</v>
      </c>
      <c r="G186" t="s">
        <v>2193</v>
      </c>
      <c r="H186">
        <v>5207206726</v>
      </c>
      <c r="J186">
        <v>5205866189</v>
      </c>
      <c r="K186" t="s">
        <v>2194</v>
      </c>
      <c r="L186" t="s">
        <v>1647</v>
      </c>
      <c r="M186" t="s">
        <v>1634</v>
      </c>
    </row>
    <row r="187" spans="1:13" x14ac:dyDescent="0.25">
      <c r="A187">
        <v>4170</v>
      </c>
      <c r="B187" t="s">
        <v>2197</v>
      </c>
      <c r="C187" t="s">
        <v>2198</v>
      </c>
      <c r="D187" t="s">
        <v>1628</v>
      </c>
      <c r="E187" t="s">
        <v>2078</v>
      </c>
      <c r="F187" t="s">
        <v>2192</v>
      </c>
      <c r="G187" t="s">
        <v>2199</v>
      </c>
      <c r="H187">
        <v>5203848611</v>
      </c>
      <c r="K187" t="s">
        <v>2200</v>
      </c>
      <c r="L187" t="s">
        <v>1668</v>
      </c>
      <c r="M187" t="s">
        <v>1634</v>
      </c>
    </row>
    <row r="188" spans="1:13" x14ac:dyDescent="0.25">
      <c r="A188">
        <v>4170</v>
      </c>
      <c r="B188" t="s">
        <v>2197</v>
      </c>
      <c r="C188" t="s">
        <v>2198</v>
      </c>
      <c r="D188" t="s">
        <v>1628</v>
      </c>
      <c r="E188" t="s">
        <v>2078</v>
      </c>
      <c r="F188" t="s">
        <v>2046</v>
      </c>
      <c r="G188" t="s">
        <v>1840</v>
      </c>
      <c r="K188" t="s">
        <v>2201</v>
      </c>
      <c r="L188" t="s">
        <v>1647</v>
      </c>
      <c r="M188" t="s">
        <v>1634</v>
      </c>
    </row>
    <row r="189" spans="1:13" x14ac:dyDescent="0.25">
      <c r="A189">
        <v>4170</v>
      </c>
      <c r="B189" t="s">
        <v>2197</v>
      </c>
      <c r="C189" t="s">
        <v>2198</v>
      </c>
      <c r="D189" t="s">
        <v>1628</v>
      </c>
      <c r="E189" t="s">
        <v>2078</v>
      </c>
      <c r="F189" t="s">
        <v>1908</v>
      </c>
      <c r="G189" t="s">
        <v>2202</v>
      </c>
      <c r="H189">
        <v>5203848601</v>
      </c>
      <c r="K189" t="s">
        <v>2203</v>
      </c>
      <c r="L189" t="s">
        <v>1647</v>
      </c>
      <c r="M189" t="s">
        <v>1634</v>
      </c>
    </row>
    <row r="190" spans="1:13" x14ac:dyDescent="0.25">
      <c r="A190">
        <v>4170</v>
      </c>
      <c r="B190" t="s">
        <v>2197</v>
      </c>
      <c r="C190" t="s">
        <v>2198</v>
      </c>
      <c r="D190" t="s">
        <v>1628</v>
      </c>
      <c r="E190" t="s">
        <v>2078</v>
      </c>
      <c r="F190" t="s">
        <v>2204</v>
      </c>
      <c r="G190" t="s">
        <v>2205</v>
      </c>
      <c r="H190">
        <v>5203848663</v>
      </c>
      <c r="K190" t="s">
        <v>2206</v>
      </c>
      <c r="L190" t="s">
        <v>2207</v>
      </c>
      <c r="M190" t="s">
        <v>1634</v>
      </c>
    </row>
    <row r="191" spans="1:13" x14ac:dyDescent="0.25">
      <c r="A191">
        <v>4170</v>
      </c>
      <c r="B191" t="s">
        <v>2197</v>
      </c>
      <c r="C191" t="s">
        <v>2198</v>
      </c>
      <c r="D191" t="s">
        <v>1628</v>
      </c>
      <c r="E191" t="s">
        <v>2078</v>
      </c>
      <c r="F191" t="s">
        <v>1707</v>
      </c>
      <c r="G191" t="s">
        <v>2208</v>
      </c>
      <c r="H191">
        <v>5203848602</v>
      </c>
      <c r="K191" t="s">
        <v>2209</v>
      </c>
      <c r="L191" t="s">
        <v>1647</v>
      </c>
      <c r="M191" t="s">
        <v>1634</v>
      </c>
    </row>
    <row r="192" spans="1:13" x14ac:dyDescent="0.25">
      <c r="A192">
        <v>4170</v>
      </c>
      <c r="B192" t="s">
        <v>2197</v>
      </c>
      <c r="C192" t="s">
        <v>2198</v>
      </c>
      <c r="D192" t="s">
        <v>1628</v>
      </c>
      <c r="E192" t="s">
        <v>2078</v>
      </c>
      <c r="F192" t="s">
        <v>1761</v>
      </c>
      <c r="G192" t="s">
        <v>2210</v>
      </c>
      <c r="K192" t="s">
        <v>2211</v>
      </c>
      <c r="L192" t="s">
        <v>1668</v>
      </c>
      <c r="M192" t="s">
        <v>1640</v>
      </c>
    </row>
    <row r="193" spans="1:13" x14ac:dyDescent="0.25">
      <c r="A193">
        <v>4170</v>
      </c>
      <c r="B193" t="s">
        <v>2197</v>
      </c>
      <c r="C193" t="s">
        <v>2198</v>
      </c>
      <c r="D193" t="s">
        <v>1628</v>
      </c>
      <c r="E193" t="s">
        <v>2078</v>
      </c>
      <c r="F193" t="s">
        <v>2212</v>
      </c>
      <c r="G193" t="s">
        <v>2213</v>
      </c>
      <c r="H193">
        <v>5203848600</v>
      </c>
      <c r="K193" t="s">
        <v>2214</v>
      </c>
      <c r="L193" t="s">
        <v>1923</v>
      </c>
      <c r="M193" t="s">
        <v>1765</v>
      </c>
    </row>
    <row r="194" spans="1:13" x14ac:dyDescent="0.25">
      <c r="A194">
        <v>4755</v>
      </c>
      <c r="B194" t="s">
        <v>2215</v>
      </c>
      <c r="C194" t="s">
        <v>2216</v>
      </c>
      <c r="D194" t="s">
        <v>1643</v>
      </c>
      <c r="E194" t="s">
        <v>2078</v>
      </c>
      <c r="F194" t="s">
        <v>2217</v>
      </c>
      <c r="G194" t="s">
        <v>2218</v>
      </c>
      <c r="H194">
        <v>5203848603</v>
      </c>
      <c r="J194">
        <v>6233846039</v>
      </c>
      <c r="K194" t="s">
        <v>2219</v>
      </c>
      <c r="L194" t="s">
        <v>1647</v>
      </c>
      <c r="M194" t="s">
        <v>1634</v>
      </c>
    </row>
    <row r="195" spans="1:13" x14ac:dyDescent="0.25">
      <c r="A195">
        <v>4756</v>
      </c>
      <c r="B195" t="s">
        <v>2220</v>
      </c>
      <c r="C195" t="s">
        <v>2221</v>
      </c>
      <c r="D195" t="s">
        <v>1643</v>
      </c>
      <c r="E195" t="s">
        <v>2078</v>
      </c>
      <c r="F195" t="s">
        <v>2222</v>
      </c>
      <c r="G195" t="s">
        <v>2223</v>
      </c>
      <c r="H195">
        <v>5203848634</v>
      </c>
      <c r="J195">
        <v>5203846322</v>
      </c>
      <c r="K195" t="s">
        <v>2224</v>
      </c>
      <c r="L195" t="s">
        <v>1647</v>
      </c>
      <c r="M195" t="s">
        <v>1634</v>
      </c>
    </row>
    <row r="196" spans="1:13" x14ac:dyDescent="0.25">
      <c r="A196">
        <v>4757</v>
      </c>
      <c r="B196" t="s">
        <v>2225</v>
      </c>
      <c r="C196" t="s">
        <v>2226</v>
      </c>
      <c r="D196" t="s">
        <v>1643</v>
      </c>
      <c r="E196" t="s">
        <v>2078</v>
      </c>
    </row>
    <row r="197" spans="1:13" x14ac:dyDescent="0.25">
      <c r="A197">
        <v>4171</v>
      </c>
      <c r="B197" t="s">
        <v>2227</v>
      </c>
      <c r="C197" t="s">
        <v>2228</v>
      </c>
      <c r="D197" t="s">
        <v>1628</v>
      </c>
      <c r="E197" t="s">
        <v>2078</v>
      </c>
      <c r="F197" t="s">
        <v>2229</v>
      </c>
      <c r="G197" t="s">
        <v>2230</v>
      </c>
      <c r="H197">
        <v>5202530813</v>
      </c>
      <c r="K197" t="s">
        <v>2231</v>
      </c>
      <c r="L197" t="s">
        <v>1668</v>
      </c>
      <c r="M197" t="s">
        <v>1634</v>
      </c>
    </row>
    <row r="198" spans="1:13" x14ac:dyDescent="0.25">
      <c r="A198">
        <v>4171</v>
      </c>
      <c r="B198" t="s">
        <v>2227</v>
      </c>
      <c r="C198" t="s">
        <v>2228</v>
      </c>
      <c r="D198" t="s">
        <v>1628</v>
      </c>
      <c r="E198" t="s">
        <v>2078</v>
      </c>
      <c r="F198" t="s">
        <v>1679</v>
      </c>
      <c r="G198" t="s">
        <v>2232</v>
      </c>
      <c r="H198">
        <v>5208472545</v>
      </c>
      <c r="K198" t="s">
        <v>2233</v>
      </c>
      <c r="M198" t="s">
        <v>1640</v>
      </c>
    </row>
    <row r="199" spans="1:13" x14ac:dyDescent="0.25">
      <c r="A199">
        <v>4171</v>
      </c>
      <c r="B199" t="s">
        <v>2227</v>
      </c>
      <c r="C199" t="s">
        <v>2228</v>
      </c>
      <c r="D199" t="s">
        <v>1628</v>
      </c>
      <c r="E199" t="s">
        <v>2078</v>
      </c>
      <c r="F199" t="s">
        <v>2229</v>
      </c>
      <c r="G199" t="s">
        <v>2230</v>
      </c>
      <c r="H199">
        <v>5202530813</v>
      </c>
      <c r="K199" t="s">
        <v>2231</v>
      </c>
      <c r="L199" t="s">
        <v>1668</v>
      </c>
      <c r="M199" t="s">
        <v>1765</v>
      </c>
    </row>
    <row r="200" spans="1:13" x14ac:dyDescent="0.25">
      <c r="A200">
        <v>4758</v>
      </c>
      <c r="B200" t="s">
        <v>2234</v>
      </c>
      <c r="C200" t="s">
        <v>2235</v>
      </c>
      <c r="D200" t="s">
        <v>1643</v>
      </c>
      <c r="E200" t="s">
        <v>2078</v>
      </c>
    </row>
    <row r="201" spans="1:13" x14ac:dyDescent="0.25">
      <c r="A201">
        <v>4759</v>
      </c>
      <c r="B201" t="s">
        <v>2236</v>
      </c>
      <c r="C201" t="s">
        <v>2237</v>
      </c>
      <c r="D201" t="s">
        <v>1643</v>
      </c>
      <c r="E201" t="s">
        <v>2078</v>
      </c>
    </row>
    <row r="202" spans="1:13" x14ac:dyDescent="0.25">
      <c r="A202">
        <v>4172</v>
      </c>
      <c r="B202" t="s">
        <v>2238</v>
      </c>
      <c r="C202" t="s">
        <v>2239</v>
      </c>
      <c r="D202" t="s">
        <v>1628</v>
      </c>
      <c r="E202" t="s">
        <v>2078</v>
      </c>
      <c r="F202" t="s">
        <v>2240</v>
      </c>
      <c r="G202" t="s">
        <v>2241</v>
      </c>
      <c r="H202">
        <v>5208452275</v>
      </c>
      <c r="K202" t="s">
        <v>2242</v>
      </c>
      <c r="M202" t="s">
        <v>1634</v>
      </c>
    </row>
    <row r="203" spans="1:13" x14ac:dyDescent="0.25">
      <c r="A203">
        <v>4172</v>
      </c>
      <c r="B203" t="s">
        <v>2238</v>
      </c>
      <c r="C203" t="s">
        <v>2239</v>
      </c>
      <c r="D203" t="s">
        <v>1628</v>
      </c>
      <c r="E203" t="s">
        <v>2078</v>
      </c>
      <c r="F203" t="s">
        <v>1780</v>
      </c>
      <c r="G203" t="s">
        <v>2243</v>
      </c>
      <c r="H203">
        <v>5208452275</v>
      </c>
      <c r="I203">
        <v>218</v>
      </c>
      <c r="K203" t="s">
        <v>2244</v>
      </c>
      <c r="M203" t="s">
        <v>1640</v>
      </c>
    </row>
    <row r="204" spans="1:13" x14ac:dyDescent="0.25">
      <c r="A204">
        <v>4760</v>
      </c>
      <c r="B204" t="s">
        <v>2245</v>
      </c>
      <c r="C204" t="s">
        <v>2246</v>
      </c>
      <c r="D204" t="s">
        <v>1643</v>
      </c>
      <c r="E204" t="s">
        <v>2078</v>
      </c>
      <c r="F204" t="s">
        <v>2240</v>
      </c>
      <c r="G204" t="s">
        <v>2241</v>
      </c>
      <c r="H204">
        <v>5208452275</v>
      </c>
      <c r="K204" t="s">
        <v>2242</v>
      </c>
      <c r="M204" t="s">
        <v>1634</v>
      </c>
    </row>
    <row r="205" spans="1:13" x14ac:dyDescent="0.25">
      <c r="A205">
        <v>4173</v>
      </c>
      <c r="B205" t="s">
        <v>2247</v>
      </c>
      <c r="C205" t="s">
        <v>2248</v>
      </c>
      <c r="D205" t="s">
        <v>1628</v>
      </c>
      <c r="E205" t="s">
        <v>2078</v>
      </c>
      <c r="F205" t="s">
        <v>2249</v>
      </c>
      <c r="G205" t="s">
        <v>2250</v>
      </c>
      <c r="J205">
        <v>5208263531</v>
      </c>
      <c r="K205" t="s">
        <v>2251</v>
      </c>
      <c r="L205" t="s">
        <v>2252</v>
      </c>
      <c r="M205" t="s">
        <v>1634</v>
      </c>
    </row>
    <row r="206" spans="1:13" x14ac:dyDescent="0.25">
      <c r="A206">
        <v>4173</v>
      </c>
      <c r="B206" t="s">
        <v>2247</v>
      </c>
      <c r="C206" t="s">
        <v>2248</v>
      </c>
      <c r="D206" t="s">
        <v>1628</v>
      </c>
      <c r="E206" t="s">
        <v>2078</v>
      </c>
      <c r="F206" t="s">
        <v>2253</v>
      </c>
      <c r="G206" t="s">
        <v>2254</v>
      </c>
      <c r="K206" t="s">
        <v>2255</v>
      </c>
      <c r="M206" t="s">
        <v>1634</v>
      </c>
    </row>
    <row r="207" spans="1:13" x14ac:dyDescent="0.25">
      <c r="A207">
        <v>4173</v>
      </c>
      <c r="B207" t="s">
        <v>2247</v>
      </c>
      <c r="C207" t="s">
        <v>2248</v>
      </c>
      <c r="D207" t="s">
        <v>1628</v>
      </c>
      <c r="E207" t="s">
        <v>2078</v>
      </c>
      <c r="F207" t="s">
        <v>2256</v>
      </c>
      <c r="G207" t="s">
        <v>1976</v>
      </c>
      <c r="H207">
        <v>5207204781</v>
      </c>
      <c r="I207">
        <v>101</v>
      </c>
      <c r="K207" t="s">
        <v>2257</v>
      </c>
      <c r="L207" t="s">
        <v>1640</v>
      </c>
      <c r="M207" t="s">
        <v>1634</v>
      </c>
    </row>
    <row r="208" spans="1:13" x14ac:dyDescent="0.25">
      <c r="A208">
        <v>4173</v>
      </c>
      <c r="B208" t="s">
        <v>2247</v>
      </c>
      <c r="C208" t="s">
        <v>2248</v>
      </c>
      <c r="D208" t="s">
        <v>1628</v>
      </c>
      <c r="E208" t="s">
        <v>2078</v>
      </c>
      <c r="F208" t="s">
        <v>2258</v>
      </c>
      <c r="G208" t="s">
        <v>2259</v>
      </c>
      <c r="H208">
        <v>5207204781</v>
      </c>
      <c r="I208">
        <v>103</v>
      </c>
      <c r="K208" t="s">
        <v>2260</v>
      </c>
      <c r="L208" t="s">
        <v>1796</v>
      </c>
      <c r="M208" t="s">
        <v>1634</v>
      </c>
    </row>
    <row r="209" spans="1:13" x14ac:dyDescent="0.25">
      <c r="A209">
        <v>4173</v>
      </c>
      <c r="B209" t="s">
        <v>2247</v>
      </c>
      <c r="C209" t="s">
        <v>2248</v>
      </c>
      <c r="D209" t="s">
        <v>1628</v>
      </c>
      <c r="E209" t="s">
        <v>2078</v>
      </c>
      <c r="F209" t="s">
        <v>2256</v>
      </c>
      <c r="G209" t="s">
        <v>1976</v>
      </c>
      <c r="H209">
        <v>5207204781</v>
      </c>
      <c r="I209">
        <v>101</v>
      </c>
      <c r="K209" t="s">
        <v>2257</v>
      </c>
      <c r="L209" t="s">
        <v>1640</v>
      </c>
      <c r="M209" t="s">
        <v>1640</v>
      </c>
    </row>
    <row r="210" spans="1:13" x14ac:dyDescent="0.25">
      <c r="A210">
        <v>4173</v>
      </c>
      <c r="B210" t="s">
        <v>2247</v>
      </c>
      <c r="C210" t="s">
        <v>2248</v>
      </c>
      <c r="D210" t="s">
        <v>1628</v>
      </c>
      <c r="E210" t="s">
        <v>2078</v>
      </c>
      <c r="F210" t="s">
        <v>2261</v>
      </c>
      <c r="G210" t="s">
        <v>2262</v>
      </c>
      <c r="K210" t="s">
        <v>2263</v>
      </c>
      <c r="M210" t="s">
        <v>1765</v>
      </c>
    </row>
    <row r="211" spans="1:13" x14ac:dyDescent="0.25">
      <c r="A211">
        <v>4761</v>
      </c>
      <c r="B211" t="s">
        <v>2264</v>
      </c>
      <c r="C211" t="s">
        <v>2265</v>
      </c>
      <c r="D211" t="s">
        <v>1643</v>
      </c>
      <c r="E211" t="s">
        <v>2078</v>
      </c>
      <c r="F211" t="s">
        <v>2253</v>
      </c>
      <c r="G211" t="s">
        <v>2254</v>
      </c>
      <c r="L211" t="s">
        <v>1647</v>
      </c>
      <c r="M211" t="s">
        <v>1634</v>
      </c>
    </row>
    <row r="212" spans="1:13" x14ac:dyDescent="0.25">
      <c r="A212">
        <v>4762</v>
      </c>
      <c r="B212" t="s">
        <v>2266</v>
      </c>
      <c r="C212" t="s">
        <v>2267</v>
      </c>
      <c r="D212" t="s">
        <v>1643</v>
      </c>
      <c r="E212" t="s">
        <v>2078</v>
      </c>
      <c r="F212" t="s">
        <v>2253</v>
      </c>
      <c r="G212" t="s">
        <v>2254</v>
      </c>
      <c r="K212" t="s">
        <v>2255</v>
      </c>
      <c r="L212" t="s">
        <v>1647</v>
      </c>
      <c r="M212" t="s">
        <v>1634</v>
      </c>
    </row>
    <row r="213" spans="1:13" x14ac:dyDescent="0.25">
      <c r="A213">
        <v>4174</v>
      </c>
      <c r="B213" t="s">
        <v>837</v>
      </c>
      <c r="C213" t="s">
        <v>2268</v>
      </c>
      <c r="D213" t="s">
        <v>1628</v>
      </c>
      <c r="E213" t="s">
        <v>2078</v>
      </c>
      <c r="F213" t="s">
        <v>2269</v>
      </c>
      <c r="G213" t="s">
        <v>2270</v>
      </c>
      <c r="H213">
        <v>5203642447</v>
      </c>
      <c r="K213" t="s">
        <v>2271</v>
      </c>
      <c r="L213" t="s">
        <v>2272</v>
      </c>
      <c r="M213" t="s">
        <v>1634</v>
      </c>
    </row>
    <row r="214" spans="1:13" x14ac:dyDescent="0.25">
      <c r="A214">
        <v>4174</v>
      </c>
      <c r="B214" t="s">
        <v>837</v>
      </c>
      <c r="C214" t="s">
        <v>2268</v>
      </c>
      <c r="D214" t="s">
        <v>1628</v>
      </c>
      <c r="E214" t="s">
        <v>2078</v>
      </c>
      <c r="F214" t="s">
        <v>2273</v>
      </c>
      <c r="G214" t="s">
        <v>2274</v>
      </c>
      <c r="H214">
        <v>5203642447</v>
      </c>
      <c r="J214">
        <v>5202242425</v>
      </c>
      <c r="K214" t="s">
        <v>2275</v>
      </c>
      <c r="L214" t="s">
        <v>1668</v>
      </c>
      <c r="M214" t="s">
        <v>1634</v>
      </c>
    </row>
    <row r="215" spans="1:13" x14ac:dyDescent="0.25">
      <c r="A215">
        <v>4174</v>
      </c>
      <c r="B215" t="s">
        <v>837</v>
      </c>
      <c r="C215" t="s">
        <v>2268</v>
      </c>
      <c r="D215" t="s">
        <v>1628</v>
      </c>
      <c r="E215" t="s">
        <v>2078</v>
      </c>
      <c r="F215" t="s">
        <v>2276</v>
      </c>
      <c r="G215" t="s">
        <v>2277</v>
      </c>
      <c r="H215">
        <v>5203642447</v>
      </c>
      <c r="I215">
        <v>5604</v>
      </c>
      <c r="K215" t="s">
        <v>2278</v>
      </c>
      <c r="L215" t="s">
        <v>1647</v>
      </c>
      <c r="M215" t="s">
        <v>1634</v>
      </c>
    </row>
    <row r="216" spans="1:13" x14ac:dyDescent="0.25">
      <c r="A216">
        <v>4174</v>
      </c>
      <c r="B216" t="s">
        <v>837</v>
      </c>
      <c r="C216" t="s">
        <v>2268</v>
      </c>
      <c r="D216" t="s">
        <v>1628</v>
      </c>
      <c r="E216" t="s">
        <v>2078</v>
      </c>
      <c r="F216" t="s">
        <v>2279</v>
      </c>
      <c r="G216" t="s">
        <v>2280</v>
      </c>
      <c r="H216">
        <v>5203642442</v>
      </c>
      <c r="I216">
        <v>5804</v>
      </c>
      <c r="K216" t="s">
        <v>2281</v>
      </c>
      <c r="L216" t="s">
        <v>1647</v>
      </c>
      <c r="M216" t="s">
        <v>1634</v>
      </c>
    </row>
    <row r="217" spans="1:13" x14ac:dyDescent="0.25">
      <c r="A217">
        <v>4174</v>
      </c>
      <c r="B217" t="s">
        <v>837</v>
      </c>
      <c r="C217" t="s">
        <v>2268</v>
      </c>
      <c r="D217" t="s">
        <v>1628</v>
      </c>
      <c r="E217" t="s">
        <v>2078</v>
      </c>
      <c r="F217" t="s">
        <v>2282</v>
      </c>
      <c r="G217" t="s">
        <v>2283</v>
      </c>
      <c r="H217">
        <v>5203642447</v>
      </c>
      <c r="K217" t="s">
        <v>2284</v>
      </c>
      <c r="L217" t="s">
        <v>2285</v>
      </c>
      <c r="M217" t="s">
        <v>1640</v>
      </c>
    </row>
    <row r="218" spans="1:13" x14ac:dyDescent="0.25">
      <c r="A218">
        <v>4174</v>
      </c>
      <c r="B218" t="s">
        <v>837</v>
      </c>
      <c r="C218" t="s">
        <v>2268</v>
      </c>
      <c r="D218" t="s">
        <v>1628</v>
      </c>
      <c r="E218" t="s">
        <v>2078</v>
      </c>
      <c r="F218" t="s">
        <v>2286</v>
      </c>
      <c r="G218" t="s">
        <v>2287</v>
      </c>
      <c r="H218">
        <v>5203642447</v>
      </c>
      <c r="I218">
        <v>7022</v>
      </c>
      <c r="K218" t="s">
        <v>2288</v>
      </c>
      <c r="L218" t="s">
        <v>1640</v>
      </c>
      <c r="M218" t="s">
        <v>1640</v>
      </c>
    </row>
    <row r="219" spans="1:13" x14ac:dyDescent="0.25">
      <c r="A219">
        <v>4174</v>
      </c>
      <c r="B219" t="s">
        <v>837</v>
      </c>
      <c r="C219" t="s">
        <v>2268</v>
      </c>
      <c r="D219" t="s">
        <v>1628</v>
      </c>
      <c r="E219" t="s">
        <v>2078</v>
      </c>
      <c r="F219" t="s">
        <v>2289</v>
      </c>
      <c r="G219" t="s">
        <v>2290</v>
      </c>
      <c r="K219" t="s">
        <v>2291</v>
      </c>
      <c r="M219" t="s">
        <v>1765</v>
      </c>
    </row>
    <row r="220" spans="1:13" x14ac:dyDescent="0.25">
      <c r="A220">
        <v>4764</v>
      </c>
      <c r="B220" t="s">
        <v>2292</v>
      </c>
      <c r="C220" t="s">
        <v>2293</v>
      </c>
      <c r="D220" t="s">
        <v>1643</v>
      </c>
      <c r="E220" t="s">
        <v>2078</v>
      </c>
      <c r="F220" t="s">
        <v>2294</v>
      </c>
      <c r="G220" t="s">
        <v>2295</v>
      </c>
      <c r="H220">
        <v>5203648473</v>
      </c>
      <c r="K220" t="s">
        <v>2296</v>
      </c>
      <c r="L220" t="s">
        <v>1647</v>
      </c>
      <c r="M220" t="s">
        <v>1634</v>
      </c>
    </row>
    <row r="221" spans="1:13" x14ac:dyDescent="0.25">
      <c r="A221">
        <v>4765</v>
      </c>
      <c r="B221" t="s">
        <v>2297</v>
      </c>
      <c r="C221" t="s">
        <v>2298</v>
      </c>
      <c r="D221" t="s">
        <v>1643</v>
      </c>
      <c r="E221" t="s">
        <v>2078</v>
      </c>
      <c r="F221" t="s">
        <v>2299</v>
      </c>
      <c r="G221" t="s">
        <v>2300</v>
      </c>
      <c r="K221" t="s">
        <v>2301</v>
      </c>
      <c r="L221" t="s">
        <v>1721</v>
      </c>
      <c r="M221" t="s">
        <v>1634</v>
      </c>
    </row>
    <row r="222" spans="1:13" x14ac:dyDescent="0.25">
      <c r="A222">
        <v>4766</v>
      </c>
      <c r="B222" t="s">
        <v>2302</v>
      </c>
      <c r="C222" t="s">
        <v>2303</v>
      </c>
      <c r="D222" t="s">
        <v>1643</v>
      </c>
      <c r="E222" t="s">
        <v>2078</v>
      </c>
      <c r="F222" t="s">
        <v>2304</v>
      </c>
      <c r="G222" t="s">
        <v>2305</v>
      </c>
      <c r="K222" t="s">
        <v>2306</v>
      </c>
      <c r="L222" t="s">
        <v>1647</v>
      </c>
      <c r="M222" t="s">
        <v>1634</v>
      </c>
    </row>
    <row r="223" spans="1:13" x14ac:dyDescent="0.25">
      <c r="A223">
        <v>4766</v>
      </c>
      <c r="B223" t="s">
        <v>2302</v>
      </c>
      <c r="C223" t="s">
        <v>2303</v>
      </c>
      <c r="D223" t="s">
        <v>1643</v>
      </c>
      <c r="E223" t="s">
        <v>2078</v>
      </c>
      <c r="F223" t="s">
        <v>2307</v>
      </c>
      <c r="G223" t="s">
        <v>2162</v>
      </c>
      <c r="L223" t="s">
        <v>1647</v>
      </c>
      <c r="M223" t="s">
        <v>1634</v>
      </c>
    </row>
    <row r="224" spans="1:13" x14ac:dyDescent="0.25">
      <c r="A224">
        <v>4767</v>
      </c>
      <c r="B224" t="s">
        <v>838</v>
      </c>
      <c r="C224" t="s">
        <v>2308</v>
      </c>
      <c r="D224" t="s">
        <v>1643</v>
      </c>
      <c r="E224" t="s">
        <v>2078</v>
      </c>
      <c r="F224" t="s">
        <v>2304</v>
      </c>
      <c r="G224" t="s">
        <v>2305</v>
      </c>
      <c r="H224">
        <v>5203648461</v>
      </c>
      <c r="I224">
        <v>5110</v>
      </c>
      <c r="J224">
        <v>5208054148</v>
      </c>
      <c r="K224" t="s">
        <v>2306</v>
      </c>
      <c r="L224" t="s">
        <v>1647</v>
      </c>
      <c r="M224" t="s">
        <v>1634</v>
      </c>
    </row>
    <row r="225" spans="1:13" x14ac:dyDescent="0.25">
      <c r="A225">
        <v>4767</v>
      </c>
      <c r="B225" t="s">
        <v>838</v>
      </c>
      <c r="C225" t="s">
        <v>2308</v>
      </c>
      <c r="D225" t="s">
        <v>1643</v>
      </c>
      <c r="E225" t="s">
        <v>2078</v>
      </c>
      <c r="F225" t="s">
        <v>2309</v>
      </c>
      <c r="G225" t="s">
        <v>2310</v>
      </c>
      <c r="K225" t="s">
        <v>2311</v>
      </c>
      <c r="L225" t="s">
        <v>1647</v>
      </c>
      <c r="M225" t="s">
        <v>1634</v>
      </c>
    </row>
    <row r="226" spans="1:13" x14ac:dyDescent="0.25">
      <c r="A226">
        <v>4768</v>
      </c>
      <c r="B226" t="s">
        <v>1393</v>
      </c>
      <c r="C226" t="s">
        <v>2312</v>
      </c>
      <c r="D226" t="s">
        <v>1643</v>
      </c>
      <c r="E226" t="s">
        <v>2078</v>
      </c>
      <c r="F226" t="s">
        <v>2313</v>
      </c>
      <c r="G226" t="s">
        <v>1665</v>
      </c>
      <c r="H226">
        <v>5203643408</v>
      </c>
      <c r="I226">
        <v>5403</v>
      </c>
      <c r="J226">
        <v>5208055534</v>
      </c>
      <c r="K226" t="s">
        <v>2314</v>
      </c>
      <c r="L226" t="s">
        <v>1647</v>
      </c>
      <c r="M226" t="s">
        <v>1634</v>
      </c>
    </row>
    <row r="227" spans="1:13" x14ac:dyDescent="0.25">
      <c r="A227">
        <v>4769</v>
      </c>
      <c r="B227" t="s">
        <v>2315</v>
      </c>
      <c r="C227" t="s">
        <v>2316</v>
      </c>
      <c r="D227" t="s">
        <v>1643</v>
      </c>
      <c r="E227" t="s">
        <v>2078</v>
      </c>
    </row>
    <row r="228" spans="1:13" x14ac:dyDescent="0.25">
      <c r="A228">
        <v>4770</v>
      </c>
      <c r="B228" t="s">
        <v>2317</v>
      </c>
      <c r="C228" t="s">
        <v>2318</v>
      </c>
      <c r="D228" t="s">
        <v>1643</v>
      </c>
      <c r="E228" t="s">
        <v>2078</v>
      </c>
      <c r="F228" t="s">
        <v>2273</v>
      </c>
      <c r="G228" t="s">
        <v>2274</v>
      </c>
      <c r="H228">
        <v>5203642447</v>
      </c>
      <c r="J228">
        <v>2008055537</v>
      </c>
      <c r="K228" t="s">
        <v>2319</v>
      </c>
      <c r="L228" t="s">
        <v>1647</v>
      </c>
      <c r="M228" t="s">
        <v>1634</v>
      </c>
    </row>
    <row r="229" spans="1:13" x14ac:dyDescent="0.25">
      <c r="A229">
        <v>4770</v>
      </c>
      <c r="B229" t="s">
        <v>2317</v>
      </c>
      <c r="C229" t="s">
        <v>2318</v>
      </c>
      <c r="D229" t="s">
        <v>1643</v>
      </c>
      <c r="E229" t="s">
        <v>2078</v>
      </c>
      <c r="F229" t="s">
        <v>2307</v>
      </c>
      <c r="G229" t="s">
        <v>2162</v>
      </c>
      <c r="H229">
        <v>5203642447</v>
      </c>
      <c r="I229">
        <v>6025</v>
      </c>
      <c r="K229" t="s">
        <v>2320</v>
      </c>
      <c r="M229" t="s">
        <v>1634</v>
      </c>
    </row>
    <row r="230" spans="1:13" x14ac:dyDescent="0.25">
      <c r="A230">
        <v>4770</v>
      </c>
      <c r="B230" t="s">
        <v>2317</v>
      </c>
      <c r="C230" t="s">
        <v>2318</v>
      </c>
      <c r="D230" t="s">
        <v>1643</v>
      </c>
      <c r="E230" t="s">
        <v>2078</v>
      </c>
      <c r="F230" t="s">
        <v>2321</v>
      </c>
      <c r="G230" t="s">
        <v>2322</v>
      </c>
      <c r="L230" t="s">
        <v>1647</v>
      </c>
      <c r="M230" t="s">
        <v>1634</v>
      </c>
    </row>
    <row r="231" spans="1:13" x14ac:dyDescent="0.25">
      <c r="A231">
        <v>4771</v>
      </c>
      <c r="B231" t="s">
        <v>2323</v>
      </c>
      <c r="C231" t="s">
        <v>2324</v>
      </c>
      <c r="D231" t="s">
        <v>1643</v>
      </c>
      <c r="E231" t="s">
        <v>2078</v>
      </c>
      <c r="F231" t="s">
        <v>2325</v>
      </c>
      <c r="G231" t="s">
        <v>2326</v>
      </c>
      <c r="K231" t="s">
        <v>2327</v>
      </c>
      <c r="L231" t="s">
        <v>1647</v>
      </c>
      <c r="M231" t="s">
        <v>1634</v>
      </c>
    </row>
    <row r="232" spans="1:13" x14ac:dyDescent="0.25">
      <c r="A232">
        <v>4771</v>
      </c>
      <c r="B232" t="s">
        <v>2323</v>
      </c>
      <c r="C232" t="s">
        <v>2324</v>
      </c>
      <c r="D232" t="s">
        <v>1643</v>
      </c>
      <c r="E232" t="s">
        <v>2078</v>
      </c>
      <c r="F232" t="s">
        <v>2328</v>
      </c>
      <c r="G232" t="s">
        <v>2322</v>
      </c>
      <c r="H232">
        <v>5203642447</v>
      </c>
      <c r="I232">
        <v>6304</v>
      </c>
      <c r="K232" t="s">
        <v>2329</v>
      </c>
      <c r="L232" t="s">
        <v>1647</v>
      </c>
      <c r="M232" t="s">
        <v>1634</v>
      </c>
    </row>
    <row r="233" spans="1:13" x14ac:dyDescent="0.25">
      <c r="A233">
        <v>4771</v>
      </c>
      <c r="B233" t="s">
        <v>2323</v>
      </c>
      <c r="C233" t="s">
        <v>2324</v>
      </c>
      <c r="D233" t="s">
        <v>1643</v>
      </c>
      <c r="E233" t="s">
        <v>2078</v>
      </c>
      <c r="F233" t="s">
        <v>2330</v>
      </c>
      <c r="G233" t="s">
        <v>2331</v>
      </c>
      <c r="K233" t="s">
        <v>2332</v>
      </c>
      <c r="L233" t="s">
        <v>1647</v>
      </c>
      <c r="M233" t="s">
        <v>1634</v>
      </c>
    </row>
    <row r="234" spans="1:13" x14ac:dyDescent="0.25">
      <c r="A234">
        <v>4773</v>
      </c>
      <c r="B234" t="s">
        <v>2333</v>
      </c>
      <c r="C234" t="s">
        <v>2334</v>
      </c>
      <c r="D234" t="s">
        <v>1643</v>
      </c>
      <c r="E234" t="s">
        <v>2078</v>
      </c>
      <c r="F234" t="s">
        <v>2335</v>
      </c>
      <c r="G234" t="s">
        <v>2336</v>
      </c>
      <c r="H234">
        <v>5203643462</v>
      </c>
      <c r="J234">
        <v>5208054171</v>
      </c>
      <c r="K234" t="s">
        <v>2337</v>
      </c>
      <c r="L234" t="s">
        <v>1647</v>
      </c>
      <c r="M234" t="s">
        <v>1634</v>
      </c>
    </row>
    <row r="235" spans="1:13" x14ac:dyDescent="0.25">
      <c r="A235">
        <v>4175</v>
      </c>
      <c r="B235" t="s">
        <v>2338</v>
      </c>
      <c r="C235" t="s">
        <v>2339</v>
      </c>
      <c r="D235" t="s">
        <v>1628</v>
      </c>
      <c r="E235" t="s">
        <v>2078</v>
      </c>
      <c r="F235" t="s">
        <v>2340</v>
      </c>
      <c r="G235" t="s">
        <v>2341</v>
      </c>
      <c r="H235">
        <v>5205152901</v>
      </c>
      <c r="K235" t="s">
        <v>2342</v>
      </c>
      <c r="L235" t="s">
        <v>2343</v>
      </c>
      <c r="M235" t="s">
        <v>1634</v>
      </c>
    </row>
    <row r="236" spans="1:13" x14ac:dyDescent="0.25">
      <c r="A236">
        <v>4175</v>
      </c>
      <c r="B236" t="s">
        <v>2338</v>
      </c>
      <c r="C236" t="s">
        <v>2339</v>
      </c>
      <c r="D236" t="s">
        <v>1628</v>
      </c>
      <c r="E236" t="s">
        <v>2078</v>
      </c>
      <c r="F236" t="s">
        <v>2344</v>
      </c>
      <c r="G236" t="s">
        <v>2345</v>
      </c>
      <c r="H236">
        <v>5205152742</v>
      </c>
      <c r="K236" t="s">
        <v>2346</v>
      </c>
      <c r="L236" t="s">
        <v>2347</v>
      </c>
      <c r="M236" t="s">
        <v>1634</v>
      </c>
    </row>
    <row r="237" spans="1:13" x14ac:dyDescent="0.25">
      <c r="A237">
        <v>4175</v>
      </c>
      <c r="B237" t="s">
        <v>2338</v>
      </c>
      <c r="C237" t="s">
        <v>2339</v>
      </c>
      <c r="D237" t="s">
        <v>1628</v>
      </c>
      <c r="E237" t="s">
        <v>2078</v>
      </c>
      <c r="F237" t="s">
        <v>2348</v>
      </c>
      <c r="G237" t="s">
        <v>2349</v>
      </c>
      <c r="H237">
        <v>5205152983</v>
      </c>
      <c r="K237" t="s">
        <v>2350</v>
      </c>
      <c r="L237" t="s">
        <v>1721</v>
      </c>
      <c r="M237" t="s">
        <v>1634</v>
      </c>
    </row>
    <row r="238" spans="1:13" x14ac:dyDescent="0.25">
      <c r="A238">
        <v>4175</v>
      </c>
      <c r="B238" t="s">
        <v>2338</v>
      </c>
      <c r="C238" t="s">
        <v>2339</v>
      </c>
      <c r="D238" t="s">
        <v>1628</v>
      </c>
      <c r="E238" t="s">
        <v>2078</v>
      </c>
      <c r="F238" t="s">
        <v>2351</v>
      </c>
      <c r="G238" t="s">
        <v>2352</v>
      </c>
      <c r="K238" t="s">
        <v>2353</v>
      </c>
      <c r="L238" t="s">
        <v>2354</v>
      </c>
      <c r="M238" t="s">
        <v>1634</v>
      </c>
    </row>
    <row r="239" spans="1:13" x14ac:dyDescent="0.25">
      <c r="A239">
        <v>4175</v>
      </c>
      <c r="B239" t="s">
        <v>2338</v>
      </c>
      <c r="C239" t="s">
        <v>2339</v>
      </c>
      <c r="D239" t="s">
        <v>1628</v>
      </c>
      <c r="E239" t="s">
        <v>2078</v>
      </c>
      <c r="F239" t="s">
        <v>2355</v>
      </c>
      <c r="G239" t="s">
        <v>2356</v>
      </c>
      <c r="H239">
        <v>5205152738</v>
      </c>
      <c r="K239" t="s">
        <v>2357</v>
      </c>
      <c r="L239" t="s">
        <v>2358</v>
      </c>
      <c r="M239" t="s">
        <v>1634</v>
      </c>
    </row>
    <row r="240" spans="1:13" x14ac:dyDescent="0.25">
      <c r="A240">
        <v>4175</v>
      </c>
      <c r="B240" t="s">
        <v>2338</v>
      </c>
      <c r="C240" t="s">
        <v>2339</v>
      </c>
      <c r="D240" t="s">
        <v>1628</v>
      </c>
      <c r="E240" t="s">
        <v>2078</v>
      </c>
      <c r="F240" t="s">
        <v>1943</v>
      </c>
      <c r="G240" t="s">
        <v>2359</v>
      </c>
      <c r="H240">
        <v>5205152700</v>
      </c>
      <c r="K240" t="s">
        <v>2360</v>
      </c>
      <c r="L240" t="s">
        <v>1668</v>
      </c>
      <c r="M240" t="s">
        <v>1634</v>
      </c>
    </row>
    <row r="241" spans="1:13" x14ac:dyDescent="0.25">
      <c r="A241">
        <v>4175</v>
      </c>
      <c r="B241" t="s">
        <v>2338</v>
      </c>
      <c r="C241" t="s">
        <v>2339</v>
      </c>
      <c r="D241" t="s">
        <v>1628</v>
      </c>
      <c r="E241" t="s">
        <v>2078</v>
      </c>
      <c r="F241" t="s">
        <v>2361</v>
      </c>
      <c r="G241" t="s">
        <v>2362</v>
      </c>
      <c r="H241">
        <v>5205152742</v>
      </c>
      <c r="K241" t="s">
        <v>2363</v>
      </c>
      <c r="L241" t="s">
        <v>2364</v>
      </c>
      <c r="M241" t="s">
        <v>1634</v>
      </c>
    </row>
    <row r="242" spans="1:13" x14ac:dyDescent="0.25">
      <c r="A242">
        <v>4175</v>
      </c>
      <c r="B242" t="s">
        <v>2338</v>
      </c>
      <c r="C242" t="s">
        <v>2339</v>
      </c>
      <c r="D242" t="s">
        <v>1628</v>
      </c>
      <c r="E242" t="s">
        <v>2078</v>
      </c>
      <c r="F242" t="s">
        <v>2355</v>
      </c>
      <c r="G242" t="s">
        <v>2356</v>
      </c>
      <c r="H242">
        <v>5205152738</v>
      </c>
      <c r="K242" t="s">
        <v>2357</v>
      </c>
      <c r="L242" t="s">
        <v>2358</v>
      </c>
      <c r="M242" t="s">
        <v>1640</v>
      </c>
    </row>
    <row r="243" spans="1:13" x14ac:dyDescent="0.25">
      <c r="A243">
        <v>4175</v>
      </c>
      <c r="B243" t="s">
        <v>2338</v>
      </c>
      <c r="C243" t="s">
        <v>2339</v>
      </c>
      <c r="D243" t="s">
        <v>1628</v>
      </c>
      <c r="E243" t="s">
        <v>2078</v>
      </c>
      <c r="F243" t="s">
        <v>2365</v>
      </c>
      <c r="G243" t="s">
        <v>2366</v>
      </c>
      <c r="H243">
        <v>5205152730</v>
      </c>
      <c r="K243" t="s">
        <v>2367</v>
      </c>
      <c r="L243" t="s">
        <v>2368</v>
      </c>
      <c r="M243" t="s">
        <v>1640</v>
      </c>
    </row>
    <row r="244" spans="1:13" x14ac:dyDescent="0.25">
      <c r="A244">
        <v>4175</v>
      </c>
      <c r="B244" t="s">
        <v>2338</v>
      </c>
      <c r="C244" t="s">
        <v>2339</v>
      </c>
      <c r="D244" t="s">
        <v>1628</v>
      </c>
      <c r="E244" t="s">
        <v>2078</v>
      </c>
      <c r="F244" t="s">
        <v>2351</v>
      </c>
      <c r="G244" t="s">
        <v>2352</v>
      </c>
      <c r="K244" t="s">
        <v>2353</v>
      </c>
      <c r="L244" t="s">
        <v>2354</v>
      </c>
      <c r="M244" t="s">
        <v>1765</v>
      </c>
    </row>
    <row r="245" spans="1:13" x14ac:dyDescent="0.25">
      <c r="A245">
        <v>440989</v>
      </c>
      <c r="B245" t="s">
        <v>2369</v>
      </c>
      <c r="C245" t="s">
        <v>2370</v>
      </c>
      <c r="D245" t="s">
        <v>1643</v>
      </c>
      <c r="E245" t="s">
        <v>2078</v>
      </c>
    </row>
    <row r="246" spans="1:13" x14ac:dyDescent="0.25">
      <c r="A246">
        <v>92297</v>
      </c>
      <c r="B246" t="s">
        <v>2371</v>
      </c>
      <c r="C246" t="s">
        <v>2372</v>
      </c>
      <c r="D246" t="s">
        <v>1643</v>
      </c>
      <c r="E246" t="s">
        <v>2078</v>
      </c>
      <c r="F246" t="s">
        <v>2373</v>
      </c>
      <c r="G246" t="s">
        <v>2374</v>
      </c>
      <c r="H246">
        <v>5205152714</v>
      </c>
      <c r="J246">
        <v>5205152744</v>
      </c>
      <c r="K246" t="s">
        <v>2375</v>
      </c>
      <c r="L246" t="s">
        <v>1668</v>
      </c>
      <c r="M246" t="s">
        <v>1634</v>
      </c>
    </row>
    <row r="247" spans="1:13" x14ac:dyDescent="0.25">
      <c r="A247">
        <v>92297</v>
      </c>
      <c r="B247" t="s">
        <v>2371</v>
      </c>
      <c r="C247" t="s">
        <v>2372</v>
      </c>
      <c r="D247" t="s">
        <v>1643</v>
      </c>
      <c r="E247" t="s">
        <v>2078</v>
      </c>
      <c r="F247" t="s">
        <v>2376</v>
      </c>
      <c r="G247" t="s">
        <v>2377</v>
      </c>
      <c r="H247">
        <v>5205152730</v>
      </c>
      <c r="K247" t="s">
        <v>2378</v>
      </c>
      <c r="L247" t="s">
        <v>1640</v>
      </c>
      <c r="M247" t="s">
        <v>1640</v>
      </c>
    </row>
    <row r="248" spans="1:13" x14ac:dyDescent="0.25">
      <c r="A248">
        <v>4775</v>
      </c>
      <c r="B248" t="s">
        <v>2379</v>
      </c>
      <c r="C248" t="s">
        <v>2380</v>
      </c>
      <c r="D248" t="s">
        <v>1643</v>
      </c>
      <c r="E248" t="s">
        <v>2078</v>
      </c>
      <c r="F248" t="s">
        <v>2381</v>
      </c>
      <c r="G248" t="s">
        <v>2382</v>
      </c>
      <c r="H248">
        <v>5205152940</v>
      </c>
      <c r="K248" t="s">
        <v>2383</v>
      </c>
      <c r="L248" t="s">
        <v>1647</v>
      </c>
      <c r="M248" t="s">
        <v>1634</v>
      </c>
    </row>
    <row r="249" spans="1:13" x14ac:dyDescent="0.25">
      <c r="A249">
        <v>4776</v>
      </c>
      <c r="B249" t="s">
        <v>2384</v>
      </c>
      <c r="C249" t="s">
        <v>2385</v>
      </c>
      <c r="D249" t="s">
        <v>1643</v>
      </c>
      <c r="E249" t="s">
        <v>2078</v>
      </c>
    </row>
    <row r="250" spans="1:13" x14ac:dyDescent="0.25">
      <c r="A250">
        <v>4777</v>
      </c>
      <c r="B250" t="s">
        <v>2386</v>
      </c>
      <c r="C250" t="s">
        <v>2387</v>
      </c>
      <c r="D250" t="s">
        <v>1643</v>
      </c>
      <c r="E250" t="s">
        <v>2078</v>
      </c>
      <c r="F250" t="s">
        <v>2085</v>
      </c>
      <c r="G250" t="s">
        <v>2388</v>
      </c>
      <c r="H250">
        <v>5205152960</v>
      </c>
      <c r="J250">
        <v>5205152966</v>
      </c>
      <c r="K250" t="s">
        <v>2389</v>
      </c>
      <c r="M250" t="s">
        <v>1634</v>
      </c>
    </row>
    <row r="251" spans="1:13" x14ac:dyDescent="0.25">
      <c r="A251">
        <v>4778</v>
      </c>
      <c r="B251" t="s">
        <v>2390</v>
      </c>
      <c r="C251" t="s">
        <v>2391</v>
      </c>
      <c r="D251" t="s">
        <v>1643</v>
      </c>
      <c r="E251" t="s">
        <v>2078</v>
      </c>
    </row>
    <row r="252" spans="1:13" x14ac:dyDescent="0.25">
      <c r="A252">
        <v>4779</v>
      </c>
      <c r="B252" t="s">
        <v>2392</v>
      </c>
      <c r="C252" t="s">
        <v>2393</v>
      </c>
      <c r="D252" t="s">
        <v>1643</v>
      </c>
      <c r="E252" t="s">
        <v>2078</v>
      </c>
    </row>
    <row r="253" spans="1:13" x14ac:dyDescent="0.25">
      <c r="A253">
        <v>4780</v>
      </c>
      <c r="B253" t="s">
        <v>2394</v>
      </c>
      <c r="C253" t="s">
        <v>2395</v>
      </c>
      <c r="D253" t="s">
        <v>1643</v>
      </c>
      <c r="E253" t="s">
        <v>2078</v>
      </c>
    </row>
    <row r="254" spans="1:13" x14ac:dyDescent="0.25">
      <c r="A254">
        <v>4781</v>
      </c>
      <c r="B254" t="s">
        <v>2396</v>
      </c>
      <c r="C254" t="s">
        <v>2397</v>
      </c>
      <c r="D254" t="s">
        <v>1643</v>
      </c>
      <c r="E254" t="s">
        <v>2078</v>
      </c>
    </row>
    <row r="255" spans="1:13" x14ac:dyDescent="0.25">
      <c r="A255">
        <v>4783</v>
      </c>
      <c r="B255" t="s">
        <v>2398</v>
      </c>
      <c r="C255" t="s">
        <v>2399</v>
      </c>
      <c r="D255" t="s">
        <v>1643</v>
      </c>
      <c r="E255" t="s">
        <v>2078</v>
      </c>
    </row>
    <row r="256" spans="1:13" x14ac:dyDescent="0.25">
      <c r="A256">
        <v>4176</v>
      </c>
      <c r="B256" t="s">
        <v>313</v>
      </c>
      <c r="C256" t="s">
        <v>2400</v>
      </c>
      <c r="D256" t="s">
        <v>1628</v>
      </c>
      <c r="E256" t="s">
        <v>2078</v>
      </c>
      <c r="F256" t="s">
        <v>2401</v>
      </c>
      <c r="G256" t="s">
        <v>2402</v>
      </c>
      <c r="H256">
        <v>5204327425</v>
      </c>
      <c r="J256">
        <v>5204324161</v>
      </c>
      <c r="K256" t="s">
        <v>2403</v>
      </c>
      <c r="L256" t="s">
        <v>2404</v>
      </c>
      <c r="M256" t="s">
        <v>1634</v>
      </c>
    </row>
    <row r="257" spans="1:13" x14ac:dyDescent="0.25">
      <c r="A257">
        <v>4176</v>
      </c>
      <c r="B257" t="s">
        <v>313</v>
      </c>
      <c r="C257" t="s">
        <v>2400</v>
      </c>
      <c r="D257" t="s">
        <v>1628</v>
      </c>
      <c r="E257" t="s">
        <v>2078</v>
      </c>
      <c r="F257" t="s">
        <v>1732</v>
      </c>
      <c r="G257" t="s">
        <v>2405</v>
      </c>
      <c r="I257">
        <v>101</v>
      </c>
      <c r="K257" t="s">
        <v>2406</v>
      </c>
      <c r="M257" t="s">
        <v>1640</v>
      </c>
    </row>
    <row r="258" spans="1:13" x14ac:dyDescent="0.25">
      <c r="A258">
        <v>4176</v>
      </c>
      <c r="B258" t="s">
        <v>313</v>
      </c>
      <c r="C258" t="s">
        <v>2400</v>
      </c>
      <c r="D258" t="s">
        <v>1628</v>
      </c>
      <c r="E258" t="s">
        <v>2078</v>
      </c>
      <c r="F258" t="s">
        <v>2401</v>
      </c>
      <c r="G258" t="s">
        <v>2402</v>
      </c>
      <c r="H258">
        <v>5204327425</v>
      </c>
      <c r="J258">
        <v>5204324161</v>
      </c>
      <c r="K258" t="s">
        <v>2403</v>
      </c>
      <c r="L258" t="s">
        <v>2404</v>
      </c>
      <c r="M258" t="s">
        <v>1765</v>
      </c>
    </row>
    <row r="259" spans="1:13" x14ac:dyDescent="0.25">
      <c r="A259">
        <v>4784</v>
      </c>
      <c r="B259" t="s">
        <v>833</v>
      </c>
      <c r="C259" t="s">
        <v>2407</v>
      </c>
      <c r="D259" t="s">
        <v>1643</v>
      </c>
      <c r="E259" t="s">
        <v>2078</v>
      </c>
      <c r="F259" t="s">
        <v>2408</v>
      </c>
      <c r="G259" t="s">
        <v>2409</v>
      </c>
      <c r="H259">
        <v>5204327144</v>
      </c>
      <c r="K259" t="s">
        <v>2410</v>
      </c>
      <c r="M259" t="s">
        <v>1634</v>
      </c>
    </row>
    <row r="260" spans="1:13" x14ac:dyDescent="0.25">
      <c r="A260">
        <v>4784</v>
      </c>
      <c r="B260" t="s">
        <v>833</v>
      </c>
      <c r="C260" t="s">
        <v>2407</v>
      </c>
      <c r="D260" t="s">
        <v>1643</v>
      </c>
      <c r="E260" t="s">
        <v>2078</v>
      </c>
      <c r="F260" t="s">
        <v>2411</v>
      </c>
      <c r="G260" t="s">
        <v>2412</v>
      </c>
      <c r="H260">
        <v>5204327144</v>
      </c>
      <c r="J260">
        <v>5204324161</v>
      </c>
      <c r="K260" t="s">
        <v>2413</v>
      </c>
      <c r="L260" t="s">
        <v>1668</v>
      </c>
      <c r="M260" t="s">
        <v>1634</v>
      </c>
    </row>
    <row r="261" spans="1:13" x14ac:dyDescent="0.25">
      <c r="A261">
        <v>4177</v>
      </c>
      <c r="B261" t="s">
        <v>2414</v>
      </c>
      <c r="C261" t="s">
        <v>2415</v>
      </c>
      <c r="D261" t="s">
        <v>1628</v>
      </c>
      <c r="E261" t="s">
        <v>2078</v>
      </c>
      <c r="F261" t="s">
        <v>2416</v>
      </c>
      <c r="G261" t="s">
        <v>2417</v>
      </c>
      <c r="J261">
        <v>5203842540</v>
      </c>
      <c r="K261" t="s">
        <v>2418</v>
      </c>
      <c r="L261" t="s">
        <v>1640</v>
      </c>
      <c r="M261" t="s">
        <v>1634</v>
      </c>
    </row>
    <row r="262" spans="1:13" x14ac:dyDescent="0.25">
      <c r="A262">
        <v>4177</v>
      </c>
      <c r="B262" t="s">
        <v>2414</v>
      </c>
      <c r="C262" t="s">
        <v>2415</v>
      </c>
      <c r="D262" t="s">
        <v>1628</v>
      </c>
      <c r="E262" t="s">
        <v>2078</v>
      </c>
      <c r="F262" t="s">
        <v>2419</v>
      </c>
      <c r="G262" t="s">
        <v>2420</v>
      </c>
      <c r="K262" t="s">
        <v>2421</v>
      </c>
      <c r="L262" t="s">
        <v>1633</v>
      </c>
      <c r="M262" t="s">
        <v>1634</v>
      </c>
    </row>
    <row r="263" spans="1:13" x14ac:dyDescent="0.25">
      <c r="A263">
        <v>4177</v>
      </c>
      <c r="B263" t="s">
        <v>2414</v>
      </c>
      <c r="C263" t="s">
        <v>2415</v>
      </c>
      <c r="D263" t="s">
        <v>1628</v>
      </c>
      <c r="E263" t="s">
        <v>2078</v>
      </c>
      <c r="F263" t="s">
        <v>2416</v>
      </c>
      <c r="G263" t="s">
        <v>2417</v>
      </c>
      <c r="J263">
        <v>5203842540</v>
      </c>
      <c r="K263" t="s">
        <v>2418</v>
      </c>
      <c r="L263" t="s">
        <v>1640</v>
      </c>
      <c r="M263" t="s">
        <v>1640</v>
      </c>
    </row>
    <row r="264" spans="1:13" x14ac:dyDescent="0.25">
      <c r="A264">
        <v>4177</v>
      </c>
      <c r="B264" t="s">
        <v>2414</v>
      </c>
      <c r="C264" t="s">
        <v>2415</v>
      </c>
      <c r="D264" t="s">
        <v>1628</v>
      </c>
      <c r="E264" t="s">
        <v>2078</v>
      </c>
      <c r="F264" t="s">
        <v>2416</v>
      </c>
      <c r="G264" t="s">
        <v>2417</v>
      </c>
      <c r="J264">
        <v>5203842540</v>
      </c>
      <c r="K264" t="s">
        <v>2418</v>
      </c>
      <c r="L264" t="s">
        <v>1640</v>
      </c>
      <c r="M264" t="s">
        <v>1765</v>
      </c>
    </row>
    <row r="265" spans="1:13" x14ac:dyDescent="0.25">
      <c r="A265">
        <v>4177</v>
      </c>
      <c r="B265" t="s">
        <v>2414</v>
      </c>
      <c r="C265" t="s">
        <v>2415</v>
      </c>
      <c r="D265" t="s">
        <v>1628</v>
      </c>
      <c r="E265" t="s">
        <v>2078</v>
      </c>
      <c r="F265" t="s">
        <v>2401</v>
      </c>
      <c r="G265" t="s">
        <v>2326</v>
      </c>
      <c r="K265" t="s">
        <v>2422</v>
      </c>
      <c r="M265" t="s">
        <v>1765</v>
      </c>
    </row>
    <row r="266" spans="1:13" x14ac:dyDescent="0.25">
      <c r="A266">
        <v>4785</v>
      </c>
      <c r="B266" t="s">
        <v>2423</v>
      </c>
      <c r="C266" t="s">
        <v>2424</v>
      </c>
      <c r="D266" t="s">
        <v>1643</v>
      </c>
      <c r="E266" t="s">
        <v>2078</v>
      </c>
      <c r="F266" t="s">
        <v>1955</v>
      </c>
      <c r="G266" t="s">
        <v>2425</v>
      </c>
      <c r="H266">
        <v>5203842540</v>
      </c>
      <c r="K266" t="s">
        <v>2426</v>
      </c>
      <c r="L266" t="s">
        <v>1647</v>
      </c>
      <c r="M266" t="s">
        <v>1634</v>
      </c>
    </row>
    <row r="267" spans="1:13" x14ac:dyDescent="0.25">
      <c r="A267">
        <v>4785</v>
      </c>
      <c r="B267" t="s">
        <v>2423</v>
      </c>
      <c r="C267" t="s">
        <v>2424</v>
      </c>
      <c r="D267" t="s">
        <v>1643</v>
      </c>
      <c r="E267" t="s">
        <v>2078</v>
      </c>
      <c r="F267" t="s">
        <v>2416</v>
      </c>
      <c r="G267" t="s">
        <v>2417</v>
      </c>
      <c r="J267">
        <v>5203842540</v>
      </c>
      <c r="K267" t="s">
        <v>2418</v>
      </c>
      <c r="L267" t="s">
        <v>1640</v>
      </c>
      <c r="M267" t="s">
        <v>1634</v>
      </c>
    </row>
    <row r="268" spans="1:13" x14ac:dyDescent="0.25">
      <c r="A268">
        <v>4178</v>
      </c>
      <c r="B268" t="s">
        <v>2427</v>
      </c>
      <c r="C268" t="s">
        <v>2428</v>
      </c>
      <c r="D268" t="s">
        <v>1628</v>
      </c>
      <c r="E268" t="s">
        <v>2078</v>
      </c>
      <c r="F268" t="s">
        <v>2429</v>
      </c>
      <c r="G268" t="s">
        <v>2430</v>
      </c>
      <c r="K268" t="s">
        <v>2431</v>
      </c>
      <c r="L268" t="s">
        <v>1640</v>
      </c>
      <c r="M268" t="s">
        <v>1640</v>
      </c>
    </row>
    <row r="269" spans="1:13" x14ac:dyDescent="0.25">
      <c r="A269">
        <v>4786</v>
      </c>
      <c r="B269" t="s">
        <v>2432</v>
      </c>
      <c r="C269" t="s">
        <v>2433</v>
      </c>
      <c r="D269" t="s">
        <v>1643</v>
      </c>
      <c r="E269" t="s">
        <v>2078</v>
      </c>
    </row>
    <row r="270" spans="1:13" x14ac:dyDescent="0.25">
      <c r="A270">
        <v>4179</v>
      </c>
      <c r="B270" t="s">
        <v>2434</v>
      </c>
      <c r="C270" t="s">
        <v>2435</v>
      </c>
      <c r="D270" t="s">
        <v>1628</v>
      </c>
      <c r="E270" t="s">
        <v>2078</v>
      </c>
      <c r="F270" t="s">
        <v>2408</v>
      </c>
      <c r="G270" t="s">
        <v>2436</v>
      </c>
      <c r="H270">
        <v>5203643041</v>
      </c>
      <c r="J270">
        <v>5203646796</v>
      </c>
      <c r="K270" t="s">
        <v>2437</v>
      </c>
      <c r="L270" t="s">
        <v>2438</v>
      </c>
      <c r="M270" t="s">
        <v>1634</v>
      </c>
    </row>
    <row r="271" spans="1:13" x14ac:dyDescent="0.25">
      <c r="A271">
        <v>4179</v>
      </c>
      <c r="B271" t="s">
        <v>2434</v>
      </c>
      <c r="C271" t="s">
        <v>2435</v>
      </c>
      <c r="D271" t="s">
        <v>1628</v>
      </c>
      <c r="E271" t="s">
        <v>2078</v>
      </c>
      <c r="F271" t="s">
        <v>2439</v>
      </c>
      <c r="G271" t="s">
        <v>2440</v>
      </c>
      <c r="K271" t="s">
        <v>2441</v>
      </c>
      <c r="L271" t="s">
        <v>2442</v>
      </c>
      <c r="M271" t="s">
        <v>1634</v>
      </c>
    </row>
    <row r="272" spans="1:13" x14ac:dyDescent="0.25">
      <c r="A272">
        <v>4179</v>
      </c>
      <c r="B272" t="s">
        <v>2434</v>
      </c>
      <c r="C272" t="s">
        <v>2435</v>
      </c>
      <c r="D272" t="s">
        <v>1628</v>
      </c>
      <c r="E272" t="s">
        <v>2078</v>
      </c>
      <c r="F272" t="s">
        <v>2443</v>
      </c>
      <c r="G272" t="s">
        <v>2444</v>
      </c>
      <c r="H272">
        <v>5203643041</v>
      </c>
      <c r="K272" t="s">
        <v>2445</v>
      </c>
      <c r="L272" t="s">
        <v>2446</v>
      </c>
      <c r="M272" t="s">
        <v>1640</v>
      </c>
    </row>
    <row r="273" spans="1:13" x14ac:dyDescent="0.25">
      <c r="A273">
        <v>4787</v>
      </c>
      <c r="B273" t="s">
        <v>2447</v>
      </c>
      <c r="C273" t="s">
        <v>2448</v>
      </c>
      <c r="D273" t="s">
        <v>1643</v>
      </c>
      <c r="E273" t="s">
        <v>2078</v>
      </c>
    </row>
    <row r="274" spans="1:13" x14ac:dyDescent="0.25">
      <c r="A274">
        <v>4180</v>
      </c>
      <c r="B274" t="s">
        <v>2449</v>
      </c>
      <c r="C274" t="s">
        <v>2450</v>
      </c>
      <c r="D274" t="s">
        <v>1628</v>
      </c>
      <c r="E274" t="s">
        <v>2078</v>
      </c>
      <c r="F274" t="s">
        <v>2451</v>
      </c>
      <c r="G274" t="s">
        <v>2452</v>
      </c>
      <c r="H274">
        <v>5203666204</v>
      </c>
      <c r="I274">
        <v>102</v>
      </c>
      <c r="K274" t="s">
        <v>2453</v>
      </c>
      <c r="L274" t="s">
        <v>2454</v>
      </c>
      <c r="M274" t="s">
        <v>1634</v>
      </c>
    </row>
    <row r="275" spans="1:13" x14ac:dyDescent="0.25">
      <c r="A275">
        <v>4180</v>
      </c>
      <c r="B275" t="s">
        <v>2449</v>
      </c>
      <c r="C275" t="s">
        <v>2450</v>
      </c>
      <c r="D275" t="s">
        <v>1628</v>
      </c>
      <c r="E275" t="s">
        <v>2078</v>
      </c>
      <c r="F275" t="s">
        <v>2455</v>
      </c>
      <c r="G275" t="s">
        <v>2456</v>
      </c>
      <c r="H275">
        <v>5203666204</v>
      </c>
      <c r="K275" t="s">
        <v>2457</v>
      </c>
      <c r="L275" t="s">
        <v>1668</v>
      </c>
      <c r="M275" t="s">
        <v>1634</v>
      </c>
    </row>
    <row r="276" spans="1:13" x14ac:dyDescent="0.25">
      <c r="A276">
        <v>4180</v>
      </c>
      <c r="B276" t="s">
        <v>2449</v>
      </c>
      <c r="C276" t="s">
        <v>2450</v>
      </c>
      <c r="D276" t="s">
        <v>1628</v>
      </c>
      <c r="E276" t="s">
        <v>2078</v>
      </c>
      <c r="F276" t="s">
        <v>2458</v>
      </c>
      <c r="G276" t="s">
        <v>2459</v>
      </c>
      <c r="H276">
        <v>5203666204</v>
      </c>
      <c r="I276">
        <v>103</v>
      </c>
      <c r="K276" t="s">
        <v>2460</v>
      </c>
      <c r="L276" t="s">
        <v>1640</v>
      </c>
      <c r="M276" t="s">
        <v>1640</v>
      </c>
    </row>
    <row r="277" spans="1:13" x14ac:dyDescent="0.25">
      <c r="A277">
        <v>4788</v>
      </c>
      <c r="B277" t="s">
        <v>2461</v>
      </c>
      <c r="C277" t="s">
        <v>2462</v>
      </c>
      <c r="D277" t="s">
        <v>1643</v>
      </c>
      <c r="E277" t="s">
        <v>2078</v>
      </c>
    </row>
    <row r="278" spans="1:13" x14ac:dyDescent="0.25">
      <c r="A278">
        <v>4789</v>
      </c>
      <c r="B278" t="s">
        <v>1641</v>
      </c>
      <c r="C278" t="s">
        <v>2463</v>
      </c>
      <c r="D278" t="s">
        <v>1643</v>
      </c>
      <c r="E278" t="s">
        <v>2078</v>
      </c>
      <c r="F278" t="s">
        <v>2464</v>
      </c>
      <c r="G278" t="s">
        <v>2465</v>
      </c>
      <c r="J278">
        <v>5203784195</v>
      </c>
      <c r="K278" t="s">
        <v>2466</v>
      </c>
      <c r="M278" t="s">
        <v>1634</v>
      </c>
    </row>
    <row r="279" spans="1:13" x14ac:dyDescent="0.25">
      <c r="A279">
        <v>78914</v>
      </c>
      <c r="B279" t="s">
        <v>2467</v>
      </c>
      <c r="C279" t="s">
        <v>2468</v>
      </c>
      <c r="D279" t="s">
        <v>1643</v>
      </c>
      <c r="E279" t="s">
        <v>2078</v>
      </c>
    </row>
    <row r="280" spans="1:13" x14ac:dyDescent="0.25">
      <c r="A280">
        <v>4181</v>
      </c>
      <c r="B280" t="s">
        <v>2469</v>
      </c>
      <c r="C280" t="s">
        <v>2470</v>
      </c>
      <c r="D280" t="s">
        <v>1628</v>
      </c>
      <c r="E280" t="s">
        <v>2078</v>
      </c>
      <c r="F280" t="s">
        <v>2471</v>
      </c>
      <c r="G280" t="s">
        <v>2472</v>
      </c>
      <c r="J280">
        <v>5206423356</v>
      </c>
      <c r="K280" t="s">
        <v>2473</v>
      </c>
      <c r="L280" t="s">
        <v>1668</v>
      </c>
      <c r="M280" t="s">
        <v>1634</v>
      </c>
    </row>
    <row r="281" spans="1:13" x14ac:dyDescent="0.25">
      <c r="A281">
        <v>4181</v>
      </c>
      <c r="B281" t="s">
        <v>2469</v>
      </c>
      <c r="C281" t="s">
        <v>2470</v>
      </c>
      <c r="D281" t="s">
        <v>1628</v>
      </c>
      <c r="E281" t="s">
        <v>2078</v>
      </c>
      <c r="F281" t="s">
        <v>1787</v>
      </c>
      <c r="G281" t="s">
        <v>2474</v>
      </c>
      <c r="H281">
        <v>5206423356</v>
      </c>
      <c r="K281" t="s">
        <v>2475</v>
      </c>
      <c r="L281" t="s">
        <v>2476</v>
      </c>
      <c r="M281" t="s">
        <v>1634</v>
      </c>
    </row>
    <row r="282" spans="1:13" x14ac:dyDescent="0.25">
      <c r="A282">
        <v>4181</v>
      </c>
      <c r="B282" t="s">
        <v>2469</v>
      </c>
      <c r="C282" t="s">
        <v>2470</v>
      </c>
      <c r="D282" t="s">
        <v>1628</v>
      </c>
      <c r="E282" t="s">
        <v>2078</v>
      </c>
      <c r="F282" t="s">
        <v>1941</v>
      </c>
      <c r="G282" t="s">
        <v>2477</v>
      </c>
      <c r="H282">
        <v>5206421071</v>
      </c>
      <c r="K282" t="s">
        <v>2478</v>
      </c>
      <c r="L282" t="s">
        <v>1668</v>
      </c>
      <c r="M282" t="s">
        <v>1634</v>
      </c>
    </row>
    <row r="283" spans="1:13" x14ac:dyDescent="0.25">
      <c r="A283">
        <v>4181</v>
      </c>
      <c r="B283" t="s">
        <v>2469</v>
      </c>
      <c r="C283" t="s">
        <v>2470</v>
      </c>
      <c r="D283" t="s">
        <v>1628</v>
      </c>
      <c r="E283" t="s">
        <v>2078</v>
      </c>
      <c r="F283" t="s">
        <v>2479</v>
      </c>
      <c r="G283" t="s">
        <v>2480</v>
      </c>
      <c r="K283" t="s">
        <v>2481</v>
      </c>
      <c r="L283" t="s">
        <v>2482</v>
      </c>
      <c r="M283" t="s">
        <v>1640</v>
      </c>
    </row>
    <row r="284" spans="1:13" x14ac:dyDescent="0.25">
      <c r="A284">
        <v>4790</v>
      </c>
      <c r="B284" t="s">
        <v>2483</v>
      </c>
      <c r="C284" t="s">
        <v>2484</v>
      </c>
      <c r="D284" t="s">
        <v>1643</v>
      </c>
      <c r="E284" t="s">
        <v>2078</v>
      </c>
      <c r="F284" t="s">
        <v>2471</v>
      </c>
      <c r="G284" t="s">
        <v>2472</v>
      </c>
      <c r="M284" t="s">
        <v>1634</v>
      </c>
    </row>
    <row r="285" spans="1:13" x14ac:dyDescent="0.25">
      <c r="A285">
        <v>4790</v>
      </c>
      <c r="B285" t="s">
        <v>2483</v>
      </c>
      <c r="C285" t="s">
        <v>2484</v>
      </c>
      <c r="D285" t="s">
        <v>1643</v>
      </c>
      <c r="E285" t="s">
        <v>2078</v>
      </c>
      <c r="F285" t="s">
        <v>2099</v>
      </c>
      <c r="G285" t="s">
        <v>2485</v>
      </c>
      <c r="M285" t="s">
        <v>1640</v>
      </c>
    </row>
    <row r="286" spans="1:13" x14ac:dyDescent="0.25">
      <c r="A286">
        <v>4188</v>
      </c>
      <c r="B286" t="s">
        <v>2486</v>
      </c>
      <c r="C286" t="s">
        <v>2487</v>
      </c>
      <c r="D286" t="s">
        <v>1628</v>
      </c>
      <c r="E286" t="s">
        <v>2078</v>
      </c>
      <c r="F286" t="s">
        <v>2222</v>
      </c>
      <c r="G286" t="s">
        <v>2488</v>
      </c>
      <c r="K286" t="s">
        <v>2489</v>
      </c>
      <c r="L286" t="s">
        <v>1668</v>
      </c>
      <c r="M286" t="s">
        <v>1634</v>
      </c>
    </row>
    <row r="287" spans="1:13" x14ac:dyDescent="0.25">
      <c r="A287">
        <v>4188</v>
      </c>
      <c r="B287" t="s">
        <v>2486</v>
      </c>
      <c r="C287" t="s">
        <v>2487</v>
      </c>
      <c r="D287" t="s">
        <v>1628</v>
      </c>
      <c r="E287" t="s">
        <v>2078</v>
      </c>
      <c r="F287" t="s">
        <v>2490</v>
      </c>
      <c r="G287" t="s">
        <v>2491</v>
      </c>
      <c r="K287" t="s">
        <v>2492</v>
      </c>
      <c r="L287" t="s">
        <v>2493</v>
      </c>
      <c r="M287" t="s">
        <v>1634</v>
      </c>
    </row>
    <row r="288" spans="1:13" x14ac:dyDescent="0.25">
      <c r="A288">
        <v>4188</v>
      </c>
      <c r="B288" t="s">
        <v>2486</v>
      </c>
      <c r="C288" t="s">
        <v>2487</v>
      </c>
      <c r="D288" t="s">
        <v>1628</v>
      </c>
      <c r="E288" t="s">
        <v>2078</v>
      </c>
      <c r="F288" t="s">
        <v>2222</v>
      </c>
      <c r="G288" t="s">
        <v>2488</v>
      </c>
      <c r="K288" t="s">
        <v>2489</v>
      </c>
      <c r="L288" t="s">
        <v>1668</v>
      </c>
      <c r="M288" t="s">
        <v>1640</v>
      </c>
    </row>
    <row r="289" spans="1:13" x14ac:dyDescent="0.25">
      <c r="A289">
        <v>4188</v>
      </c>
      <c r="B289" t="s">
        <v>2486</v>
      </c>
      <c r="C289" t="s">
        <v>2487</v>
      </c>
      <c r="D289" t="s">
        <v>1628</v>
      </c>
      <c r="E289" t="s">
        <v>2078</v>
      </c>
      <c r="F289" t="s">
        <v>2490</v>
      </c>
      <c r="G289" t="s">
        <v>2491</v>
      </c>
      <c r="K289" t="s">
        <v>2492</v>
      </c>
      <c r="L289" t="s">
        <v>2493</v>
      </c>
      <c r="M289" t="s">
        <v>1640</v>
      </c>
    </row>
    <row r="290" spans="1:13" x14ac:dyDescent="0.25">
      <c r="A290">
        <v>4188</v>
      </c>
      <c r="B290" t="s">
        <v>2486</v>
      </c>
      <c r="C290" t="s">
        <v>2487</v>
      </c>
      <c r="D290" t="s">
        <v>1628</v>
      </c>
      <c r="E290" t="s">
        <v>2078</v>
      </c>
      <c r="F290" t="s">
        <v>2494</v>
      </c>
      <c r="G290" t="s">
        <v>2495</v>
      </c>
      <c r="K290" t="s">
        <v>2496</v>
      </c>
      <c r="L290" t="s">
        <v>2446</v>
      </c>
      <c r="M290" t="s">
        <v>1640</v>
      </c>
    </row>
    <row r="291" spans="1:13" x14ac:dyDescent="0.25">
      <c r="A291">
        <v>4798</v>
      </c>
      <c r="B291" t="s">
        <v>2497</v>
      </c>
      <c r="C291" t="s">
        <v>2498</v>
      </c>
      <c r="D291" t="s">
        <v>1643</v>
      </c>
      <c r="E291" t="s">
        <v>2078</v>
      </c>
      <c r="F291" t="s">
        <v>2499</v>
      </c>
      <c r="G291" t="s">
        <v>2500</v>
      </c>
      <c r="H291">
        <v>5205862407</v>
      </c>
      <c r="J291">
        <v>5205867724</v>
      </c>
      <c r="K291" t="s">
        <v>2501</v>
      </c>
      <c r="M291" t="s">
        <v>1634</v>
      </c>
    </row>
    <row r="292" spans="1:13" x14ac:dyDescent="0.25">
      <c r="A292">
        <v>4185</v>
      </c>
      <c r="B292" t="s">
        <v>2502</v>
      </c>
      <c r="C292" t="s">
        <v>2503</v>
      </c>
      <c r="D292" t="s">
        <v>1628</v>
      </c>
      <c r="E292" t="s">
        <v>2078</v>
      </c>
      <c r="F292" t="s">
        <v>2325</v>
      </c>
      <c r="G292" t="s">
        <v>2326</v>
      </c>
      <c r="H292">
        <v>5206423428</v>
      </c>
      <c r="K292" t="s">
        <v>2504</v>
      </c>
      <c r="L292" t="s">
        <v>1668</v>
      </c>
      <c r="M292" t="s">
        <v>1634</v>
      </c>
    </row>
    <row r="293" spans="1:13" x14ac:dyDescent="0.25">
      <c r="A293">
        <v>4185</v>
      </c>
      <c r="B293" t="s">
        <v>2502</v>
      </c>
      <c r="C293" t="s">
        <v>2503</v>
      </c>
      <c r="D293" t="s">
        <v>1628</v>
      </c>
      <c r="E293" t="s">
        <v>2078</v>
      </c>
      <c r="F293" t="s">
        <v>2505</v>
      </c>
      <c r="G293" t="s">
        <v>2506</v>
      </c>
      <c r="K293" t="s">
        <v>2507</v>
      </c>
      <c r="L293" t="s">
        <v>2045</v>
      </c>
      <c r="M293" t="s">
        <v>1640</v>
      </c>
    </row>
    <row r="294" spans="1:13" x14ac:dyDescent="0.25">
      <c r="A294">
        <v>4185</v>
      </c>
      <c r="B294" t="s">
        <v>2502</v>
      </c>
      <c r="C294" t="s">
        <v>2503</v>
      </c>
      <c r="D294" t="s">
        <v>1628</v>
      </c>
      <c r="E294" t="s">
        <v>2078</v>
      </c>
      <c r="F294" t="s">
        <v>2508</v>
      </c>
      <c r="G294" t="s">
        <v>1298</v>
      </c>
      <c r="H294" t="s">
        <v>2509</v>
      </c>
      <c r="K294" t="s">
        <v>2510</v>
      </c>
      <c r="L294" t="s">
        <v>1640</v>
      </c>
      <c r="M294" t="s">
        <v>1640</v>
      </c>
    </row>
    <row r="295" spans="1:13" x14ac:dyDescent="0.25">
      <c r="A295">
        <v>4185</v>
      </c>
      <c r="B295" t="s">
        <v>2502</v>
      </c>
      <c r="C295" t="s">
        <v>2503</v>
      </c>
      <c r="D295" t="s">
        <v>1628</v>
      </c>
      <c r="E295" t="s">
        <v>2078</v>
      </c>
      <c r="F295" t="s">
        <v>2505</v>
      </c>
      <c r="G295" t="s">
        <v>2506</v>
      </c>
      <c r="K295" t="s">
        <v>2507</v>
      </c>
      <c r="L295" t="s">
        <v>2045</v>
      </c>
      <c r="M295" t="s">
        <v>1765</v>
      </c>
    </row>
    <row r="296" spans="1:13" x14ac:dyDescent="0.25">
      <c r="A296">
        <v>4795</v>
      </c>
      <c r="B296" t="s">
        <v>2511</v>
      </c>
      <c r="C296" t="s">
        <v>2512</v>
      </c>
      <c r="D296" t="s">
        <v>1643</v>
      </c>
      <c r="E296" t="s">
        <v>2078</v>
      </c>
    </row>
    <row r="297" spans="1:13" x14ac:dyDescent="0.25">
      <c r="A297">
        <v>4186</v>
      </c>
      <c r="B297" t="s">
        <v>2513</v>
      </c>
      <c r="C297" t="s">
        <v>2514</v>
      </c>
      <c r="D297" t="s">
        <v>1628</v>
      </c>
      <c r="E297" t="s">
        <v>2078</v>
      </c>
      <c r="F297" t="s">
        <v>1726</v>
      </c>
      <c r="G297" t="s">
        <v>2515</v>
      </c>
      <c r="H297">
        <v>5208263328</v>
      </c>
      <c r="I297">
        <v>103</v>
      </c>
      <c r="K297" t="s">
        <v>2516</v>
      </c>
      <c r="M297" t="s">
        <v>1640</v>
      </c>
    </row>
    <row r="298" spans="1:13" x14ac:dyDescent="0.25">
      <c r="A298">
        <v>4796</v>
      </c>
      <c r="B298" t="s">
        <v>2517</v>
      </c>
      <c r="C298" t="s">
        <v>2518</v>
      </c>
      <c r="D298" t="s">
        <v>1643</v>
      </c>
      <c r="E298" t="s">
        <v>2078</v>
      </c>
    </row>
    <row r="299" spans="1:13" x14ac:dyDescent="0.25">
      <c r="A299">
        <v>4187</v>
      </c>
      <c r="B299" t="s">
        <v>2519</v>
      </c>
      <c r="C299" t="s">
        <v>2520</v>
      </c>
      <c r="D299" t="s">
        <v>1628</v>
      </c>
      <c r="E299" t="s">
        <v>2078</v>
      </c>
      <c r="F299" t="s">
        <v>2521</v>
      </c>
      <c r="G299" t="s">
        <v>2522</v>
      </c>
      <c r="K299" t="s">
        <v>2523</v>
      </c>
      <c r="L299" t="s">
        <v>1668</v>
      </c>
      <c r="M299" t="s">
        <v>1634</v>
      </c>
    </row>
    <row r="300" spans="1:13" x14ac:dyDescent="0.25">
      <c r="A300">
        <v>4187</v>
      </c>
      <c r="B300" t="s">
        <v>2519</v>
      </c>
      <c r="C300" t="s">
        <v>2520</v>
      </c>
      <c r="D300" t="s">
        <v>1628</v>
      </c>
      <c r="E300" t="s">
        <v>2078</v>
      </c>
      <c r="F300" t="s">
        <v>1780</v>
      </c>
      <c r="G300" t="s">
        <v>2524</v>
      </c>
      <c r="H300" t="s">
        <v>2525</v>
      </c>
      <c r="K300" t="s">
        <v>2526</v>
      </c>
      <c r="L300" t="s">
        <v>1800</v>
      </c>
      <c r="M300" t="s">
        <v>1765</v>
      </c>
    </row>
    <row r="301" spans="1:13" x14ac:dyDescent="0.25">
      <c r="A301">
        <v>4797</v>
      </c>
      <c r="B301" t="s">
        <v>2527</v>
      </c>
      <c r="C301" t="s">
        <v>2528</v>
      </c>
      <c r="D301" t="s">
        <v>1643</v>
      </c>
      <c r="E301" t="s">
        <v>2078</v>
      </c>
      <c r="F301" t="s">
        <v>2521</v>
      </c>
      <c r="G301" t="s">
        <v>2522</v>
      </c>
      <c r="K301" t="s">
        <v>2523</v>
      </c>
      <c r="L301" t="s">
        <v>1668</v>
      </c>
      <c r="M301" t="s">
        <v>1634</v>
      </c>
    </row>
    <row r="302" spans="1:13" x14ac:dyDescent="0.25">
      <c r="A302">
        <v>4190</v>
      </c>
      <c r="B302" t="s">
        <v>2529</v>
      </c>
      <c r="C302" t="s">
        <v>2530</v>
      </c>
      <c r="D302" t="s">
        <v>1628</v>
      </c>
      <c r="E302" t="s">
        <v>2078</v>
      </c>
      <c r="F302" t="s">
        <v>2249</v>
      </c>
      <c r="G302" t="s">
        <v>2250</v>
      </c>
      <c r="K302" t="s">
        <v>2531</v>
      </c>
      <c r="L302" t="s">
        <v>2532</v>
      </c>
      <c r="M302" t="s">
        <v>1634</v>
      </c>
    </row>
    <row r="303" spans="1:13" x14ac:dyDescent="0.25">
      <c r="A303">
        <v>4190</v>
      </c>
      <c r="B303" t="s">
        <v>2529</v>
      </c>
      <c r="C303" t="s">
        <v>2530</v>
      </c>
      <c r="D303" t="s">
        <v>1628</v>
      </c>
      <c r="E303" t="s">
        <v>2078</v>
      </c>
      <c r="F303" t="s">
        <v>2066</v>
      </c>
      <c r="G303" t="s">
        <v>2533</v>
      </c>
      <c r="H303">
        <v>5206423492</v>
      </c>
      <c r="I303">
        <v>222</v>
      </c>
      <c r="K303" t="s">
        <v>2534</v>
      </c>
      <c r="L303" t="s">
        <v>2535</v>
      </c>
      <c r="M303" t="s">
        <v>1634</v>
      </c>
    </row>
    <row r="304" spans="1:13" x14ac:dyDescent="0.25">
      <c r="A304">
        <v>4190</v>
      </c>
      <c r="B304" t="s">
        <v>2529</v>
      </c>
      <c r="C304" t="s">
        <v>2530</v>
      </c>
      <c r="D304" t="s">
        <v>1628</v>
      </c>
      <c r="E304" t="s">
        <v>2078</v>
      </c>
      <c r="F304" t="s">
        <v>2536</v>
      </c>
      <c r="G304" t="s">
        <v>2537</v>
      </c>
      <c r="H304">
        <v>5206423492</v>
      </c>
      <c r="K304" t="s">
        <v>2538</v>
      </c>
      <c r="M304" t="s">
        <v>1634</v>
      </c>
    </row>
    <row r="305" spans="1:13" x14ac:dyDescent="0.25">
      <c r="A305">
        <v>4190</v>
      </c>
      <c r="B305" t="s">
        <v>2529</v>
      </c>
      <c r="C305" t="s">
        <v>2530</v>
      </c>
      <c r="D305" t="s">
        <v>1628</v>
      </c>
      <c r="E305" t="s">
        <v>2078</v>
      </c>
      <c r="F305" t="s">
        <v>2539</v>
      </c>
      <c r="G305" t="s">
        <v>2540</v>
      </c>
      <c r="H305">
        <v>5206423492</v>
      </c>
      <c r="I305">
        <v>224</v>
      </c>
      <c r="K305" t="s">
        <v>2541</v>
      </c>
      <c r="L305" t="s">
        <v>1640</v>
      </c>
      <c r="M305" t="s">
        <v>1640</v>
      </c>
    </row>
    <row r="306" spans="1:13" x14ac:dyDescent="0.25">
      <c r="A306">
        <v>4190</v>
      </c>
      <c r="B306" t="s">
        <v>2529</v>
      </c>
      <c r="C306" t="s">
        <v>2530</v>
      </c>
      <c r="D306" t="s">
        <v>1628</v>
      </c>
      <c r="E306" t="s">
        <v>2078</v>
      </c>
      <c r="F306" t="s">
        <v>2066</v>
      </c>
      <c r="G306" t="s">
        <v>2533</v>
      </c>
      <c r="H306">
        <v>5206423492</v>
      </c>
      <c r="I306">
        <v>222</v>
      </c>
      <c r="K306" t="s">
        <v>2534</v>
      </c>
      <c r="L306" t="s">
        <v>2535</v>
      </c>
      <c r="M306" t="s">
        <v>1640</v>
      </c>
    </row>
    <row r="307" spans="1:13" x14ac:dyDescent="0.25">
      <c r="A307">
        <v>4190</v>
      </c>
      <c r="B307" t="s">
        <v>2529</v>
      </c>
      <c r="C307" t="s">
        <v>2530</v>
      </c>
      <c r="D307" t="s">
        <v>1628</v>
      </c>
      <c r="E307" t="s">
        <v>2078</v>
      </c>
      <c r="F307" t="s">
        <v>2536</v>
      </c>
      <c r="G307" t="s">
        <v>2537</v>
      </c>
      <c r="H307">
        <v>5206423492</v>
      </c>
      <c r="K307" t="s">
        <v>2538</v>
      </c>
      <c r="M307" t="s">
        <v>1640</v>
      </c>
    </row>
    <row r="308" spans="1:13" x14ac:dyDescent="0.25">
      <c r="A308">
        <v>4190</v>
      </c>
      <c r="B308" t="s">
        <v>2529</v>
      </c>
      <c r="C308" t="s">
        <v>2530</v>
      </c>
      <c r="D308" t="s">
        <v>1628</v>
      </c>
      <c r="E308" t="s">
        <v>2078</v>
      </c>
      <c r="F308" t="s">
        <v>1726</v>
      </c>
      <c r="G308" t="s">
        <v>2515</v>
      </c>
      <c r="H308">
        <v>5208263328</v>
      </c>
      <c r="K308" t="s">
        <v>2516</v>
      </c>
      <c r="M308" t="s">
        <v>1640</v>
      </c>
    </row>
    <row r="309" spans="1:13" x14ac:dyDescent="0.25">
      <c r="A309">
        <v>4800</v>
      </c>
      <c r="B309" t="s">
        <v>2542</v>
      </c>
      <c r="C309" t="s">
        <v>2543</v>
      </c>
      <c r="D309" t="s">
        <v>1643</v>
      </c>
      <c r="E309" t="s">
        <v>2078</v>
      </c>
    </row>
    <row r="310" spans="1:13" x14ac:dyDescent="0.25">
      <c r="A310">
        <v>79403</v>
      </c>
      <c r="B310" t="s">
        <v>2544</v>
      </c>
      <c r="C310" t="s">
        <v>2545</v>
      </c>
      <c r="D310" t="s">
        <v>1628</v>
      </c>
      <c r="E310" t="s">
        <v>2078</v>
      </c>
      <c r="F310" t="s">
        <v>2546</v>
      </c>
      <c r="G310" t="s">
        <v>2547</v>
      </c>
      <c r="J310">
        <v>8779825833</v>
      </c>
      <c r="K310" t="s">
        <v>2548</v>
      </c>
      <c r="L310" t="s">
        <v>1668</v>
      </c>
      <c r="M310" t="s">
        <v>1634</v>
      </c>
    </row>
    <row r="311" spans="1:13" x14ac:dyDescent="0.25">
      <c r="A311">
        <v>79403</v>
      </c>
      <c r="B311" t="s">
        <v>2544</v>
      </c>
      <c r="C311" t="s">
        <v>2545</v>
      </c>
      <c r="D311" t="s">
        <v>1628</v>
      </c>
      <c r="E311" t="s">
        <v>2078</v>
      </c>
      <c r="F311" t="s">
        <v>2549</v>
      </c>
      <c r="G311" t="s">
        <v>2550</v>
      </c>
      <c r="H311">
        <v>5206423526</v>
      </c>
      <c r="K311" t="s">
        <v>2551</v>
      </c>
      <c r="L311" t="s">
        <v>1640</v>
      </c>
      <c r="M311" t="s">
        <v>1640</v>
      </c>
    </row>
    <row r="312" spans="1:13" x14ac:dyDescent="0.25">
      <c r="A312">
        <v>79404</v>
      </c>
      <c r="B312" t="s">
        <v>2552</v>
      </c>
      <c r="C312" t="s">
        <v>2553</v>
      </c>
      <c r="D312" t="s">
        <v>1643</v>
      </c>
      <c r="E312" t="s">
        <v>2078</v>
      </c>
    </row>
    <row r="313" spans="1:13" x14ac:dyDescent="0.25">
      <c r="A313">
        <v>79675</v>
      </c>
      <c r="B313" t="s">
        <v>2554</v>
      </c>
      <c r="C313" t="s">
        <v>2555</v>
      </c>
      <c r="D313" t="s">
        <v>1643</v>
      </c>
      <c r="E313" t="s">
        <v>2078</v>
      </c>
      <c r="F313" t="s">
        <v>2556</v>
      </c>
      <c r="G313" t="s">
        <v>2557</v>
      </c>
      <c r="H313">
        <v>5206421463</v>
      </c>
      <c r="J313">
        <v>5206421464</v>
      </c>
      <c r="K313" t="s">
        <v>2558</v>
      </c>
      <c r="L313" t="s">
        <v>1668</v>
      </c>
      <c r="M313" t="s">
        <v>1634</v>
      </c>
    </row>
    <row r="314" spans="1:13" x14ac:dyDescent="0.25">
      <c r="A314">
        <v>79676</v>
      </c>
      <c r="B314" t="s">
        <v>2559</v>
      </c>
      <c r="C314" t="s">
        <v>2560</v>
      </c>
      <c r="D314" t="s">
        <v>1643</v>
      </c>
      <c r="E314" t="s">
        <v>2078</v>
      </c>
      <c r="F314" t="s">
        <v>2556</v>
      </c>
      <c r="G314" t="s">
        <v>2557</v>
      </c>
      <c r="H314">
        <v>5206421463</v>
      </c>
      <c r="J314">
        <v>5206421464</v>
      </c>
      <c r="K314" t="s">
        <v>2558</v>
      </c>
      <c r="L314" t="s">
        <v>1668</v>
      </c>
      <c r="M314" t="s">
        <v>1634</v>
      </c>
    </row>
    <row r="315" spans="1:13" x14ac:dyDescent="0.25">
      <c r="A315">
        <v>79679</v>
      </c>
      <c r="B315" t="s">
        <v>2561</v>
      </c>
      <c r="C315" t="s">
        <v>2562</v>
      </c>
      <c r="D315" t="s">
        <v>1643</v>
      </c>
      <c r="E315" t="s">
        <v>2078</v>
      </c>
      <c r="F315" t="s">
        <v>2556</v>
      </c>
      <c r="G315" t="s">
        <v>2557</v>
      </c>
      <c r="H315">
        <v>5206421463</v>
      </c>
      <c r="J315">
        <v>5206421464</v>
      </c>
      <c r="K315" t="s">
        <v>2558</v>
      </c>
      <c r="L315" t="s">
        <v>1668</v>
      </c>
      <c r="M315" t="s">
        <v>1634</v>
      </c>
    </row>
    <row r="316" spans="1:13" x14ac:dyDescent="0.25">
      <c r="A316">
        <v>79679</v>
      </c>
      <c r="B316" t="s">
        <v>2561</v>
      </c>
      <c r="C316" t="s">
        <v>2562</v>
      </c>
      <c r="D316" t="s">
        <v>1643</v>
      </c>
      <c r="E316" t="s">
        <v>2078</v>
      </c>
      <c r="F316" t="s">
        <v>1820</v>
      </c>
      <c r="G316" t="s">
        <v>2112</v>
      </c>
      <c r="H316">
        <v>5204572215</v>
      </c>
      <c r="J316">
        <v>5204573643</v>
      </c>
      <c r="K316" t="s">
        <v>2140</v>
      </c>
      <c r="L316" t="s">
        <v>1647</v>
      </c>
      <c r="M316" t="s">
        <v>1634</v>
      </c>
    </row>
    <row r="317" spans="1:13" x14ac:dyDescent="0.25">
      <c r="A317">
        <v>79677</v>
      </c>
      <c r="B317" t="s">
        <v>2563</v>
      </c>
      <c r="C317" t="s">
        <v>2564</v>
      </c>
      <c r="D317" t="s">
        <v>1643</v>
      </c>
      <c r="E317" t="s">
        <v>2078</v>
      </c>
      <c r="F317" t="s">
        <v>2556</v>
      </c>
      <c r="G317" t="s">
        <v>2557</v>
      </c>
      <c r="H317">
        <v>5206421463</v>
      </c>
      <c r="J317">
        <v>5206421464</v>
      </c>
      <c r="K317" t="s">
        <v>2558</v>
      </c>
      <c r="L317" t="s">
        <v>1668</v>
      </c>
      <c r="M317" t="s">
        <v>1634</v>
      </c>
    </row>
    <row r="318" spans="1:13" x14ac:dyDescent="0.25">
      <c r="A318">
        <v>79678</v>
      </c>
      <c r="B318" t="s">
        <v>2565</v>
      </c>
      <c r="C318" t="s">
        <v>2566</v>
      </c>
      <c r="D318" t="s">
        <v>1643</v>
      </c>
      <c r="E318" t="s">
        <v>2078</v>
      </c>
      <c r="F318" t="s">
        <v>2556</v>
      </c>
      <c r="G318" t="s">
        <v>2557</v>
      </c>
      <c r="H318">
        <v>5206421463</v>
      </c>
      <c r="J318">
        <v>5206421464</v>
      </c>
      <c r="K318" t="s">
        <v>2558</v>
      </c>
      <c r="L318" t="s">
        <v>2567</v>
      </c>
      <c r="M318" t="s">
        <v>1634</v>
      </c>
    </row>
    <row r="319" spans="1:13" x14ac:dyDescent="0.25">
      <c r="A319">
        <v>79684</v>
      </c>
      <c r="B319" t="s">
        <v>2568</v>
      </c>
      <c r="C319" t="s">
        <v>2569</v>
      </c>
      <c r="D319" t="s">
        <v>1643</v>
      </c>
      <c r="E319" t="s">
        <v>2078</v>
      </c>
      <c r="F319" t="s">
        <v>2570</v>
      </c>
      <c r="G319" t="s">
        <v>2571</v>
      </c>
      <c r="H319">
        <v>5208472545</v>
      </c>
      <c r="J319">
        <v>5208472546</v>
      </c>
      <c r="K319" t="s">
        <v>2572</v>
      </c>
      <c r="L319" t="s">
        <v>1647</v>
      </c>
      <c r="M319" t="s">
        <v>1634</v>
      </c>
    </row>
    <row r="320" spans="1:13" x14ac:dyDescent="0.25">
      <c r="A320">
        <v>79680</v>
      </c>
      <c r="B320" t="s">
        <v>2573</v>
      </c>
      <c r="C320" t="s">
        <v>2574</v>
      </c>
      <c r="D320" t="s">
        <v>1643</v>
      </c>
      <c r="E320" t="s">
        <v>2078</v>
      </c>
      <c r="F320" t="s">
        <v>2556</v>
      </c>
      <c r="G320" t="s">
        <v>2557</v>
      </c>
      <c r="H320">
        <v>5206421463</v>
      </c>
      <c r="J320">
        <v>5206421464</v>
      </c>
      <c r="K320" t="s">
        <v>2558</v>
      </c>
      <c r="L320" t="s">
        <v>1668</v>
      </c>
      <c r="M320" t="s">
        <v>1634</v>
      </c>
    </row>
    <row r="321" spans="1:13" x14ac:dyDescent="0.25">
      <c r="A321">
        <v>85830</v>
      </c>
      <c r="B321" t="s">
        <v>2575</v>
      </c>
      <c r="C321" t="s">
        <v>2576</v>
      </c>
      <c r="D321" t="s">
        <v>1643</v>
      </c>
      <c r="E321" t="s">
        <v>2078</v>
      </c>
      <c r="F321" t="s">
        <v>2577</v>
      </c>
      <c r="G321" t="s">
        <v>2557</v>
      </c>
      <c r="H321">
        <v>5206421463</v>
      </c>
      <c r="J321">
        <v>5206421464</v>
      </c>
      <c r="K321" t="s">
        <v>2558</v>
      </c>
      <c r="L321" t="s">
        <v>1668</v>
      </c>
      <c r="M321" t="s">
        <v>1634</v>
      </c>
    </row>
    <row r="322" spans="1:13" x14ac:dyDescent="0.25">
      <c r="A322">
        <v>92299</v>
      </c>
      <c r="B322" t="s">
        <v>2578</v>
      </c>
      <c r="C322" t="s">
        <v>2579</v>
      </c>
      <c r="D322" t="s">
        <v>1643</v>
      </c>
      <c r="E322" t="s">
        <v>2078</v>
      </c>
      <c r="F322" t="s">
        <v>2580</v>
      </c>
      <c r="G322" t="s">
        <v>2581</v>
      </c>
      <c r="H322">
        <v>5205152809</v>
      </c>
      <c r="K322" t="s">
        <v>2582</v>
      </c>
      <c r="L322" t="s">
        <v>1738</v>
      </c>
      <c r="M322" t="s">
        <v>1634</v>
      </c>
    </row>
    <row r="323" spans="1:13" x14ac:dyDescent="0.25">
      <c r="A323">
        <v>92299</v>
      </c>
      <c r="B323" t="s">
        <v>2578</v>
      </c>
      <c r="C323" t="s">
        <v>2579</v>
      </c>
      <c r="D323" t="s">
        <v>1643</v>
      </c>
      <c r="E323" t="s">
        <v>2078</v>
      </c>
      <c r="F323" t="s">
        <v>2546</v>
      </c>
      <c r="G323" t="s">
        <v>2547</v>
      </c>
      <c r="H323">
        <v>5207661999</v>
      </c>
      <c r="K323" t="s">
        <v>2583</v>
      </c>
      <c r="L323" t="s">
        <v>2584</v>
      </c>
      <c r="M323" t="s">
        <v>1634</v>
      </c>
    </row>
    <row r="324" spans="1:13" x14ac:dyDescent="0.25">
      <c r="A324">
        <v>92300</v>
      </c>
      <c r="B324" t="s">
        <v>2585</v>
      </c>
      <c r="C324" t="s">
        <v>2586</v>
      </c>
      <c r="D324" t="s">
        <v>1643</v>
      </c>
      <c r="E324" t="s">
        <v>2078</v>
      </c>
      <c r="F324" t="s">
        <v>2587</v>
      </c>
      <c r="G324" t="s">
        <v>2588</v>
      </c>
      <c r="H324">
        <v>5204325714</v>
      </c>
      <c r="K324" t="s">
        <v>2589</v>
      </c>
      <c r="L324" t="s">
        <v>1647</v>
      </c>
      <c r="M324" t="s">
        <v>1634</v>
      </c>
    </row>
    <row r="325" spans="1:13" x14ac:dyDescent="0.25">
      <c r="A325">
        <v>92300</v>
      </c>
      <c r="B325" t="s">
        <v>2585</v>
      </c>
      <c r="C325" t="s">
        <v>2586</v>
      </c>
      <c r="D325" t="s">
        <v>1643</v>
      </c>
      <c r="E325" t="s">
        <v>2078</v>
      </c>
      <c r="F325" t="s">
        <v>2546</v>
      </c>
      <c r="G325" t="s">
        <v>2547</v>
      </c>
      <c r="H325">
        <v>5207661999</v>
      </c>
      <c r="K325" t="s">
        <v>2583</v>
      </c>
      <c r="L325" t="s">
        <v>2584</v>
      </c>
      <c r="M325" t="s">
        <v>1634</v>
      </c>
    </row>
    <row r="326" spans="1:13" x14ac:dyDescent="0.25">
      <c r="A326">
        <v>1000115</v>
      </c>
      <c r="B326" t="s">
        <v>2590</v>
      </c>
      <c r="C326" t="s">
        <v>2591</v>
      </c>
      <c r="D326" t="s">
        <v>1643</v>
      </c>
      <c r="E326" t="s">
        <v>2078</v>
      </c>
    </row>
    <row r="327" spans="1:13" x14ac:dyDescent="0.25">
      <c r="A327">
        <v>1000335</v>
      </c>
      <c r="B327" t="s">
        <v>2592</v>
      </c>
      <c r="C327" t="s">
        <v>2593</v>
      </c>
      <c r="D327" t="s">
        <v>1643</v>
      </c>
      <c r="E327" t="s">
        <v>2078</v>
      </c>
    </row>
    <row r="328" spans="1:13" x14ac:dyDescent="0.25">
      <c r="A328">
        <v>81027</v>
      </c>
      <c r="B328" t="s">
        <v>2594</v>
      </c>
      <c r="C328" t="s">
        <v>2595</v>
      </c>
      <c r="D328" t="s">
        <v>2596</v>
      </c>
      <c r="E328" t="s">
        <v>2078</v>
      </c>
      <c r="F328" t="s">
        <v>1723</v>
      </c>
      <c r="G328" t="s">
        <v>2597</v>
      </c>
      <c r="H328">
        <v>5202347950</v>
      </c>
      <c r="K328" t="s">
        <v>2598</v>
      </c>
      <c r="L328" t="s">
        <v>2599</v>
      </c>
      <c r="M328" t="s">
        <v>1634</v>
      </c>
    </row>
    <row r="329" spans="1:13" x14ac:dyDescent="0.25">
      <c r="A329">
        <v>81027</v>
      </c>
      <c r="B329" t="s">
        <v>2594</v>
      </c>
      <c r="C329" t="s">
        <v>2595</v>
      </c>
      <c r="D329" t="s">
        <v>2596</v>
      </c>
      <c r="E329" t="s">
        <v>2078</v>
      </c>
      <c r="F329" t="s">
        <v>2549</v>
      </c>
      <c r="G329" t="s">
        <v>2600</v>
      </c>
      <c r="H329" t="s">
        <v>2601</v>
      </c>
      <c r="K329" t="s">
        <v>2602</v>
      </c>
      <c r="L329" t="s">
        <v>1647</v>
      </c>
      <c r="M329" t="s">
        <v>1634</v>
      </c>
    </row>
    <row r="330" spans="1:13" x14ac:dyDescent="0.25">
      <c r="A330">
        <v>81027</v>
      </c>
      <c r="B330" t="s">
        <v>2594</v>
      </c>
      <c r="C330" t="s">
        <v>2595</v>
      </c>
      <c r="D330" t="s">
        <v>2596</v>
      </c>
      <c r="E330" t="s">
        <v>2078</v>
      </c>
      <c r="F330" t="s">
        <v>1723</v>
      </c>
      <c r="G330" t="s">
        <v>2597</v>
      </c>
      <c r="H330">
        <v>5202347950</v>
      </c>
      <c r="K330" t="s">
        <v>2598</v>
      </c>
      <c r="L330" t="s">
        <v>2599</v>
      </c>
      <c r="M330" t="s">
        <v>1640</v>
      </c>
    </row>
    <row r="331" spans="1:13" x14ac:dyDescent="0.25">
      <c r="A331">
        <v>81027</v>
      </c>
      <c r="B331" t="s">
        <v>2594</v>
      </c>
      <c r="C331" t="s">
        <v>2595</v>
      </c>
      <c r="D331" t="s">
        <v>2596</v>
      </c>
      <c r="E331" t="s">
        <v>2078</v>
      </c>
      <c r="F331" t="s">
        <v>2549</v>
      </c>
      <c r="G331" t="s">
        <v>2600</v>
      </c>
      <c r="H331" t="s">
        <v>2601</v>
      </c>
      <c r="K331" t="s">
        <v>2602</v>
      </c>
      <c r="L331" t="s">
        <v>1647</v>
      </c>
      <c r="M331" t="s">
        <v>1765</v>
      </c>
    </row>
    <row r="332" spans="1:13" x14ac:dyDescent="0.25">
      <c r="A332">
        <v>81028</v>
      </c>
      <c r="B332" t="s">
        <v>2603</v>
      </c>
      <c r="C332" t="s">
        <v>2604</v>
      </c>
      <c r="D332" t="s">
        <v>2605</v>
      </c>
      <c r="E332" t="s">
        <v>2078</v>
      </c>
    </row>
    <row r="333" spans="1:13" x14ac:dyDescent="0.25">
      <c r="A333">
        <v>4191</v>
      </c>
      <c r="B333" t="s">
        <v>1295</v>
      </c>
      <c r="C333" t="s">
        <v>2606</v>
      </c>
      <c r="D333" t="s">
        <v>2596</v>
      </c>
      <c r="E333" t="s">
        <v>2078</v>
      </c>
      <c r="F333" t="s">
        <v>2607</v>
      </c>
      <c r="G333" t="s">
        <v>2608</v>
      </c>
      <c r="H333">
        <v>5204393519</v>
      </c>
      <c r="J333">
        <v>5204581409</v>
      </c>
      <c r="K333" t="s">
        <v>2609</v>
      </c>
      <c r="L333" t="s">
        <v>2584</v>
      </c>
      <c r="M333" t="s">
        <v>1634</v>
      </c>
    </row>
    <row r="334" spans="1:13" x14ac:dyDescent="0.25">
      <c r="A334">
        <v>4191</v>
      </c>
      <c r="B334" t="s">
        <v>1295</v>
      </c>
      <c r="C334" t="s">
        <v>2606</v>
      </c>
      <c r="D334" t="s">
        <v>2596</v>
      </c>
      <c r="E334" t="s">
        <v>2078</v>
      </c>
      <c r="F334" t="s">
        <v>2610</v>
      </c>
      <c r="G334" t="s">
        <v>2611</v>
      </c>
      <c r="H334">
        <v>5204393512</v>
      </c>
      <c r="J334">
        <v>5204582547</v>
      </c>
      <c r="K334" t="s">
        <v>2612</v>
      </c>
      <c r="L334" t="s">
        <v>2613</v>
      </c>
      <c r="M334" t="s">
        <v>1634</v>
      </c>
    </row>
    <row r="335" spans="1:13" x14ac:dyDescent="0.25">
      <c r="A335">
        <v>4191</v>
      </c>
      <c r="B335" t="s">
        <v>1295</v>
      </c>
      <c r="C335" t="s">
        <v>2606</v>
      </c>
      <c r="D335" t="s">
        <v>2596</v>
      </c>
      <c r="E335" t="s">
        <v>2078</v>
      </c>
      <c r="F335" t="s">
        <v>2376</v>
      </c>
      <c r="G335" t="s">
        <v>2614</v>
      </c>
      <c r="K335" t="s">
        <v>2615</v>
      </c>
      <c r="L335" t="s">
        <v>2616</v>
      </c>
      <c r="M335" t="s">
        <v>1640</v>
      </c>
    </row>
    <row r="336" spans="1:13" x14ac:dyDescent="0.25">
      <c r="A336">
        <v>4191</v>
      </c>
      <c r="B336" t="s">
        <v>1295</v>
      </c>
      <c r="C336" t="s">
        <v>2606</v>
      </c>
      <c r="D336" t="s">
        <v>2596</v>
      </c>
      <c r="E336" t="s">
        <v>2078</v>
      </c>
      <c r="F336" t="s">
        <v>2610</v>
      </c>
      <c r="G336" t="s">
        <v>2611</v>
      </c>
      <c r="H336">
        <v>5204393512</v>
      </c>
      <c r="J336">
        <v>5204582547</v>
      </c>
      <c r="K336" t="s">
        <v>2612</v>
      </c>
      <c r="L336" t="s">
        <v>2613</v>
      </c>
      <c r="M336" t="s">
        <v>1765</v>
      </c>
    </row>
    <row r="337" spans="1:13" x14ac:dyDescent="0.25">
      <c r="A337">
        <v>4801</v>
      </c>
      <c r="B337" t="s">
        <v>2617</v>
      </c>
      <c r="C337" t="s">
        <v>2618</v>
      </c>
      <c r="D337" t="s">
        <v>2605</v>
      </c>
      <c r="E337" t="s">
        <v>2078</v>
      </c>
      <c r="F337" t="s">
        <v>1955</v>
      </c>
      <c r="G337" t="s">
        <v>2614</v>
      </c>
      <c r="H337">
        <v>5204393515</v>
      </c>
      <c r="J337">
        <v>5204586396</v>
      </c>
      <c r="K337" t="s">
        <v>2619</v>
      </c>
      <c r="L337" t="s">
        <v>1647</v>
      </c>
      <c r="M337" t="s">
        <v>1634</v>
      </c>
    </row>
    <row r="338" spans="1:13" x14ac:dyDescent="0.25">
      <c r="A338">
        <v>4802</v>
      </c>
      <c r="B338" t="s">
        <v>1554</v>
      </c>
      <c r="C338" t="s">
        <v>2620</v>
      </c>
      <c r="D338" t="s">
        <v>2605</v>
      </c>
      <c r="E338" t="s">
        <v>2078</v>
      </c>
      <c r="F338" t="s">
        <v>2607</v>
      </c>
      <c r="G338" t="s">
        <v>2608</v>
      </c>
      <c r="K338" t="s">
        <v>2609</v>
      </c>
      <c r="L338" t="s">
        <v>2621</v>
      </c>
      <c r="M338" t="s">
        <v>1634</v>
      </c>
    </row>
    <row r="339" spans="1:13" x14ac:dyDescent="0.25">
      <c r="A339">
        <v>4802</v>
      </c>
      <c r="B339" t="s">
        <v>1554</v>
      </c>
      <c r="C339" t="s">
        <v>2620</v>
      </c>
      <c r="D339" t="s">
        <v>2605</v>
      </c>
      <c r="E339" t="s">
        <v>2078</v>
      </c>
      <c r="F339" t="s">
        <v>1955</v>
      </c>
      <c r="G339" t="s">
        <v>2614</v>
      </c>
      <c r="H339">
        <v>5204393503</v>
      </c>
      <c r="J339">
        <v>5208050973</v>
      </c>
      <c r="K339" t="s">
        <v>2619</v>
      </c>
      <c r="L339" t="s">
        <v>1647</v>
      </c>
      <c r="M339" t="s">
        <v>1634</v>
      </c>
    </row>
    <row r="340" spans="1:13" x14ac:dyDescent="0.25">
      <c r="A340">
        <v>79039</v>
      </c>
      <c r="B340" t="s">
        <v>2622</v>
      </c>
      <c r="C340" t="s">
        <v>2623</v>
      </c>
      <c r="D340" t="s">
        <v>2605</v>
      </c>
      <c r="E340" t="s">
        <v>2078</v>
      </c>
      <c r="F340" t="s">
        <v>1955</v>
      </c>
      <c r="G340" t="s">
        <v>2614</v>
      </c>
      <c r="H340">
        <v>5208051558</v>
      </c>
      <c r="J340">
        <v>5208051549</v>
      </c>
      <c r="K340" t="s">
        <v>2619</v>
      </c>
      <c r="M340" t="s">
        <v>1634</v>
      </c>
    </row>
    <row r="341" spans="1:13" x14ac:dyDescent="0.25">
      <c r="A341">
        <v>79039</v>
      </c>
      <c r="B341" t="s">
        <v>2622</v>
      </c>
      <c r="C341" t="s">
        <v>2623</v>
      </c>
      <c r="D341" t="s">
        <v>2605</v>
      </c>
      <c r="E341" t="s">
        <v>2078</v>
      </c>
      <c r="F341" t="s">
        <v>2607</v>
      </c>
      <c r="G341" t="s">
        <v>2608</v>
      </c>
      <c r="K341" t="s">
        <v>2609</v>
      </c>
      <c r="M341" t="s">
        <v>1634</v>
      </c>
    </row>
    <row r="342" spans="1:13" x14ac:dyDescent="0.25">
      <c r="A342">
        <v>79039</v>
      </c>
      <c r="B342" t="s">
        <v>2622</v>
      </c>
      <c r="C342" t="s">
        <v>2623</v>
      </c>
      <c r="D342" t="s">
        <v>2605</v>
      </c>
      <c r="E342" t="s">
        <v>2078</v>
      </c>
      <c r="F342" t="s">
        <v>2624</v>
      </c>
      <c r="G342" t="s">
        <v>2625</v>
      </c>
      <c r="H342">
        <v>5204393588</v>
      </c>
      <c r="K342" t="s">
        <v>2626</v>
      </c>
      <c r="L342" t="s">
        <v>1647</v>
      </c>
      <c r="M342" t="s">
        <v>1634</v>
      </c>
    </row>
    <row r="343" spans="1:13" x14ac:dyDescent="0.25">
      <c r="A343">
        <v>85876</v>
      </c>
      <c r="B343" t="s">
        <v>1296</v>
      </c>
      <c r="C343" t="s">
        <v>2627</v>
      </c>
      <c r="D343" t="s">
        <v>2605</v>
      </c>
      <c r="E343" t="s">
        <v>2078</v>
      </c>
      <c r="F343" t="s">
        <v>2607</v>
      </c>
      <c r="G343" t="s">
        <v>2608</v>
      </c>
      <c r="K343" t="s">
        <v>2609</v>
      </c>
      <c r="M343" t="s">
        <v>1634</v>
      </c>
    </row>
    <row r="344" spans="1:13" x14ac:dyDescent="0.25">
      <c r="A344">
        <v>85876</v>
      </c>
      <c r="B344" t="s">
        <v>1296</v>
      </c>
      <c r="C344" t="s">
        <v>2627</v>
      </c>
      <c r="D344" t="s">
        <v>2605</v>
      </c>
      <c r="E344" t="s">
        <v>2078</v>
      </c>
      <c r="F344" t="s">
        <v>2624</v>
      </c>
      <c r="G344" t="s">
        <v>2625</v>
      </c>
      <c r="H344">
        <v>5204393588</v>
      </c>
      <c r="K344" t="s">
        <v>2626</v>
      </c>
      <c r="L344" t="s">
        <v>1647</v>
      </c>
      <c r="M344" t="s">
        <v>1634</v>
      </c>
    </row>
    <row r="345" spans="1:13" x14ac:dyDescent="0.25">
      <c r="A345">
        <v>85877</v>
      </c>
      <c r="B345" t="s">
        <v>2628</v>
      </c>
      <c r="C345" t="s">
        <v>2629</v>
      </c>
      <c r="D345" t="s">
        <v>2605</v>
      </c>
      <c r="E345" t="s">
        <v>2078</v>
      </c>
      <c r="F345" t="s">
        <v>2610</v>
      </c>
      <c r="G345" t="s">
        <v>2611</v>
      </c>
      <c r="H345">
        <v>5204597259</v>
      </c>
      <c r="J345">
        <v>5204597243</v>
      </c>
      <c r="K345" t="s">
        <v>2612</v>
      </c>
      <c r="M345" t="s">
        <v>1634</v>
      </c>
    </row>
    <row r="346" spans="1:13" x14ac:dyDescent="0.25">
      <c r="A346">
        <v>85877</v>
      </c>
      <c r="B346" t="s">
        <v>2628</v>
      </c>
      <c r="C346" t="s">
        <v>2629</v>
      </c>
      <c r="D346" t="s">
        <v>2605</v>
      </c>
      <c r="E346" t="s">
        <v>2078</v>
      </c>
      <c r="F346" t="s">
        <v>1955</v>
      </c>
      <c r="G346" t="s">
        <v>2614</v>
      </c>
      <c r="J346">
        <v>5204597243</v>
      </c>
      <c r="K346" t="s">
        <v>2619</v>
      </c>
      <c r="L346" t="s">
        <v>1647</v>
      </c>
      <c r="M346" t="s">
        <v>1634</v>
      </c>
    </row>
    <row r="347" spans="1:13" x14ac:dyDescent="0.25">
      <c r="A347">
        <v>79503</v>
      </c>
      <c r="B347" t="s">
        <v>2630</v>
      </c>
      <c r="C347" t="s">
        <v>2631</v>
      </c>
      <c r="D347" t="s">
        <v>2596</v>
      </c>
      <c r="E347" t="s">
        <v>2078</v>
      </c>
      <c r="F347" t="s">
        <v>2632</v>
      </c>
      <c r="G347" t="s">
        <v>2633</v>
      </c>
      <c r="H347">
        <v>5208051261</v>
      </c>
      <c r="I347">
        <v>203</v>
      </c>
      <c r="K347" t="s">
        <v>2634</v>
      </c>
      <c r="L347" t="s">
        <v>2635</v>
      </c>
      <c r="M347" t="s">
        <v>1634</v>
      </c>
    </row>
    <row r="348" spans="1:13" x14ac:dyDescent="0.25">
      <c r="A348">
        <v>79503</v>
      </c>
      <c r="B348" t="s">
        <v>2630</v>
      </c>
      <c r="C348" t="s">
        <v>2631</v>
      </c>
      <c r="D348" t="s">
        <v>2596</v>
      </c>
      <c r="E348" t="s">
        <v>2078</v>
      </c>
      <c r="F348" t="s">
        <v>2636</v>
      </c>
      <c r="G348" t="s">
        <v>2295</v>
      </c>
      <c r="H348">
        <v>5208051261</v>
      </c>
      <c r="I348">
        <v>211</v>
      </c>
      <c r="K348" t="s">
        <v>2637</v>
      </c>
      <c r="M348" t="s">
        <v>1634</v>
      </c>
    </row>
    <row r="349" spans="1:13" x14ac:dyDescent="0.25">
      <c r="A349">
        <v>79503</v>
      </c>
      <c r="B349" t="s">
        <v>2630</v>
      </c>
      <c r="C349" t="s">
        <v>2631</v>
      </c>
      <c r="D349" t="s">
        <v>2596</v>
      </c>
      <c r="E349" t="s">
        <v>2078</v>
      </c>
      <c r="F349" t="s">
        <v>2638</v>
      </c>
      <c r="G349" t="s">
        <v>2639</v>
      </c>
      <c r="K349" t="s">
        <v>2640</v>
      </c>
      <c r="L349" t="s">
        <v>2641</v>
      </c>
      <c r="M349" t="s">
        <v>1634</v>
      </c>
    </row>
    <row r="350" spans="1:13" x14ac:dyDescent="0.25">
      <c r="A350">
        <v>79503</v>
      </c>
      <c r="B350" t="s">
        <v>2630</v>
      </c>
      <c r="C350" t="s">
        <v>2631</v>
      </c>
      <c r="D350" t="s">
        <v>2596</v>
      </c>
      <c r="E350" t="s">
        <v>2078</v>
      </c>
      <c r="F350" t="s">
        <v>2642</v>
      </c>
      <c r="G350" t="s">
        <v>2643</v>
      </c>
      <c r="H350">
        <v>5202712793</v>
      </c>
      <c r="K350" t="s">
        <v>2644</v>
      </c>
      <c r="L350" t="s">
        <v>2645</v>
      </c>
      <c r="M350" t="s">
        <v>1634</v>
      </c>
    </row>
    <row r="351" spans="1:13" x14ac:dyDescent="0.25">
      <c r="A351">
        <v>79503</v>
      </c>
      <c r="B351" t="s">
        <v>2630</v>
      </c>
      <c r="C351" t="s">
        <v>2631</v>
      </c>
      <c r="D351" t="s">
        <v>2596</v>
      </c>
      <c r="E351" t="s">
        <v>2078</v>
      </c>
      <c r="F351" t="s">
        <v>2646</v>
      </c>
      <c r="G351" t="s">
        <v>2647</v>
      </c>
      <c r="H351">
        <v>5208051261</v>
      </c>
      <c r="K351" t="s">
        <v>2648</v>
      </c>
      <c r="L351" t="s">
        <v>2649</v>
      </c>
      <c r="M351" t="s">
        <v>1640</v>
      </c>
    </row>
    <row r="352" spans="1:13" x14ac:dyDescent="0.25">
      <c r="A352">
        <v>79505</v>
      </c>
      <c r="B352" t="s">
        <v>2650</v>
      </c>
      <c r="C352" t="s">
        <v>2651</v>
      </c>
      <c r="D352" t="s">
        <v>2605</v>
      </c>
      <c r="E352" t="s">
        <v>2078</v>
      </c>
      <c r="F352" t="s">
        <v>2632</v>
      </c>
      <c r="G352" t="s">
        <v>2633</v>
      </c>
      <c r="H352">
        <v>5208051261</v>
      </c>
      <c r="I352">
        <v>203</v>
      </c>
      <c r="J352">
        <v>5208051272</v>
      </c>
      <c r="K352" t="s">
        <v>2634</v>
      </c>
      <c r="L352" t="s">
        <v>1647</v>
      </c>
      <c r="M352" t="s">
        <v>1634</v>
      </c>
    </row>
    <row r="353" spans="1:13" x14ac:dyDescent="0.25">
      <c r="A353">
        <v>10386</v>
      </c>
      <c r="B353" t="s">
        <v>2652</v>
      </c>
      <c r="C353" t="s">
        <v>2653</v>
      </c>
      <c r="D353" t="s">
        <v>1628</v>
      </c>
      <c r="E353" t="s">
        <v>2654</v>
      </c>
      <c r="F353" t="s">
        <v>1707</v>
      </c>
      <c r="G353" t="s">
        <v>2655</v>
      </c>
      <c r="K353" t="s">
        <v>2656</v>
      </c>
      <c r="L353" t="s">
        <v>1668</v>
      </c>
      <c r="M353" t="s">
        <v>1634</v>
      </c>
    </row>
    <row r="354" spans="1:13" x14ac:dyDescent="0.25">
      <c r="A354">
        <v>10386</v>
      </c>
      <c r="B354" t="s">
        <v>2652</v>
      </c>
      <c r="C354" t="s">
        <v>2653</v>
      </c>
      <c r="D354" t="s">
        <v>1628</v>
      </c>
      <c r="E354" t="s">
        <v>2654</v>
      </c>
      <c r="F354" t="s">
        <v>2657</v>
      </c>
      <c r="G354" t="s">
        <v>2658</v>
      </c>
      <c r="H354">
        <v>9286456863</v>
      </c>
      <c r="K354" t="s">
        <v>2659</v>
      </c>
      <c r="L354" t="s">
        <v>1647</v>
      </c>
      <c r="M354" t="s">
        <v>1634</v>
      </c>
    </row>
    <row r="355" spans="1:13" x14ac:dyDescent="0.25">
      <c r="A355">
        <v>10386</v>
      </c>
      <c r="B355" t="s">
        <v>2652</v>
      </c>
      <c r="C355" t="s">
        <v>2653</v>
      </c>
      <c r="D355" t="s">
        <v>1628</v>
      </c>
      <c r="E355" t="s">
        <v>2654</v>
      </c>
      <c r="F355" t="s">
        <v>2660</v>
      </c>
      <c r="G355" t="s">
        <v>2661</v>
      </c>
      <c r="H355">
        <v>9286798071</v>
      </c>
      <c r="K355" t="s">
        <v>2662</v>
      </c>
      <c r="L355" t="s">
        <v>1647</v>
      </c>
      <c r="M355" t="s">
        <v>1634</v>
      </c>
    </row>
    <row r="356" spans="1:13" x14ac:dyDescent="0.25">
      <c r="A356">
        <v>10386</v>
      </c>
      <c r="B356" t="s">
        <v>2652</v>
      </c>
      <c r="C356" t="s">
        <v>2653</v>
      </c>
      <c r="D356" t="s">
        <v>1628</v>
      </c>
      <c r="E356" t="s">
        <v>2654</v>
      </c>
      <c r="F356" t="s">
        <v>2663</v>
      </c>
      <c r="G356" t="s">
        <v>2664</v>
      </c>
      <c r="H356">
        <v>9285272702</v>
      </c>
      <c r="K356" t="s">
        <v>2665</v>
      </c>
      <c r="L356" t="s">
        <v>1647</v>
      </c>
      <c r="M356" t="s">
        <v>1634</v>
      </c>
    </row>
    <row r="357" spans="1:13" x14ac:dyDescent="0.25">
      <c r="A357">
        <v>10386</v>
      </c>
      <c r="B357" t="s">
        <v>2652</v>
      </c>
      <c r="C357" t="s">
        <v>2653</v>
      </c>
      <c r="D357" t="s">
        <v>1628</v>
      </c>
      <c r="E357" t="s">
        <v>2654</v>
      </c>
      <c r="F357" t="s">
        <v>2351</v>
      </c>
      <c r="G357" t="s">
        <v>2666</v>
      </c>
      <c r="H357">
        <v>9286798075</v>
      </c>
      <c r="J357">
        <v>9287799923</v>
      </c>
      <c r="K357" t="s">
        <v>2667</v>
      </c>
      <c r="L357" t="s">
        <v>2668</v>
      </c>
      <c r="M357" t="s">
        <v>1640</v>
      </c>
    </row>
    <row r="358" spans="1:13" x14ac:dyDescent="0.25">
      <c r="A358">
        <v>10386</v>
      </c>
      <c r="B358" t="s">
        <v>2652</v>
      </c>
      <c r="C358" t="s">
        <v>2653</v>
      </c>
      <c r="D358" t="s">
        <v>1628</v>
      </c>
      <c r="E358" t="s">
        <v>2654</v>
      </c>
      <c r="F358" t="s">
        <v>2669</v>
      </c>
      <c r="G358" t="s">
        <v>2670</v>
      </c>
      <c r="H358">
        <v>9285272708</v>
      </c>
      <c r="K358" t="s">
        <v>2671</v>
      </c>
      <c r="L358" t="s">
        <v>1640</v>
      </c>
      <c r="M358" t="s">
        <v>1640</v>
      </c>
    </row>
    <row r="359" spans="1:13" x14ac:dyDescent="0.25">
      <c r="A359">
        <v>10386</v>
      </c>
      <c r="B359" t="s">
        <v>2652</v>
      </c>
      <c r="C359" t="s">
        <v>2653</v>
      </c>
      <c r="D359" t="s">
        <v>1628</v>
      </c>
      <c r="E359" t="s">
        <v>2654</v>
      </c>
      <c r="F359" t="s">
        <v>2672</v>
      </c>
      <c r="G359" t="s">
        <v>2673</v>
      </c>
      <c r="H359">
        <v>9285265570</v>
      </c>
      <c r="K359" t="s">
        <v>2674</v>
      </c>
      <c r="L359" t="s">
        <v>2675</v>
      </c>
      <c r="M359" t="s">
        <v>1640</v>
      </c>
    </row>
    <row r="360" spans="1:13" x14ac:dyDescent="0.25">
      <c r="A360">
        <v>10386</v>
      </c>
      <c r="B360" t="s">
        <v>2652</v>
      </c>
      <c r="C360" t="s">
        <v>2653</v>
      </c>
      <c r="D360" t="s">
        <v>1628</v>
      </c>
      <c r="E360" t="s">
        <v>2654</v>
      </c>
      <c r="F360" t="s">
        <v>2053</v>
      </c>
      <c r="G360" t="s">
        <v>2676</v>
      </c>
      <c r="H360">
        <v>9285265570</v>
      </c>
      <c r="J360">
        <v>9286798079</v>
      </c>
      <c r="K360" t="s">
        <v>2677</v>
      </c>
      <c r="M360" t="s">
        <v>1765</v>
      </c>
    </row>
    <row r="361" spans="1:13" x14ac:dyDescent="0.25">
      <c r="A361">
        <v>78915</v>
      </c>
      <c r="B361" t="s">
        <v>2678</v>
      </c>
      <c r="C361" t="s">
        <v>2679</v>
      </c>
      <c r="D361" t="s">
        <v>1643</v>
      </c>
      <c r="E361" t="s">
        <v>2654</v>
      </c>
    </row>
    <row r="362" spans="1:13" x14ac:dyDescent="0.25">
      <c r="A362">
        <v>79010</v>
      </c>
      <c r="B362" t="s">
        <v>2680</v>
      </c>
      <c r="C362" t="s">
        <v>2681</v>
      </c>
      <c r="D362" t="s">
        <v>1643</v>
      </c>
      <c r="E362" t="s">
        <v>2654</v>
      </c>
    </row>
    <row r="363" spans="1:13" x14ac:dyDescent="0.25">
      <c r="A363">
        <v>81127</v>
      </c>
      <c r="B363" t="s">
        <v>2682</v>
      </c>
      <c r="C363" t="s">
        <v>2683</v>
      </c>
      <c r="D363" t="s">
        <v>1643</v>
      </c>
      <c r="E363" t="s">
        <v>2654</v>
      </c>
      <c r="F363" t="s">
        <v>1679</v>
      </c>
      <c r="G363" t="s">
        <v>2684</v>
      </c>
      <c r="H363">
        <v>9286086021</v>
      </c>
      <c r="J363">
        <v>9286086026</v>
      </c>
      <c r="K363" t="s">
        <v>2685</v>
      </c>
      <c r="M363" t="s">
        <v>1634</v>
      </c>
    </row>
    <row r="364" spans="1:13" x14ac:dyDescent="0.25">
      <c r="A364">
        <v>81127</v>
      </c>
      <c r="B364" t="s">
        <v>2682</v>
      </c>
      <c r="C364" t="s">
        <v>2683</v>
      </c>
      <c r="D364" t="s">
        <v>1643</v>
      </c>
      <c r="E364" t="s">
        <v>2654</v>
      </c>
      <c r="F364" t="s">
        <v>2657</v>
      </c>
      <c r="G364" t="s">
        <v>2658</v>
      </c>
      <c r="H364">
        <v>9286456863</v>
      </c>
      <c r="K364" t="s">
        <v>2659</v>
      </c>
      <c r="M364" t="s">
        <v>1634</v>
      </c>
    </row>
    <row r="365" spans="1:13" x14ac:dyDescent="0.25">
      <c r="A365">
        <v>85842</v>
      </c>
      <c r="B365" t="s">
        <v>2686</v>
      </c>
      <c r="C365" t="s">
        <v>2687</v>
      </c>
      <c r="D365" t="s">
        <v>1643</v>
      </c>
      <c r="E365" t="s">
        <v>2654</v>
      </c>
      <c r="F365" t="s">
        <v>2688</v>
      </c>
      <c r="G365" t="s">
        <v>2689</v>
      </c>
      <c r="H365">
        <v>9287796880</v>
      </c>
      <c r="J365">
        <v>9287796888</v>
      </c>
      <c r="K365" t="s">
        <v>2690</v>
      </c>
      <c r="L365" t="s">
        <v>1647</v>
      </c>
      <c r="M365" t="s">
        <v>1634</v>
      </c>
    </row>
    <row r="366" spans="1:13" x14ac:dyDescent="0.25">
      <c r="A366">
        <v>1001242</v>
      </c>
      <c r="B366" t="s">
        <v>2691</v>
      </c>
      <c r="C366" t="s">
        <v>2692</v>
      </c>
      <c r="D366" t="s">
        <v>1643</v>
      </c>
      <c r="E366" t="s">
        <v>2654</v>
      </c>
    </row>
    <row r="367" spans="1:13" x14ac:dyDescent="0.25">
      <c r="A367">
        <v>4192</v>
      </c>
      <c r="B367" t="s">
        <v>311</v>
      </c>
      <c r="C367" t="s">
        <v>2693</v>
      </c>
      <c r="D367" t="s">
        <v>1628</v>
      </c>
      <c r="E367" t="s">
        <v>2654</v>
      </c>
      <c r="F367" t="s">
        <v>1658</v>
      </c>
      <c r="G367" t="s">
        <v>2694</v>
      </c>
      <c r="K367" t="s">
        <v>2695</v>
      </c>
      <c r="L367" t="s">
        <v>2696</v>
      </c>
      <c r="M367" t="s">
        <v>1634</v>
      </c>
    </row>
    <row r="368" spans="1:13" x14ac:dyDescent="0.25">
      <c r="A368">
        <v>4192</v>
      </c>
      <c r="B368" t="s">
        <v>311</v>
      </c>
      <c r="C368" t="s">
        <v>2693</v>
      </c>
      <c r="D368" t="s">
        <v>1628</v>
      </c>
      <c r="E368" t="s">
        <v>2654</v>
      </c>
      <c r="F368" t="s">
        <v>2089</v>
      </c>
      <c r="G368" t="s">
        <v>2506</v>
      </c>
      <c r="H368">
        <v>9285276152</v>
      </c>
      <c r="K368" t="s">
        <v>2697</v>
      </c>
      <c r="L368" t="s">
        <v>2698</v>
      </c>
      <c r="M368" t="s">
        <v>1634</v>
      </c>
    </row>
    <row r="369" spans="1:13" x14ac:dyDescent="0.25">
      <c r="A369">
        <v>4192</v>
      </c>
      <c r="B369" t="s">
        <v>311</v>
      </c>
      <c r="C369" t="s">
        <v>2693</v>
      </c>
      <c r="D369" t="s">
        <v>1628</v>
      </c>
      <c r="E369" t="s">
        <v>2654</v>
      </c>
      <c r="F369" t="s">
        <v>2699</v>
      </c>
      <c r="G369" t="s">
        <v>1853</v>
      </c>
      <c r="J369">
        <v>9285276190</v>
      </c>
      <c r="K369" t="s">
        <v>2700</v>
      </c>
      <c r="L369" t="s">
        <v>2698</v>
      </c>
      <c r="M369" t="s">
        <v>1634</v>
      </c>
    </row>
    <row r="370" spans="1:13" x14ac:dyDescent="0.25">
      <c r="A370">
        <v>4192</v>
      </c>
      <c r="B370" t="s">
        <v>311</v>
      </c>
      <c r="C370" t="s">
        <v>2693</v>
      </c>
      <c r="D370" t="s">
        <v>1628</v>
      </c>
      <c r="E370" t="s">
        <v>2654</v>
      </c>
      <c r="F370" t="s">
        <v>1707</v>
      </c>
      <c r="G370" t="s">
        <v>2701</v>
      </c>
      <c r="H370">
        <v>9285276117</v>
      </c>
      <c r="K370" t="s">
        <v>2702</v>
      </c>
      <c r="L370" t="s">
        <v>2703</v>
      </c>
      <c r="M370" t="s">
        <v>1634</v>
      </c>
    </row>
    <row r="371" spans="1:13" x14ac:dyDescent="0.25">
      <c r="A371">
        <v>4192</v>
      </c>
      <c r="B371" t="s">
        <v>311</v>
      </c>
      <c r="C371" t="s">
        <v>2693</v>
      </c>
      <c r="D371" t="s">
        <v>1628</v>
      </c>
      <c r="E371" t="s">
        <v>2654</v>
      </c>
      <c r="F371" t="s">
        <v>2704</v>
      </c>
      <c r="G371" t="s">
        <v>2705</v>
      </c>
      <c r="K371" t="s">
        <v>2706</v>
      </c>
      <c r="L371" t="s">
        <v>2707</v>
      </c>
      <c r="M371" t="s">
        <v>1634</v>
      </c>
    </row>
    <row r="372" spans="1:13" x14ac:dyDescent="0.25">
      <c r="A372">
        <v>4192</v>
      </c>
      <c r="B372" t="s">
        <v>311</v>
      </c>
      <c r="C372" t="s">
        <v>2693</v>
      </c>
      <c r="D372" t="s">
        <v>1628</v>
      </c>
      <c r="E372" t="s">
        <v>2654</v>
      </c>
      <c r="F372" t="s">
        <v>1775</v>
      </c>
      <c r="G372" t="s">
        <v>2708</v>
      </c>
      <c r="H372">
        <v>6285276002</v>
      </c>
      <c r="K372" t="s">
        <v>2709</v>
      </c>
      <c r="L372" t="s">
        <v>1668</v>
      </c>
      <c r="M372" t="s">
        <v>1634</v>
      </c>
    </row>
    <row r="373" spans="1:13" x14ac:dyDescent="0.25">
      <c r="A373">
        <v>4192</v>
      </c>
      <c r="B373" t="s">
        <v>311</v>
      </c>
      <c r="C373" t="s">
        <v>2693</v>
      </c>
      <c r="D373" t="s">
        <v>1628</v>
      </c>
      <c r="E373" t="s">
        <v>2654</v>
      </c>
      <c r="F373" t="s">
        <v>2699</v>
      </c>
      <c r="G373" t="s">
        <v>1853</v>
      </c>
      <c r="K373" t="s">
        <v>2700</v>
      </c>
      <c r="M373" t="s">
        <v>1634</v>
      </c>
    </row>
    <row r="374" spans="1:13" x14ac:dyDescent="0.25">
      <c r="A374">
        <v>4192</v>
      </c>
      <c r="B374" t="s">
        <v>311</v>
      </c>
      <c r="C374" t="s">
        <v>2693</v>
      </c>
      <c r="D374" t="s">
        <v>1628</v>
      </c>
      <c r="E374" t="s">
        <v>2654</v>
      </c>
      <c r="F374" t="s">
        <v>2710</v>
      </c>
      <c r="G374" t="s">
        <v>2711</v>
      </c>
      <c r="H374">
        <v>9285276013</v>
      </c>
      <c r="K374" t="s">
        <v>2712</v>
      </c>
      <c r="L374" t="s">
        <v>2713</v>
      </c>
      <c r="M374" t="s">
        <v>1634</v>
      </c>
    </row>
    <row r="375" spans="1:13" x14ac:dyDescent="0.25">
      <c r="A375">
        <v>4192</v>
      </c>
      <c r="B375" t="s">
        <v>311</v>
      </c>
      <c r="C375" t="s">
        <v>2693</v>
      </c>
      <c r="D375" t="s">
        <v>1628</v>
      </c>
      <c r="E375" t="s">
        <v>2654</v>
      </c>
      <c r="F375" t="s">
        <v>2714</v>
      </c>
      <c r="G375" t="s">
        <v>2715</v>
      </c>
      <c r="J375">
        <v>9285276065</v>
      </c>
      <c r="K375" t="s">
        <v>2716</v>
      </c>
      <c r="L375" t="s">
        <v>2717</v>
      </c>
      <c r="M375" t="s">
        <v>1640</v>
      </c>
    </row>
    <row r="376" spans="1:13" x14ac:dyDescent="0.25">
      <c r="A376">
        <v>4192</v>
      </c>
      <c r="B376" t="s">
        <v>311</v>
      </c>
      <c r="C376" t="s">
        <v>2693</v>
      </c>
      <c r="D376" t="s">
        <v>1628</v>
      </c>
      <c r="E376" t="s">
        <v>2654</v>
      </c>
      <c r="F376" t="s">
        <v>2053</v>
      </c>
      <c r="G376" t="s">
        <v>2718</v>
      </c>
      <c r="H376">
        <v>9285276120</v>
      </c>
      <c r="K376" t="s">
        <v>2719</v>
      </c>
      <c r="L376" t="s">
        <v>2720</v>
      </c>
      <c r="M376" t="s">
        <v>1765</v>
      </c>
    </row>
    <row r="377" spans="1:13" x14ac:dyDescent="0.25">
      <c r="A377">
        <v>4192</v>
      </c>
      <c r="B377" t="s">
        <v>311</v>
      </c>
      <c r="C377" t="s">
        <v>2693</v>
      </c>
      <c r="D377" t="s">
        <v>1628</v>
      </c>
      <c r="E377" t="s">
        <v>2654</v>
      </c>
      <c r="F377" t="s">
        <v>1658</v>
      </c>
      <c r="G377" t="s">
        <v>2694</v>
      </c>
      <c r="K377" t="s">
        <v>2695</v>
      </c>
      <c r="L377" t="s">
        <v>2696</v>
      </c>
      <c r="M377" t="s">
        <v>1765</v>
      </c>
    </row>
    <row r="378" spans="1:13" x14ac:dyDescent="0.25">
      <c r="A378">
        <v>4803</v>
      </c>
      <c r="B378" t="s">
        <v>2721</v>
      </c>
      <c r="C378" t="s">
        <v>2722</v>
      </c>
      <c r="D378" t="s">
        <v>1643</v>
      </c>
      <c r="E378" t="s">
        <v>2654</v>
      </c>
    </row>
    <row r="379" spans="1:13" x14ac:dyDescent="0.25">
      <c r="A379">
        <v>4804</v>
      </c>
      <c r="B379" t="s">
        <v>2723</v>
      </c>
      <c r="C379" t="s">
        <v>2724</v>
      </c>
      <c r="D379" t="s">
        <v>1643</v>
      </c>
      <c r="E379" t="s">
        <v>2654</v>
      </c>
      <c r="F379" t="s">
        <v>2725</v>
      </c>
      <c r="G379" t="s">
        <v>2440</v>
      </c>
      <c r="H379">
        <v>9287734001</v>
      </c>
      <c r="K379" t="s">
        <v>2726</v>
      </c>
      <c r="L379" t="s">
        <v>1647</v>
      </c>
      <c r="M379" t="s">
        <v>1634</v>
      </c>
    </row>
    <row r="380" spans="1:13" x14ac:dyDescent="0.25">
      <c r="A380">
        <v>4805</v>
      </c>
      <c r="B380" t="s">
        <v>2727</v>
      </c>
      <c r="C380" t="s">
        <v>2728</v>
      </c>
      <c r="D380" t="s">
        <v>1643</v>
      </c>
      <c r="E380" t="s">
        <v>2654</v>
      </c>
      <c r="F380" t="s">
        <v>2729</v>
      </c>
      <c r="G380" t="s">
        <v>2730</v>
      </c>
      <c r="H380">
        <v>9285276192</v>
      </c>
      <c r="K380" t="s">
        <v>2731</v>
      </c>
      <c r="M380" t="s">
        <v>1634</v>
      </c>
    </row>
    <row r="381" spans="1:13" x14ac:dyDescent="0.25">
      <c r="A381">
        <v>4806</v>
      </c>
      <c r="B381" t="s">
        <v>2732</v>
      </c>
      <c r="C381" t="s">
        <v>2733</v>
      </c>
      <c r="D381" t="s">
        <v>1643</v>
      </c>
      <c r="E381" t="s">
        <v>2654</v>
      </c>
      <c r="F381" t="s">
        <v>2734</v>
      </c>
      <c r="G381" t="s">
        <v>2735</v>
      </c>
      <c r="H381">
        <v>9287734061</v>
      </c>
      <c r="K381" t="s">
        <v>2736</v>
      </c>
      <c r="L381" t="s">
        <v>1647</v>
      </c>
      <c r="M381" t="s">
        <v>1634</v>
      </c>
    </row>
    <row r="382" spans="1:13" x14ac:dyDescent="0.25">
      <c r="A382">
        <v>4807</v>
      </c>
      <c r="B382" t="s">
        <v>2737</v>
      </c>
      <c r="C382" t="s">
        <v>2738</v>
      </c>
      <c r="D382" t="s">
        <v>1643</v>
      </c>
      <c r="E382" t="s">
        <v>2654</v>
      </c>
      <c r="F382" t="s">
        <v>2739</v>
      </c>
      <c r="G382" t="s">
        <v>2740</v>
      </c>
      <c r="H382">
        <v>9287734030</v>
      </c>
      <c r="K382" t="s">
        <v>2741</v>
      </c>
      <c r="L382" t="s">
        <v>1647</v>
      </c>
      <c r="M382" t="s">
        <v>1634</v>
      </c>
    </row>
    <row r="383" spans="1:13" x14ac:dyDescent="0.25">
      <c r="A383">
        <v>4807</v>
      </c>
      <c r="B383" t="s">
        <v>2737</v>
      </c>
      <c r="C383" t="s">
        <v>2738</v>
      </c>
      <c r="D383" t="s">
        <v>1643</v>
      </c>
      <c r="E383" t="s">
        <v>2654</v>
      </c>
      <c r="F383" t="s">
        <v>1787</v>
      </c>
      <c r="G383" t="s">
        <v>2742</v>
      </c>
      <c r="H383">
        <v>6287734030</v>
      </c>
      <c r="K383" t="s">
        <v>2743</v>
      </c>
      <c r="L383" t="s">
        <v>1647</v>
      </c>
      <c r="M383" t="s">
        <v>1634</v>
      </c>
    </row>
    <row r="384" spans="1:13" x14ac:dyDescent="0.25">
      <c r="A384">
        <v>4808</v>
      </c>
      <c r="B384" t="s">
        <v>1378</v>
      </c>
      <c r="C384" t="s">
        <v>2744</v>
      </c>
      <c r="D384" t="s">
        <v>1643</v>
      </c>
      <c r="E384" t="s">
        <v>2654</v>
      </c>
      <c r="F384" t="s">
        <v>2745</v>
      </c>
      <c r="G384" t="s">
        <v>2746</v>
      </c>
      <c r="H384">
        <v>9287734080</v>
      </c>
      <c r="J384">
        <v>9287734086</v>
      </c>
      <c r="K384" t="s">
        <v>2747</v>
      </c>
      <c r="M384" t="s">
        <v>1634</v>
      </c>
    </row>
    <row r="385" spans="1:13" x14ac:dyDescent="0.25">
      <c r="A385">
        <v>4811</v>
      </c>
      <c r="B385" t="s">
        <v>2748</v>
      </c>
      <c r="C385" t="s">
        <v>2749</v>
      </c>
      <c r="D385" t="s">
        <v>1643</v>
      </c>
      <c r="E385" t="s">
        <v>2654</v>
      </c>
      <c r="F385" t="s">
        <v>1787</v>
      </c>
      <c r="G385" t="s">
        <v>2750</v>
      </c>
      <c r="H385">
        <v>9287734021</v>
      </c>
      <c r="K385" t="s">
        <v>2751</v>
      </c>
      <c r="L385" t="s">
        <v>1647</v>
      </c>
      <c r="M385" t="s">
        <v>1634</v>
      </c>
    </row>
    <row r="386" spans="1:13" x14ac:dyDescent="0.25">
      <c r="A386">
        <v>4812</v>
      </c>
      <c r="B386" t="s">
        <v>2752</v>
      </c>
      <c r="C386" t="s">
        <v>2753</v>
      </c>
      <c r="D386" t="s">
        <v>1643</v>
      </c>
      <c r="E386" t="s">
        <v>2654</v>
      </c>
      <c r="F386" t="s">
        <v>2754</v>
      </c>
      <c r="G386" t="s">
        <v>2506</v>
      </c>
      <c r="H386">
        <v>9287734111</v>
      </c>
      <c r="K386" t="s">
        <v>2697</v>
      </c>
      <c r="L386" t="s">
        <v>1647</v>
      </c>
      <c r="M386" t="s">
        <v>1634</v>
      </c>
    </row>
    <row r="387" spans="1:13" x14ac:dyDescent="0.25">
      <c r="A387">
        <v>4814</v>
      </c>
      <c r="B387" t="s">
        <v>1438</v>
      </c>
      <c r="C387" t="s">
        <v>2755</v>
      </c>
      <c r="D387" t="s">
        <v>1643</v>
      </c>
      <c r="E387" t="s">
        <v>2654</v>
      </c>
      <c r="F387" t="s">
        <v>2756</v>
      </c>
      <c r="G387" t="s">
        <v>2757</v>
      </c>
      <c r="K387" t="s">
        <v>2758</v>
      </c>
      <c r="L387" t="s">
        <v>1647</v>
      </c>
      <c r="M387" t="s">
        <v>1634</v>
      </c>
    </row>
    <row r="388" spans="1:13" x14ac:dyDescent="0.25">
      <c r="A388">
        <v>4814</v>
      </c>
      <c r="B388" t="s">
        <v>1438</v>
      </c>
      <c r="C388" t="s">
        <v>2755</v>
      </c>
      <c r="D388" t="s">
        <v>1643</v>
      </c>
      <c r="E388" t="s">
        <v>2654</v>
      </c>
      <c r="F388" t="s">
        <v>2729</v>
      </c>
      <c r="G388" t="s">
        <v>2730</v>
      </c>
      <c r="H388">
        <v>9285276172</v>
      </c>
      <c r="K388" t="s">
        <v>2731</v>
      </c>
      <c r="M388" t="s">
        <v>1634</v>
      </c>
    </row>
    <row r="389" spans="1:13" x14ac:dyDescent="0.25">
      <c r="A389">
        <v>79665</v>
      </c>
      <c r="B389" t="s">
        <v>2759</v>
      </c>
      <c r="C389" t="s">
        <v>2760</v>
      </c>
      <c r="D389" t="s">
        <v>1643</v>
      </c>
      <c r="E389" t="s">
        <v>2654</v>
      </c>
      <c r="F389" t="s">
        <v>2704</v>
      </c>
      <c r="G389" t="s">
        <v>2761</v>
      </c>
      <c r="H389">
        <v>9287734090</v>
      </c>
      <c r="J389">
        <v>9287734100</v>
      </c>
      <c r="K389" t="s">
        <v>2762</v>
      </c>
      <c r="L389" t="s">
        <v>1647</v>
      </c>
      <c r="M389" t="s">
        <v>1634</v>
      </c>
    </row>
    <row r="390" spans="1:13" x14ac:dyDescent="0.25">
      <c r="A390">
        <v>4815</v>
      </c>
      <c r="B390" t="s">
        <v>2763</v>
      </c>
      <c r="C390" t="s">
        <v>2764</v>
      </c>
      <c r="D390" t="s">
        <v>1643</v>
      </c>
      <c r="E390" t="s">
        <v>2654</v>
      </c>
    </row>
    <row r="391" spans="1:13" x14ac:dyDescent="0.25">
      <c r="A391">
        <v>4817</v>
      </c>
      <c r="B391" t="s">
        <v>2765</v>
      </c>
      <c r="C391" t="s">
        <v>2766</v>
      </c>
      <c r="D391" t="s">
        <v>1643</v>
      </c>
      <c r="E391" t="s">
        <v>2654</v>
      </c>
    </row>
    <row r="392" spans="1:13" x14ac:dyDescent="0.25">
      <c r="A392">
        <v>90191</v>
      </c>
      <c r="B392" t="s">
        <v>2767</v>
      </c>
      <c r="C392" t="s">
        <v>2768</v>
      </c>
      <c r="D392" t="s">
        <v>1643</v>
      </c>
      <c r="E392" t="s">
        <v>2654</v>
      </c>
      <c r="F392" t="s">
        <v>1806</v>
      </c>
      <c r="G392" t="s">
        <v>2769</v>
      </c>
      <c r="H392">
        <v>9285275501</v>
      </c>
      <c r="K392" t="s">
        <v>2770</v>
      </c>
      <c r="L392" t="s">
        <v>1647</v>
      </c>
      <c r="M392" t="s">
        <v>1634</v>
      </c>
    </row>
    <row r="393" spans="1:13" x14ac:dyDescent="0.25">
      <c r="A393">
        <v>4819</v>
      </c>
      <c r="B393" t="s">
        <v>2771</v>
      </c>
      <c r="C393" t="s">
        <v>2772</v>
      </c>
      <c r="D393" t="s">
        <v>1643</v>
      </c>
      <c r="E393" t="s">
        <v>2654</v>
      </c>
      <c r="F393" t="s">
        <v>2773</v>
      </c>
      <c r="G393" t="s">
        <v>2774</v>
      </c>
      <c r="H393">
        <v>9287738115</v>
      </c>
      <c r="J393">
        <v>9287738146</v>
      </c>
      <c r="K393" t="s">
        <v>2775</v>
      </c>
      <c r="L393" t="s">
        <v>2776</v>
      </c>
      <c r="M393" t="s">
        <v>1634</v>
      </c>
    </row>
    <row r="394" spans="1:13" x14ac:dyDescent="0.25">
      <c r="A394">
        <v>4819</v>
      </c>
      <c r="B394" t="s">
        <v>2771</v>
      </c>
      <c r="C394" t="s">
        <v>2772</v>
      </c>
      <c r="D394" t="s">
        <v>1643</v>
      </c>
      <c r="E394" t="s">
        <v>2654</v>
      </c>
      <c r="F394" t="s">
        <v>1679</v>
      </c>
      <c r="G394" t="s">
        <v>2777</v>
      </c>
      <c r="K394" t="s">
        <v>2775</v>
      </c>
      <c r="M394" t="s">
        <v>1634</v>
      </c>
    </row>
    <row r="395" spans="1:13" x14ac:dyDescent="0.25">
      <c r="A395">
        <v>4819</v>
      </c>
      <c r="B395" t="s">
        <v>2771</v>
      </c>
      <c r="C395" t="s">
        <v>2772</v>
      </c>
      <c r="D395" t="s">
        <v>1643</v>
      </c>
      <c r="E395" t="s">
        <v>2654</v>
      </c>
      <c r="F395" t="s">
        <v>2778</v>
      </c>
      <c r="G395" t="s">
        <v>2779</v>
      </c>
      <c r="H395">
        <v>9287738134</v>
      </c>
      <c r="M395" t="s">
        <v>1640</v>
      </c>
    </row>
    <row r="396" spans="1:13" x14ac:dyDescent="0.25">
      <c r="A396">
        <v>4820</v>
      </c>
      <c r="B396" t="s">
        <v>2780</v>
      </c>
      <c r="C396" t="s">
        <v>2781</v>
      </c>
      <c r="D396" t="s">
        <v>1643</v>
      </c>
      <c r="E396" t="s">
        <v>2654</v>
      </c>
      <c r="F396" t="s">
        <v>2739</v>
      </c>
      <c r="G396" t="s">
        <v>2740</v>
      </c>
      <c r="H396">
        <v>9287738201</v>
      </c>
      <c r="K396" t="s">
        <v>2741</v>
      </c>
      <c r="L396" t="s">
        <v>1647</v>
      </c>
      <c r="M396" t="s">
        <v>1634</v>
      </c>
    </row>
    <row r="397" spans="1:13" x14ac:dyDescent="0.25">
      <c r="A397">
        <v>230656</v>
      </c>
      <c r="B397" t="s">
        <v>2782</v>
      </c>
      <c r="C397" t="s">
        <v>2783</v>
      </c>
      <c r="D397" t="s">
        <v>1643</v>
      </c>
      <c r="E397" t="s">
        <v>2654</v>
      </c>
      <c r="F397" t="s">
        <v>2053</v>
      </c>
      <c r="G397" t="s">
        <v>2784</v>
      </c>
      <c r="H397">
        <v>9285276021</v>
      </c>
      <c r="K397" t="s">
        <v>2785</v>
      </c>
      <c r="M397" t="s">
        <v>1634</v>
      </c>
    </row>
    <row r="398" spans="1:13" x14ac:dyDescent="0.25">
      <c r="A398">
        <v>4193</v>
      </c>
      <c r="B398" t="s">
        <v>2786</v>
      </c>
      <c r="C398" t="s">
        <v>2787</v>
      </c>
      <c r="D398" t="s">
        <v>1628</v>
      </c>
      <c r="E398" t="s">
        <v>2654</v>
      </c>
      <c r="F398" t="s">
        <v>2788</v>
      </c>
      <c r="G398" t="s">
        <v>2789</v>
      </c>
      <c r="H398">
        <v>9286354473</v>
      </c>
      <c r="K398" t="s">
        <v>2790</v>
      </c>
      <c r="L398" t="s">
        <v>1668</v>
      </c>
      <c r="M398" t="s">
        <v>1634</v>
      </c>
    </row>
    <row r="399" spans="1:13" x14ac:dyDescent="0.25">
      <c r="A399">
        <v>4193</v>
      </c>
      <c r="B399" t="s">
        <v>2786</v>
      </c>
      <c r="C399" t="s">
        <v>2787</v>
      </c>
      <c r="D399" t="s">
        <v>1628</v>
      </c>
      <c r="E399" t="s">
        <v>2654</v>
      </c>
      <c r="F399" t="s">
        <v>2253</v>
      </c>
      <c r="G399" t="s">
        <v>2791</v>
      </c>
      <c r="H399">
        <v>9286354428</v>
      </c>
      <c r="K399" t="s">
        <v>2792</v>
      </c>
      <c r="L399" t="s">
        <v>2793</v>
      </c>
      <c r="M399" t="s">
        <v>1634</v>
      </c>
    </row>
    <row r="400" spans="1:13" x14ac:dyDescent="0.25">
      <c r="A400">
        <v>4193</v>
      </c>
      <c r="B400" t="s">
        <v>2786</v>
      </c>
      <c r="C400" t="s">
        <v>2787</v>
      </c>
      <c r="D400" t="s">
        <v>1628</v>
      </c>
      <c r="E400" t="s">
        <v>2654</v>
      </c>
      <c r="F400" t="s">
        <v>2794</v>
      </c>
      <c r="G400" t="s">
        <v>2795</v>
      </c>
      <c r="K400" t="s">
        <v>2796</v>
      </c>
      <c r="L400" t="s">
        <v>1640</v>
      </c>
      <c r="M400" t="s">
        <v>1640</v>
      </c>
    </row>
    <row r="401" spans="1:13" x14ac:dyDescent="0.25">
      <c r="A401">
        <v>4193</v>
      </c>
      <c r="B401" t="s">
        <v>2786</v>
      </c>
      <c r="C401" t="s">
        <v>2787</v>
      </c>
      <c r="D401" t="s">
        <v>1628</v>
      </c>
      <c r="E401" t="s">
        <v>2654</v>
      </c>
      <c r="F401" t="s">
        <v>2797</v>
      </c>
      <c r="G401" t="s">
        <v>2798</v>
      </c>
      <c r="H401" t="s">
        <v>2799</v>
      </c>
      <c r="I401">
        <v>402</v>
      </c>
      <c r="J401">
        <v>9286354767</v>
      </c>
      <c r="K401" t="s">
        <v>2800</v>
      </c>
      <c r="L401" t="s">
        <v>1923</v>
      </c>
      <c r="M401" t="s">
        <v>1765</v>
      </c>
    </row>
    <row r="402" spans="1:13" x14ac:dyDescent="0.25">
      <c r="A402">
        <v>4822</v>
      </c>
      <c r="B402" t="s">
        <v>2801</v>
      </c>
      <c r="C402" t="s">
        <v>2802</v>
      </c>
      <c r="D402" t="s">
        <v>1643</v>
      </c>
      <c r="E402" t="s">
        <v>2654</v>
      </c>
      <c r="F402" t="s">
        <v>2803</v>
      </c>
      <c r="G402" t="s">
        <v>2804</v>
      </c>
      <c r="H402">
        <v>9286354428</v>
      </c>
      <c r="J402">
        <v>9286351213</v>
      </c>
      <c r="K402" t="s">
        <v>2805</v>
      </c>
      <c r="L402" t="s">
        <v>1647</v>
      </c>
      <c r="M402" t="s">
        <v>1634</v>
      </c>
    </row>
    <row r="403" spans="1:13" x14ac:dyDescent="0.25">
      <c r="A403">
        <v>4822</v>
      </c>
      <c r="B403" t="s">
        <v>2801</v>
      </c>
      <c r="C403" t="s">
        <v>2802</v>
      </c>
      <c r="D403" t="s">
        <v>1643</v>
      </c>
      <c r="E403" t="s">
        <v>2654</v>
      </c>
      <c r="F403" t="s">
        <v>2806</v>
      </c>
      <c r="G403" t="s">
        <v>2807</v>
      </c>
      <c r="H403">
        <v>9286354428</v>
      </c>
      <c r="K403" t="s">
        <v>2808</v>
      </c>
      <c r="L403" t="s">
        <v>1721</v>
      </c>
      <c r="M403" t="s">
        <v>1634</v>
      </c>
    </row>
    <row r="404" spans="1:13" x14ac:dyDescent="0.25">
      <c r="A404">
        <v>4823</v>
      </c>
      <c r="B404" t="s">
        <v>2809</v>
      </c>
      <c r="C404" t="s">
        <v>2810</v>
      </c>
      <c r="D404" t="s">
        <v>1643</v>
      </c>
      <c r="E404" t="s">
        <v>2654</v>
      </c>
      <c r="F404" t="s">
        <v>2192</v>
      </c>
      <c r="G404" t="s">
        <v>2811</v>
      </c>
      <c r="H404">
        <v>9286354474</v>
      </c>
      <c r="K404" t="s">
        <v>2812</v>
      </c>
      <c r="L404" t="s">
        <v>1647</v>
      </c>
      <c r="M404" t="s">
        <v>1634</v>
      </c>
    </row>
    <row r="405" spans="1:13" x14ac:dyDescent="0.25">
      <c r="A405">
        <v>4823</v>
      </c>
      <c r="B405" t="s">
        <v>2809</v>
      </c>
      <c r="C405" t="s">
        <v>2810</v>
      </c>
      <c r="D405" t="s">
        <v>1643</v>
      </c>
      <c r="E405" t="s">
        <v>2654</v>
      </c>
      <c r="F405" t="s">
        <v>2788</v>
      </c>
      <c r="G405" t="s">
        <v>2789</v>
      </c>
      <c r="H405">
        <v>9286354473</v>
      </c>
      <c r="K405" t="s">
        <v>2790</v>
      </c>
      <c r="L405" t="s">
        <v>1721</v>
      </c>
      <c r="M405" t="s">
        <v>1634</v>
      </c>
    </row>
    <row r="406" spans="1:13" x14ac:dyDescent="0.25">
      <c r="A406">
        <v>4194</v>
      </c>
      <c r="B406" t="s">
        <v>335</v>
      </c>
      <c r="C406" t="s">
        <v>2813</v>
      </c>
      <c r="D406" t="s">
        <v>1628</v>
      </c>
      <c r="E406" t="s">
        <v>2654</v>
      </c>
      <c r="F406" t="s">
        <v>2814</v>
      </c>
      <c r="G406" t="s">
        <v>2815</v>
      </c>
      <c r="H406">
        <v>9286382461</v>
      </c>
      <c r="I406">
        <v>400</v>
      </c>
      <c r="J406">
        <v>9286382045</v>
      </c>
      <c r="K406" t="s">
        <v>2816</v>
      </c>
      <c r="L406" t="s">
        <v>2613</v>
      </c>
      <c r="M406" t="s">
        <v>1634</v>
      </c>
    </row>
    <row r="407" spans="1:13" x14ac:dyDescent="0.25">
      <c r="A407">
        <v>4194</v>
      </c>
      <c r="B407" t="s">
        <v>335</v>
      </c>
      <c r="C407" t="s">
        <v>2813</v>
      </c>
      <c r="D407" t="s">
        <v>1628</v>
      </c>
      <c r="E407" t="s">
        <v>2654</v>
      </c>
      <c r="F407" t="s">
        <v>2817</v>
      </c>
      <c r="G407" t="s">
        <v>2818</v>
      </c>
      <c r="I407">
        <v>200</v>
      </c>
      <c r="J407">
        <v>9286382045</v>
      </c>
      <c r="K407" t="s">
        <v>2819</v>
      </c>
      <c r="L407" t="s">
        <v>2820</v>
      </c>
      <c r="M407" t="s">
        <v>1634</v>
      </c>
    </row>
    <row r="408" spans="1:13" x14ac:dyDescent="0.25">
      <c r="A408">
        <v>4194</v>
      </c>
      <c r="B408" t="s">
        <v>335</v>
      </c>
      <c r="C408" t="s">
        <v>2813</v>
      </c>
      <c r="D408" t="s">
        <v>1628</v>
      </c>
      <c r="E408" t="s">
        <v>2654</v>
      </c>
      <c r="F408" t="s">
        <v>2821</v>
      </c>
      <c r="G408" t="s">
        <v>2822</v>
      </c>
      <c r="H408">
        <v>9286382461</v>
      </c>
      <c r="I408">
        <v>453</v>
      </c>
      <c r="K408" t="s">
        <v>2823</v>
      </c>
      <c r="L408" t="s">
        <v>1668</v>
      </c>
      <c r="M408" t="s">
        <v>1634</v>
      </c>
    </row>
    <row r="409" spans="1:13" x14ac:dyDescent="0.25">
      <c r="A409">
        <v>4194</v>
      </c>
      <c r="B409" t="s">
        <v>335</v>
      </c>
      <c r="C409" t="s">
        <v>2813</v>
      </c>
      <c r="D409" t="s">
        <v>1628</v>
      </c>
      <c r="E409" t="s">
        <v>2654</v>
      </c>
      <c r="F409" t="s">
        <v>1935</v>
      </c>
      <c r="G409" t="s">
        <v>2824</v>
      </c>
      <c r="H409">
        <v>9286382461</v>
      </c>
      <c r="I409">
        <v>201</v>
      </c>
      <c r="K409" t="s">
        <v>2825</v>
      </c>
      <c r="L409" t="s">
        <v>1738</v>
      </c>
      <c r="M409" t="s">
        <v>1634</v>
      </c>
    </row>
    <row r="410" spans="1:13" x14ac:dyDescent="0.25">
      <c r="A410">
        <v>4194</v>
      </c>
      <c r="B410" t="s">
        <v>335</v>
      </c>
      <c r="C410" t="s">
        <v>2813</v>
      </c>
      <c r="D410" t="s">
        <v>1628</v>
      </c>
      <c r="E410" t="s">
        <v>2654</v>
      </c>
      <c r="F410" t="s">
        <v>2348</v>
      </c>
      <c r="G410" t="s">
        <v>2826</v>
      </c>
      <c r="K410" t="s">
        <v>2827</v>
      </c>
      <c r="L410" t="s">
        <v>1640</v>
      </c>
      <c r="M410" t="s">
        <v>1640</v>
      </c>
    </row>
    <row r="411" spans="1:13" x14ac:dyDescent="0.25">
      <c r="A411">
        <v>4194</v>
      </c>
      <c r="B411" t="s">
        <v>335</v>
      </c>
      <c r="C411" t="s">
        <v>2813</v>
      </c>
      <c r="D411" t="s">
        <v>1628</v>
      </c>
      <c r="E411" t="s">
        <v>2654</v>
      </c>
      <c r="F411" t="s">
        <v>2142</v>
      </c>
      <c r="G411" t="s">
        <v>2828</v>
      </c>
      <c r="H411">
        <v>3606078351</v>
      </c>
      <c r="K411" t="s">
        <v>2829</v>
      </c>
      <c r="L411" t="s">
        <v>2830</v>
      </c>
      <c r="M411" t="s">
        <v>1640</v>
      </c>
    </row>
    <row r="412" spans="1:13" x14ac:dyDescent="0.25">
      <c r="A412">
        <v>4194</v>
      </c>
      <c r="B412" t="s">
        <v>335</v>
      </c>
      <c r="C412" t="s">
        <v>2813</v>
      </c>
      <c r="D412" t="s">
        <v>1628</v>
      </c>
      <c r="E412" t="s">
        <v>2654</v>
      </c>
      <c r="F412" t="s">
        <v>2817</v>
      </c>
      <c r="G412" t="s">
        <v>2818</v>
      </c>
      <c r="I412">
        <v>200</v>
      </c>
      <c r="J412">
        <v>9286382045</v>
      </c>
      <c r="K412" t="s">
        <v>2819</v>
      </c>
      <c r="L412" t="s">
        <v>2820</v>
      </c>
      <c r="M412" t="s">
        <v>1765</v>
      </c>
    </row>
    <row r="413" spans="1:13" x14ac:dyDescent="0.25">
      <c r="A413">
        <v>4824</v>
      </c>
      <c r="B413" t="s">
        <v>1290</v>
      </c>
      <c r="C413" t="s">
        <v>2831</v>
      </c>
      <c r="D413" t="s">
        <v>1643</v>
      </c>
      <c r="E413" t="s">
        <v>2654</v>
      </c>
      <c r="F413" t="s">
        <v>2832</v>
      </c>
      <c r="G413" t="s">
        <v>2833</v>
      </c>
      <c r="H413">
        <v>9286382461</v>
      </c>
      <c r="J413">
        <v>9286382045</v>
      </c>
      <c r="K413" t="s">
        <v>2834</v>
      </c>
      <c r="L413" t="s">
        <v>1647</v>
      </c>
      <c r="M413" t="s">
        <v>1634</v>
      </c>
    </row>
    <row r="414" spans="1:13" x14ac:dyDescent="0.25">
      <c r="A414">
        <v>4824</v>
      </c>
      <c r="B414" t="s">
        <v>1290</v>
      </c>
      <c r="C414" t="s">
        <v>2831</v>
      </c>
      <c r="D414" t="s">
        <v>1643</v>
      </c>
      <c r="E414" t="s">
        <v>2654</v>
      </c>
      <c r="F414" t="s">
        <v>2835</v>
      </c>
      <c r="G414" t="s">
        <v>2815</v>
      </c>
      <c r="H414">
        <v>9286382461</v>
      </c>
      <c r="K414" t="s">
        <v>2816</v>
      </c>
      <c r="L414" t="s">
        <v>1647</v>
      </c>
      <c r="M414" t="s">
        <v>1634</v>
      </c>
    </row>
    <row r="415" spans="1:13" x14ac:dyDescent="0.25">
      <c r="A415">
        <v>4825</v>
      </c>
      <c r="B415" t="s">
        <v>2836</v>
      </c>
      <c r="C415" t="s">
        <v>2837</v>
      </c>
      <c r="D415" t="s">
        <v>1643</v>
      </c>
      <c r="E415" t="s">
        <v>2654</v>
      </c>
      <c r="F415" t="s">
        <v>2835</v>
      </c>
      <c r="G415" t="s">
        <v>2815</v>
      </c>
      <c r="H415">
        <v>9286382461</v>
      </c>
      <c r="J415">
        <v>9286382045</v>
      </c>
      <c r="K415" t="s">
        <v>2816</v>
      </c>
      <c r="L415" t="s">
        <v>1647</v>
      </c>
      <c r="M415" t="s">
        <v>1634</v>
      </c>
    </row>
    <row r="416" spans="1:13" x14ac:dyDescent="0.25">
      <c r="A416">
        <v>4825</v>
      </c>
      <c r="B416" t="s">
        <v>2836</v>
      </c>
      <c r="C416" t="s">
        <v>2837</v>
      </c>
      <c r="D416" t="s">
        <v>1643</v>
      </c>
      <c r="E416" t="s">
        <v>2654</v>
      </c>
      <c r="F416" t="s">
        <v>2817</v>
      </c>
      <c r="G416" t="s">
        <v>2818</v>
      </c>
      <c r="H416">
        <v>9286382461</v>
      </c>
      <c r="J416">
        <v>9286382045</v>
      </c>
      <c r="K416" t="s">
        <v>2819</v>
      </c>
      <c r="L416" t="s">
        <v>2045</v>
      </c>
      <c r="M416" t="s">
        <v>1634</v>
      </c>
    </row>
    <row r="417" spans="1:13" x14ac:dyDescent="0.25">
      <c r="A417">
        <v>4195</v>
      </c>
      <c r="B417" t="s">
        <v>2838</v>
      </c>
      <c r="C417" t="s">
        <v>2839</v>
      </c>
      <c r="D417" t="s">
        <v>1628</v>
      </c>
      <c r="E417" t="s">
        <v>2654</v>
      </c>
      <c r="F417" t="s">
        <v>2840</v>
      </c>
      <c r="G417" t="s">
        <v>2841</v>
      </c>
      <c r="I417">
        <v>314</v>
      </c>
      <c r="K417" t="s">
        <v>2842</v>
      </c>
      <c r="L417" t="s">
        <v>1640</v>
      </c>
      <c r="M417" t="s">
        <v>1640</v>
      </c>
    </row>
    <row r="418" spans="1:13" x14ac:dyDescent="0.25">
      <c r="A418">
        <v>4826</v>
      </c>
      <c r="B418" t="s">
        <v>2843</v>
      </c>
      <c r="C418" t="s">
        <v>2844</v>
      </c>
      <c r="D418" t="s">
        <v>1643</v>
      </c>
      <c r="E418" t="s">
        <v>2654</v>
      </c>
      <c r="F418" t="s">
        <v>2845</v>
      </c>
      <c r="G418" t="s">
        <v>2846</v>
      </c>
      <c r="H418">
        <v>9286437333</v>
      </c>
      <c r="K418" t="s">
        <v>2847</v>
      </c>
      <c r="L418" t="s">
        <v>1647</v>
      </c>
      <c r="M418" t="s">
        <v>1634</v>
      </c>
    </row>
    <row r="419" spans="1:13" x14ac:dyDescent="0.25">
      <c r="A419">
        <v>4828</v>
      </c>
      <c r="B419" t="s">
        <v>2848</v>
      </c>
      <c r="C419" t="s">
        <v>2849</v>
      </c>
      <c r="D419" t="s">
        <v>1643</v>
      </c>
      <c r="E419" t="s">
        <v>2654</v>
      </c>
    </row>
    <row r="420" spans="1:13" x14ac:dyDescent="0.25">
      <c r="A420">
        <v>4196</v>
      </c>
      <c r="B420" t="s">
        <v>324</v>
      </c>
      <c r="C420" t="s">
        <v>2850</v>
      </c>
      <c r="D420" t="s">
        <v>1628</v>
      </c>
      <c r="E420" t="s">
        <v>2654</v>
      </c>
      <c r="F420" t="s">
        <v>2851</v>
      </c>
      <c r="G420" t="s">
        <v>2852</v>
      </c>
      <c r="K420" t="s">
        <v>2853</v>
      </c>
      <c r="L420" t="s">
        <v>1668</v>
      </c>
      <c r="M420" t="s">
        <v>1634</v>
      </c>
    </row>
    <row r="421" spans="1:13" x14ac:dyDescent="0.25">
      <c r="A421">
        <v>4196</v>
      </c>
      <c r="B421" t="s">
        <v>324</v>
      </c>
      <c r="C421" t="s">
        <v>2850</v>
      </c>
      <c r="D421" t="s">
        <v>1628</v>
      </c>
      <c r="E421" t="s">
        <v>2654</v>
      </c>
      <c r="F421" t="s">
        <v>2854</v>
      </c>
      <c r="G421" t="s">
        <v>2855</v>
      </c>
      <c r="H421">
        <v>9286084153</v>
      </c>
      <c r="K421" t="s">
        <v>2856</v>
      </c>
      <c r="L421" t="s">
        <v>2857</v>
      </c>
      <c r="M421" t="s">
        <v>1634</v>
      </c>
    </row>
    <row r="422" spans="1:13" x14ac:dyDescent="0.25">
      <c r="A422">
        <v>4196</v>
      </c>
      <c r="B422" t="s">
        <v>324</v>
      </c>
      <c r="C422" t="s">
        <v>2850</v>
      </c>
      <c r="D422" t="s">
        <v>1628</v>
      </c>
      <c r="E422" t="s">
        <v>2654</v>
      </c>
      <c r="F422" t="s">
        <v>2858</v>
      </c>
      <c r="G422" t="s">
        <v>2859</v>
      </c>
      <c r="H422">
        <v>9286084130</v>
      </c>
      <c r="J422">
        <v>9286452805</v>
      </c>
      <c r="K422" t="s">
        <v>2860</v>
      </c>
      <c r="L422" t="s">
        <v>1640</v>
      </c>
      <c r="M422" t="s">
        <v>1640</v>
      </c>
    </row>
    <row r="423" spans="1:13" x14ac:dyDescent="0.25">
      <c r="A423">
        <v>4196</v>
      </c>
      <c r="B423" t="s">
        <v>324</v>
      </c>
      <c r="C423" t="s">
        <v>2850</v>
      </c>
      <c r="D423" t="s">
        <v>1628</v>
      </c>
      <c r="E423" t="s">
        <v>2654</v>
      </c>
      <c r="F423" t="s">
        <v>2861</v>
      </c>
      <c r="G423" t="s">
        <v>2862</v>
      </c>
      <c r="H423">
        <v>9286084130</v>
      </c>
      <c r="K423" t="s">
        <v>2863</v>
      </c>
      <c r="L423" t="s">
        <v>2864</v>
      </c>
      <c r="M423" t="s">
        <v>1640</v>
      </c>
    </row>
    <row r="424" spans="1:13" x14ac:dyDescent="0.25">
      <c r="A424">
        <v>4196</v>
      </c>
      <c r="B424" t="s">
        <v>324</v>
      </c>
      <c r="C424" t="s">
        <v>2850</v>
      </c>
      <c r="D424" t="s">
        <v>1628</v>
      </c>
      <c r="E424" t="s">
        <v>2654</v>
      </c>
      <c r="F424" t="s">
        <v>2865</v>
      </c>
      <c r="G424" t="s">
        <v>2866</v>
      </c>
      <c r="H424">
        <v>9286084155</v>
      </c>
      <c r="K424" t="s">
        <v>2867</v>
      </c>
      <c r="M424" t="s">
        <v>1765</v>
      </c>
    </row>
    <row r="425" spans="1:13" x14ac:dyDescent="0.25">
      <c r="A425">
        <v>4829</v>
      </c>
      <c r="B425" t="s">
        <v>2868</v>
      </c>
      <c r="C425" t="s">
        <v>2869</v>
      </c>
      <c r="D425" t="s">
        <v>1643</v>
      </c>
      <c r="E425" t="s">
        <v>2654</v>
      </c>
    </row>
    <row r="426" spans="1:13" x14ac:dyDescent="0.25">
      <c r="A426">
        <v>4830</v>
      </c>
      <c r="B426" t="s">
        <v>2870</v>
      </c>
      <c r="C426" t="s">
        <v>2871</v>
      </c>
      <c r="D426" t="s">
        <v>1643</v>
      </c>
      <c r="E426" t="s">
        <v>2654</v>
      </c>
      <c r="F426" t="s">
        <v>2663</v>
      </c>
      <c r="G426" t="s">
        <v>2872</v>
      </c>
      <c r="H426">
        <v>9286084169</v>
      </c>
      <c r="K426" t="s">
        <v>2873</v>
      </c>
      <c r="M426" t="s">
        <v>1634</v>
      </c>
    </row>
    <row r="427" spans="1:13" x14ac:dyDescent="0.25">
      <c r="A427">
        <v>4831</v>
      </c>
      <c r="B427" t="s">
        <v>2874</v>
      </c>
      <c r="C427" t="s">
        <v>2875</v>
      </c>
      <c r="D427" t="s">
        <v>1643</v>
      </c>
      <c r="E427" t="s">
        <v>2654</v>
      </c>
      <c r="F427" t="s">
        <v>2876</v>
      </c>
      <c r="G427" t="s">
        <v>2877</v>
      </c>
      <c r="H427">
        <v>9286084310</v>
      </c>
      <c r="K427" t="s">
        <v>2878</v>
      </c>
      <c r="L427" t="s">
        <v>2879</v>
      </c>
      <c r="M427" t="s">
        <v>1634</v>
      </c>
    </row>
    <row r="428" spans="1:13" x14ac:dyDescent="0.25">
      <c r="A428">
        <v>4831</v>
      </c>
      <c r="B428" t="s">
        <v>2874</v>
      </c>
      <c r="C428" t="s">
        <v>2875</v>
      </c>
      <c r="D428" t="s">
        <v>1643</v>
      </c>
      <c r="E428" t="s">
        <v>2654</v>
      </c>
      <c r="F428" t="s">
        <v>2880</v>
      </c>
      <c r="G428" t="s">
        <v>2881</v>
      </c>
      <c r="H428">
        <v>9286084157</v>
      </c>
      <c r="M428" t="s">
        <v>1640</v>
      </c>
    </row>
    <row r="429" spans="1:13" x14ac:dyDescent="0.25">
      <c r="A429">
        <v>4832</v>
      </c>
      <c r="B429" t="s">
        <v>2882</v>
      </c>
      <c r="C429" t="s">
        <v>2883</v>
      </c>
      <c r="D429" t="s">
        <v>1643</v>
      </c>
      <c r="E429" t="s">
        <v>2654</v>
      </c>
    </row>
    <row r="430" spans="1:13" x14ac:dyDescent="0.25">
      <c r="A430">
        <v>92913</v>
      </c>
      <c r="B430" t="s">
        <v>2884</v>
      </c>
      <c r="C430" t="s">
        <v>2885</v>
      </c>
      <c r="D430" t="s">
        <v>1643</v>
      </c>
      <c r="E430" t="s">
        <v>2654</v>
      </c>
      <c r="F430" t="s">
        <v>2886</v>
      </c>
      <c r="G430" t="s">
        <v>2359</v>
      </c>
      <c r="H430">
        <v>9286450067</v>
      </c>
      <c r="K430" t="s">
        <v>2887</v>
      </c>
      <c r="L430" t="s">
        <v>2613</v>
      </c>
      <c r="M430" t="s">
        <v>1634</v>
      </c>
    </row>
    <row r="431" spans="1:13" x14ac:dyDescent="0.25">
      <c r="A431">
        <v>1001183</v>
      </c>
      <c r="B431" t="s">
        <v>2888</v>
      </c>
      <c r="C431" t="s">
        <v>2889</v>
      </c>
      <c r="D431" t="s">
        <v>1643</v>
      </c>
      <c r="E431" t="s">
        <v>2654</v>
      </c>
    </row>
    <row r="432" spans="1:13" x14ac:dyDescent="0.25">
      <c r="A432">
        <v>4197</v>
      </c>
      <c r="B432" t="s">
        <v>399</v>
      </c>
      <c r="C432" t="s">
        <v>2890</v>
      </c>
      <c r="D432" t="s">
        <v>1628</v>
      </c>
      <c r="E432" t="s">
        <v>2654</v>
      </c>
      <c r="F432" t="s">
        <v>2891</v>
      </c>
      <c r="G432" t="s">
        <v>2892</v>
      </c>
      <c r="K432" t="s">
        <v>2893</v>
      </c>
      <c r="L432" t="s">
        <v>1634</v>
      </c>
      <c r="M432" t="s">
        <v>1634</v>
      </c>
    </row>
    <row r="433" spans="1:13" x14ac:dyDescent="0.25">
      <c r="A433">
        <v>4197</v>
      </c>
      <c r="B433" t="s">
        <v>399</v>
      </c>
      <c r="C433" t="s">
        <v>2890</v>
      </c>
      <c r="D433" t="s">
        <v>1628</v>
      </c>
      <c r="E433" t="s">
        <v>2654</v>
      </c>
      <c r="F433" t="s">
        <v>2894</v>
      </c>
      <c r="G433" t="s">
        <v>1716</v>
      </c>
      <c r="H433">
        <v>9282831099</v>
      </c>
      <c r="K433" t="s">
        <v>2895</v>
      </c>
      <c r="L433" t="s">
        <v>1640</v>
      </c>
      <c r="M433" t="s">
        <v>1634</v>
      </c>
    </row>
    <row r="434" spans="1:13" x14ac:dyDescent="0.25">
      <c r="A434">
        <v>4197</v>
      </c>
      <c r="B434" t="s">
        <v>399</v>
      </c>
      <c r="C434" t="s">
        <v>2890</v>
      </c>
      <c r="D434" t="s">
        <v>1628</v>
      </c>
      <c r="E434" t="s">
        <v>2654</v>
      </c>
      <c r="F434" t="s">
        <v>2896</v>
      </c>
      <c r="G434" t="s">
        <v>2897</v>
      </c>
      <c r="H434">
        <v>9282831092</v>
      </c>
      <c r="K434" t="s">
        <v>2898</v>
      </c>
      <c r="L434" t="s">
        <v>1721</v>
      </c>
      <c r="M434" t="s">
        <v>1634</v>
      </c>
    </row>
    <row r="435" spans="1:13" x14ac:dyDescent="0.25">
      <c r="A435">
        <v>4197</v>
      </c>
      <c r="B435" t="s">
        <v>399</v>
      </c>
      <c r="C435" t="s">
        <v>2890</v>
      </c>
      <c r="D435" t="s">
        <v>1628</v>
      </c>
      <c r="E435" t="s">
        <v>2654</v>
      </c>
      <c r="F435" t="s">
        <v>2899</v>
      </c>
      <c r="G435" t="s">
        <v>2900</v>
      </c>
      <c r="H435">
        <v>9282831159</v>
      </c>
      <c r="K435" t="s">
        <v>2901</v>
      </c>
      <c r="L435" t="s">
        <v>2902</v>
      </c>
      <c r="M435" t="s">
        <v>1634</v>
      </c>
    </row>
    <row r="436" spans="1:13" x14ac:dyDescent="0.25">
      <c r="A436">
        <v>4197</v>
      </c>
      <c r="B436" t="s">
        <v>399</v>
      </c>
      <c r="C436" t="s">
        <v>2890</v>
      </c>
      <c r="D436" t="s">
        <v>1628</v>
      </c>
      <c r="E436" t="s">
        <v>2654</v>
      </c>
      <c r="F436" t="s">
        <v>2660</v>
      </c>
      <c r="G436" t="s">
        <v>2903</v>
      </c>
      <c r="H436">
        <v>9282831027</v>
      </c>
      <c r="K436" t="s">
        <v>2904</v>
      </c>
      <c r="L436" t="s">
        <v>1668</v>
      </c>
      <c r="M436" t="s">
        <v>1634</v>
      </c>
    </row>
    <row r="437" spans="1:13" x14ac:dyDescent="0.25">
      <c r="A437">
        <v>4197</v>
      </c>
      <c r="B437" t="s">
        <v>399</v>
      </c>
      <c r="C437" t="s">
        <v>2890</v>
      </c>
      <c r="D437" t="s">
        <v>1628</v>
      </c>
      <c r="E437" t="s">
        <v>2654</v>
      </c>
      <c r="F437" t="s">
        <v>2894</v>
      </c>
      <c r="G437" t="s">
        <v>1716</v>
      </c>
      <c r="H437">
        <v>9282831099</v>
      </c>
      <c r="K437" t="s">
        <v>2895</v>
      </c>
      <c r="L437" t="s">
        <v>1640</v>
      </c>
      <c r="M437" t="s">
        <v>1640</v>
      </c>
    </row>
    <row r="438" spans="1:13" x14ac:dyDescent="0.25">
      <c r="A438">
        <v>4833</v>
      </c>
      <c r="B438" t="s">
        <v>2905</v>
      </c>
      <c r="C438" t="s">
        <v>2906</v>
      </c>
      <c r="D438" t="s">
        <v>1643</v>
      </c>
      <c r="E438" t="s">
        <v>2654</v>
      </c>
      <c r="F438" t="s">
        <v>2891</v>
      </c>
      <c r="G438" t="s">
        <v>2892</v>
      </c>
      <c r="H438">
        <v>9282831024</v>
      </c>
      <c r="J438">
        <v>9282831222</v>
      </c>
      <c r="K438" t="s">
        <v>2893</v>
      </c>
      <c r="L438" t="s">
        <v>2907</v>
      </c>
      <c r="M438" t="s">
        <v>1634</v>
      </c>
    </row>
    <row r="439" spans="1:13" x14ac:dyDescent="0.25">
      <c r="A439">
        <v>4833</v>
      </c>
      <c r="B439" t="s">
        <v>2905</v>
      </c>
      <c r="C439" t="s">
        <v>2906</v>
      </c>
      <c r="D439" t="s">
        <v>1643</v>
      </c>
      <c r="E439" t="s">
        <v>2654</v>
      </c>
      <c r="F439" t="s">
        <v>2908</v>
      </c>
      <c r="G439" t="s">
        <v>2909</v>
      </c>
      <c r="L439" t="s">
        <v>1721</v>
      </c>
      <c r="M439" t="s">
        <v>1634</v>
      </c>
    </row>
    <row r="440" spans="1:13" x14ac:dyDescent="0.25">
      <c r="A440">
        <v>4833</v>
      </c>
      <c r="B440" t="s">
        <v>2905</v>
      </c>
      <c r="C440" t="s">
        <v>2906</v>
      </c>
      <c r="D440" t="s">
        <v>1643</v>
      </c>
      <c r="E440" t="s">
        <v>2654</v>
      </c>
      <c r="F440" t="s">
        <v>2910</v>
      </c>
      <c r="G440" t="s">
        <v>2911</v>
      </c>
      <c r="K440" t="s">
        <v>2912</v>
      </c>
      <c r="L440" t="s">
        <v>2913</v>
      </c>
      <c r="M440" t="s">
        <v>1634</v>
      </c>
    </row>
    <row r="441" spans="1:13" x14ac:dyDescent="0.25">
      <c r="A441">
        <v>4834</v>
      </c>
      <c r="B441" t="s">
        <v>400</v>
      </c>
      <c r="C441" t="s">
        <v>2914</v>
      </c>
      <c r="D441" t="s">
        <v>1643</v>
      </c>
      <c r="E441" t="s">
        <v>2654</v>
      </c>
      <c r="F441" t="s">
        <v>2915</v>
      </c>
      <c r="G441" t="s">
        <v>2916</v>
      </c>
      <c r="H441">
        <v>9282831092</v>
      </c>
      <c r="K441" t="s">
        <v>2917</v>
      </c>
      <c r="L441" t="s">
        <v>1721</v>
      </c>
      <c r="M441" t="s">
        <v>1634</v>
      </c>
    </row>
    <row r="442" spans="1:13" x14ac:dyDescent="0.25">
      <c r="A442">
        <v>4834</v>
      </c>
      <c r="B442" t="s">
        <v>400</v>
      </c>
      <c r="C442" t="s">
        <v>2914</v>
      </c>
      <c r="D442" t="s">
        <v>1643</v>
      </c>
      <c r="E442" t="s">
        <v>2654</v>
      </c>
      <c r="F442" t="s">
        <v>2896</v>
      </c>
      <c r="G442" t="s">
        <v>2897</v>
      </c>
      <c r="H442">
        <v>9282831090</v>
      </c>
      <c r="K442" t="s">
        <v>2898</v>
      </c>
      <c r="L442" t="s">
        <v>1647</v>
      </c>
      <c r="M442" t="s">
        <v>1634</v>
      </c>
    </row>
    <row r="443" spans="1:13" x14ac:dyDescent="0.25">
      <c r="A443">
        <v>4835</v>
      </c>
      <c r="B443" t="s">
        <v>2918</v>
      </c>
      <c r="C443" t="s">
        <v>2919</v>
      </c>
      <c r="D443" t="s">
        <v>1643</v>
      </c>
      <c r="E443" t="s">
        <v>2654</v>
      </c>
      <c r="F443" t="s">
        <v>2915</v>
      </c>
      <c r="G443" t="s">
        <v>2916</v>
      </c>
      <c r="H443">
        <v>9282831091</v>
      </c>
      <c r="I443">
        <v>90</v>
      </c>
      <c r="K443" t="s">
        <v>2917</v>
      </c>
      <c r="L443" t="s">
        <v>1647</v>
      </c>
      <c r="M443" t="s">
        <v>1634</v>
      </c>
    </row>
    <row r="444" spans="1:13" x14ac:dyDescent="0.25">
      <c r="A444">
        <v>4835</v>
      </c>
      <c r="B444" t="s">
        <v>2918</v>
      </c>
      <c r="C444" t="s">
        <v>2919</v>
      </c>
      <c r="D444" t="s">
        <v>1643</v>
      </c>
      <c r="E444" t="s">
        <v>2654</v>
      </c>
      <c r="F444" t="s">
        <v>2896</v>
      </c>
      <c r="G444" t="s">
        <v>2897</v>
      </c>
      <c r="H444">
        <v>9282831090</v>
      </c>
      <c r="K444" t="s">
        <v>2898</v>
      </c>
      <c r="L444" t="s">
        <v>1647</v>
      </c>
      <c r="M444" t="s">
        <v>1634</v>
      </c>
    </row>
    <row r="445" spans="1:13" x14ac:dyDescent="0.25">
      <c r="A445">
        <v>4837</v>
      </c>
      <c r="B445" t="s">
        <v>409</v>
      </c>
      <c r="C445" t="s">
        <v>2920</v>
      </c>
      <c r="D445" t="s">
        <v>1643</v>
      </c>
      <c r="E445" t="s">
        <v>2654</v>
      </c>
      <c r="F445" t="s">
        <v>2921</v>
      </c>
      <c r="G445" t="s">
        <v>1716</v>
      </c>
      <c r="H445">
        <v>9282831006</v>
      </c>
      <c r="J445">
        <v>9282831200</v>
      </c>
      <c r="K445" t="s">
        <v>2922</v>
      </c>
      <c r="L445" t="s">
        <v>2584</v>
      </c>
      <c r="M445" t="s">
        <v>1634</v>
      </c>
    </row>
    <row r="446" spans="1:13" x14ac:dyDescent="0.25">
      <c r="A446">
        <v>78916</v>
      </c>
      <c r="B446" t="s">
        <v>2923</v>
      </c>
      <c r="C446" t="s">
        <v>2924</v>
      </c>
      <c r="D446" t="s">
        <v>1643</v>
      </c>
      <c r="E446" t="s">
        <v>2654</v>
      </c>
    </row>
    <row r="447" spans="1:13" x14ac:dyDescent="0.25">
      <c r="A447">
        <v>4838</v>
      </c>
      <c r="B447" t="s">
        <v>880</v>
      </c>
      <c r="C447" t="s">
        <v>2925</v>
      </c>
      <c r="D447" t="s">
        <v>1643</v>
      </c>
      <c r="E447" t="s">
        <v>2654</v>
      </c>
      <c r="F447" t="s">
        <v>2926</v>
      </c>
      <c r="G447" t="s">
        <v>2927</v>
      </c>
      <c r="H447">
        <v>9282831053</v>
      </c>
      <c r="K447" t="s">
        <v>2928</v>
      </c>
      <c r="L447" t="s">
        <v>2929</v>
      </c>
      <c r="M447" t="s">
        <v>1634</v>
      </c>
    </row>
    <row r="448" spans="1:13" x14ac:dyDescent="0.25">
      <c r="A448">
        <v>4198</v>
      </c>
      <c r="B448" t="s">
        <v>2930</v>
      </c>
      <c r="C448" t="s">
        <v>2931</v>
      </c>
      <c r="D448" t="s">
        <v>1628</v>
      </c>
      <c r="E448" t="s">
        <v>2654</v>
      </c>
      <c r="F448" t="s">
        <v>2521</v>
      </c>
      <c r="G448" t="s">
        <v>2932</v>
      </c>
      <c r="K448" t="s">
        <v>2933</v>
      </c>
      <c r="L448" t="s">
        <v>1668</v>
      </c>
      <c r="M448" t="s">
        <v>1634</v>
      </c>
    </row>
    <row r="449" spans="1:13" x14ac:dyDescent="0.25">
      <c r="A449">
        <v>4198</v>
      </c>
      <c r="B449" t="s">
        <v>2930</v>
      </c>
      <c r="C449" t="s">
        <v>2931</v>
      </c>
      <c r="D449" t="s">
        <v>1628</v>
      </c>
      <c r="E449" t="s">
        <v>2654</v>
      </c>
      <c r="F449" t="s">
        <v>2189</v>
      </c>
      <c r="G449" t="s">
        <v>2934</v>
      </c>
      <c r="H449">
        <v>9285354729</v>
      </c>
      <c r="K449" t="s">
        <v>2935</v>
      </c>
      <c r="M449" t="s">
        <v>1634</v>
      </c>
    </row>
    <row r="450" spans="1:13" x14ac:dyDescent="0.25">
      <c r="A450">
        <v>4198</v>
      </c>
      <c r="B450" t="s">
        <v>2930</v>
      </c>
      <c r="C450" t="s">
        <v>2931</v>
      </c>
      <c r="D450" t="s">
        <v>1628</v>
      </c>
      <c r="E450" t="s">
        <v>2654</v>
      </c>
      <c r="F450" t="s">
        <v>2351</v>
      </c>
      <c r="G450" t="s">
        <v>2666</v>
      </c>
      <c r="H450">
        <v>9286798075</v>
      </c>
      <c r="K450" t="s">
        <v>2667</v>
      </c>
      <c r="L450" t="s">
        <v>2936</v>
      </c>
      <c r="M450" t="s">
        <v>1640</v>
      </c>
    </row>
    <row r="451" spans="1:13" x14ac:dyDescent="0.25">
      <c r="A451">
        <v>4198</v>
      </c>
      <c r="B451" t="s">
        <v>2930</v>
      </c>
      <c r="C451" t="s">
        <v>2931</v>
      </c>
      <c r="D451" t="s">
        <v>1628</v>
      </c>
      <c r="E451" t="s">
        <v>2654</v>
      </c>
      <c r="F451" t="s">
        <v>2937</v>
      </c>
      <c r="G451" t="s">
        <v>1788</v>
      </c>
      <c r="H451">
        <v>9285354729</v>
      </c>
      <c r="J451">
        <v>9285353049</v>
      </c>
      <c r="K451" t="s">
        <v>2938</v>
      </c>
      <c r="L451" t="s">
        <v>2939</v>
      </c>
      <c r="M451" t="s">
        <v>1640</v>
      </c>
    </row>
    <row r="452" spans="1:13" x14ac:dyDescent="0.25">
      <c r="A452">
        <v>4199</v>
      </c>
      <c r="B452" t="s">
        <v>2940</v>
      </c>
      <c r="C452" t="s">
        <v>2941</v>
      </c>
      <c r="D452" t="s">
        <v>1628</v>
      </c>
      <c r="E452" t="s">
        <v>2654</v>
      </c>
      <c r="F452" t="s">
        <v>2082</v>
      </c>
      <c r="G452" t="s">
        <v>2927</v>
      </c>
      <c r="K452" t="s">
        <v>2942</v>
      </c>
      <c r="L452" t="s">
        <v>1668</v>
      </c>
      <c r="M452" t="s">
        <v>1634</v>
      </c>
    </row>
    <row r="453" spans="1:13" x14ac:dyDescent="0.25">
      <c r="A453">
        <v>4199</v>
      </c>
      <c r="B453" t="s">
        <v>2940</v>
      </c>
      <c r="C453" t="s">
        <v>2941</v>
      </c>
      <c r="D453" t="s">
        <v>1628</v>
      </c>
      <c r="E453" t="s">
        <v>2654</v>
      </c>
      <c r="F453" t="s">
        <v>2943</v>
      </c>
      <c r="G453" t="s">
        <v>2944</v>
      </c>
      <c r="I453">
        <v>103</v>
      </c>
      <c r="J453">
        <v>9286355320</v>
      </c>
      <c r="K453" t="s">
        <v>2945</v>
      </c>
      <c r="L453" t="s">
        <v>2946</v>
      </c>
      <c r="M453" t="s">
        <v>1640</v>
      </c>
    </row>
    <row r="454" spans="1:13" x14ac:dyDescent="0.25">
      <c r="A454">
        <v>4199</v>
      </c>
      <c r="B454" t="s">
        <v>2940</v>
      </c>
      <c r="C454" t="s">
        <v>2941</v>
      </c>
      <c r="D454" t="s">
        <v>1628</v>
      </c>
      <c r="E454" t="s">
        <v>2654</v>
      </c>
      <c r="F454" t="s">
        <v>2943</v>
      </c>
      <c r="G454" t="s">
        <v>2944</v>
      </c>
      <c r="I454">
        <v>103</v>
      </c>
      <c r="J454">
        <v>9286355320</v>
      </c>
      <c r="K454" t="s">
        <v>2945</v>
      </c>
      <c r="L454" t="s">
        <v>2946</v>
      </c>
      <c r="M454" t="s">
        <v>1765</v>
      </c>
    </row>
    <row r="455" spans="1:13" x14ac:dyDescent="0.25">
      <c r="A455">
        <v>4199</v>
      </c>
      <c r="B455" t="s">
        <v>2940</v>
      </c>
      <c r="C455" t="s">
        <v>2941</v>
      </c>
      <c r="D455" t="s">
        <v>1628</v>
      </c>
      <c r="E455" t="s">
        <v>2654</v>
      </c>
      <c r="F455" t="s">
        <v>2947</v>
      </c>
      <c r="G455" t="s">
        <v>2948</v>
      </c>
      <c r="K455" t="s">
        <v>2949</v>
      </c>
      <c r="L455" t="s">
        <v>1765</v>
      </c>
      <c r="M455" t="s">
        <v>1765</v>
      </c>
    </row>
    <row r="456" spans="1:13" x14ac:dyDescent="0.25">
      <c r="A456">
        <v>4839</v>
      </c>
      <c r="B456" t="s">
        <v>2950</v>
      </c>
      <c r="C456" t="s">
        <v>2951</v>
      </c>
      <c r="D456" t="s">
        <v>1643</v>
      </c>
      <c r="E456" t="s">
        <v>2654</v>
      </c>
      <c r="F456" t="s">
        <v>2082</v>
      </c>
      <c r="G456" t="s">
        <v>2927</v>
      </c>
      <c r="H456">
        <v>9286352115</v>
      </c>
      <c r="J456">
        <v>9286355320</v>
      </c>
      <c r="K456" t="s">
        <v>2952</v>
      </c>
      <c r="L456" t="s">
        <v>1668</v>
      </c>
      <c r="M456" t="s">
        <v>1634</v>
      </c>
    </row>
    <row r="457" spans="1:13" x14ac:dyDescent="0.25">
      <c r="A457">
        <v>79381</v>
      </c>
      <c r="B457" t="s">
        <v>2953</v>
      </c>
      <c r="C457" t="s">
        <v>2954</v>
      </c>
      <c r="D457" t="s">
        <v>1628</v>
      </c>
      <c r="E457" t="s">
        <v>2654</v>
      </c>
      <c r="F457" t="s">
        <v>1775</v>
      </c>
      <c r="G457" t="s">
        <v>2955</v>
      </c>
      <c r="K457" t="s">
        <v>2956</v>
      </c>
      <c r="M457" t="s">
        <v>1634</v>
      </c>
    </row>
    <row r="458" spans="1:13" x14ac:dyDescent="0.25">
      <c r="A458">
        <v>79381</v>
      </c>
      <c r="B458" t="s">
        <v>2953</v>
      </c>
      <c r="C458" t="s">
        <v>2954</v>
      </c>
      <c r="D458" t="s">
        <v>1628</v>
      </c>
      <c r="E458" t="s">
        <v>2654</v>
      </c>
      <c r="F458" t="s">
        <v>2135</v>
      </c>
      <c r="G458" t="s">
        <v>2957</v>
      </c>
      <c r="H458">
        <v>9288648379</v>
      </c>
      <c r="K458" t="s">
        <v>2958</v>
      </c>
      <c r="L458" t="s">
        <v>1668</v>
      </c>
      <c r="M458" t="s">
        <v>1634</v>
      </c>
    </row>
    <row r="459" spans="1:13" x14ac:dyDescent="0.25">
      <c r="A459">
        <v>79381</v>
      </c>
      <c r="B459" t="s">
        <v>2953</v>
      </c>
      <c r="C459" t="s">
        <v>2954</v>
      </c>
      <c r="D459" t="s">
        <v>1628</v>
      </c>
      <c r="E459" t="s">
        <v>2654</v>
      </c>
      <c r="F459" t="s">
        <v>2135</v>
      </c>
      <c r="G459" t="s">
        <v>2957</v>
      </c>
      <c r="H459">
        <v>9288648379</v>
      </c>
      <c r="K459" t="s">
        <v>2958</v>
      </c>
      <c r="L459" t="s">
        <v>1668</v>
      </c>
      <c r="M459" t="s">
        <v>1640</v>
      </c>
    </row>
    <row r="460" spans="1:13" x14ac:dyDescent="0.25">
      <c r="A460">
        <v>79381</v>
      </c>
      <c r="B460" t="s">
        <v>2953</v>
      </c>
      <c r="C460" t="s">
        <v>2954</v>
      </c>
      <c r="D460" t="s">
        <v>1628</v>
      </c>
      <c r="E460" t="s">
        <v>2654</v>
      </c>
      <c r="F460" t="s">
        <v>2508</v>
      </c>
      <c r="G460" t="s">
        <v>1298</v>
      </c>
      <c r="H460" t="s">
        <v>2509</v>
      </c>
      <c r="K460" t="s">
        <v>2510</v>
      </c>
      <c r="M460" t="s">
        <v>1640</v>
      </c>
    </row>
    <row r="461" spans="1:13" x14ac:dyDescent="0.25">
      <c r="A461">
        <v>79381</v>
      </c>
      <c r="B461" t="s">
        <v>2953</v>
      </c>
      <c r="C461" t="s">
        <v>2954</v>
      </c>
      <c r="D461" t="s">
        <v>1628</v>
      </c>
      <c r="E461" t="s">
        <v>2654</v>
      </c>
      <c r="F461" t="s">
        <v>1775</v>
      </c>
      <c r="G461" t="s">
        <v>2955</v>
      </c>
      <c r="K461" t="s">
        <v>2956</v>
      </c>
      <c r="M461" t="s">
        <v>1765</v>
      </c>
    </row>
    <row r="462" spans="1:13" x14ac:dyDescent="0.25">
      <c r="A462">
        <v>79382</v>
      </c>
      <c r="B462" t="s">
        <v>2959</v>
      </c>
      <c r="C462" t="s">
        <v>2960</v>
      </c>
      <c r="D462" t="s">
        <v>1643</v>
      </c>
      <c r="E462" t="s">
        <v>2654</v>
      </c>
      <c r="F462" t="s">
        <v>2085</v>
      </c>
      <c r="G462" t="s">
        <v>2961</v>
      </c>
      <c r="K462" t="s">
        <v>2962</v>
      </c>
      <c r="M462" t="s">
        <v>1634</v>
      </c>
    </row>
    <row r="463" spans="1:13" x14ac:dyDescent="0.25">
      <c r="A463">
        <v>79784</v>
      </c>
      <c r="B463" t="s">
        <v>2963</v>
      </c>
      <c r="C463" t="s">
        <v>2964</v>
      </c>
      <c r="D463" t="s">
        <v>1643</v>
      </c>
      <c r="E463" t="s">
        <v>2654</v>
      </c>
      <c r="F463" t="s">
        <v>2965</v>
      </c>
      <c r="G463" t="s">
        <v>2322</v>
      </c>
      <c r="K463" t="s">
        <v>2966</v>
      </c>
      <c r="M463" t="s">
        <v>1634</v>
      </c>
    </row>
    <row r="464" spans="1:13" x14ac:dyDescent="0.25">
      <c r="A464">
        <v>79785</v>
      </c>
      <c r="B464" t="s">
        <v>2967</v>
      </c>
      <c r="C464" t="s">
        <v>2968</v>
      </c>
      <c r="D464" t="s">
        <v>1643</v>
      </c>
      <c r="E464" t="s">
        <v>2654</v>
      </c>
      <c r="F464" t="s">
        <v>1675</v>
      </c>
      <c r="G464" t="s">
        <v>2969</v>
      </c>
      <c r="H464">
        <v>9286437333</v>
      </c>
      <c r="J464">
        <v>9286437044</v>
      </c>
      <c r="K464" t="s">
        <v>2970</v>
      </c>
      <c r="L464" t="s">
        <v>1668</v>
      </c>
      <c r="M464" t="s">
        <v>1634</v>
      </c>
    </row>
    <row r="465" spans="1:13" x14ac:dyDescent="0.25">
      <c r="A465">
        <v>79785</v>
      </c>
      <c r="B465" t="s">
        <v>2967</v>
      </c>
      <c r="C465" t="s">
        <v>2968</v>
      </c>
      <c r="D465" t="s">
        <v>1643</v>
      </c>
      <c r="E465" t="s">
        <v>2654</v>
      </c>
      <c r="F465" t="s">
        <v>1775</v>
      </c>
      <c r="G465" t="s">
        <v>2955</v>
      </c>
      <c r="K465" t="s">
        <v>2956</v>
      </c>
      <c r="M465" t="s">
        <v>1634</v>
      </c>
    </row>
    <row r="466" spans="1:13" x14ac:dyDescent="0.25">
      <c r="A466">
        <v>79786</v>
      </c>
      <c r="B466" t="s">
        <v>2971</v>
      </c>
      <c r="C466" t="s">
        <v>2972</v>
      </c>
      <c r="D466" t="s">
        <v>1643</v>
      </c>
      <c r="E466" t="s">
        <v>2654</v>
      </c>
      <c r="F466" t="s">
        <v>1726</v>
      </c>
      <c r="G466" t="s">
        <v>2973</v>
      </c>
      <c r="H466">
        <v>9286354473</v>
      </c>
      <c r="J466">
        <v>9286354767</v>
      </c>
      <c r="K466" t="s">
        <v>2974</v>
      </c>
      <c r="L466" t="s">
        <v>1668</v>
      </c>
      <c r="M466" t="s">
        <v>1634</v>
      </c>
    </row>
    <row r="467" spans="1:13" x14ac:dyDescent="0.25">
      <c r="A467">
        <v>87467</v>
      </c>
      <c r="B467" t="s">
        <v>2975</v>
      </c>
      <c r="C467" t="s">
        <v>2976</v>
      </c>
      <c r="D467" t="s">
        <v>1643</v>
      </c>
      <c r="E467" t="s">
        <v>2654</v>
      </c>
      <c r="F467" t="s">
        <v>2977</v>
      </c>
      <c r="G467" t="s">
        <v>2978</v>
      </c>
      <c r="H467">
        <v>9286452737</v>
      </c>
      <c r="J467">
        <v>9286452773</v>
      </c>
      <c r="K467" t="s">
        <v>2979</v>
      </c>
      <c r="L467" t="s">
        <v>1640</v>
      </c>
      <c r="M467" t="s">
        <v>1634</v>
      </c>
    </row>
    <row r="468" spans="1:13" x14ac:dyDescent="0.25">
      <c r="A468">
        <v>87468</v>
      </c>
      <c r="B468" t="s">
        <v>2980</v>
      </c>
      <c r="C468" t="s">
        <v>2981</v>
      </c>
      <c r="D468" t="s">
        <v>1643</v>
      </c>
      <c r="E468" t="s">
        <v>2654</v>
      </c>
      <c r="F468" t="s">
        <v>2977</v>
      </c>
      <c r="G468" t="s">
        <v>2978</v>
      </c>
      <c r="H468">
        <v>9286452737</v>
      </c>
      <c r="J468">
        <v>9286452773</v>
      </c>
      <c r="K468" t="s">
        <v>2979</v>
      </c>
      <c r="L468" t="s">
        <v>1640</v>
      </c>
      <c r="M468" t="s">
        <v>1634</v>
      </c>
    </row>
    <row r="469" spans="1:13" x14ac:dyDescent="0.25">
      <c r="A469">
        <v>89609</v>
      </c>
      <c r="B469" t="s">
        <v>2982</v>
      </c>
      <c r="C469" t="s">
        <v>2983</v>
      </c>
      <c r="D469" t="s">
        <v>1643</v>
      </c>
      <c r="E469" t="s">
        <v>2654</v>
      </c>
      <c r="F469" t="s">
        <v>1775</v>
      </c>
      <c r="G469" t="s">
        <v>2955</v>
      </c>
      <c r="K469" t="s">
        <v>2956</v>
      </c>
      <c r="M469" t="s">
        <v>1634</v>
      </c>
    </row>
    <row r="470" spans="1:13" x14ac:dyDescent="0.25">
      <c r="A470">
        <v>89609</v>
      </c>
      <c r="B470" t="s">
        <v>2982</v>
      </c>
      <c r="C470" t="s">
        <v>2983</v>
      </c>
      <c r="D470" t="s">
        <v>1643</v>
      </c>
      <c r="E470" t="s">
        <v>2654</v>
      </c>
      <c r="F470" t="s">
        <v>2977</v>
      </c>
      <c r="G470" t="s">
        <v>2978</v>
      </c>
      <c r="H470">
        <v>9286452737</v>
      </c>
      <c r="J470">
        <v>9286452773</v>
      </c>
      <c r="K470" t="s">
        <v>2979</v>
      </c>
      <c r="L470" t="s">
        <v>1640</v>
      </c>
      <c r="M470" t="s">
        <v>1640</v>
      </c>
    </row>
    <row r="471" spans="1:13" x14ac:dyDescent="0.25">
      <c r="A471">
        <v>89913</v>
      </c>
      <c r="B471" t="s">
        <v>2984</v>
      </c>
      <c r="C471" t="s">
        <v>2985</v>
      </c>
      <c r="D471" t="s">
        <v>1643</v>
      </c>
      <c r="E471" t="s">
        <v>2654</v>
      </c>
      <c r="F471" t="s">
        <v>2977</v>
      </c>
      <c r="G471" t="s">
        <v>2978</v>
      </c>
      <c r="H471">
        <v>9286452737</v>
      </c>
      <c r="J471">
        <v>9286452773</v>
      </c>
      <c r="K471" t="s">
        <v>2979</v>
      </c>
      <c r="M471" t="s">
        <v>1640</v>
      </c>
    </row>
    <row r="472" spans="1:13" x14ac:dyDescent="0.25">
      <c r="A472">
        <v>90397</v>
      </c>
      <c r="B472" t="s">
        <v>2986</v>
      </c>
      <c r="C472" t="s">
        <v>2987</v>
      </c>
      <c r="D472" t="s">
        <v>1643</v>
      </c>
      <c r="E472" t="s">
        <v>2654</v>
      </c>
    </row>
    <row r="473" spans="1:13" x14ac:dyDescent="0.25">
      <c r="A473">
        <v>91123</v>
      </c>
      <c r="B473" t="s">
        <v>2988</v>
      </c>
      <c r="C473" t="s">
        <v>2989</v>
      </c>
      <c r="D473" t="s">
        <v>1643</v>
      </c>
      <c r="E473" t="s">
        <v>2654</v>
      </c>
      <c r="F473" t="s">
        <v>2977</v>
      </c>
      <c r="G473" t="s">
        <v>2978</v>
      </c>
      <c r="H473">
        <v>9286452737</v>
      </c>
      <c r="J473">
        <v>9286452773</v>
      </c>
      <c r="K473" t="s">
        <v>2979</v>
      </c>
      <c r="M473" t="s">
        <v>1640</v>
      </c>
    </row>
    <row r="474" spans="1:13" x14ac:dyDescent="0.25">
      <c r="A474">
        <v>92660</v>
      </c>
      <c r="B474" t="s">
        <v>2990</v>
      </c>
      <c r="C474" t="s">
        <v>2991</v>
      </c>
      <c r="D474" t="s">
        <v>1643</v>
      </c>
      <c r="E474" t="s">
        <v>2654</v>
      </c>
      <c r="F474" t="s">
        <v>2977</v>
      </c>
      <c r="G474" t="s">
        <v>2992</v>
      </c>
      <c r="H474">
        <v>9286452737</v>
      </c>
      <c r="K474" t="s">
        <v>2979</v>
      </c>
      <c r="M474" t="s">
        <v>1634</v>
      </c>
    </row>
    <row r="475" spans="1:13" x14ac:dyDescent="0.25">
      <c r="A475">
        <v>321309</v>
      </c>
      <c r="B475" t="s">
        <v>2993</v>
      </c>
      <c r="C475" t="s">
        <v>2994</v>
      </c>
      <c r="D475" t="s">
        <v>1643</v>
      </c>
      <c r="E475" t="s">
        <v>1273</v>
      </c>
    </row>
    <row r="476" spans="1:13" x14ac:dyDescent="0.25">
      <c r="A476">
        <v>4204</v>
      </c>
      <c r="B476" t="s">
        <v>2995</v>
      </c>
      <c r="C476" t="s">
        <v>2996</v>
      </c>
      <c r="D476" t="s">
        <v>2596</v>
      </c>
      <c r="E476" t="s">
        <v>2654</v>
      </c>
      <c r="F476" t="s">
        <v>2997</v>
      </c>
      <c r="G476" t="s">
        <v>2998</v>
      </c>
      <c r="J476">
        <v>9282148778</v>
      </c>
      <c r="K476" t="s">
        <v>2999</v>
      </c>
      <c r="M476" t="s">
        <v>1634</v>
      </c>
    </row>
    <row r="477" spans="1:13" x14ac:dyDescent="0.25">
      <c r="A477">
        <v>4204</v>
      </c>
      <c r="B477" t="s">
        <v>2995</v>
      </c>
      <c r="C477" t="s">
        <v>2996</v>
      </c>
      <c r="D477" t="s">
        <v>2596</v>
      </c>
      <c r="E477" t="s">
        <v>2654</v>
      </c>
      <c r="F477" t="s">
        <v>3000</v>
      </c>
      <c r="G477" t="s">
        <v>3001</v>
      </c>
      <c r="J477">
        <v>9282148778</v>
      </c>
      <c r="K477" t="s">
        <v>3002</v>
      </c>
      <c r="L477" t="s">
        <v>1647</v>
      </c>
      <c r="M477" t="s">
        <v>1634</v>
      </c>
    </row>
    <row r="478" spans="1:13" x14ac:dyDescent="0.25">
      <c r="A478">
        <v>4204</v>
      </c>
      <c r="B478" t="s">
        <v>2995</v>
      </c>
      <c r="C478" t="s">
        <v>2996</v>
      </c>
      <c r="D478" t="s">
        <v>2596</v>
      </c>
      <c r="E478" t="s">
        <v>2654</v>
      </c>
      <c r="F478" t="s">
        <v>3003</v>
      </c>
      <c r="G478" t="s">
        <v>3004</v>
      </c>
      <c r="H478">
        <v>9282148776</v>
      </c>
      <c r="I478">
        <v>407</v>
      </c>
      <c r="K478" t="s">
        <v>3005</v>
      </c>
      <c r="L478" t="s">
        <v>1647</v>
      </c>
      <c r="M478" t="s">
        <v>1634</v>
      </c>
    </row>
    <row r="479" spans="1:13" x14ac:dyDescent="0.25">
      <c r="A479">
        <v>4204</v>
      </c>
      <c r="B479" t="s">
        <v>2995</v>
      </c>
      <c r="C479" t="s">
        <v>2996</v>
      </c>
      <c r="D479" t="s">
        <v>2596</v>
      </c>
      <c r="E479" t="s">
        <v>2654</v>
      </c>
      <c r="F479" t="s">
        <v>2997</v>
      </c>
      <c r="G479" t="s">
        <v>2998</v>
      </c>
      <c r="J479">
        <v>9282148778</v>
      </c>
      <c r="K479" t="s">
        <v>2999</v>
      </c>
      <c r="M479" t="s">
        <v>1640</v>
      </c>
    </row>
    <row r="480" spans="1:13" x14ac:dyDescent="0.25">
      <c r="A480">
        <v>4204</v>
      </c>
      <c r="B480" t="s">
        <v>2995</v>
      </c>
      <c r="C480" t="s">
        <v>2996</v>
      </c>
      <c r="D480" t="s">
        <v>2596</v>
      </c>
      <c r="E480" t="s">
        <v>2654</v>
      </c>
      <c r="F480" t="s">
        <v>3000</v>
      </c>
      <c r="G480" t="s">
        <v>3001</v>
      </c>
      <c r="J480">
        <v>9282148778</v>
      </c>
      <c r="K480" t="s">
        <v>3002</v>
      </c>
      <c r="L480" t="s">
        <v>1647</v>
      </c>
      <c r="M480" t="s">
        <v>1765</v>
      </c>
    </row>
    <row r="481" spans="1:13" x14ac:dyDescent="0.25">
      <c r="A481">
        <v>4204</v>
      </c>
      <c r="B481" t="s">
        <v>2995</v>
      </c>
      <c r="C481" t="s">
        <v>2996</v>
      </c>
      <c r="D481" t="s">
        <v>2596</v>
      </c>
      <c r="E481" t="s">
        <v>2654</v>
      </c>
      <c r="F481" t="s">
        <v>3003</v>
      </c>
      <c r="G481" t="s">
        <v>3004</v>
      </c>
      <c r="H481">
        <v>9282148776</v>
      </c>
      <c r="I481">
        <v>407</v>
      </c>
      <c r="K481" t="s">
        <v>3005</v>
      </c>
      <c r="L481" t="s">
        <v>1647</v>
      </c>
      <c r="M481" t="s">
        <v>1765</v>
      </c>
    </row>
    <row r="482" spans="1:13" x14ac:dyDescent="0.25">
      <c r="A482">
        <v>4845</v>
      </c>
      <c r="B482" t="s">
        <v>2995</v>
      </c>
      <c r="C482" t="s">
        <v>3006</v>
      </c>
      <c r="D482" t="s">
        <v>2605</v>
      </c>
      <c r="E482" t="s">
        <v>2654</v>
      </c>
      <c r="F482" t="s">
        <v>1997</v>
      </c>
      <c r="G482" t="s">
        <v>3007</v>
      </c>
      <c r="H482">
        <v>9282148776</v>
      </c>
      <c r="K482" t="s">
        <v>3008</v>
      </c>
      <c r="M482" t="s">
        <v>1634</v>
      </c>
    </row>
    <row r="483" spans="1:13" x14ac:dyDescent="0.25">
      <c r="A483">
        <v>4845</v>
      </c>
      <c r="B483" t="s">
        <v>2995</v>
      </c>
      <c r="C483" t="s">
        <v>3006</v>
      </c>
      <c r="D483" t="s">
        <v>2605</v>
      </c>
      <c r="E483" t="s">
        <v>2654</v>
      </c>
      <c r="F483" t="s">
        <v>3000</v>
      </c>
      <c r="G483" t="s">
        <v>3009</v>
      </c>
      <c r="H483">
        <v>9282148776</v>
      </c>
      <c r="K483" t="s">
        <v>3010</v>
      </c>
      <c r="M483" t="s">
        <v>1634</v>
      </c>
    </row>
    <row r="484" spans="1:13" x14ac:dyDescent="0.25">
      <c r="A484">
        <v>79866</v>
      </c>
      <c r="B484" t="s">
        <v>3011</v>
      </c>
      <c r="C484" t="s">
        <v>3012</v>
      </c>
      <c r="D484" t="s">
        <v>2596</v>
      </c>
      <c r="E484" t="s">
        <v>2654</v>
      </c>
      <c r="F484" t="s">
        <v>3013</v>
      </c>
      <c r="G484" t="s">
        <v>3014</v>
      </c>
      <c r="H484">
        <v>9287790771</v>
      </c>
      <c r="K484" t="s">
        <v>3015</v>
      </c>
      <c r="M484" t="s">
        <v>1634</v>
      </c>
    </row>
    <row r="485" spans="1:13" x14ac:dyDescent="0.25">
      <c r="A485">
        <v>79884</v>
      </c>
      <c r="B485" t="s">
        <v>3016</v>
      </c>
      <c r="C485" t="s">
        <v>3017</v>
      </c>
      <c r="D485" t="s">
        <v>2605</v>
      </c>
      <c r="E485" t="s">
        <v>2654</v>
      </c>
      <c r="F485" t="s">
        <v>3018</v>
      </c>
      <c r="G485" t="s">
        <v>3019</v>
      </c>
      <c r="J485">
        <v>9287790774</v>
      </c>
      <c r="K485" t="s">
        <v>3020</v>
      </c>
      <c r="L485" t="s">
        <v>3021</v>
      </c>
      <c r="M485" t="s">
        <v>1634</v>
      </c>
    </row>
    <row r="486" spans="1:13" x14ac:dyDescent="0.25">
      <c r="A486">
        <v>4205</v>
      </c>
      <c r="B486" t="s">
        <v>3022</v>
      </c>
      <c r="C486" t="s">
        <v>3023</v>
      </c>
      <c r="D486" t="s">
        <v>2596</v>
      </c>
      <c r="E486" t="s">
        <v>2654</v>
      </c>
      <c r="F486" t="s">
        <v>3024</v>
      </c>
      <c r="G486" t="s">
        <v>3025</v>
      </c>
      <c r="H486">
        <v>5104901343</v>
      </c>
      <c r="K486" t="s">
        <v>3026</v>
      </c>
      <c r="L486" t="s">
        <v>3027</v>
      </c>
      <c r="M486" t="s">
        <v>1634</v>
      </c>
    </row>
    <row r="487" spans="1:13" x14ac:dyDescent="0.25">
      <c r="A487">
        <v>4205</v>
      </c>
      <c r="B487" t="s">
        <v>3022</v>
      </c>
      <c r="C487" t="s">
        <v>3023</v>
      </c>
      <c r="D487" t="s">
        <v>2596</v>
      </c>
      <c r="E487" t="s">
        <v>2654</v>
      </c>
      <c r="F487" t="s">
        <v>1750</v>
      </c>
      <c r="G487" t="s">
        <v>3028</v>
      </c>
      <c r="H487" t="s">
        <v>3029</v>
      </c>
      <c r="K487" t="s">
        <v>3030</v>
      </c>
      <c r="L487" t="s">
        <v>3031</v>
      </c>
      <c r="M487" t="s">
        <v>1634</v>
      </c>
    </row>
    <row r="488" spans="1:13" x14ac:dyDescent="0.25">
      <c r="A488">
        <v>4205</v>
      </c>
      <c r="B488" t="s">
        <v>3022</v>
      </c>
      <c r="C488" t="s">
        <v>3023</v>
      </c>
      <c r="D488" t="s">
        <v>2596</v>
      </c>
      <c r="E488" t="s">
        <v>2654</v>
      </c>
      <c r="F488" t="s">
        <v>3032</v>
      </c>
      <c r="G488" t="s">
        <v>3033</v>
      </c>
      <c r="H488">
        <v>5104901343</v>
      </c>
      <c r="K488" t="s">
        <v>3034</v>
      </c>
      <c r="M488" t="s">
        <v>1634</v>
      </c>
    </row>
    <row r="489" spans="1:13" x14ac:dyDescent="0.25">
      <c r="A489">
        <v>4849</v>
      </c>
      <c r="B489" t="s">
        <v>3035</v>
      </c>
      <c r="C489" t="s">
        <v>3036</v>
      </c>
      <c r="D489" t="s">
        <v>2605</v>
      </c>
      <c r="E489" t="s">
        <v>2654</v>
      </c>
      <c r="F489" t="s">
        <v>2212</v>
      </c>
      <c r="G489" t="s">
        <v>1909</v>
      </c>
      <c r="H489">
        <v>9282261212</v>
      </c>
      <c r="J489">
        <v>9287740337</v>
      </c>
      <c r="K489" t="s">
        <v>3037</v>
      </c>
      <c r="M489" t="s">
        <v>1634</v>
      </c>
    </row>
    <row r="490" spans="1:13" x14ac:dyDescent="0.25">
      <c r="A490">
        <v>4849</v>
      </c>
      <c r="B490" t="s">
        <v>3035</v>
      </c>
      <c r="C490" t="s">
        <v>3036</v>
      </c>
      <c r="D490" t="s">
        <v>2605</v>
      </c>
      <c r="E490" t="s">
        <v>2654</v>
      </c>
      <c r="F490" t="s">
        <v>3024</v>
      </c>
      <c r="G490" t="s">
        <v>3025</v>
      </c>
      <c r="M490" t="s">
        <v>1634</v>
      </c>
    </row>
    <row r="491" spans="1:13" x14ac:dyDescent="0.25">
      <c r="A491">
        <v>4201</v>
      </c>
      <c r="B491" t="s">
        <v>3038</v>
      </c>
      <c r="C491" t="s">
        <v>3039</v>
      </c>
      <c r="D491" t="s">
        <v>2596</v>
      </c>
      <c r="E491" t="s">
        <v>2654</v>
      </c>
      <c r="F491" t="s">
        <v>3040</v>
      </c>
      <c r="G491" t="s">
        <v>3041</v>
      </c>
      <c r="K491" t="s">
        <v>3042</v>
      </c>
      <c r="L491" t="s">
        <v>3043</v>
      </c>
      <c r="M491" t="s">
        <v>1634</v>
      </c>
    </row>
    <row r="492" spans="1:13" x14ac:dyDescent="0.25">
      <c r="A492">
        <v>4201</v>
      </c>
      <c r="B492" t="s">
        <v>3038</v>
      </c>
      <c r="C492" t="s">
        <v>3039</v>
      </c>
      <c r="D492" t="s">
        <v>2596</v>
      </c>
      <c r="E492" t="s">
        <v>2654</v>
      </c>
      <c r="F492" t="s">
        <v>3044</v>
      </c>
      <c r="G492" t="s">
        <v>3045</v>
      </c>
      <c r="H492">
        <v>9193491911</v>
      </c>
      <c r="K492" t="s">
        <v>3046</v>
      </c>
      <c r="L492" t="s">
        <v>1640</v>
      </c>
      <c r="M492" t="s">
        <v>1640</v>
      </c>
    </row>
    <row r="493" spans="1:13" x14ac:dyDescent="0.25">
      <c r="A493">
        <v>4201</v>
      </c>
      <c r="B493" t="s">
        <v>3038</v>
      </c>
      <c r="C493" t="s">
        <v>3039</v>
      </c>
      <c r="D493" t="s">
        <v>2596</v>
      </c>
      <c r="E493" t="s">
        <v>2654</v>
      </c>
      <c r="F493" t="s">
        <v>3040</v>
      </c>
      <c r="G493" t="s">
        <v>3041</v>
      </c>
      <c r="K493" t="s">
        <v>3042</v>
      </c>
      <c r="L493" t="s">
        <v>3043</v>
      </c>
      <c r="M493" t="s">
        <v>1640</v>
      </c>
    </row>
    <row r="494" spans="1:13" x14ac:dyDescent="0.25">
      <c r="A494">
        <v>4841</v>
      </c>
      <c r="B494" t="s">
        <v>3047</v>
      </c>
      <c r="C494" t="s">
        <v>3048</v>
      </c>
      <c r="D494" t="s">
        <v>2605</v>
      </c>
      <c r="E494" t="s">
        <v>2654</v>
      </c>
    </row>
    <row r="495" spans="1:13" x14ac:dyDescent="0.25">
      <c r="A495">
        <v>90862</v>
      </c>
      <c r="B495" t="s">
        <v>3049</v>
      </c>
      <c r="C495" t="s">
        <v>3050</v>
      </c>
      <c r="D495" t="s">
        <v>2596</v>
      </c>
      <c r="E495" t="s">
        <v>2654</v>
      </c>
      <c r="F495" t="s">
        <v>3051</v>
      </c>
      <c r="G495" t="s">
        <v>3052</v>
      </c>
      <c r="K495" t="s">
        <v>3053</v>
      </c>
      <c r="M495" t="s">
        <v>1634</v>
      </c>
    </row>
    <row r="496" spans="1:13" x14ac:dyDescent="0.25">
      <c r="A496">
        <v>90862</v>
      </c>
      <c r="B496" t="s">
        <v>3049</v>
      </c>
      <c r="C496" t="s">
        <v>3050</v>
      </c>
      <c r="D496" t="s">
        <v>2596</v>
      </c>
      <c r="E496" t="s">
        <v>2654</v>
      </c>
      <c r="F496" t="s">
        <v>3054</v>
      </c>
      <c r="G496" t="s">
        <v>3055</v>
      </c>
      <c r="H496">
        <v>9287745502</v>
      </c>
      <c r="K496" t="s">
        <v>3056</v>
      </c>
      <c r="M496" t="s">
        <v>1634</v>
      </c>
    </row>
    <row r="497" spans="1:13" x14ac:dyDescent="0.25">
      <c r="A497">
        <v>90862</v>
      </c>
      <c r="B497" t="s">
        <v>3049</v>
      </c>
      <c r="C497" t="s">
        <v>3050</v>
      </c>
      <c r="D497" t="s">
        <v>2596</v>
      </c>
      <c r="E497" t="s">
        <v>2654</v>
      </c>
      <c r="F497" t="s">
        <v>3057</v>
      </c>
      <c r="G497" t="s">
        <v>2969</v>
      </c>
      <c r="H497">
        <v>4802892088</v>
      </c>
      <c r="K497" t="s">
        <v>3058</v>
      </c>
      <c r="L497" t="s">
        <v>3059</v>
      </c>
      <c r="M497" t="s">
        <v>1634</v>
      </c>
    </row>
    <row r="498" spans="1:13" x14ac:dyDescent="0.25">
      <c r="A498">
        <v>90862</v>
      </c>
      <c r="B498" t="s">
        <v>3049</v>
      </c>
      <c r="C498" t="s">
        <v>3050</v>
      </c>
      <c r="D498" t="s">
        <v>2596</v>
      </c>
      <c r="E498" t="s">
        <v>2654</v>
      </c>
      <c r="F498" t="s">
        <v>1848</v>
      </c>
      <c r="G498" t="s">
        <v>3060</v>
      </c>
      <c r="K498" t="s">
        <v>3061</v>
      </c>
      <c r="L498" t="s">
        <v>3062</v>
      </c>
      <c r="M498" t="s">
        <v>1634</v>
      </c>
    </row>
    <row r="499" spans="1:13" x14ac:dyDescent="0.25">
      <c r="A499">
        <v>90862</v>
      </c>
      <c r="B499" t="s">
        <v>3049</v>
      </c>
      <c r="C499" t="s">
        <v>3050</v>
      </c>
      <c r="D499" t="s">
        <v>2596</v>
      </c>
      <c r="E499" t="s">
        <v>2654</v>
      </c>
      <c r="F499" t="s">
        <v>2261</v>
      </c>
      <c r="G499" t="s">
        <v>3063</v>
      </c>
      <c r="K499" t="s">
        <v>3064</v>
      </c>
      <c r="L499" t="s">
        <v>3065</v>
      </c>
      <c r="M499" t="s">
        <v>1634</v>
      </c>
    </row>
    <row r="500" spans="1:13" x14ac:dyDescent="0.25">
      <c r="A500">
        <v>90863</v>
      </c>
      <c r="B500" t="s">
        <v>3066</v>
      </c>
      <c r="C500" t="s">
        <v>3067</v>
      </c>
      <c r="D500" t="s">
        <v>2605</v>
      </c>
      <c r="E500" t="s">
        <v>2654</v>
      </c>
      <c r="F500" t="s">
        <v>3068</v>
      </c>
      <c r="G500" t="s">
        <v>3069</v>
      </c>
      <c r="H500">
        <v>4802892088</v>
      </c>
      <c r="J500">
        <v>4802892089</v>
      </c>
      <c r="K500" t="s">
        <v>3070</v>
      </c>
      <c r="L500" t="s">
        <v>3071</v>
      </c>
      <c r="M500" t="s">
        <v>1634</v>
      </c>
    </row>
    <row r="501" spans="1:13" x14ac:dyDescent="0.25">
      <c r="A501">
        <v>90863</v>
      </c>
      <c r="B501" t="s">
        <v>3066</v>
      </c>
      <c r="C501" t="s">
        <v>3067</v>
      </c>
      <c r="D501" t="s">
        <v>2605</v>
      </c>
      <c r="E501" t="s">
        <v>2654</v>
      </c>
      <c r="F501" t="s">
        <v>1925</v>
      </c>
      <c r="G501" t="s">
        <v>3072</v>
      </c>
      <c r="H501">
        <v>5202196000</v>
      </c>
      <c r="J501">
        <v>5202196006</v>
      </c>
      <c r="K501" t="s">
        <v>3073</v>
      </c>
      <c r="L501" t="s">
        <v>3074</v>
      </c>
      <c r="M501" t="s">
        <v>1634</v>
      </c>
    </row>
    <row r="502" spans="1:13" x14ac:dyDescent="0.25">
      <c r="A502">
        <v>90863</v>
      </c>
      <c r="B502" t="s">
        <v>3066</v>
      </c>
      <c r="C502" t="s">
        <v>3067</v>
      </c>
      <c r="D502" t="s">
        <v>2605</v>
      </c>
      <c r="E502" t="s">
        <v>2654</v>
      </c>
      <c r="F502" t="s">
        <v>3075</v>
      </c>
      <c r="G502" t="s">
        <v>3076</v>
      </c>
      <c r="K502" t="s">
        <v>3077</v>
      </c>
      <c r="L502" t="s">
        <v>3078</v>
      </c>
      <c r="M502" t="s">
        <v>1634</v>
      </c>
    </row>
    <row r="503" spans="1:13" x14ac:dyDescent="0.25">
      <c r="A503">
        <v>90863</v>
      </c>
      <c r="B503" t="s">
        <v>3066</v>
      </c>
      <c r="C503" t="s">
        <v>3067</v>
      </c>
      <c r="D503" t="s">
        <v>2605</v>
      </c>
      <c r="E503" t="s">
        <v>2654</v>
      </c>
      <c r="F503" t="s">
        <v>3054</v>
      </c>
      <c r="G503" t="s">
        <v>3055</v>
      </c>
      <c r="L503" t="s">
        <v>1640</v>
      </c>
      <c r="M503" t="s">
        <v>1640</v>
      </c>
    </row>
    <row r="504" spans="1:13" x14ac:dyDescent="0.25">
      <c r="A504">
        <v>4202</v>
      </c>
      <c r="B504" t="s">
        <v>3079</v>
      </c>
      <c r="C504" t="s">
        <v>3080</v>
      </c>
      <c r="D504" t="s">
        <v>2596</v>
      </c>
      <c r="E504" t="s">
        <v>2654</v>
      </c>
      <c r="F504" t="s">
        <v>3081</v>
      </c>
      <c r="G504" t="s">
        <v>3082</v>
      </c>
      <c r="H504">
        <v>9287797723</v>
      </c>
      <c r="K504" t="s">
        <v>3083</v>
      </c>
      <c r="L504" t="s">
        <v>2207</v>
      </c>
      <c r="M504" t="s">
        <v>1634</v>
      </c>
    </row>
    <row r="505" spans="1:13" x14ac:dyDescent="0.25">
      <c r="A505">
        <v>4202</v>
      </c>
      <c r="B505" t="s">
        <v>3079</v>
      </c>
      <c r="C505" t="s">
        <v>3080</v>
      </c>
      <c r="D505" t="s">
        <v>2596</v>
      </c>
      <c r="E505" t="s">
        <v>2654</v>
      </c>
      <c r="F505" t="s">
        <v>3084</v>
      </c>
      <c r="G505" t="s">
        <v>3085</v>
      </c>
      <c r="H505">
        <v>9287797223</v>
      </c>
      <c r="K505" t="s">
        <v>3086</v>
      </c>
      <c r="L505" t="s">
        <v>3043</v>
      </c>
      <c r="M505" t="s">
        <v>1634</v>
      </c>
    </row>
    <row r="506" spans="1:13" x14ac:dyDescent="0.25">
      <c r="A506">
        <v>4202</v>
      </c>
      <c r="B506" t="s">
        <v>3079</v>
      </c>
      <c r="C506" t="s">
        <v>3080</v>
      </c>
      <c r="D506" t="s">
        <v>2596</v>
      </c>
      <c r="E506" t="s">
        <v>2654</v>
      </c>
      <c r="F506" t="s">
        <v>3087</v>
      </c>
      <c r="G506" t="s">
        <v>3088</v>
      </c>
      <c r="H506">
        <v>9287797223</v>
      </c>
      <c r="K506" t="s">
        <v>3089</v>
      </c>
      <c r="M506" t="s">
        <v>1640</v>
      </c>
    </row>
    <row r="507" spans="1:13" x14ac:dyDescent="0.25">
      <c r="A507">
        <v>4202</v>
      </c>
      <c r="B507" t="s">
        <v>3079</v>
      </c>
      <c r="C507" t="s">
        <v>3080</v>
      </c>
      <c r="D507" t="s">
        <v>2596</v>
      </c>
      <c r="E507" t="s">
        <v>2654</v>
      </c>
      <c r="F507" t="s">
        <v>3090</v>
      </c>
      <c r="G507" t="s">
        <v>3091</v>
      </c>
      <c r="K507" t="s">
        <v>3092</v>
      </c>
      <c r="M507" t="s">
        <v>1640</v>
      </c>
    </row>
    <row r="508" spans="1:13" x14ac:dyDescent="0.25">
      <c r="A508">
        <v>4202</v>
      </c>
      <c r="B508" t="s">
        <v>3079</v>
      </c>
      <c r="C508" t="s">
        <v>3080</v>
      </c>
      <c r="D508" t="s">
        <v>2596</v>
      </c>
      <c r="E508" t="s">
        <v>2654</v>
      </c>
      <c r="F508" t="s">
        <v>3084</v>
      </c>
      <c r="G508" t="s">
        <v>3085</v>
      </c>
      <c r="H508">
        <v>9287797223</v>
      </c>
      <c r="K508" t="s">
        <v>3086</v>
      </c>
      <c r="L508" t="s">
        <v>3043</v>
      </c>
      <c r="M508" t="s">
        <v>1640</v>
      </c>
    </row>
    <row r="509" spans="1:13" x14ac:dyDescent="0.25">
      <c r="A509">
        <v>4202</v>
      </c>
      <c r="B509" t="s">
        <v>3079</v>
      </c>
      <c r="C509" t="s">
        <v>3080</v>
      </c>
      <c r="D509" t="s">
        <v>2596</v>
      </c>
      <c r="E509" t="s">
        <v>2654</v>
      </c>
      <c r="F509" t="s">
        <v>3093</v>
      </c>
      <c r="G509" t="s">
        <v>3094</v>
      </c>
      <c r="H509">
        <v>9287797223</v>
      </c>
      <c r="K509" t="s">
        <v>3095</v>
      </c>
      <c r="L509" t="s">
        <v>3096</v>
      </c>
      <c r="M509" t="s">
        <v>1765</v>
      </c>
    </row>
    <row r="510" spans="1:13" x14ac:dyDescent="0.25">
      <c r="A510">
        <v>4202</v>
      </c>
      <c r="B510" t="s">
        <v>3079</v>
      </c>
      <c r="C510" t="s">
        <v>3080</v>
      </c>
      <c r="D510" t="s">
        <v>2596</v>
      </c>
      <c r="E510" t="s">
        <v>2654</v>
      </c>
      <c r="F510" t="s">
        <v>3087</v>
      </c>
      <c r="G510" t="s">
        <v>3088</v>
      </c>
      <c r="H510">
        <v>9287797223</v>
      </c>
      <c r="K510" t="s">
        <v>3089</v>
      </c>
      <c r="M510" t="s">
        <v>1765</v>
      </c>
    </row>
    <row r="511" spans="1:13" x14ac:dyDescent="0.25">
      <c r="A511">
        <v>4202</v>
      </c>
      <c r="B511" t="s">
        <v>3079</v>
      </c>
      <c r="C511" t="s">
        <v>3080</v>
      </c>
      <c r="D511" t="s">
        <v>2596</v>
      </c>
      <c r="E511" t="s">
        <v>2654</v>
      </c>
      <c r="F511" t="s">
        <v>3081</v>
      </c>
      <c r="G511" t="s">
        <v>3082</v>
      </c>
      <c r="H511">
        <v>9287797723</v>
      </c>
      <c r="K511" t="s">
        <v>3083</v>
      </c>
      <c r="L511" t="s">
        <v>2207</v>
      </c>
      <c r="M511" t="s">
        <v>1765</v>
      </c>
    </row>
    <row r="512" spans="1:13" x14ac:dyDescent="0.25">
      <c r="A512">
        <v>4842</v>
      </c>
      <c r="B512" t="s">
        <v>3079</v>
      </c>
      <c r="C512" t="s">
        <v>3097</v>
      </c>
      <c r="D512" t="s">
        <v>2605</v>
      </c>
      <c r="E512" t="s">
        <v>2654</v>
      </c>
    </row>
    <row r="513" spans="1:13" x14ac:dyDescent="0.25">
      <c r="A513">
        <v>4203</v>
      </c>
      <c r="B513" t="s">
        <v>3098</v>
      </c>
      <c r="C513" t="s">
        <v>3099</v>
      </c>
      <c r="D513" t="s">
        <v>2596</v>
      </c>
      <c r="E513" t="s">
        <v>2654</v>
      </c>
      <c r="F513" t="s">
        <v>3100</v>
      </c>
      <c r="G513" t="s">
        <v>3101</v>
      </c>
      <c r="H513">
        <v>9287792392</v>
      </c>
      <c r="I513">
        <v>202</v>
      </c>
      <c r="K513" t="s">
        <v>3102</v>
      </c>
      <c r="L513" t="s">
        <v>1668</v>
      </c>
      <c r="M513" t="s">
        <v>1634</v>
      </c>
    </row>
    <row r="514" spans="1:13" x14ac:dyDescent="0.25">
      <c r="A514">
        <v>4843</v>
      </c>
      <c r="B514" t="s">
        <v>3103</v>
      </c>
      <c r="C514" t="s">
        <v>3104</v>
      </c>
      <c r="D514" t="s">
        <v>2605</v>
      </c>
      <c r="E514" t="s">
        <v>2654</v>
      </c>
      <c r="F514" t="s">
        <v>3105</v>
      </c>
      <c r="G514" t="s">
        <v>3106</v>
      </c>
      <c r="J514">
        <v>9287733246</v>
      </c>
      <c r="K514" t="s">
        <v>3107</v>
      </c>
      <c r="M514" t="s">
        <v>1634</v>
      </c>
    </row>
    <row r="515" spans="1:13" x14ac:dyDescent="0.25">
      <c r="A515">
        <v>4207</v>
      </c>
      <c r="B515" t="s">
        <v>3108</v>
      </c>
      <c r="C515" t="s">
        <v>3109</v>
      </c>
      <c r="D515" t="s">
        <v>2596</v>
      </c>
      <c r="E515" t="s">
        <v>2654</v>
      </c>
      <c r="F515" t="s">
        <v>2142</v>
      </c>
      <c r="G515" t="s">
        <v>3110</v>
      </c>
      <c r="H515">
        <v>9288530737</v>
      </c>
      <c r="K515" t="s">
        <v>3111</v>
      </c>
      <c r="L515" t="s">
        <v>1668</v>
      </c>
      <c r="M515" t="s">
        <v>1634</v>
      </c>
    </row>
    <row r="516" spans="1:13" x14ac:dyDescent="0.25">
      <c r="A516">
        <v>4207</v>
      </c>
      <c r="B516" t="s">
        <v>3108</v>
      </c>
      <c r="C516" t="s">
        <v>3109</v>
      </c>
      <c r="D516" t="s">
        <v>2596</v>
      </c>
      <c r="E516" t="s">
        <v>2654</v>
      </c>
      <c r="F516" t="s">
        <v>3112</v>
      </c>
      <c r="G516" t="s">
        <v>3113</v>
      </c>
      <c r="H516">
        <v>6236403291</v>
      </c>
      <c r="K516" t="s">
        <v>3114</v>
      </c>
      <c r="L516" t="s">
        <v>3115</v>
      </c>
      <c r="M516" t="s">
        <v>1634</v>
      </c>
    </row>
    <row r="517" spans="1:13" x14ac:dyDescent="0.25">
      <c r="A517">
        <v>4207</v>
      </c>
      <c r="B517" t="s">
        <v>3108</v>
      </c>
      <c r="C517" t="s">
        <v>3109</v>
      </c>
      <c r="D517" t="s">
        <v>2596</v>
      </c>
      <c r="E517" t="s">
        <v>2654</v>
      </c>
      <c r="F517" t="s">
        <v>3116</v>
      </c>
      <c r="G517" t="s">
        <v>3117</v>
      </c>
      <c r="H517">
        <v>9287746007</v>
      </c>
      <c r="I517">
        <v>202</v>
      </c>
      <c r="K517" t="s">
        <v>3118</v>
      </c>
      <c r="L517" t="s">
        <v>1640</v>
      </c>
      <c r="M517" t="s">
        <v>1640</v>
      </c>
    </row>
    <row r="518" spans="1:13" x14ac:dyDescent="0.25">
      <c r="A518">
        <v>4851</v>
      </c>
      <c r="B518" t="s">
        <v>3108</v>
      </c>
      <c r="C518" t="s">
        <v>3119</v>
      </c>
      <c r="D518" t="s">
        <v>2605</v>
      </c>
      <c r="E518" t="s">
        <v>2654</v>
      </c>
      <c r="F518" t="s">
        <v>2142</v>
      </c>
      <c r="G518" t="s">
        <v>3110</v>
      </c>
      <c r="H518">
        <v>9288530737</v>
      </c>
      <c r="J518">
        <v>9287747268</v>
      </c>
      <c r="K518" t="s">
        <v>3111</v>
      </c>
      <c r="L518" t="s">
        <v>1647</v>
      </c>
      <c r="M518" t="s">
        <v>1634</v>
      </c>
    </row>
    <row r="519" spans="1:13" x14ac:dyDescent="0.25">
      <c r="A519">
        <v>4851</v>
      </c>
      <c r="B519" t="s">
        <v>3108</v>
      </c>
      <c r="C519" t="s">
        <v>3119</v>
      </c>
      <c r="D519" t="s">
        <v>2605</v>
      </c>
      <c r="E519" t="s">
        <v>2654</v>
      </c>
      <c r="F519" t="s">
        <v>3112</v>
      </c>
      <c r="G519" t="s">
        <v>3113</v>
      </c>
      <c r="H519">
        <v>9287746007</v>
      </c>
      <c r="K519" t="s">
        <v>3114</v>
      </c>
      <c r="L519" t="s">
        <v>1640</v>
      </c>
      <c r="M519" t="s">
        <v>1640</v>
      </c>
    </row>
    <row r="520" spans="1:13" x14ac:dyDescent="0.25">
      <c r="A520">
        <v>4851</v>
      </c>
      <c r="B520" t="s">
        <v>3108</v>
      </c>
      <c r="C520" t="s">
        <v>3119</v>
      </c>
      <c r="D520" t="s">
        <v>2605</v>
      </c>
      <c r="E520" t="s">
        <v>2654</v>
      </c>
      <c r="F520" t="s">
        <v>3112</v>
      </c>
      <c r="G520" t="s">
        <v>3113</v>
      </c>
      <c r="H520">
        <v>9287746007</v>
      </c>
      <c r="K520" t="s">
        <v>3114</v>
      </c>
      <c r="L520" t="s">
        <v>1640</v>
      </c>
      <c r="M520" t="s">
        <v>1765</v>
      </c>
    </row>
    <row r="521" spans="1:13" x14ac:dyDescent="0.25">
      <c r="A521">
        <v>79086</v>
      </c>
      <c r="B521" t="s">
        <v>3120</v>
      </c>
      <c r="C521" t="s">
        <v>3121</v>
      </c>
      <c r="D521" t="s">
        <v>2596</v>
      </c>
      <c r="E521" t="s">
        <v>2654</v>
      </c>
      <c r="F521" t="s">
        <v>2082</v>
      </c>
      <c r="G521" t="s">
        <v>3122</v>
      </c>
      <c r="H521">
        <v>6024123533</v>
      </c>
      <c r="K521" t="s">
        <v>3123</v>
      </c>
      <c r="L521" t="s">
        <v>3124</v>
      </c>
      <c r="M521" t="s">
        <v>1634</v>
      </c>
    </row>
    <row r="522" spans="1:13" x14ac:dyDescent="0.25">
      <c r="A522">
        <v>79086</v>
      </c>
      <c r="B522" t="s">
        <v>3120</v>
      </c>
      <c r="C522" t="s">
        <v>3121</v>
      </c>
      <c r="D522" t="s">
        <v>2596</v>
      </c>
      <c r="E522" t="s">
        <v>2654</v>
      </c>
      <c r="F522" t="s">
        <v>3125</v>
      </c>
      <c r="G522" t="s">
        <v>3126</v>
      </c>
      <c r="H522">
        <v>9284154157</v>
      </c>
      <c r="K522" t="s">
        <v>3127</v>
      </c>
      <c r="L522" t="s">
        <v>3128</v>
      </c>
      <c r="M522" t="s">
        <v>1640</v>
      </c>
    </row>
    <row r="523" spans="1:13" x14ac:dyDescent="0.25">
      <c r="A523">
        <v>79090</v>
      </c>
      <c r="B523" t="s">
        <v>3129</v>
      </c>
      <c r="C523" t="s">
        <v>3130</v>
      </c>
      <c r="D523" t="s">
        <v>2605</v>
      </c>
      <c r="E523" t="s">
        <v>2654</v>
      </c>
      <c r="F523" t="s">
        <v>2082</v>
      </c>
      <c r="G523" t="s">
        <v>3122</v>
      </c>
      <c r="H523">
        <v>6024123533</v>
      </c>
      <c r="J523">
        <v>9282252179</v>
      </c>
      <c r="K523" t="s">
        <v>3131</v>
      </c>
      <c r="M523" t="s">
        <v>1634</v>
      </c>
    </row>
    <row r="524" spans="1:13" x14ac:dyDescent="0.25">
      <c r="A524">
        <v>79090</v>
      </c>
      <c r="B524" t="s">
        <v>3129</v>
      </c>
      <c r="C524" t="s">
        <v>3130</v>
      </c>
      <c r="D524" t="s">
        <v>2605</v>
      </c>
      <c r="E524" t="s">
        <v>2654</v>
      </c>
      <c r="F524" t="s">
        <v>3132</v>
      </c>
      <c r="G524" t="s">
        <v>3133</v>
      </c>
      <c r="H524">
        <v>9284154157</v>
      </c>
      <c r="I524">
        <v>8007</v>
      </c>
      <c r="K524" t="s">
        <v>3134</v>
      </c>
      <c r="L524" t="s">
        <v>1721</v>
      </c>
      <c r="M524" t="s">
        <v>1634</v>
      </c>
    </row>
    <row r="525" spans="1:13" x14ac:dyDescent="0.25">
      <c r="A525">
        <v>79090</v>
      </c>
      <c r="B525" t="s">
        <v>3129</v>
      </c>
      <c r="C525" t="s">
        <v>3130</v>
      </c>
      <c r="D525" t="s">
        <v>2605</v>
      </c>
      <c r="E525" t="s">
        <v>2654</v>
      </c>
      <c r="F525" t="s">
        <v>3135</v>
      </c>
      <c r="G525" t="s">
        <v>1730</v>
      </c>
      <c r="K525" t="s">
        <v>3136</v>
      </c>
      <c r="L525" t="s">
        <v>2045</v>
      </c>
      <c r="M525" t="s">
        <v>1640</v>
      </c>
    </row>
    <row r="526" spans="1:13" x14ac:dyDescent="0.25">
      <c r="A526">
        <v>89951</v>
      </c>
      <c r="B526" t="s">
        <v>3137</v>
      </c>
      <c r="C526" t="s">
        <v>3138</v>
      </c>
      <c r="D526" t="s">
        <v>2596</v>
      </c>
      <c r="E526" t="s">
        <v>2654</v>
      </c>
      <c r="F526" t="s">
        <v>3139</v>
      </c>
      <c r="G526" t="s">
        <v>3140</v>
      </c>
      <c r="K526" t="s">
        <v>3141</v>
      </c>
      <c r="M526" t="s">
        <v>1634</v>
      </c>
    </row>
    <row r="527" spans="1:13" x14ac:dyDescent="0.25">
      <c r="A527">
        <v>89951</v>
      </c>
      <c r="B527" t="s">
        <v>3137</v>
      </c>
      <c r="C527" t="s">
        <v>3138</v>
      </c>
      <c r="D527" t="s">
        <v>2596</v>
      </c>
      <c r="E527" t="s">
        <v>2654</v>
      </c>
      <c r="F527" t="s">
        <v>3142</v>
      </c>
      <c r="G527" t="s">
        <v>3143</v>
      </c>
      <c r="K527" t="s">
        <v>3144</v>
      </c>
      <c r="M527" t="s">
        <v>1634</v>
      </c>
    </row>
    <row r="528" spans="1:13" x14ac:dyDescent="0.25">
      <c r="A528">
        <v>89952</v>
      </c>
      <c r="B528" t="s">
        <v>3145</v>
      </c>
      <c r="C528" t="s">
        <v>3146</v>
      </c>
      <c r="D528" t="s">
        <v>2605</v>
      </c>
      <c r="E528" t="s">
        <v>2654</v>
      </c>
      <c r="F528" t="s">
        <v>3139</v>
      </c>
      <c r="G528" t="s">
        <v>3140</v>
      </c>
      <c r="J528">
        <v>9287747412</v>
      </c>
      <c r="K528" t="s">
        <v>3141</v>
      </c>
      <c r="L528" t="s">
        <v>1640</v>
      </c>
      <c r="M528" t="s">
        <v>1634</v>
      </c>
    </row>
    <row r="529" spans="1:13" x14ac:dyDescent="0.25">
      <c r="A529">
        <v>89952</v>
      </c>
      <c r="B529" t="s">
        <v>3145</v>
      </c>
      <c r="C529" t="s">
        <v>3146</v>
      </c>
      <c r="D529" t="s">
        <v>2605</v>
      </c>
      <c r="E529" t="s">
        <v>2654</v>
      </c>
      <c r="F529" t="s">
        <v>3139</v>
      </c>
      <c r="G529" t="s">
        <v>3140</v>
      </c>
      <c r="J529">
        <v>9287747412</v>
      </c>
      <c r="K529" t="s">
        <v>3141</v>
      </c>
      <c r="L529" t="s">
        <v>1640</v>
      </c>
      <c r="M529" t="s">
        <v>1640</v>
      </c>
    </row>
    <row r="530" spans="1:13" x14ac:dyDescent="0.25">
      <c r="A530">
        <v>87600</v>
      </c>
      <c r="B530" t="s">
        <v>3147</v>
      </c>
      <c r="C530" t="s">
        <v>3148</v>
      </c>
      <c r="D530" t="s">
        <v>1628</v>
      </c>
      <c r="E530" t="s">
        <v>3149</v>
      </c>
      <c r="F530" t="s">
        <v>3150</v>
      </c>
      <c r="G530" t="s">
        <v>3151</v>
      </c>
      <c r="H530">
        <v>9284028784</v>
      </c>
      <c r="J530">
        <v>9284020038</v>
      </c>
      <c r="K530" t="s">
        <v>3152</v>
      </c>
      <c r="L530" t="s">
        <v>3153</v>
      </c>
      <c r="M530" t="s">
        <v>1634</v>
      </c>
    </row>
    <row r="531" spans="1:13" x14ac:dyDescent="0.25">
      <c r="A531">
        <v>87600</v>
      </c>
      <c r="B531" t="s">
        <v>3147</v>
      </c>
      <c r="C531" t="s">
        <v>3148</v>
      </c>
      <c r="D531" t="s">
        <v>1628</v>
      </c>
      <c r="E531" t="s">
        <v>3149</v>
      </c>
      <c r="F531" t="s">
        <v>2192</v>
      </c>
      <c r="G531" t="s">
        <v>3154</v>
      </c>
      <c r="H531" t="s">
        <v>3155</v>
      </c>
      <c r="K531" t="s">
        <v>3156</v>
      </c>
      <c r="L531" t="s">
        <v>3157</v>
      </c>
      <c r="M531" t="s">
        <v>1634</v>
      </c>
    </row>
    <row r="532" spans="1:13" x14ac:dyDescent="0.25">
      <c r="A532">
        <v>87600</v>
      </c>
      <c r="B532" t="s">
        <v>3147</v>
      </c>
      <c r="C532" t="s">
        <v>3148</v>
      </c>
      <c r="D532" t="s">
        <v>1628</v>
      </c>
      <c r="E532" t="s">
        <v>3149</v>
      </c>
      <c r="F532" t="s">
        <v>3158</v>
      </c>
      <c r="G532" t="s">
        <v>3159</v>
      </c>
      <c r="H532">
        <v>9284028785</v>
      </c>
      <c r="K532" t="s">
        <v>3160</v>
      </c>
      <c r="L532" t="s">
        <v>3161</v>
      </c>
      <c r="M532" t="s">
        <v>1634</v>
      </c>
    </row>
    <row r="533" spans="1:13" x14ac:dyDescent="0.25">
      <c r="A533">
        <v>87600</v>
      </c>
      <c r="B533" t="s">
        <v>3147</v>
      </c>
      <c r="C533" t="s">
        <v>3148</v>
      </c>
      <c r="D533" t="s">
        <v>1628</v>
      </c>
      <c r="E533" t="s">
        <v>3149</v>
      </c>
      <c r="F533" t="s">
        <v>3162</v>
      </c>
      <c r="G533" t="s">
        <v>3163</v>
      </c>
      <c r="H533">
        <v>9284028548</v>
      </c>
      <c r="K533" t="s">
        <v>3164</v>
      </c>
      <c r="L533" t="s">
        <v>3124</v>
      </c>
      <c r="M533" t="s">
        <v>1765</v>
      </c>
    </row>
    <row r="534" spans="1:13" x14ac:dyDescent="0.25">
      <c r="A534">
        <v>87600</v>
      </c>
      <c r="B534" t="s">
        <v>3147</v>
      </c>
      <c r="C534" t="s">
        <v>3148</v>
      </c>
      <c r="D534" t="s">
        <v>1628</v>
      </c>
      <c r="E534" t="s">
        <v>3149</v>
      </c>
      <c r="F534" t="s">
        <v>3165</v>
      </c>
      <c r="G534" t="s">
        <v>1877</v>
      </c>
      <c r="H534">
        <v>9284257800</v>
      </c>
      <c r="K534" t="s">
        <v>3166</v>
      </c>
      <c r="L534" t="s">
        <v>3167</v>
      </c>
      <c r="M534" t="s">
        <v>1765</v>
      </c>
    </row>
    <row r="535" spans="1:13" x14ac:dyDescent="0.25">
      <c r="A535">
        <v>87600</v>
      </c>
      <c r="B535" t="s">
        <v>3147</v>
      </c>
      <c r="C535" t="s">
        <v>3148</v>
      </c>
      <c r="D535" t="s">
        <v>1628</v>
      </c>
      <c r="E535" t="s">
        <v>3149</v>
      </c>
      <c r="F535" t="s">
        <v>3168</v>
      </c>
      <c r="G535" t="s">
        <v>3169</v>
      </c>
      <c r="H535" t="s">
        <v>3170</v>
      </c>
      <c r="K535" t="s">
        <v>3171</v>
      </c>
      <c r="M535" t="s">
        <v>1765</v>
      </c>
    </row>
    <row r="536" spans="1:13" x14ac:dyDescent="0.25">
      <c r="A536">
        <v>90038</v>
      </c>
      <c r="B536" t="s">
        <v>3172</v>
      </c>
      <c r="C536" t="s">
        <v>3173</v>
      </c>
      <c r="D536" t="s">
        <v>1643</v>
      </c>
      <c r="E536" t="s">
        <v>3149</v>
      </c>
      <c r="F536" t="s">
        <v>2610</v>
      </c>
      <c r="G536" t="s">
        <v>3174</v>
      </c>
      <c r="H536">
        <v>9284028784</v>
      </c>
      <c r="K536" t="s">
        <v>3175</v>
      </c>
      <c r="L536" t="s">
        <v>3176</v>
      </c>
      <c r="M536" t="s">
        <v>1634</v>
      </c>
    </row>
    <row r="537" spans="1:13" x14ac:dyDescent="0.25">
      <c r="A537">
        <v>4208</v>
      </c>
      <c r="B537" t="s">
        <v>348</v>
      </c>
      <c r="C537" t="s">
        <v>3177</v>
      </c>
      <c r="D537" t="s">
        <v>1628</v>
      </c>
      <c r="E537" t="s">
        <v>3149</v>
      </c>
      <c r="F537" t="s">
        <v>3178</v>
      </c>
      <c r="G537" t="s">
        <v>3179</v>
      </c>
      <c r="H537">
        <v>9284026011</v>
      </c>
      <c r="J537">
        <v>9284258912</v>
      </c>
      <c r="K537" t="s">
        <v>3180</v>
      </c>
      <c r="L537" t="s">
        <v>1668</v>
      </c>
      <c r="M537" t="s">
        <v>1634</v>
      </c>
    </row>
    <row r="538" spans="1:13" x14ac:dyDescent="0.25">
      <c r="A538">
        <v>4208</v>
      </c>
      <c r="B538" t="s">
        <v>348</v>
      </c>
      <c r="C538" t="s">
        <v>3177</v>
      </c>
      <c r="D538" t="s">
        <v>1628</v>
      </c>
      <c r="E538" t="s">
        <v>3149</v>
      </c>
      <c r="F538" t="s">
        <v>3181</v>
      </c>
      <c r="G538" t="s">
        <v>3182</v>
      </c>
      <c r="H538">
        <v>9284026011</v>
      </c>
      <c r="K538" t="s">
        <v>3183</v>
      </c>
      <c r="L538" t="s">
        <v>3184</v>
      </c>
      <c r="M538" t="s">
        <v>1634</v>
      </c>
    </row>
    <row r="539" spans="1:13" x14ac:dyDescent="0.25">
      <c r="A539">
        <v>4208</v>
      </c>
      <c r="B539" t="s">
        <v>348</v>
      </c>
      <c r="C539" t="s">
        <v>3177</v>
      </c>
      <c r="D539" t="s">
        <v>1628</v>
      </c>
      <c r="E539" t="s">
        <v>3149</v>
      </c>
      <c r="F539" t="s">
        <v>3181</v>
      </c>
      <c r="G539" t="s">
        <v>3182</v>
      </c>
      <c r="H539">
        <v>9284026011</v>
      </c>
      <c r="K539" t="s">
        <v>3183</v>
      </c>
      <c r="L539" t="s">
        <v>3184</v>
      </c>
      <c r="M539" t="s">
        <v>1634</v>
      </c>
    </row>
    <row r="540" spans="1:13" x14ac:dyDescent="0.25">
      <c r="A540">
        <v>4208</v>
      </c>
      <c r="B540" t="s">
        <v>348</v>
      </c>
      <c r="C540" t="s">
        <v>3177</v>
      </c>
      <c r="D540" t="s">
        <v>1628</v>
      </c>
      <c r="E540" t="s">
        <v>3149</v>
      </c>
      <c r="F540" t="s">
        <v>3185</v>
      </c>
      <c r="G540" t="s">
        <v>3186</v>
      </c>
      <c r="H540">
        <v>9284026030</v>
      </c>
      <c r="K540" t="s">
        <v>3187</v>
      </c>
      <c r="L540" t="s">
        <v>3188</v>
      </c>
      <c r="M540" t="s">
        <v>1640</v>
      </c>
    </row>
    <row r="541" spans="1:13" x14ac:dyDescent="0.25">
      <c r="A541">
        <v>4208</v>
      </c>
      <c r="B541" t="s">
        <v>348</v>
      </c>
      <c r="C541" t="s">
        <v>3177</v>
      </c>
      <c r="D541" t="s">
        <v>1628</v>
      </c>
      <c r="E541" t="s">
        <v>3149</v>
      </c>
      <c r="F541" t="s">
        <v>2704</v>
      </c>
      <c r="G541" t="s">
        <v>3189</v>
      </c>
      <c r="H541">
        <v>9284026022</v>
      </c>
      <c r="K541" t="s">
        <v>3190</v>
      </c>
      <c r="M541" t="s">
        <v>1765</v>
      </c>
    </row>
    <row r="542" spans="1:13" x14ac:dyDescent="0.25">
      <c r="A542">
        <v>4854</v>
      </c>
      <c r="B542" t="s">
        <v>3191</v>
      </c>
      <c r="C542" t="s">
        <v>3192</v>
      </c>
      <c r="D542" t="s">
        <v>1643</v>
      </c>
      <c r="E542" t="s">
        <v>3149</v>
      </c>
      <c r="F542" t="s">
        <v>3193</v>
      </c>
      <c r="G542" t="s">
        <v>3194</v>
      </c>
      <c r="H542">
        <v>9284025811</v>
      </c>
      <c r="K542" t="s">
        <v>3195</v>
      </c>
      <c r="L542" t="s">
        <v>1721</v>
      </c>
      <c r="M542" t="s">
        <v>1634</v>
      </c>
    </row>
    <row r="543" spans="1:13" x14ac:dyDescent="0.25">
      <c r="A543">
        <v>4855</v>
      </c>
      <c r="B543" t="s">
        <v>3196</v>
      </c>
      <c r="C543" t="s">
        <v>3197</v>
      </c>
      <c r="D543" t="s">
        <v>1643</v>
      </c>
      <c r="E543" t="s">
        <v>3149</v>
      </c>
      <c r="F543" t="s">
        <v>1820</v>
      </c>
      <c r="G543" t="s">
        <v>3198</v>
      </c>
      <c r="H543">
        <v>9284026111</v>
      </c>
      <c r="K543" t="s">
        <v>3199</v>
      </c>
      <c r="L543" t="s">
        <v>1647</v>
      </c>
      <c r="M543" t="s">
        <v>1634</v>
      </c>
    </row>
    <row r="544" spans="1:13" x14ac:dyDescent="0.25">
      <c r="A544">
        <v>85831</v>
      </c>
      <c r="B544" t="s">
        <v>1547</v>
      </c>
      <c r="C544" t="s">
        <v>3200</v>
      </c>
      <c r="D544" t="s">
        <v>1643</v>
      </c>
      <c r="E544" t="s">
        <v>3149</v>
      </c>
      <c r="F544" t="s">
        <v>1935</v>
      </c>
      <c r="G544" t="s">
        <v>2162</v>
      </c>
      <c r="H544">
        <v>9284025910</v>
      </c>
      <c r="K544" t="s">
        <v>3201</v>
      </c>
      <c r="L544" t="s">
        <v>1647</v>
      </c>
      <c r="M544" t="s">
        <v>1634</v>
      </c>
    </row>
    <row r="545" spans="1:13" x14ac:dyDescent="0.25">
      <c r="A545">
        <v>4209</v>
      </c>
      <c r="B545" t="s">
        <v>3202</v>
      </c>
      <c r="C545" t="s">
        <v>3203</v>
      </c>
      <c r="D545" t="s">
        <v>1628</v>
      </c>
      <c r="E545" t="s">
        <v>3149</v>
      </c>
      <c r="F545" t="s">
        <v>1726</v>
      </c>
      <c r="G545" t="s">
        <v>3204</v>
      </c>
      <c r="H545">
        <v>9284742070</v>
      </c>
      <c r="J545">
        <v>9284822013</v>
      </c>
      <c r="K545" t="s">
        <v>3205</v>
      </c>
      <c r="L545" t="s">
        <v>3206</v>
      </c>
      <c r="M545" t="s">
        <v>1634</v>
      </c>
    </row>
    <row r="546" spans="1:13" x14ac:dyDescent="0.25">
      <c r="A546">
        <v>4209</v>
      </c>
      <c r="B546" t="s">
        <v>3202</v>
      </c>
      <c r="C546" t="s">
        <v>3203</v>
      </c>
      <c r="D546" t="s">
        <v>1628</v>
      </c>
      <c r="E546" t="s">
        <v>3149</v>
      </c>
      <c r="F546" t="s">
        <v>3207</v>
      </c>
      <c r="G546" t="s">
        <v>3208</v>
      </c>
      <c r="H546">
        <v>9284725732</v>
      </c>
      <c r="K546" t="s">
        <v>3209</v>
      </c>
      <c r="L546" t="s">
        <v>3210</v>
      </c>
      <c r="M546" t="s">
        <v>1634</v>
      </c>
    </row>
    <row r="547" spans="1:13" x14ac:dyDescent="0.25">
      <c r="A547">
        <v>4209</v>
      </c>
      <c r="B547" t="s">
        <v>3202</v>
      </c>
      <c r="C547" t="s">
        <v>3203</v>
      </c>
      <c r="D547" t="s">
        <v>1628</v>
      </c>
      <c r="E547" t="s">
        <v>3149</v>
      </c>
      <c r="F547" t="s">
        <v>2610</v>
      </c>
      <c r="G547" t="s">
        <v>3211</v>
      </c>
      <c r="H547">
        <v>9284725753</v>
      </c>
      <c r="K547" t="s">
        <v>3212</v>
      </c>
      <c r="L547" t="s">
        <v>1668</v>
      </c>
      <c r="M547" t="s">
        <v>1634</v>
      </c>
    </row>
    <row r="548" spans="1:13" x14ac:dyDescent="0.25">
      <c r="A548">
        <v>4209</v>
      </c>
      <c r="B548" t="s">
        <v>3202</v>
      </c>
      <c r="C548" t="s">
        <v>3203</v>
      </c>
      <c r="D548" t="s">
        <v>1628</v>
      </c>
      <c r="E548" t="s">
        <v>3149</v>
      </c>
      <c r="F548" t="s">
        <v>3207</v>
      </c>
      <c r="G548" t="s">
        <v>3208</v>
      </c>
      <c r="H548">
        <v>9284725732</v>
      </c>
      <c r="K548" t="s">
        <v>3209</v>
      </c>
      <c r="L548" t="s">
        <v>3210</v>
      </c>
      <c r="M548" t="s">
        <v>1640</v>
      </c>
    </row>
    <row r="549" spans="1:13" x14ac:dyDescent="0.25">
      <c r="A549">
        <v>91196</v>
      </c>
      <c r="B549" t="s">
        <v>3213</v>
      </c>
      <c r="C549" t="s">
        <v>3214</v>
      </c>
      <c r="D549" t="s">
        <v>1643</v>
      </c>
      <c r="E549" t="s">
        <v>3149</v>
      </c>
      <c r="F549" t="s">
        <v>3215</v>
      </c>
      <c r="G549" t="s">
        <v>3216</v>
      </c>
      <c r="H549">
        <v>9284722011</v>
      </c>
      <c r="J549">
        <v>9284722088</v>
      </c>
      <c r="K549" t="s">
        <v>3217</v>
      </c>
      <c r="L549" t="s">
        <v>1647</v>
      </c>
      <c r="M549" t="s">
        <v>1634</v>
      </c>
    </row>
    <row r="550" spans="1:13" x14ac:dyDescent="0.25">
      <c r="A550">
        <v>91196</v>
      </c>
      <c r="B550" t="s">
        <v>3213</v>
      </c>
      <c r="C550" t="s">
        <v>3214</v>
      </c>
      <c r="D550" t="s">
        <v>1643</v>
      </c>
      <c r="E550" t="s">
        <v>3149</v>
      </c>
      <c r="F550" t="s">
        <v>3218</v>
      </c>
      <c r="G550" t="s">
        <v>3219</v>
      </c>
      <c r="J550">
        <v>9284722039</v>
      </c>
      <c r="K550" t="s">
        <v>3220</v>
      </c>
      <c r="L550" t="s">
        <v>1668</v>
      </c>
      <c r="M550" t="s">
        <v>1634</v>
      </c>
    </row>
    <row r="551" spans="1:13" x14ac:dyDescent="0.25">
      <c r="A551">
        <v>91196</v>
      </c>
      <c r="B551" t="s">
        <v>3213</v>
      </c>
      <c r="C551" t="s">
        <v>3214</v>
      </c>
      <c r="D551" t="s">
        <v>1643</v>
      </c>
      <c r="E551" t="s">
        <v>3149</v>
      </c>
      <c r="F551" t="s">
        <v>2610</v>
      </c>
      <c r="G551" t="s">
        <v>3211</v>
      </c>
      <c r="H551">
        <v>9284725895</v>
      </c>
      <c r="K551" t="s">
        <v>3212</v>
      </c>
      <c r="L551" t="s">
        <v>1647</v>
      </c>
      <c r="M551" t="s">
        <v>1634</v>
      </c>
    </row>
    <row r="552" spans="1:13" x14ac:dyDescent="0.25">
      <c r="A552">
        <v>4856</v>
      </c>
      <c r="B552" t="s">
        <v>3221</v>
      </c>
      <c r="C552" t="s">
        <v>3222</v>
      </c>
      <c r="D552" t="s">
        <v>1643</v>
      </c>
      <c r="E552" t="s">
        <v>3149</v>
      </c>
      <c r="F552" t="s">
        <v>2851</v>
      </c>
      <c r="G552" t="s">
        <v>2852</v>
      </c>
      <c r="H552">
        <v>9284744511</v>
      </c>
      <c r="J552">
        <v>9284722044</v>
      </c>
      <c r="K552" t="s">
        <v>3223</v>
      </c>
      <c r="L552" t="s">
        <v>2096</v>
      </c>
      <c r="M552" t="s">
        <v>1634</v>
      </c>
    </row>
    <row r="553" spans="1:13" x14ac:dyDescent="0.25">
      <c r="A553">
        <v>4856</v>
      </c>
      <c r="B553" t="s">
        <v>3221</v>
      </c>
      <c r="C553" t="s">
        <v>3222</v>
      </c>
      <c r="D553" t="s">
        <v>1643</v>
      </c>
      <c r="E553" t="s">
        <v>3149</v>
      </c>
      <c r="F553" t="s">
        <v>3218</v>
      </c>
      <c r="G553" t="s">
        <v>3219</v>
      </c>
      <c r="L553" t="s">
        <v>1668</v>
      </c>
      <c r="M553" t="s">
        <v>1634</v>
      </c>
    </row>
    <row r="554" spans="1:13" x14ac:dyDescent="0.25">
      <c r="A554">
        <v>4856</v>
      </c>
      <c r="B554" t="s">
        <v>3221</v>
      </c>
      <c r="C554" t="s">
        <v>3222</v>
      </c>
      <c r="D554" t="s">
        <v>1643</v>
      </c>
      <c r="E554" t="s">
        <v>3149</v>
      </c>
      <c r="F554" t="s">
        <v>1779</v>
      </c>
      <c r="G554" t="s">
        <v>3224</v>
      </c>
      <c r="K554" t="s">
        <v>3225</v>
      </c>
      <c r="L554" t="s">
        <v>1647</v>
      </c>
      <c r="M554" t="s">
        <v>1634</v>
      </c>
    </row>
    <row r="555" spans="1:13" x14ac:dyDescent="0.25">
      <c r="A555">
        <v>4857</v>
      </c>
      <c r="B555" t="s">
        <v>3226</v>
      </c>
      <c r="C555" t="s">
        <v>3227</v>
      </c>
      <c r="D555" t="s">
        <v>1643</v>
      </c>
      <c r="E555" t="s">
        <v>3149</v>
      </c>
      <c r="F555" t="s">
        <v>3228</v>
      </c>
      <c r="G555" t="s">
        <v>3229</v>
      </c>
      <c r="H555">
        <v>9284742353</v>
      </c>
      <c r="J555">
        <v>9284722041</v>
      </c>
      <c r="K555" t="s">
        <v>3230</v>
      </c>
      <c r="L555" t="s">
        <v>1647</v>
      </c>
      <c r="M555" t="s">
        <v>1634</v>
      </c>
    </row>
    <row r="556" spans="1:13" x14ac:dyDescent="0.25">
      <c r="A556">
        <v>4857</v>
      </c>
      <c r="B556" t="s">
        <v>3226</v>
      </c>
      <c r="C556" t="s">
        <v>3227</v>
      </c>
      <c r="D556" t="s">
        <v>1643</v>
      </c>
      <c r="E556" t="s">
        <v>3149</v>
      </c>
      <c r="F556" t="s">
        <v>3218</v>
      </c>
      <c r="G556" t="s">
        <v>3219</v>
      </c>
      <c r="J556">
        <v>9284722041</v>
      </c>
      <c r="L556" t="s">
        <v>1668</v>
      </c>
      <c r="M556" t="s">
        <v>1634</v>
      </c>
    </row>
    <row r="557" spans="1:13" x14ac:dyDescent="0.25">
      <c r="A557">
        <v>4857</v>
      </c>
      <c r="B557" t="s">
        <v>3226</v>
      </c>
      <c r="C557" t="s">
        <v>3227</v>
      </c>
      <c r="D557" t="s">
        <v>1643</v>
      </c>
      <c r="E557" t="s">
        <v>3149</v>
      </c>
      <c r="F557" t="s">
        <v>2610</v>
      </c>
      <c r="G557" t="s">
        <v>3231</v>
      </c>
      <c r="K557" t="s">
        <v>3232</v>
      </c>
      <c r="L557" t="s">
        <v>1647</v>
      </c>
      <c r="M557" t="s">
        <v>1634</v>
      </c>
    </row>
    <row r="558" spans="1:13" x14ac:dyDescent="0.25">
      <c r="A558">
        <v>4857</v>
      </c>
      <c r="B558" t="s">
        <v>3226</v>
      </c>
      <c r="C558" t="s">
        <v>3227</v>
      </c>
      <c r="D558" t="s">
        <v>1643</v>
      </c>
      <c r="E558" t="s">
        <v>3149</v>
      </c>
      <c r="F558" t="s">
        <v>1635</v>
      </c>
      <c r="G558" t="s">
        <v>3233</v>
      </c>
      <c r="K558" t="s">
        <v>3234</v>
      </c>
      <c r="L558" t="s">
        <v>1647</v>
      </c>
      <c r="M558" t="s">
        <v>1634</v>
      </c>
    </row>
    <row r="559" spans="1:13" x14ac:dyDescent="0.25">
      <c r="A559">
        <v>4858</v>
      </c>
      <c r="B559" t="s">
        <v>3235</v>
      </c>
      <c r="C559" t="s">
        <v>3236</v>
      </c>
      <c r="D559" t="s">
        <v>1643</v>
      </c>
      <c r="E559" t="s">
        <v>3149</v>
      </c>
      <c r="F559" t="s">
        <v>3237</v>
      </c>
      <c r="G559" t="s">
        <v>2202</v>
      </c>
      <c r="H559">
        <v>9284745882</v>
      </c>
      <c r="J559">
        <v>9284722045</v>
      </c>
      <c r="K559" t="s">
        <v>3238</v>
      </c>
      <c r="L559" t="s">
        <v>1647</v>
      </c>
      <c r="M559" t="s">
        <v>1634</v>
      </c>
    </row>
    <row r="560" spans="1:13" x14ac:dyDescent="0.25">
      <c r="A560">
        <v>4858</v>
      </c>
      <c r="B560" t="s">
        <v>3235</v>
      </c>
      <c r="C560" t="s">
        <v>3236</v>
      </c>
      <c r="D560" t="s">
        <v>1643</v>
      </c>
      <c r="E560" t="s">
        <v>3149</v>
      </c>
      <c r="F560" t="s">
        <v>3218</v>
      </c>
      <c r="G560" t="s">
        <v>3219</v>
      </c>
      <c r="J560">
        <v>9284722045</v>
      </c>
      <c r="L560" t="s">
        <v>1668</v>
      </c>
      <c r="M560" t="s">
        <v>1634</v>
      </c>
    </row>
    <row r="561" spans="1:13" x14ac:dyDescent="0.25">
      <c r="A561">
        <v>4858</v>
      </c>
      <c r="B561" t="s">
        <v>3235</v>
      </c>
      <c r="C561" t="s">
        <v>3236</v>
      </c>
      <c r="D561" t="s">
        <v>1643</v>
      </c>
      <c r="E561" t="s">
        <v>3149</v>
      </c>
      <c r="F561" t="s">
        <v>3239</v>
      </c>
      <c r="G561" t="s">
        <v>3240</v>
      </c>
      <c r="L561" t="s">
        <v>1647</v>
      </c>
      <c r="M561" t="s">
        <v>1634</v>
      </c>
    </row>
    <row r="562" spans="1:13" x14ac:dyDescent="0.25">
      <c r="A562">
        <v>4860</v>
      </c>
      <c r="B562" t="s">
        <v>3241</v>
      </c>
      <c r="C562" t="s">
        <v>3242</v>
      </c>
      <c r="D562" t="s">
        <v>1643</v>
      </c>
      <c r="E562" t="s">
        <v>3149</v>
      </c>
      <c r="F562" t="s">
        <v>3193</v>
      </c>
      <c r="G562" t="s">
        <v>3243</v>
      </c>
      <c r="H562">
        <v>9284742233</v>
      </c>
      <c r="J562">
        <v>9284722059</v>
      </c>
      <c r="K562" t="s">
        <v>3244</v>
      </c>
      <c r="L562" t="s">
        <v>2096</v>
      </c>
      <c r="M562" t="s">
        <v>1634</v>
      </c>
    </row>
    <row r="563" spans="1:13" x14ac:dyDescent="0.25">
      <c r="A563">
        <v>4860</v>
      </c>
      <c r="B563" t="s">
        <v>3241</v>
      </c>
      <c r="C563" t="s">
        <v>3242</v>
      </c>
      <c r="D563" t="s">
        <v>1643</v>
      </c>
      <c r="E563" t="s">
        <v>3149</v>
      </c>
      <c r="F563" t="s">
        <v>3218</v>
      </c>
      <c r="G563" t="s">
        <v>3245</v>
      </c>
      <c r="J563">
        <v>9284722059</v>
      </c>
      <c r="L563" t="s">
        <v>1668</v>
      </c>
      <c r="M563" t="s">
        <v>1634</v>
      </c>
    </row>
    <row r="564" spans="1:13" x14ac:dyDescent="0.25">
      <c r="A564">
        <v>10822</v>
      </c>
      <c r="B564" t="s">
        <v>3246</v>
      </c>
      <c r="C564" t="s">
        <v>3247</v>
      </c>
      <c r="D564" t="s">
        <v>1643</v>
      </c>
      <c r="E564" t="s">
        <v>3149</v>
      </c>
      <c r="F564" t="s">
        <v>2610</v>
      </c>
      <c r="G564" t="s">
        <v>3211</v>
      </c>
      <c r="H564">
        <v>9284725895</v>
      </c>
      <c r="J564">
        <v>9284722039</v>
      </c>
      <c r="K564" t="s">
        <v>3212</v>
      </c>
      <c r="L564" t="s">
        <v>1647</v>
      </c>
      <c r="M564" t="s">
        <v>1634</v>
      </c>
    </row>
    <row r="565" spans="1:13" x14ac:dyDescent="0.25">
      <c r="A565">
        <v>4210</v>
      </c>
      <c r="B565" t="s">
        <v>414</v>
      </c>
      <c r="C565" t="s">
        <v>3248</v>
      </c>
      <c r="D565" t="s">
        <v>1628</v>
      </c>
      <c r="E565" t="s">
        <v>3149</v>
      </c>
      <c r="F565" t="s">
        <v>2330</v>
      </c>
      <c r="G565" t="s">
        <v>3249</v>
      </c>
      <c r="H565">
        <v>9284752315</v>
      </c>
      <c r="K565" t="s">
        <v>3250</v>
      </c>
      <c r="L565" t="s">
        <v>1668</v>
      </c>
      <c r="M565" t="s">
        <v>1634</v>
      </c>
    </row>
    <row r="566" spans="1:13" x14ac:dyDescent="0.25">
      <c r="A566">
        <v>4210</v>
      </c>
      <c r="B566" t="s">
        <v>414</v>
      </c>
      <c r="C566" t="s">
        <v>3248</v>
      </c>
      <c r="D566" t="s">
        <v>1628</v>
      </c>
      <c r="E566" t="s">
        <v>3149</v>
      </c>
      <c r="F566" t="s">
        <v>1726</v>
      </c>
      <c r="G566" t="s">
        <v>3251</v>
      </c>
      <c r="H566">
        <v>9284752315</v>
      </c>
      <c r="I566">
        <v>15009</v>
      </c>
      <c r="K566" t="s">
        <v>3252</v>
      </c>
      <c r="L566" t="s">
        <v>1647</v>
      </c>
      <c r="M566" t="s">
        <v>1634</v>
      </c>
    </row>
    <row r="567" spans="1:13" x14ac:dyDescent="0.25">
      <c r="A567">
        <v>4210</v>
      </c>
      <c r="B567" t="s">
        <v>414</v>
      </c>
      <c r="C567" t="s">
        <v>3248</v>
      </c>
      <c r="D567" t="s">
        <v>1628</v>
      </c>
      <c r="E567" t="s">
        <v>3149</v>
      </c>
      <c r="F567" t="s">
        <v>3253</v>
      </c>
      <c r="G567" t="s">
        <v>3254</v>
      </c>
      <c r="H567">
        <v>9284752315</v>
      </c>
      <c r="J567">
        <v>9284752301</v>
      </c>
      <c r="K567" t="s">
        <v>3255</v>
      </c>
      <c r="L567" t="s">
        <v>1640</v>
      </c>
      <c r="M567" t="s">
        <v>1640</v>
      </c>
    </row>
    <row r="568" spans="1:13" x14ac:dyDescent="0.25">
      <c r="A568">
        <v>4210</v>
      </c>
      <c r="B568" t="s">
        <v>414</v>
      </c>
      <c r="C568" t="s">
        <v>3248</v>
      </c>
      <c r="D568" t="s">
        <v>1628</v>
      </c>
      <c r="E568" t="s">
        <v>3149</v>
      </c>
      <c r="F568" t="s">
        <v>1779</v>
      </c>
      <c r="G568" t="s">
        <v>3256</v>
      </c>
      <c r="H568">
        <v>9284752315</v>
      </c>
      <c r="I568">
        <v>11333</v>
      </c>
      <c r="K568" t="s">
        <v>3257</v>
      </c>
      <c r="L568" t="s">
        <v>2368</v>
      </c>
      <c r="M568" t="s">
        <v>1640</v>
      </c>
    </row>
    <row r="569" spans="1:13" x14ac:dyDescent="0.25">
      <c r="A569">
        <v>1000382</v>
      </c>
      <c r="B569" t="s">
        <v>3258</v>
      </c>
      <c r="C569" t="s">
        <v>3259</v>
      </c>
      <c r="D569" t="s">
        <v>1643</v>
      </c>
      <c r="E569" t="s">
        <v>3149</v>
      </c>
    </row>
    <row r="570" spans="1:13" x14ac:dyDescent="0.25">
      <c r="A570">
        <v>4863</v>
      </c>
      <c r="B570" t="s">
        <v>3260</v>
      </c>
      <c r="C570" t="s">
        <v>3261</v>
      </c>
      <c r="D570" t="s">
        <v>1643</v>
      </c>
      <c r="E570" t="s">
        <v>3149</v>
      </c>
      <c r="F570" t="s">
        <v>3262</v>
      </c>
      <c r="G570" t="s">
        <v>3263</v>
      </c>
      <c r="H570">
        <v>9284752378</v>
      </c>
      <c r="K570" t="s">
        <v>3264</v>
      </c>
      <c r="M570" t="s">
        <v>1634</v>
      </c>
    </row>
    <row r="571" spans="1:13" x14ac:dyDescent="0.25">
      <c r="A571">
        <v>5989</v>
      </c>
      <c r="B571" t="s">
        <v>419</v>
      </c>
      <c r="C571" t="s">
        <v>3265</v>
      </c>
      <c r="D571" t="s">
        <v>1643</v>
      </c>
      <c r="E571" t="s">
        <v>3149</v>
      </c>
      <c r="F571" t="s">
        <v>2217</v>
      </c>
      <c r="G571" t="s">
        <v>3266</v>
      </c>
      <c r="K571" t="s">
        <v>3267</v>
      </c>
      <c r="M571" t="s">
        <v>1634</v>
      </c>
    </row>
    <row r="572" spans="1:13" x14ac:dyDescent="0.25">
      <c r="A572">
        <v>5989</v>
      </c>
      <c r="B572" t="s">
        <v>419</v>
      </c>
      <c r="C572" t="s">
        <v>3265</v>
      </c>
      <c r="D572" t="s">
        <v>1643</v>
      </c>
      <c r="E572" t="s">
        <v>3149</v>
      </c>
      <c r="F572" t="s">
        <v>3158</v>
      </c>
      <c r="G572" t="s">
        <v>3268</v>
      </c>
      <c r="K572" t="s">
        <v>3269</v>
      </c>
      <c r="L572" t="s">
        <v>1647</v>
      </c>
      <c r="M572" t="s">
        <v>1634</v>
      </c>
    </row>
    <row r="573" spans="1:13" x14ac:dyDescent="0.25">
      <c r="A573">
        <v>5989</v>
      </c>
      <c r="B573" t="s">
        <v>419</v>
      </c>
      <c r="C573" t="s">
        <v>3265</v>
      </c>
      <c r="D573" t="s">
        <v>1643</v>
      </c>
      <c r="E573" t="s">
        <v>3149</v>
      </c>
      <c r="F573" t="s">
        <v>1699</v>
      </c>
      <c r="G573" t="s">
        <v>3270</v>
      </c>
      <c r="K573" t="s">
        <v>3271</v>
      </c>
      <c r="M573" t="s">
        <v>1765</v>
      </c>
    </row>
    <row r="574" spans="1:13" x14ac:dyDescent="0.25">
      <c r="A574">
        <v>89776</v>
      </c>
      <c r="B574" t="s">
        <v>3272</v>
      </c>
      <c r="C574" t="s">
        <v>3273</v>
      </c>
      <c r="D574" t="s">
        <v>1643</v>
      </c>
      <c r="E574" t="s">
        <v>3149</v>
      </c>
    </row>
    <row r="575" spans="1:13" x14ac:dyDescent="0.25">
      <c r="A575">
        <v>4211</v>
      </c>
      <c r="B575" t="s">
        <v>1021</v>
      </c>
      <c r="C575" t="s">
        <v>3274</v>
      </c>
      <c r="D575" t="s">
        <v>1628</v>
      </c>
      <c r="E575" t="s">
        <v>3149</v>
      </c>
      <c r="F575" t="s">
        <v>3275</v>
      </c>
      <c r="G575" t="s">
        <v>3276</v>
      </c>
      <c r="I575">
        <v>2501</v>
      </c>
      <c r="J575">
        <v>9284258582</v>
      </c>
      <c r="K575" t="s">
        <v>3277</v>
      </c>
      <c r="L575" t="s">
        <v>1668</v>
      </c>
      <c r="M575" t="s">
        <v>1634</v>
      </c>
    </row>
    <row r="576" spans="1:13" x14ac:dyDescent="0.25">
      <c r="A576">
        <v>4211</v>
      </c>
      <c r="B576" t="s">
        <v>1021</v>
      </c>
      <c r="C576" t="s">
        <v>3274</v>
      </c>
      <c r="D576" t="s">
        <v>1628</v>
      </c>
      <c r="E576" t="s">
        <v>3149</v>
      </c>
      <c r="F576" t="s">
        <v>2587</v>
      </c>
      <c r="G576" t="s">
        <v>3278</v>
      </c>
      <c r="I576">
        <v>1101</v>
      </c>
      <c r="J576">
        <v>9284257419</v>
      </c>
      <c r="K576" t="s">
        <v>3279</v>
      </c>
      <c r="L576" t="s">
        <v>1640</v>
      </c>
      <c r="M576" t="s">
        <v>1640</v>
      </c>
    </row>
    <row r="577" spans="1:13" x14ac:dyDescent="0.25">
      <c r="A577">
        <v>4868</v>
      </c>
      <c r="B577" t="s">
        <v>3280</v>
      </c>
      <c r="C577" t="s">
        <v>3281</v>
      </c>
      <c r="D577" t="s">
        <v>1643</v>
      </c>
      <c r="E577" t="s">
        <v>3149</v>
      </c>
    </row>
    <row r="578" spans="1:13" x14ac:dyDescent="0.25">
      <c r="A578">
        <v>81122</v>
      </c>
      <c r="B578" t="s">
        <v>3282</v>
      </c>
      <c r="C578" t="s">
        <v>3283</v>
      </c>
      <c r="D578" t="s">
        <v>1643</v>
      </c>
      <c r="E578" t="s">
        <v>3149</v>
      </c>
      <c r="F578" t="s">
        <v>1707</v>
      </c>
      <c r="G578" t="s">
        <v>3284</v>
      </c>
      <c r="K578" t="s">
        <v>3285</v>
      </c>
      <c r="L578" t="s">
        <v>1647</v>
      </c>
      <c r="M578" t="s">
        <v>1634</v>
      </c>
    </row>
    <row r="579" spans="1:13" x14ac:dyDescent="0.25">
      <c r="A579">
        <v>89583</v>
      </c>
      <c r="B579" t="s">
        <v>3286</v>
      </c>
      <c r="C579" t="s">
        <v>3287</v>
      </c>
      <c r="D579" t="s">
        <v>1643</v>
      </c>
      <c r="E579" t="s">
        <v>3149</v>
      </c>
      <c r="F579" t="s">
        <v>2610</v>
      </c>
      <c r="G579" t="s">
        <v>3288</v>
      </c>
      <c r="H579">
        <v>9284253271</v>
      </c>
      <c r="I579">
        <v>1104</v>
      </c>
      <c r="J579">
        <v>9284257419</v>
      </c>
      <c r="K579" t="s">
        <v>3289</v>
      </c>
      <c r="L579" t="s">
        <v>1640</v>
      </c>
      <c r="M579" t="s">
        <v>1640</v>
      </c>
    </row>
    <row r="580" spans="1:13" x14ac:dyDescent="0.25">
      <c r="A580">
        <v>1001177</v>
      </c>
      <c r="B580" t="s">
        <v>3290</v>
      </c>
      <c r="C580" t="s">
        <v>3291</v>
      </c>
      <c r="D580" t="s">
        <v>1643</v>
      </c>
      <c r="E580" t="s">
        <v>3149</v>
      </c>
    </row>
    <row r="581" spans="1:13" x14ac:dyDescent="0.25">
      <c r="A581">
        <v>4869</v>
      </c>
      <c r="B581" t="s">
        <v>1022</v>
      </c>
      <c r="C581" t="s">
        <v>3292</v>
      </c>
      <c r="D581" t="s">
        <v>1643</v>
      </c>
      <c r="E581" t="s">
        <v>3149</v>
      </c>
      <c r="F581" t="s">
        <v>3293</v>
      </c>
      <c r="G581" t="s">
        <v>3288</v>
      </c>
      <c r="H581">
        <v>9284253271</v>
      </c>
      <c r="M581" t="s">
        <v>1640</v>
      </c>
    </row>
    <row r="582" spans="1:13" x14ac:dyDescent="0.25">
      <c r="A582">
        <v>4212</v>
      </c>
      <c r="B582" t="s">
        <v>3294</v>
      </c>
      <c r="C582" t="s">
        <v>3295</v>
      </c>
      <c r="D582" t="s">
        <v>1628</v>
      </c>
      <c r="E582" t="s">
        <v>3149</v>
      </c>
      <c r="F582" t="s">
        <v>2046</v>
      </c>
      <c r="G582" t="s">
        <v>3296</v>
      </c>
      <c r="K582" t="s">
        <v>3297</v>
      </c>
      <c r="L582" t="s">
        <v>1668</v>
      </c>
      <c r="M582" t="s">
        <v>1634</v>
      </c>
    </row>
    <row r="583" spans="1:13" x14ac:dyDescent="0.25">
      <c r="A583">
        <v>4212</v>
      </c>
      <c r="B583" t="s">
        <v>3294</v>
      </c>
      <c r="C583" t="s">
        <v>3295</v>
      </c>
      <c r="D583" t="s">
        <v>1628</v>
      </c>
      <c r="E583" t="s">
        <v>3149</v>
      </c>
      <c r="F583" t="s">
        <v>3298</v>
      </c>
      <c r="G583" t="s">
        <v>3299</v>
      </c>
      <c r="J583">
        <v>5203567303</v>
      </c>
      <c r="K583" t="s">
        <v>3300</v>
      </c>
      <c r="L583" t="s">
        <v>1640</v>
      </c>
      <c r="M583" t="s">
        <v>1634</v>
      </c>
    </row>
    <row r="584" spans="1:13" x14ac:dyDescent="0.25">
      <c r="A584">
        <v>4212</v>
      </c>
      <c r="B584" t="s">
        <v>3294</v>
      </c>
      <c r="C584" t="s">
        <v>3295</v>
      </c>
      <c r="D584" t="s">
        <v>1628</v>
      </c>
      <c r="E584" t="s">
        <v>3149</v>
      </c>
      <c r="F584" t="s">
        <v>3298</v>
      </c>
      <c r="G584" t="s">
        <v>3299</v>
      </c>
      <c r="J584">
        <v>5203567303</v>
      </c>
      <c r="K584" t="s">
        <v>3300</v>
      </c>
      <c r="L584" t="s">
        <v>1640</v>
      </c>
      <c r="M584" t="s">
        <v>1640</v>
      </c>
    </row>
    <row r="585" spans="1:13" x14ac:dyDescent="0.25">
      <c r="A585">
        <v>4870</v>
      </c>
      <c r="B585" t="s">
        <v>3301</v>
      </c>
      <c r="C585" t="s">
        <v>3302</v>
      </c>
      <c r="D585" t="s">
        <v>1643</v>
      </c>
      <c r="E585" t="s">
        <v>3149</v>
      </c>
      <c r="F585" t="s">
        <v>3303</v>
      </c>
      <c r="G585" t="s">
        <v>3304</v>
      </c>
      <c r="H585">
        <v>5203567876</v>
      </c>
      <c r="K585" t="s">
        <v>3305</v>
      </c>
      <c r="L585" t="s">
        <v>1647</v>
      </c>
      <c r="M585" t="s">
        <v>1634</v>
      </c>
    </row>
    <row r="586" spans="1:13" x14ac:dyDescent="0.25">
      <c r="A586">
        <v>4873</v>
      </c>
      <c r="B586" t="s">
        <v>3306</v>
      </c>
      <c r="C586" t="s">
        <v>3307</v>
      </c>
      <c r="D586" t="s">
        <v>1643</v>
      </c>
      <c r="E586" t="s">
        <v>3149</v>
      </c>
      <c r="F586" t="s">
        <v>3303</v>
      </c>
      <c r="G586" t="s">
        <v>3304</v>
      </c>
      <c r="H586">
        <v>5203567876</v>
      </c>
      <c r="K586" t="s">
        <v>3305</v>
      </c>
      <c r="L586" t="s">
        <v>1647</v>
      </c>
      <c r="M586" t="s">
        <v>1634</v>
      </c>
    </row>
    <row r="587" spans="1:13" x14ac:dyDescent="0.25">
      <c r="A587">
        <v>4213</v>
      </c>
      <c r="B587" t="s">
        <v>3308</v>
      </c>
      <c r="C587" t="s">
        <v>3309</v>
      </c>
      <c r="D587" t="s">
        <v>1628</v>
      </c>
      <c r="E587" t="s">
        <v>3149</v>
      </c>
      <c r="F587" t="s">
        <v>3310</v>
      </c>
      <c r="G587" t="s">
        <v>3311</v>
      </c>
      <c r="H587">
        <v>9284623244</v>
      </c>
      <c r="K587" t="s">
        <v>3312</v>
      </c>
      <c r="L587" t="s">
        <v>1640</v>
      </c>
      <c r="M587" t="s">
        <v>1634</v>
      </c>
    </row>
    <row r="588" spans="1:13" x14ac:dyDescent="0.25">
      <c r="A588">
        <v>4213</v>
      </c>
      <c r="B588" t="s">
        <v>3308</v>
      </c>
      <c r="C588" t="s">
        <v>3309</v>
      </c>
      <c r="D588" t="s">
        <v>1628</v>
      </c>
      <c r="E588" t="s">
        <v>3149</v>
      </c>
      <c r="F588" t="s">
        <v>3313</v>
      </c>
      <c r="G588" t="s">
        <v>2050</v>
      </c>
      <c r="H588">
        <v>9284623244</v>
      </c>
      <c r="K588" t="s">
        <v>3314</v>
      </c>
      <c r="M588" t="s">
        <v>1634</v>
      </c>
    </row>
    <row r="589" spans="1:13" x14ac:dyDescent="0.25">
      <c r="A589">
        <v>4213</v>
      </c>
      <c r="B589" t="s">
        <v>3308</v>
      </c>
      <c r="C589" t="s">
        <v>3309</v>
      </c>
      <c r="D589" t="s">
        <v>1628</v>
      </c>
      <c r="E589" t="s">
        <v>3149</v>
      </c>
      <c r="F589" t="s">
        <v>2876</v>
      </c>
      <c r="G589" t="s">
        <v>3315</v>
      </c>
      <c r="K589" t="s">
        <v>3316</v>
      </c>
      <c r="L589" t="s">
        <v>2368</v>
      </c>
      <c r="M589" t="s">
        <v>1634</v>
      </c>
    </row>
    <row r="590" spans="1:13" x14ac:dyDescent="0.25">
      <c r="A590">
        <v>4213</v>
      </c>
      <c r="B590" t="s">
        <v>3308</v>
      </c>
      <c r="C590" t="s">
        <v>3309</v>
      </c>
      <c r="D590" t="s">
        <v>1628</v>
      </c>
      <c r="E590" t="s">
        <v>3149</v>
      </c>
      <c r="F590" t="s">
        <v>3317</v>
      </c>
      <c r="G590" t="s">
        <v>3318</v>
      </c>
      <c r="H590">
        <v>9284623244</v>
      </c>
      <c r="K590" t="s">
        <v>3319</v>
      </c>
      <c r="L590" t="s">
        <v>1668</v>
      </c>
      <c r="M590" t="s">
        <v>1634</v>
      </c>
    </row>
    <row r="591" spans="1:13" x14ac:dyDescent="0.25">
      <c r="A591">
        <v>4213</v>
      </c>
      <c r="B591" t="s">
        <v>3308</v>
      </c>
      <c r="C591" t="s">
        <v>3309</v>
      </c>
      <c r="D591" t="s">
        <v>1628</v>
      </c>
      <c r="E591" t="s">
        <v>3149</v>
      </c>
      <c r="F591" t="s">
        <v>1630</v>
      </c>
      <c r="G591" t="s">
        <v>2927</v>
      </c>
      <c r="H591">
        <v>9284623244</v>
      </c>
      <c r="K591" t="s">
        <v>3320</v>
      </c>
      <c r="L591" t="s">
        <v>1640</v>
      </c>
      <c r="M591" t="s">
        <v>1640</v>
      </c>
    </row>
    <row r="592" spans="1:13" x14ac:dyDescent="0.25">
      <c r="A592">
        <v>4213</v>
      </c>
      <c r="B592" t="s">
        <v>3308</v>
      </c>
      <c r="C592" t="s">
        <v>3309</v>
      </c>
      <c r="D592" t="s">
        <v>1628</v>
      </c>
      <c r="E592" t="s">
        <v>3149</v>
      </c>
      <c r="F592" t="s">
        <v>3310</v>
      </c>
      <c r="G592" t="s">
        <v>3311</v>
      </c>
      <c r="H592">
        <v>9284623244</v>
      </c>
      <c r="K592" t="s">
        <v>3312</v>
      </c>
      <c r="L592" t="s">
        <v>1640</v>
      </c>
      <c r="M592" t="s">
        <v>1640</v>
      </c>
    </row>
    <row r="593" spans="1:13" x14ac:dyDescent="0.25">
      <c r="A593">
        <v>4213</v>
      </c>
      <c r="B593" t="s">
        <v>3308</v>
      </c>
      <c r="C593" t="s">
        <v>3309</v>
      </c>
      <c r="D593" t="s">
        <v>1628</v>
      </c>
      <c r="E593" t="s">
        <v>3149</v>
      </c>
      <c r="F593" t="s">
        <v>2876</v>
      </c>
      <c r="G593" t="s">
        <v>3315</v>
      </c>
      <c r="K593" t="s">
        <v>3316</v>
      </c>
      <c r="L593" t="s">
        <v>2368</v>
      </c>
      <c r="M593" t="s">
        <v>1640</v>
      </c>
    </row>
    <row r="594" spans="1:13" x14ac:dyDescent="0.25">
      <c r="A594">
        <v>4213</v>
      </c>
      <c r="B594" t="s">
        <v>3308</v>
      </c>
      <c r="C594" t="s">
        <v>3309</v>
      </c>
      <c r="D594" t="s">
        <v>1628</v>
      </c>
      <c r="E594" t="s">
        <v>3149</v>
      </c>
      <c r="F594" t="s">
        <v>3313</v>
      </c>
      <c r="G594" t="s">
        <v>2050</v>
      </c>
      <c r="H594">
        <v>9284623244</v>
      </c>
      <c r="K594" t="s">
        <v>3314</v>
      </c>
      <c r="M594" t="s">
        <v>1765</v>
      </c>
    </row>
    <row r="595" spans="1:13" x14ac:dyDescent="0.25">
      <c r="A595">
        <v>4213</v>
      </c>
      <c r="B595" t="s">
        <v>3308</v>
      </c>
      <c r="C595" t="s">
        <v>3309</v>
      </c>
      <c r="D595" t="s">
        <v>1628</v>
      </c>
      <c r="E595" t="s">
        <v>3149</v>
      </c>
      <c r="F595" t="s">
        <v>2876</v>
      </c>
      <c r="G595" t="s">
        <v>3315</v>
      </c>
      <c r="K595" t="s">
        <v>3316</v>
      </c>
      <c r="L595" t="s">
        <v>2368</v>
      </c>
      <c r="M595" t="s">
        <v>1765</v>
      </c>
    </row>
    <row r="596" spans="1:13" x14ac:dyDescent="0.25">
      <c r="A596">
        <v>4874</v>
      </c>
      <c r="B596" t="s">
        <v>3321</v>
      </c>
      <c r="C596" t="s">
        <v>3322</v>
      </c>
      <c r="D596" t="s">
        <v>1643</v>
      </c>
      <c r="E596" t="s">
        <v>3149</v>
      </c>
      <c r="F596" t="s">
        <v>2610</v>
      </c>
      <c r="G596" t="s">
        <v>3323</v>
      </c>
      <c r="K596" t="s">
        <v>3324</v>
      </c>
      <c r="M596" t="s">
        <v>1634</v>
      </c>
    </row>
    <row r="597" spans="1:13" x14ac:dyDescent="0.25">
      <c r="A597">
        <v>4875</v>
      </c>
      <c r="B597" t="s">
        <v>3325</v>
      </c>
      <c r="C597" t="s">
        <v>3326</v>
      </c>
      <c r="D597" t="s">
        <v>1643</v>
      </c>
      <c r="E597" t="s">
        <v>3149</v>
      </c>
      <c r="F597" t="s">
        <v>2610</v>
      </c>
      <c r="G597" t="s">
        <v>3323</v>
      </c>
      <c r="K597" t="s">
        <v>3324</v>
      </c>
      <c r="M597" t="s">
        <v>1634</v>
      </c>
    </row>
    <row r="598" spans="1:13" x14ac:dyDescent="0.25">
      <c r="A598">
        <v>4214</v>
      </c>
      <c r="B598" t="s">
        <v>3327</v>
      </c>
      <c r="C598" t="s">
        <v>3328</v>
      </c>
      <c r="D598" t="s">
        <v>1628</v>
      </c>
      <c r="E598" t="s">
        <v>3149</v>
      </c>
      <c r="F598" t="s">
        <v>3329</v>
      </c>
      <c r="G598" t="s">
        <v>3330</v>
      </c>
      <c r="K598" t="s">
        <v>3331</v>
      </c>
      <c r="L598" t="s">
        <v>2065</v>
      </c>
      <c r="M598" t="s">
        <v>1634</v>
      </c>
    </row>
    <row r="599" spans="1:13" x14ac:dyDescent="0.25">
      <c r="A599">
        <v>4214</v>
      </c>
      <c r="B599" t="s">
        <v>3327</v>
      </c>
      <c r="C599" t="s">
        <v>3328</v>
      </c>
      <c r="D599" t="s">
        <v>1628</v>
      </c>
      <c r="E599" t="s">
        <v>3149</v>
      </c>
      <c r="F599" t="s">
        <v>3332</v>
      </c>
      <c r="G599" t="s">
        <v>3333</v>
      </c>
      <c r="H599">
        <v>9284763283</v>
      </c>
      <c r="K599" t="s">
        <v>3334</v>
      </c>
      <c r="M599" t="s">
        <v>1640</v>
      </c>
    </row>
    <row r="600" spans="1:13" x14ac:dyDescent="0.25">
      <c r="A600">
        <v>4214</v>
      </c>
      <c r="B600" t="s">
        <v>3327</v>
      </c>
      <c r="C600" t="s">
        <v>3328</v>
      </c>
      <c r="D600" t="s">
        <v>1628</v>
      </c>
      <c r="E600" t="s">
        <v>3149</v>
      </c>
      <c r="F600" t="s">
        <v>3335</v>
      </c>
      <c r="G600" t="s">
        <v>3336</v>
      </c>
      <c r="J600">
        <v>9284762506</v>
      </c>
      <c r="K600" t="s">
        <v>3337</v>
      </c>
      <c r="L600" t="s">
        <v>3338</v>
      </c>
      <c r="M600" t="s">
        <v>1765</v>
      </c>
    </row>
    <row r="601" spans="1:13" x14ac:dyDescent="0.25">
      <c r="A601">
        <v>4876</v>
      </c>
      <c r="B601" t="s">
        <v>3339</v>
      </c>
      <c r="C601" t="s">
        <v>3340</v>
      </c>
      <c r="D601" t="s">
        <v>1643</v>
      </c>
      <c r="E601" t="s">
        <v>3149</v>
      </c>
      <c r="F601" t="s">
        <v>1775</v>
      </c>
      <c r="G601" t="s">
        <v>3341</v>
      </c>
      <c r="H601">
        <v>9284763283</v>
      </c>
      <c r="J601">
        <v>9284762506</v>
      </c>
      <c r="K601" t="s">
        <v>3342</v>
      </c>
      <c r="L601" t="s">
        <v>2065</v>
      </c>
      <c r="M601" t="s">
        <v>1634</v>
      </c>
    </row>
    <row r="602" spans="1:13" x14ac:dyDescent="0.25">
      <c r="A602">
        <v>4215</v>
      </c>
      <c r="B602" t="s">
        <v>3343</v>
      </c>
      <c r="C602" t="s">
        <v>3344</v>
      </c>
      <c r="D602" t="s">
        <v>1628</v>
      </c>
      <c r="E602" t="s">
        <v>3149</v>
      </c>
      <c r="F602" t="s">
        <v>3345</v>
      </c>
      <c r="G602" t="s">
        <v>3346</v>
      </c>
      <c r="H602">
        <v>9284792277</v>
      </c>
      <c r="I602">
        <v>1004</v>
      </c>
      <c r="K602" t="s">
        <v>3347</v>
      </c>
      <c r="L602" t="s">
        <v>2584</v>
      </c>
      <c r="M602" t="s">
        <v>1634</v>
      </c>
    </row>
    <row r="603" spans="1:13" x14ac:dyDescent="0.25">
      <c r="A603">
        <v>4215</v>
      </c>
      <c r="B603" t="s">
        <v>3343</v>
      </c>
      <c r="C603" t="s">
        <v>3344</v>
      </c>
      <c r="D603" t="s">
        <v>1628</v>
      </c>
      <c r="E603" t="s">
        <v>3149</v>
      </c>
      <c r="F603" t="s">
        <v>3348</v>
      </c>
      <c r="G603" t="s">
        <v>3349</v>
      </c>
      <c r="M603" t="s">
        <v>1634</v>
      </c>
    </row>
    <row r="604" spans="1:13" x14ac:dyDescent="0.25">
      <c r="A604">
        <v>4215</v>
      </c>
      <c r="B604" t="s">
        <v>3343</v>
      </c>
      <c r="C604" t="s">
        <v>3344</v>
      </c>
      <c r="D604" t="s">
        <v>1628</v>
      </c>
      <c r="E604" t="s">
        <v>3149</v>
      </c>
      <c r="F604" t="s">
        <v>3350</v>
      </c>
      <c r="G604" t="s">
        <v>3349</v>
      </c>
      <c r="H604">
        <v>9284792277</v>
      </c>
      <c r="K604" t="s">
        <v>3351</v>
      </c>
      <c r="L604" t="s">
        <v>1640</v>
      </c>
      <c r="M604" t="s">
        <v>1640</v>
      </c>
    </row>
    <row r="605" spans="1:13" x14ac:dyDescent="0.25">
      <c r="A605">
        <v>4877</v>
      </c>
      <c r="B605" t="s">
        <v>3352</v>
      </c>
      <c r="C605" t="s">
        <v>3353</v>
      </c>
      <c r="D605" t="s">
        <v>1643</v>
      </c>
      <c r="E605" t="s">
        <v>3149</v>
      </c>
      <c r="F605" t="s">
        <v>3345</v>
      </c>
      <c r="G605" t="s">
        <v>3346</v>
      </c>
      <c r="H605">
        <v>9284792277</v>
      </c>
      <c r="K605" t="s">
        <v>3347</v>
      </c>
      <c r="L605" t="s">
        <v>1647</v>
      </c>
      <c r="M605" t="s">
        <v>1634</v>
      </c>
    </row>
    <row r="606" spans="1:13" x14ac:dyDescent="0.25">
      <c r="A606">
        <v>6258</v>
      </c>
      <c r="B606" t="s">
        <v>3354</v>
      </c>
      <c r="C606" t="s">
        <v>3355</v>
      </c>
      <c r="D606" t="s">
        <v>2596</v>
      </c>
      <c r="E606" t="s">
        <v>3149</v>
      </c>
      <c r="F606" t="s">
        <v>3040</v>
      </c>
      <c r="G606" t="s">
        <v>3356</v>
      </c>
      <c r="J606">
        <v>9284250927</v>
      </c>
      <c r="K606" t="s">
        <v>3357</v>
      </c>
      <c r="L606" t="s">
        <v>3358</v>
      </c>
      <c r="M606" t="s">
        <v>1634</v>
      </c>
    </row>
    <row r="607" spans="1:13" x14ac:dyDescent="0.25">
      <c r="A607">
        <v>6258</v>
      </c>
      <c r="B607" t="s">
        <v>3354</v>
      </c>
      <c r="C607" t="s">
        <v>3355</v>
      </c>
      <c r="D607" t="s">
        <v>2596</v>
      </c>
      <c r="E607" t="s">
        <v>3149</v>
      </c>
      <c r="F607" t="s">
        <v>3040</v>
      </c>
      <c r="G607" t="s">
        <v>3356</v>
      </c>
      <c r="J607">
        <v>9284250459</v>
      </c>
      <c r="K607" t="s">
        <v>3357</v>
      </c>
      <c r="L607" t="s">
        <v>1640</v>
      </c>
      <c r="M607" t="s">
        <v>1640</v>
      </c>
    </row>
    <row r="608" spans="1:13" x14ac:dyDescent="0.25">
      <c r="A608">
        <v>6258</v>
      </c>
      <c r="B608" t="s">
        <v>3354</v>
      </c>
      <c r="C608" t="s">
        <v>3355</v>
      </c>
      <c r="D608" t="s">
        <v>2596</v>
      </c>
      <c r="E608" t="s">
        <v>3149</v>
      </c>
      <c r="F608" t="s">
        <v>3040</v>
      </c>
      <c r="G608" t="s">
        <v>3356</v>
      </c>
      <c r="J608">
        <v>9284250459</v>
      </c>
      <c r="K608" t="s">
        <v>3357</v>
      </c>
      <c r="M608" t="s">
        <v>1640</v>
      </c>
    </row>
    <row r="609" spans="1:13" x14ac:dyDescent="0.25">
      <c r="A609">
        <v>6258</v>
      </c>
      <c r="B609" t="s">
        <v>3354</v>
      </c>
      <c r="C609" t="s">
        <v>3355</v>
      </c>
      <c r="D609" t="s">
        <v>2596</v>
      </c>
      <c r="E609" t="s">
        <v>3149</v>
      </c>
      <c r="F609" t="s">
        <v>3040</v>
      </c>
      <c r="G609" t="s">
        <v>3356</v>
      </c>
      <c r="J609">
        <v>9284250459</v>
      </c>
      <c r="K609" t="s">
        <v>3357</v>
      </c>
      <c r="L609" t="s">
        <v>1640</v>
      </c>
      <c r="M609" t="s">
        <v>1765</v>
      </c>
    </row>
    <row r="610" spans="1:13" x14ac:dyDescent="0.25">
      <c r="A610">
        <v>6258</v>
      </c>
      <c r="B610" t="s">
        <v>3354</v>
      </c>
      <c r="C610" t="s">
        <v>3355</v>
      </c>
      <c r="D610" t="s">
        <v>2596</v>
      </c>
      <c r="E610" t="s">
        <v>3149</v>
      </c>
      <c r="F610" t="s">
        <v>3040</v>
      </c>
      <c r="G610" t="s">
        <v>3356</v>
      </c>
      <c r="J610">
        <v>9284250459</v>
      </c>
      <c r="K610" t="s">
        <v>3357</v>
      </c>
      <c r="M610" t="s">
        <v>1765</v>
      </c>
    </row>
    <row r="611" spans="1:13" x14ac:dyDescent="0.25">
      <c r="A611">
        <v>10807</v>
      </c>
      <c r="B611" t="s">
        <v>3359</v>
      </c>
      <c r="C611" t="s">
        <v>3360</v>
      </c>
      <c r="D611" t="s">
        <v>2605</v>
      </c>
      <c r="E611" t="s">
        <v>3149</v>
      </c>
      <c r="F611" t="s">
        <v>2099</v>
      </c>
      <c r="G611" t="s">
        <v>3361</v>
      </c>
      <c r="H611">
        <v>9284250925</v>
      </c>
      <c r="J611">
        <v>9284250927</v>
      </c>
      <c r="K611" t="s">
        <v>3362</v>
      </c>
      <c r="M611" t="s">
        <v>1634</v>
      </c>
    </row>
    <row r="612" spans="1:13" x14ac:dyDescent="0.25">
      <c r="A612">
        <v>10807</v>
      </c>
      <c r="B612" t="s">
        <v>3359</v>
      </c>
      <c r="C612" t="s">
        <v>3360</v>
      </c>
      <c r="D612" t="s">
        <v>2605</v>
      </c>
      <c r="E612" t="s">
        <v>3149</v>
      </c>
      <c r="F612" t="s">
        <v>3040</v>
      </c>
      <c r="G612" t="s">
        <v>3356</v>
      </c>
      <c r="K612" t="s">
        <v>3357</v>
      </c>
      <c r="M612" t="s">
        <v>1640</v>
      </c>
    </row>
    <row r="613" spans="1:13" x14ac:dyDescent="0.25">
      <c r="A613">
        <v>4216</v>
      </c>
      <c r="B613" t="s">
        <v>1012</v>
      </c>
      <c r="C613" t="s">
        <v>3363</v>
      </c>
      <c r="D613" t="s">
        <v>2596</v>
      </c>
      <c r="E613" t="s">
        <v>3149</v>
      </c>
      <c r="F613" t="s">
        <v>1872</v>
      </c>
      <c r="G613" t="s">
        <v>3364</v>
      </c>
      <c r="J613">
        <v>9284028358</v>
      </c>
      <c r="K613" t="s">
        <v>3365</v>
      </c>
      <c r="L613" t="s">
        <v>1647</v>
      </c>
      <c r="M613" t="s">
        <v>1634</v>
      </c>
    </row>
    <row r="614" spans="1:13" x14ac:dyDescent="0.25">
      <c r="A614">
        <v>4216</v>
      </c>
      <c r="B614" t="s">
        <v>1012</v>
      </c>
      <c r="C614" t="s">
        <v>3363</v>
      </c>
      <c r="D614" t="s">
        <v>2596</v>
      </c>
      <c r="E614" t="s">
        <v>3149</v>
      </c>
      <c r="F614" t="s">
        <v>3366</v>
      </c>
      <c r="G614" t="s">
        <v>3367</v>
      </c>
      <c r="K614" t="s">
        <v>3368</v>
      </c>
      <c r="M614" t="s">
        <v>1634</v>
      </c>
    </row>
    <row r="615" spans="1:13" x14ac:dyDescent="0.25">
      <c r="A615">
        <v>4216</v>
      </c>
      <c r="B615" t="s">
        <v>1012</v>
      </c>
      <c r="C615" t="s">
        <v>3363</v>
      </c>
      <c r="D615" t="s">
        <v>2596</v>
      </c>
      <c r="E615" t="s">
        <v>3149</v>
      </c>
      <c r="F615" t="s">
        <v>1872</v>
      </c>
      <c r="G615" t="s">
        <v>3364</v>
      </c>
      <c r="J615">
        <v>9284028358</v>
      </c>
      <c r="K615" t="s">
        <v>3365</v>
      </c>
      <c r="L615" t="s">
        <v>1647</v>
      </c>
      <c r="M615" t="s">
        <v>1640</v>
      </c>
    </row>
    <row r="616" spans="1:13" x14ac:dyDescent="0.25">
      <c r="A616">
        <v>4216</v>
      </c>
      <c r="B616" t="s">
        <v>1012</v>
      </c>
      <c r="C616" t="s">
        <v>3363</v>
      </c>
      <c r="D616" t="s">
        <v>2596</v>
      </c>
      <c r="E616" t="s">
        <v>3149</v>
      </c>
      <c r="F616" t="s">
        <v>3366</v>
      </c>
      <c r="G616" t="s">
        <v>3367</v>
      </c>
      <c r="K616" t="s">
        <v>3368</v>
      </c>
      <c r="M616" t="s">
        <v>1640</v>
      </c>
    </row>
    <row r="617" spans="1:13" x14ac:dyDescent="0.25">
      <c r="A617">
        <v>4216</v>
      </c>
      <c r="B617" t="s">
        <v>1012</v>
      </c>
      <c r="C617" t="s">
        <v>3363</v>
      </c>
      <c r="D617" t="s">
        <v>2596</v>
      </c>
      <c r="E617" t="s">
        <v>3149</v>
      </c>
      <c r="F617" t="s">
        <v>3168</v>
      </c>
      <c r="G617" t="s">
        <v>3169</v>
      </c>
      <c r="K617" t="s">
        <v>3369</v>
      </c>
      <c r="L617" t="s">
        <v>2045</v>
      </c>
      <c r="M617" t="s">
        <v>1765</v>
      </c>
    </row>
    <row r="618" spans="1:13" x14ac:dyDescent="0.25">
      <c r="A618">
        <v>4878</v>
      </c>
      <c r="B618" t="s">
        <v>1012</v>
      </c>
      <c r="C618" t="s">
        <v>3370</v>
      </c>
      <c r="D618" t="s">
        <v>2605</v>
      </c>
      <c r="E618" t="s">
        <v>3149</v>
      </c>
      <c r="F618" t="s">
        <v>3366</v>
      </c>
      <c r="G618" t="s">
        <v>3367</v>
      </c>
      <c r="K618" t="s">
        <v>3368</v>
      </c>
      <c r="L618" t="s">
        <v>3371</v>
      </c>
      <c r="M618" t="s">
        <v>1634</v>
      </c>
    </row>
    <row r="619" spans="1:13" x14ac:dyDescent="0.25">
      <c r="A619">
        <v>4878</v>
      </c>
      <c r="B619" t="s">
        <v>1012</v>
      </c>
      <c r="C619" t="s">
        <v>3370</v>
      </c>
      <c r="D619" t="s">
        <v>2605</v>
      </c>
      <c r="E619" t="s">
        <v>3149</v>
      </c>
      <c r="F619" t="s">
        <v>3366</v>
      </c>
      <c r="G619" t="s">
        <v>3367</v>
      </c>
      <c r="K619" t="s">
        <v>3368</v>
      </c>
      <c r="L619" t="s">
        <v>3371</v>
      </c>
      <c r="M619" t="s">
        <v>1640</v>
      </c>
    </row>
    <row r="620" spans="1:13" x14ac:dyDescent="0.25">
      <c r="A620">
        <v>4217</v>
      </c>
      <c r="B620" t="s">
        <v>3372</v>
      </c>
      <c r="C620" t="s">
        <v>3373</v>
      </c>
      <c r="D620" t="s">
        <v>1628</v>
      </c>
      <c r="E620" t="s">
        <v>3374</v>
      </c>
      <c r="F620" t="s">
        <v>2587</v>
      </c>
      <c r="G620" t="s">
        <v>1723</v>
      </c>
      <c r="J620">
        <v>9284859422</v>
      </c>
      <c r="K620" t="s">
        <v>3375</v>
      </c>
      <c r="L620" t="s">
        <v>1668</v>
      </c>
      <c r="M620" t="s">
        <v>1634</v>
      </c>
    </row>
    <row r="621" spans="1:13" x14ac:dyDescent="0.25">
      <c r="A621">
        <v>4217</v>
      </c>
      <c r="B621" t="s">
        <v>3372</v>
      </c>
      <c r="C621" t="s">
        <v>3373</v>
      </c>
      <c r="D621" t="s">
        <v>1628</v>
      </c>
      <c r="E621" t="s">
        <v>3374</v>
      </c>
      <c r="F621" t="s">
        <v>3376</v>
      </c>
      <c r="G621" t="s">
        <v>3377</v>
      </c>
      <c r="H621">
        <v>9284852759</v>
      </c>
      <c r="K621" t="s">
        <v>3378</v>
      </c>
      <c r="L621" t="s">
        <v>1668</v>
      </c>
      <c r="M621" t="s">
        <v>1634</v>
      </c>
    </row>
    <row r="622" spans="1:13" x14ac:dyDescent="0.25">
      <c r="A622">
        <v>4217</v>
      </c>
      <c r="B622" t="s">
        <v>3372</v>
      </c>
      <c r="C622" t="s">
        <v>3373</v>
      </c>
      <c r="D622" t="s">
        <v>1628</v>
      </c>
      <c r="E622" t="s">
        <v>3374</v>
      </c>
      <c r="F622" t="s">
        <v>3379</v>
      </c>
      <c r="G622" t="s">
        <v>3380</v>
      </c>
      <c r="J622">
        <v>9284485942</v>
      </c>
      <c r="K622" t="s">
        <v>3381</v>
      </c>
      <c r="M622" t="s">
        <v>1640</v>
      </c>
    </row>
    <row r="623" spans="1:13" x14ac:dyDescent="0.25">
      <c r="A623">
        <v>4879</v>
      </c>
      <c r="B623" t="s">
        <v>3382</v>
      </c>
      <c r="C623" t="s">
        <v>3383</v>
      </c>
      <c r="D623" t="s">
        <v>1643</v>
      </c>
      <c r="E623" t="s">
        <v>3374</v>
      </c>
      <c r="F623" t="s">
        <v>2587</v>
      </c>
      <c r="G623" t="s">
        <v>1723</v>
      </c>
      <c r="I623">
        <v>8218</v>
      </c>
      <c r="K623" t="s">
        <v>3375</v>
      </c>
      <c r="L623" t="s">
        <v>3384</v>
      </c>
      <c r="M623" t="s">
        <v>1634</v>
      </c>
    </row>
    <row r="624" spans="1:13" x14ac:dyDescent="0.25">
      <c r="A624">
        <v>4218</v>
      </c>
      <c r="B624" t="s">
        <v>3385</v>
      </c>
      <c r="C624" t="s">
        <v>3386</v>
      </c>
      <c r="D624" t="s">
        <v>1628</v>
      </c>
      <c r="E624" t="s">
        <v>3374</v>
      </c>
      <c r="F624" t="s">
        <v>3387</v>
      </c>
      <c r="G624" t="s">
        <v>3388</v>
      </c>
      <c r="K624" t="s">
        <v>3389</v>
      </c>
      <c r="L624" t="s">
        <v>3390</v>
      </c>
      <c r="M624" t="s">
        <v>1640</v>
      </c>
    </row>
    <row r="625" spans="1:13" x14ac:dyDescent="0.25">
      <c r="A625">
        <v>4218</v>
      </c>
      <c r="B625" t="s">
        <v>3385</v>
      </c>
      <c r="C625" t="s">
        <v>3386</v>
      </c>
      <c r="D625" t="s">
        <v>1628</v>
      </c>
      <c r="E625" t="s">
        <v>3374</v>
      </c>
      <c r="F625" t="s">
        <v>3391</v>
      </c>
      <c r="G625" t="s">
        <v>3392</v>
      </c>
      <c r="H625">
        <v>9283487000</v>
      </c>
      <c r="I625">
        <v>7054</v>
      </c>
      <c r="K625" t="s">
        <v>3393</v>
      </c>
      <c r="M625" t="s">
        <v>1640</v>
      </c>
    </row>
    <row r="626" spans="1:13" x14ac:dyDescent="0.25">
      <c r="A626">
        <v>4218</v>
      </c>
      <c r="B626" t="s">
        <v>3385</v>
      </c>
      <c r="C626" t="s">
        <v>3386</v>
      </c>
      <c r="D626" t="s">
        <v>1628</v>
      </c>
      <c r="E626" t="s">
        <v>3374</v>
      </c>
      <c r="F626" t="s">
        <v>1726</v>
      </c>
      <c r="G626" t="s">
        <v>3394</v>
      </c>
      <c r="H626">
        <v>9283487018</v>
      </c>
      <c r="K626" t="s">
        <v>3395</v>
      </c>
      <c r="L626" t="s">
        <v>3396</v>
      </c>
      <c r="M626" t="s">
        <v>1765</v>
      </c>
    </row>
    <row r="627" spans="1:13" x14ac:dyDescent="0.25">
      <c r="A627">
        <v>4881</v>
      </c>
      <c r="B627" t="s">
        <v>3397</v>
      </c>
      <c r="C627" t="s">
        <v>3398</v>
      </c>
      <c r="D627" t="s">
        <v>1643</v>
      </c>
      <c r="E627" t="s">
        <v>3374</v>
      </c>
      <c r="F627" t="s">
        <v>1775</v>
      </c>
      <c r="G627" t="s">
        <v>3399</v>
      </c>
      <c r="H627">
        <v>9283487010</v>
      </c>
      <c r="J627">
        <v>9283487011</v>
      </c>
      <c r="K627" t="s">
        <v>3400</v>
      </c>
      <c r="M627" t="s">
        <v>1634</v>
      </c>
    </row>
    <row r="628" spans="1:13" x14ac:dyDescent="0.25">
      <c r="A628">
        <v>4881</v>
      </c>
      <c r="B628" t="s">
        <v>3397</v>
      </c>
      <c r="C628" t="s">
        <v>3398</v>
      </c>
      <c r="D628" t="s">
        <v>1643</v>
      </c>
      <c r="E628" t="s">
        <v>3374</v>
      </c>
      <c r="F628" t="s">
        <v>3401</v>
      </c>
      <c r="G628" t="s">
        <v>2162</v>
      </c>
      <c r="K628" t="s">
        <v>3402</v>
      </c>
      <c r="M628" t="s">
        <v>1634</v>
      </c>
    </row>
    <row r="629" spans="1:13" x14ac:dyDescent="0.25">
      <c r="A629">
        <v>4882</v>
      </c>
      <c r="B629" t="s">
        <v>3403</v>
      </c>
      <c r="C629" t="s">
        <v>3404</v>
      </c>
      <c r="D629" t="s">
        <v>1643</v>
      </c>
      <c r="E629" t="s">
        <v>3374</v>
      </c>
    </row>
    <row r="630" spans="1:13" x14ac:dyDescent="0.25">
      <c r="A630">
        <v>4883</v>
      </c>
      <c r="B630" t="s">
        <v>3405</v>
      </c>
      <c r="C630" t="s">
        <v>3406</v>
      </c>
      <c r="D630" t="s">
        <v>1643</v>
      </c>
      <c r="E630" t="s">
        <v>3374</v>
      </c>
      <c r="F630" t="s">
        <v>2581</v>
      </c>
      <c r="G630" t="s">
        <v>3407</v>
      </c>
      <c r="H630">
        <v>9283487040</v>
      </c>
      <c r="J630">
        <v>9283487041</v>
      </c>
      <c r="K630" t="s">
        <v>3408</v>
      </c>
      <c r="L630" t="s">
        <v>1647</v>
      </c>
      <c r="M630" t="s">
        <v>1634</v>
      </c>
    </row>
    <row r="631" spans="1:13" x14ac:dyDescent="0.25">
      <c r="A631">
        <v>79780</v>
      </c>
      <c r="B631" t="s">
        <v>3409</v>
      </c>
      <c r="C631" t="s">
        <v>3410</v>
      </c>
      <c r="D631" t="s">
        <v>1643</v>
      </c>
      <c r="E631" t="s">
        <v>3374</v>
      </c>
      <c r="F631" t="s">
        <v>3411</v>
      </c>
      <c r="G631" t="s">
        <v>3412</v>
      </c>
      <c r="H631">
        <v>9283487030</v>
      </c>
      <c r="J631">
        <v>9283487031</v>
      </c>
      <c r="K631" t="s">
        <v>3413</v>
      </c>
      <c r="M631" t="s">
        <v>1634</v>
      </c>
    </row>
    <row r="632" spans="1:13" x14ac:dyDescent="0.25">
      <c r="A632">
        <v>4884</v>
      </c>
      <c r="B632" t="s">
        <v>3414</v>
      </c>
      <c r="C632" t="s">
        <v>3415</v>
      </c>
      <c r="D632" t="s">
        <v>1643</v>
      </c>
      <c r="E632" t="s">
        <v>3374</v>
      </c>
    </row>
    <row r="633" spans="1:13" x14ac:dyDescent="0.25">
      <c r="A633">
        <v>4885</v>
      </c>
      <c r="B633" t="s">
        <v>3416</v>
      </c>
      <c r="C633" t="s">
        <v>3417</v>
      </c>
      <c r="D633" t="s">
        <v>1643</v>
      </c>
      <c r="E633" t="s">
        <v>3374</v>
      </c>
      <c r="F633" t="s">
        <v>3418</v>
      </c>
      <c r="G633" t="s">
        <v>3419</v>
      </c>
      <c r="H633">
        <v>9283487074</v>
      </c>
      <c r="K633" t="s">
        <v>3420</v>
      </c>
      <c r="L633" t="s">
        <v>1647</v>
      </c>
      <c r="M633" t="s">
        <v>1634</v>
      </c>
    </row>
    <row r="634" spans="1:13" x14ac:dyDescent="0.25">
      <c r="A634">
        <v>216045</v>
      </c>
      <c r="B634" t="s">
        <v>3421</v>
      </c>
      <c r="C634" t="s">
        <v>3422</v>
      </c>
      <c r="D634" t="s">
        <v>1643</v>
      </c>
      <c r="E634" t="s">
        <v>3374</v>
      </c>
      <c r="F634" t="s">
        <v>1935</v>
      </c>
      <c r="G634" t="s">
        <v>3423</v>
      </c>
      <c r="H634">
        <v>9283486701</v>
      </c>
      <c r="J634">
        <v>9283487061</v>
      </c>
      <c r="K634" t="s">
        <v>3424</v>
      </c>
      <c r="L634" t="s">
        <v>3425</v>
      </c>
      <c r="M634" t="s">
        <v>1634</v>
      </c>
    </row>
    <row r="635" spans="1:13" x14ac:dyDescent="0.25">
      <c r="A635">
        <v>4219</v>
      </c>
      <c r="B635" t="s">
        <v>3426</v>
      </c>
      <c r="C635" t="s">
        <v>3427</v>
      </c>
      <c r="D635" t="s">
        <v>1628</v>
      </c>
      <c r="E635" t="s">
        <v>3374</v>
      </c>
      <c r="F635" t="s">
        <v>3428</v>
      </c>
      <c r="G635" t="s">
        <v>3429</v>
      </c>
      <c r="H635">
        <v>9283487207</v>
      </c>
      <c r="J635">
        <v>9283487220</v>
      </c>
      <c r="K635" t="s">
        <v>3430</v>
      </c>
      <c r="L635" t="s">
        <v>3431</v>
      </c>
      <c r="M635" t="s">
        <v>1634</v>
      </c>
    </row>
    <row r="636" spans="1:13" x14ac:dyDescent="0.25">
      <c r="A636">
        <v>4219</v>
      </c>
      <c r="B636" t="s">
        <v>3426</v>
      </c>
      <c r="C636" t="s">
        <v>3427</v>
      </c>
      <c r="D636" t="s">
        <v>1628</v>
      </c>
      <c r="E636" t="s">
        <v>3374</v>
      </c>
      <c r="F636" t="s">
        <v>2814</v>
      </c>
      <c r="G636" t="s">
        <v>3432</v>
      </c>
      <c r="H636">
        <v>9283487201</v>
      </c>
      <c r="K636" t="s">
        <v>3433</v>
      </c>
      <c r="L636" t="s">
        <v>1668</v>
      </c>
      <c r="M636" t="s">
        <v>1634</v>
      </c>
    </row>
    <row r="637" spans="1:13" x14ac:dyDescent="0.25">
      <c r="A637">
        <v>4219</v>
      </c>
      <c r="B637" t="s">
        <v>3426</v>
      </c>
      <c r="C637" t="s">
        <v>3427</v>
      </c>
      <c r="D637" t="s">
        <v>1628</v>
      </c>
      <c r="E637" t="s">
        <v>3374</v>
      </c>
      <c r="F637" t="s">
        <v>2581</v>
      </c>
      <c r="G637" t="s">
        <v>3434</v>
      </c>
      <c r="H637">
        <v>9283487200</v>
      </c>
      <c r="J637">
        <v>9283487220</v>
      </c>
      <c r="K637" t="s">
        <v>3435</v>
      </c>
      <c r="L637" t="s">
        <v>3436</v>
      </c>
      <c r="M637" t="s">
        <v>1640</v>
      </c>
    </row>
    <row r="638" spans="1:13" x14ac:dyDescent="0.25">
      <c r="A638">
        <v>4219</v>
      </c>
      <c r="B638" t="s">
        <v>3426</v>
      </c>
      <c r="C638" t="s">
        <v>3427</v>
      </c>
      <c r="D638" t="s">
        <v>1628</v>
      </c>
      <c r="E638" t="s">
        <v>3374</v>
      </c>
      <c r="F638" t="s">
        <v>3428</v>
      </c>
      <c r="G638" t="s">
        <v>3429</v>
      </c>
      <c r="H638">
        <v>9283487207</v>
      </c>
      <c r="J638">
        <v>9283487220</v>
      </c>
      <c r="K638" t="s">
        <v>3430</v>
      </c>
      <c r="L638" t="s">
        <v>3431</v>
      </c>
      <c r="M638" t="s">
        <v>1765</v>
      </c>
    </row>
    <row r="639" spans="1:13" x14ac:dyDescent="0.25">
      <c r="A639">
        <v>4886</v>
      </c>
      <c r="B639" t="s">
        <v>3437</v>
      </c>
      <c r="C639" t="s">
        <v>3438</v>
      </c>
      <c r="D639" t="s">
        <v>1643</v>
      </c>
      <c r="E639" t="s">
        <v>3374</v>
      </c>
      <c r="F639" t="s">
        <v>3013</v>
      </c>
      <c r="G639" t="s">
        <v>3439</v>
      </c>
      <c r="H639">
        <v>9283487240</v>
      </c>
      <c r="J639">
        <v>6023487220</v>
      </c>
      <c r="K639" t="s">
        <v>3440</v>
      </c>
      <c r="L639" t="s">
        <v>1647</v>
      </c>
      <c r="M639" t="s">
        <v>1634</v>
      </c>
    </row>
    <row r="640" spans="1:13" x14ac:dyDescent="0.25">
      <c r="A640">
        <v>4886</v>
      </c>
      <c r="B640" t="s">
        <v>3437</v>
      </c>
      <c r="C640" t="s">
        <v>3438</v>
      </c>
      <c r="D640" t="s">
        <v>1643</v>
      </c>
      <c r="E640" t="s">
        <v>3374</v>
      </c>
      <c r="F640" t="s">
        <v>2581</v>
      </c>
      <c r="G640" t="s">
        <v>3434</v>
      </c>
      <c r="M640" t="s">
        <v>1640</v>
      </c>
    </row>
    <row r="641" spans="1:13" x14ac:dyDescent="0.25">
      <c r="A641">
        <v>4887</v>
      </c>
      <c r="B641" t="s">
        <v>3441</v>
      </c>
      <c r="C641" t="s">
        <v>3442</v>
      </c>
      <c r="D641" t="s">
        <v>1643</v>
      </c>
      <c r="E641" t="s">
        <v>3374</v>
      </c>
      <c r="F641" t="s">
        <v>3443</v>
      </c>
      <c r="G641" t="s">
        <v>3444</v>
      </c>
      <c r="H641">
        <v>9283487250</v>
      </c>
      <c r="K641" t="s">
        <v>3445</v>
      </c>
      <c r="L641" t="s">
        <v>1647</v>
      </c>
      <c r="M641" t="s">
        <v>1634</v>
      </c>
    </row>
    <row r="642" spans="1:13" x14ac:dyDescent="0.25">
      <c r="A642">
        <v>4887</v>
      </c>
      <c r="B642" t="s">
        <v>3441</v>
      </c>
      <c r="C642" t="s">
        <v>3442</v>
      </c>
      <c r="D642" t="s">
        <v>1643</v>
      </c>
      <c r="E642" t="s">
        <v>3374</v>
      </c>
      <c r="F642" t="s">
        <v>2581</v>
      </c>
      <c r="G642" t="s">
        <v>3434</v>
      </c>
      <c r="M642" t="s">
        <v>1640</v>
      </c>
    </row>
    <row r="643" spans="1:13" x14ac:dyDescent="0.25">
      <c r="A643">
        <v>4888</v>
      </c>
      <c r="B643" t="s">
        <v>3446</v>
      </c>
      <c r="C643" t="s">
        <v>3447</v>
      </c>
      <c r="D643" t="s">
        <v>1643</v>
      </c>
      <c r="E643" t="s">
        <v>3374</v>
      </c>
      <c r="F643" t="s">
        <v>3448</v>
      </c>
      <c r="G643" t="s">
        <v>3449</v>
      </c>
      <c r="H643">
        <v>9283487260</v>
      </c>
      <c r="K643" t="s">
        <v>3450</v>
      </c>
      <c r="L643" t="s">
        <v>3451</v>
      </c>
      <c r="M643" t="s">
        <v>1634</v>
      </c>
    </row>
    <row r="644" spans="1:13" x14ac:dyDescent="0.25">
      <c r="A644">
        <v>4888</v>
      </c>
      <c r="B644" t="s">
        <v>3446</v>
      </c>
      <c r="C644" t="s">
        <v>3447</v>
      </c>
      <c r="D644" t="s">
        <v>1643</v>
      </c>
      <c r="E644" t="s">
        <v>3374</v>
      </c>
      <c r="F644" t="s">
        <v>2581</v>
      </c>
      <c r="G644" t="s">
        <v>3434</v>
      </c>
      <c r="M644" t="s">
        <v>1640</v>
      </c>
    </row>
    <row r="645" spans="1:13" x14ac:dyDescent="0.25">
      <c r="A645">
        <v>4889</v>
      </c>
      <c r="B645" t="s">
        <v>3452</v>
      </c>
      <c r="C645" t="s">
        <v>3453</v>
      </c>
      <c r="D645" t="s">
        <v>1643</v>
      </c>
      <c r="E645" t="s">
        <v>3374</v>
      </c>
      <c r="F645" t="s">
        <v>3303</v>
      </c>
      <c r="G645" t="s">
        <v>3454</v>
      </c>
      <c r="H645">
        <v>9283487200</v>
      </c>
      <c r="J645">
        <v>9284287273</v>
      </c>
      <c r="K645" t="s">
        <v>3455</v>
      </c>
      <c r="M645" t="s">
        <v>1634</v>
      </c>
    </row>
    <row r="646" spans="1:13" x14ac:dyDescent="0.25">
      <c r="A646">
        <v>4889</v>
      </c>
      <c r="B646" t="s">
        <v>3452</v>
      </c>
      <c r="C646" t="s">
        <v>3453</v>
      </c>
      <c r="D646" t="s">
        <v>1643</v>
      </c>
      <c r="E646" t="s">
        <v>3374</v>
      </c>
      <c r="F646" t="s">
        <v>3456</v>
      </c>
      <c r="G646" t="s">
        <v>3457</v>
      </c>
      <c r="H646">
        <v>9283487270</v>
      </c>
      <c r="K646" t="s">
        <v>3458</v>
      </c>
      <c r="L646" t="s">
        <v>1647</v>
      </c>
      <c r="M646" t="s">
        <v>1634</v>
      </c>
    </row>
    <row r="647" spans="1:13" x14ac:dyDescent="0.25">
      <c r="A647">
        <v>4889</v>
      </c>
      <c r="B647" t="s">
        <v>3452</v>
      </c>
      <c r="C647" t="s">
        <v>3453</v>
      </c>
      <c r="D647" t="s">
        <v>1643</v>
      </c>
      <c r="E647" t="s">
        <v>3374</v>
      </c>
      <c r="F647" t="s">
        <v>2046</v>
      </c>
      <c r="G647" t="s">
        <v>2804</v>
      </c>
      <c r="H647">
        <v>9283487270</v>
      </c>
      <c r="K647" t="s">
        <v>3459</v>
      </c>
      <c r="L647" t="s">
        <v>2164</v>
      </c>
      <c r="M647" t="s">
        <v>1634</v>
      </c>
    </row>
    <row r="648" spans="1:13" x14ac:dyDescent="0.25">
      <c r="A648">
        <v>4220</v>
      </c>
      <c r="B648" t="s">
        <v>3460</v>
      </c>
      <c r="C648" t="s">
        <v>3461</v>
      </c>
      <c r="D648" t="s">
        <v>1628</v>
      </c>
      <c r="E648" t="s">
        <v>3374</v>
      </c>
      <c r="F648" t="s">
        <v>3462</v>
      </c>
      <c r="G648" t="s">
        <v>3463</v>
      </c>
      <c r="K648" t="s">
        <v>3464</v>
      </c>
      <c r="L648" t="s">
        <v>1668</v>
      </c>
      <c r="M648" t="s">
        <v>1634</v>
      </c>
    </row>
    <row r="649" spans="1:13" x14ac:dyDescent="0.25">
      <c r="A649">
        <v>4220</v>
      </c>
      <c r="B649" t="s">
        <v>3460</v>
      </c>
      <c r="C649" t="s">
        <v>3461</v>
      </c>
      <c r="D649" t="s">
        <v>1628</v>
      </c>
      <c r="E649" t="s">
        <v>3374</v>
      </c>
      <c r="F649" t="s">
        <v>3465</v>
      </c>
      <c r="G649" t="s">
        <v>3466</v>
      </c>
      <c r="H649">
        <v>9283878153</v>
      </c>
      <c r="J649">
        <v>9283878020</v>
      </c>
      <c r="K649" t="s">
        <v>3467</v>
      </c>
      <c r="L649" t="s">
        <v>1647</v>
      </c>
      <c r="M649" t="s">
        <v>1634</v>
      </c>
    </row>
    <row r="650" spans="1:13" x14ac:dyDescent="0.25">
      <c r="A650">
        <v>4220</v>
      </c>
      <c r="B650" t="s">
        <v>3460</v>
      </c>
      <c r="C650" t="s">
        <v>3461</v>
      </c>
      <c r="D650" t="s">
        <v>1628</v>
      </c>
      <c r="E650" t="s">
        <v>3374</v>
      </c>
      <c r="F650" t="s">
        <v>3468</v>
      </c>
      <c r="G650" t="s">
        <v>3469</v>
      </c>
      <c r="H650">
        <v>9283878052</v>
      </c>
      <c r="J650">
        <v>9283878020</v>
      </c>
      <c r="K650" t="s">
        <v>3470</v>
      </c>
      <c r="L650" t="s">
        <v>1647</v>
      </c>
      <c r="M650" t="s">
        <v>1634</v>
      </c>
    </row>
    <row r="651" spans="1:13" x14ac:dyDescent="0.25">
      <c r="A651">
        <v>4220</v>
      </c>
      <c r="B651" t="s">
        <v>3460</v>
      </c>
      <c r="C651" t="s">
        <v>3461</v>
      </c>
      <c r="D651" t="s">
        <v>1628</v>
      </c>
      <c r="E651" t="s">
        <v>3374</v>
      </c>
      <c r="F651" t="s">
        <v>3471</v>
      </c>
      <c r="G651" t="s">
        <v>3472</v>
      </c>
      <c r="K651" t="s">
        <v>3473</v>
      </c>
      <c r="L651" t="s">
        <v>1640</v>
      </c>
      <c r="M651" t="s">
        <v>1640</v>
      </c>
    </row>
    <row r="652" spans="1:13" x14ac:dyDescent="0.25">
      <c r="A652">
        <v>4220</v>
      </c>
      <c r="B652" t="s">
        <v>3460</v>
      </c>
      <c r="C652" t="s">
        <v>3461</v>
      </c>
      <c r="D652" t="s">
        <v>1628</v>
      </c>
      <c r="E652" t="s">
        <v>3374</v>
      </c>
      <c r="F652" t="s">
        <v>3474</v>
      </c>
      <c r="G652" t="s">
        <v>3475</v>
      </c>
      <c r="K652" t="s">
        <v>3476</v>
      </c>
      <c r="L652" t="s">
        <v>3477</v>
      </c>
      <c r="M652" t="s">
        <v>1765</v>
      </c>
    </row>
    <row r="653" spans="1:13" x14ac:dyDescent="0.25">
      <c r="A653">
        <v>4890</v>
      </c>
      <c r="B653" t="s">
        <v>3478</v>
      </c>
      <c r="C653" t="s">
        <v>3479</v>
      </c>
      <c r="D653" t="s">
        <v>1643</v>
      </c>
      <c r="E653" t="s">
        <v>3374</v>
      </c>
      <c r="F653" t="s">
        <v>3480</v>
      </c>
      <c r="G653" t="s">
        <v>1901</v>
      </c>
      <c r="H653">
        <v>9284852570</v>
      </c>
      <c r="J653">
        <v>9284858964</v>
      </c>
      <c r="K653" t="s">
        <v>3481</v>
      </c>
      <c r="M653" t="s">
        <v>1634</v>
      </c>
    </row>
    <row r="654" spans="1:13" x14ac:dyDescent="0.25">
      <c r="A654">
        <v>4890</v>
      </c>
      <c r="B654" t="s">
        <v>3478</v>
      </c>
      <c r="C654" t="s">
        <v>3479</v>
      </c>
      <c r="D654" t="s">
        <v>1643</v>
      </c>
      <c r="E654" t="s">
        <v>3374</v>
      </c>
      <c r="F654" t="s">
        <v>2745</v>
      </c>
      <c r="G654" t="s">
        <v>3482</v>
      </c>
      <c r="K654" t="s">
        <v>3483</v>
      </c>
      <c r="L654" t="s">
        <v>1647</v>
      </c>
      <c r="M654" t="s">
        <v>1634</v>
      </c>
    </row>
    <row r="655" spans="1:13" x14ac:dyDescent="0.25">
      <c r="A655">
        <v>4891</v>
      </c>
      <c r="B655" t="s">
        <v>3484</v>
      </c>
      <c r="C655" t="s">
        <v>3485</v>
      </c>
      <c r="D655" t="s">
        <v>1643</v>
      </c>
      <c r="E655" t="s">
        <v>3374</v>
      </c>
      <c r="F655" t="s">
        <v>2745</v>
      </c>
      <c r="G655" t="s">
        <v>3486</v>
      </c>
      <c r="H655">
        <v>9284852273</v>
      </c>
      <c r="K655" t="s">
        <v>3487</v>
      </c>
      <c r="M655" t="s">
        <v>1634</v>
      </c>
    </row>
    <row r="656" spans="1:13" x14ac:dyDescent="0.25">
      <c r="A656">
        <v>4891</v>
      </c>
      <c r="B656" t="s">
        <v>3484</v>
      </c>
      <c r="C656" t="s">
        <v>3485</v>
      </c>
      <c r="D656" t="s">
        <v>1643</v>
      </c>
      <c r="E656" t="s">
        <v>3374</v>
      </c>
      <c r="F656" t="s">
        <v>3488</v>
      </c>
      <c r="G656" t="s">
        <v>3489</v>
      </c>
      <c r="H656">
        <v>9284852421</v>
      </c>
      <c r="K656" t="s">
        <v>3490</v>
      </c>
      <c r="L656" t="s">
        <v>1647</v>
      </c>
      <c r="M656" t="s">
        <v>1634</v>
      </c>
    </row>
    <row r="657" spans="1:13" x14ac:dyDescent="0.25">
      <c r="A657">
        <v>4891</v>
      </c>
      <c r="B657" t="s">
        <v>3484</v>
      </c>
      <c r="C657" t="s">
        <v>3485</v>
      </c>
      <c r="D657" t="s">
        <v>1643</v>
      </c>
      <c r="E657" t="s">
        <v>3374</v>
      </c>
      <c r="F657" t="s">
        <v>3491</v>
      </c>
      <c r="G657" t="s">
        <v>2083</v>
      </c>
      <c r="H657">
        <v>9284852421</v>
      </c>
      <c r="L657" t="s">
        <v>2879</v>
      </c>
      <c r="M657" t="s">
        <v>1640</v>
      </c>
    </row>
    <row r="658" spans="1:13" x14ac:dyDescent="0.25">
      <c r="A658">
        <v>81056</v>
      </c>
      <c r="B658" t="s">
        <v>3492</v>
      </c>
      <c r="C658" t="s">
        <v>3493</v>
      </c>
      <c r="D658" t="s">
        <v>1643</v>
      </c>
      <c r="E658" t="s">
        <v>3494</v>
      </c>
      <c r="F658" t="s">
        <v>3491</v>
      </c>
      <c r="G658" t="s">
        <v>2083</v>
      </c>
      <c r="H658">
        <v>9283878102</v>
      </c>
      <c r="K658" t="s">
        <v>3495</v>
      </c>
      <c r="L658" t="s">
        <v>1647</v>
      </c>
      <c r="M658" t="s">
        <v>1634</v>
      </c>
    </row>
    <row r="659" spans="1:13" x14ac:dyDescent="0.25">
      <c r="A659">
        <v>81056</v>
      </c>
      <c r="B659" t="s">
        <v>3492</v>
      </c>
      <c r="C659" t="s">
        <v>3493</v>
      </c>
      <c r="D659" t="s">
        <v>1643</v>
      </c>
      <c r="E659" t="s">
        <v>3494</v>
      </c>
      <c r="F659" t="s">
        <v>3488</v>
      </c>
      <c r="G659" t="s">
        <v>3489</v>
      </c>
      <c r="K659" t="s">
        <v>3490</v>
      </c>
      <c r="L659" t="s">
        <v>3496</v>
      </c>
      <c r="M659" t="s">
        <v>1634</v>
      </c>
    </row>
    <row r="660" spans="1:13" x14ac:dyDescent="0.25">
      <c r="A660">
        <v>92296</v>
      </c>
      <c r="B660" t="s">
        <v>3497</v>
      </c>
      <c r="C660" t="s">
        <v>3498</v>
      </c>
      <c r="D660" t="s">
        <v>1643</v>
      </c>
      <c r="E660" t="s">
        <v>3374</v>
      </c>
      <c r="F660" t="s">
        <v>3462</v>
      </c>
      <c r="G660" t="s">
        <v>3463</v>
      </c>
      <c r="H660">
        <v>9283878002</v>
      </c>
      <c r="K660" t="s">
        <v>3499</v>
      </c>
      <c r="L660" t="s">
        <v>2584</v>
      </c>
      <c r="M660" t="s">
        <v>1634</v>
      </c>
    </row>
    <row r="661" spans="1:13" x14ac:dyDescent="0.25">
      <c r="A661">
        <v>4221</v>
      </c>
      <c r="B661" t="s">
        <v>1549</v>
      </c>
      <c r="C661" t="s">
        <v>3500</v>
      </c>
      <c r="D661" t="s">
        <v>1628</v>
      </c>
      <c r="E661" t="s">
        <v>3374</v>
      </c>
      <c r="F661" t="s">
        <v>3501</v>
      </c>
      <c r="G661" t="s">
        <v>3502</v>
      </c>
      <c r="H661">
        <v>9284859423</v>
      </c>
      <c r="I661">
        <v>4103</v>
      </c>
      <c r="K661" t="s">
        <v>3503</v>
      </c>
      <c r="L661" t="s">
        <v>1668</v>
      </c>
      <c r="M661" t="s">
        <v>1634</v>
      </c>
    </row>
    <row r="662" spans="1:13" x14ac:dyDescent="0.25">
      <c r="A662">
        <v>4221</v>
      </c>
      <c r="B662" t="s">
        <v>1549</v>
      </c>
      <c r="C662" t="s">
        <v>3500</v>
      </c>
      <c r="D662" t="s">
        <v>1628</v>
      </c>
      <c r="E662" t="s">
        <v>3374</v>
      </c>
      <c r="F662" t="s">
        <v>2608</v>
      </c>
      <c r="G662" t="s">
        <v>3504</v>
      </c>
      <c r="I662">
        <v>3103</v>
      </c>
      <c r="J662">
        <v>9284853019</v>
      </c>
      <c r="K662" t="s">
        <v>3505</v>
      </c>
      <c r="L662" t="s">
        <v>3506</v>
      </c>
      <c r="M662" t="s">
        <v>1640</v>
      </c>
    </row>
    <row r="663" spans="1:13" x14ac:dyDescent="0.25">
      <c r="A663">
        <v>4221</v>
      </c>
      <c r="B663" t="s">
        <v>1549</v>
      </c>
      <c r="C663" t="s">
        <v>3500</v>
      </c>
      <c r="D663" t="s">
        <v>1628</v>
      </c>
      <c r="E663" t="s">
        <v>3374</v>
      </c>
      <c r="F663" t="s">
        <v>1732</v>
      </c>
      <c r="G663" t="s">
        <v>3434</v>
      </c>
      <c r="I663">
        <v>4101</v>
      </c>
      <c r="K663" t="s">
        <v>3507</v>
      </c>
      <c r="L663" t="s">
        <v>3508</v>
      </c>
      <c r="M663" t="s">
        <v>1765</v>
      </c>
    </row>
    <row r="664" spans="1:13" x14ac:dyDescent="0.25">
      <c r="A664">
        <v>4892</v>
      </c>
      <c r="B664" t="s">
        <v>1550</v>
      </c>
      <c r="C664" t="s">
        <v>3509</v>
      </c>
      <c r="D664" t="s">
        <v>1643</v>
      </c>
      <c r="E664" t="s">
        <v>3374</v>
      </c>
      <c r="F664" t="s">
        <v>3510</v>
      </c>
      <c r="G664" t="s">
        <v>3511</v>
      </c>
      <c r="H664">
        <v>9284852433</v>
      </c>
      <c r="I664">
        <v>5101</v>
      </c>
      <c r="K664" t="s">
        <v>3512</v>
      </c>
      <c r="L664" t="s">
        <v>1647</v>
      </c>
      <c r="M664" t="s">
        <v>1634</v>
      </c>
    </row>
    <row r="665" spans="1:13" x14ac:dyDescent="0.25">
      <c r="A665">
        <v>92618</v>
      </c>
      <c r="B665" t="s">
        <v>3513</v>
      </c>
      <c r="C665" t="s">
        <v>3514</v>
      </c>
      <c r="D665" t="s">
        <v>1643</v>
      </c>
      <c r="E665" t="s">
        <v>3374</v>
      </c>
      <c r="F665" t="s">
        <v>3515</v>
      </c>
      <c r="G665" t="s">
        <v>3516</v>
      </c>
      <c r="K665" t="s">
        <v>3517</v>
      </c>
      <c r="M665" t="s">
        <v>1634</v>
      </c>
    </row>
    <row r="666" spans="1:13" x14ac:dyDescent="0.25">
      <c r="A666">
        <v>4893</v>
      </c>
      <c r="B666" t="s">
        <v>3518</v>
      </c>
      <c r="C666" t="s">
        <v>3519</v>
      </c>
      <c r="D666" t="s">
        <v>1643</v>
      </c>
      <c r="E666" t="s">
        <v>3374</v>
      </c>
      <c r="F666" t="s">
        <v>3520</v>
      </c>
      <c r="G666" t="s">
        <v>3521</v>
      </c>
      <c r="H666">
        <v>9284852427</v>
      </c>
      <c r="K666" t="s">
        <v>3522</v>
      </c>
      <c r="L666" t="s">
        <v>1647</v>
      </c>
      <c r="M666" t="s">
        <v>1634</v>
      </c>
    </row>
    <row r="667" spans="1:13" x14ac:dyDescent="0.25">
      <c r="A667">
        <v>90064</v>
      </c>
      <c r="B667" t="s">
        <v>3523</v>
      </c>
      <c r="C667" t="s">
        <v>3524</v>
      </c>
      <c r="D667" t="s">
        <v>1643</v>
      </c>
      <c r="E667" t="s">
        <v>3374</v>
      </c>
      <c r="F667" t="s">
        <v>3525</v>
      </c>
      <c r="G667" t="s">
        <v>3526</v>
      </c>
      <c r="H667">
        <v>9284753050</v>
      </c>
      <c r="J667">
        <v>9284753051</v>
      </c>
      <c r="K667" t="s">
        <v>3527</v>
      </c>
      <c r="L667" t="s">
        <v>3528</v>
      </c>
      <c r="M667" t="s">
        <v>1634</v>
      </c>
    </row>
    <row r="668" spans="1:13" x14ac:dyDescent="0.25">
      <c r="A668">
        <v>4222</v>
      </c>
      <c r="B668" t="s">
        <v>3529</v>
      </c>
      <c r="C668" t="s">
        <v>3530</v>
      </c>
      <c r="D668" t="s">
        <v>1628</v>
      </c>
      <c r="E668" t="s">
        <v>3374</v>
      </c>
      <c r="F668" t="s">
        <v>1761</v>
      </c>
      <c r="G668" t="s">
        <v>3531</v>
      </c>
      <c r="H668">
        <v>9284280477</v>
      </c>
      <c r="J668">
        <v>9284280398</v>
      </c>
      <c r="K668" t="s">
        <v>3532</v>
      </c>
      <c r="L668" t="s">
        <v>1668</v>
      </c>
      <c r="M668" t="s">
        <v>1634</v>
      </c>
    </row>
    <row r="669" spans="1:13" x14ac:dyDescent="0.25">
      <c r="A669">
        <v>4222</v>
      </c>
      <c r="B669" t="s">
        <v>3529</v>
      </c>
      <c r="C669" t="s">
        <v>3530</v>
      </c>
      <c r="D669" t="s">
        <v>1628</v>
      </c>
      <c r="E669" t="s">
        <v>3374</v>
      </c>
      <c r="F669" t="s">
        <v>3533</v>
      </c>
      <c r="G669" t="s">
        <v>3534</v>
      </c>
      <c r="K669" t="s">
        <v>3535</v>
      </c>
      <c r="L669" t="s">
        <v>3536</v>
      </c>
      <c r="M669" t="s">
        <v>1640</v>
      </c>
    </row>
    <row r="670" spans="1:13" x14ac:dyDescent="0.25">
      <c r="A670">
        <v>4222</v>
      </c>
      <c r="B670" t="s">
        <v>3529</v>
      </c>
      <c r="C670" t="s">
        <v>3530</v>
      </c>
      <c r="D670" t="s">
        <v>1628</v>
      </c>
      <c r="E670" t="s">
        <v>3374</v>
      </c>
      <c r="F670" t="s">
        <v>3537</v>
      </c>
      <c r="G670" t="s">
        <v>3538</v>
      </c>
      <c r="J670">
        <v>9284280398</v>
      </c>
      <c r="K670" t="s">
        <v>3539</v>
      </c>
      <c r="L670" t="s">
        <v>3540</v>
      </c>
      <c r="M670" t="s">
        <v>1765</v>
      </c>
    </row>
    <row r="671" spans="1:13" x14ac:dyDescent="0.25">
      <c r="A671">
        <v>4894</v>
      </c>
      <c r="B671" t="s">
        <v>3541</v>
      </c>
      <c r="C671" t="s">
        <v>3542</v>
      </c>
      <c r="D671" t="s">
        <v>1643</v>
      </c>
      <c r="E671" t="s">
        <v>3374</v>
      </c>
      <c r="F671" t="s">
        <v>1761</v>
      </c>
      <c r="G671" t="s">
        <v>3531</v>
      </c>
      <c r="H671">
        <v>9284280477</v>
      </c>
      <c r="J671">
        <v>9284280398</v>
      </c>
      <c r="K671" t="s">
        <v>3532</v>
      </c>
      <c r="M671" t="s">
        <v>1634</v>
      </c>
    </row>
    <row r="672" spans="1:13" x14ac:dyDescent="0.25">
      <c r="A672">
        <v>4894</v>
      </c>
      <c r="B672" t="s">
        <v>3541</v>
      </c>
      <c r="C672" t="s">
        <v>3542</v>
      </c>
      <c r="D672" t="s">
        <v>1643</v>
      </c>
      <c r="E672" t="s">
        <v>3374</v>
      </c>
      <c r="F672" t="s">
        <v>3533</v>
      </c>
      <c r="G672" t="s">
        <v>3534</v>
      </c>
      <c r="J672">
        <v>9284280398</v>
      </c>
      <c r="K672" t="s">
        <v>3535</v>
      </c>
      <c r="M672" t="s">
        <v>1640</v>
      </c>
    </row>
    <row r="673" spans="1:13" x14ac:dyDescent="0.25">
      <c r="A673">
        <v>4223</v>
      </c>
      <c r="B673" t="s">
        <v>3543</v>
      </c>
      <c r="C673" t="s">
        <v>3544</v>
      </c>
      <c r="D673" t="s">
        <v>1628</v>
      </c>
      <c r="E673" t="s">
        <v>3374</v>
      </c>
      <c r="F673" t="s">
        <v>3545</v>
      </c>
      <c r="G673" t="s">
        <v>2718</v>
      </c>
      <c r="H673">
        <v>9284282880</v>
      </c>
      <c r="K673" t="s">
        <v>3546</v>
      </c>
      <c r="M673" t="s">
        <v>1634</v>
      </c>
    </row>
    <row r="674" spans="1:13" x14ac:dyDescent="0.25">
      <c r="A674">
        <v>4223</v>
      </c>
      <c r="B674" t="s">
        <v>3543</v>
      </c>
      <c r="C674" t="s">
        <v>3544</v>
      </c>
      <c r="D674" t="s">
        <v>1628</v>
      </c>
      <c r="E674" t="s">
        <v>3374</v>
      </c>
      <c r="F674" t="s">
        <v>1732</v>
      </c>
      <c r="G674" t="s">
        <v>3547</v>
      </c>
      <c r="K674" t="s">
        <v>3548</v>
      </c>
      <c r="L674" t="s">
        <v>3153</v>
      </c>
      <c r="M674" t="s">
        <v>1634</v>
      </c>
    </row>
    <row r="675" spans="1:13" x14ac:dyDescent="0.25">
      <c r="A675">
        <v>4223</v>
      </c>
      <c r="B675" t="s">
        <v>3543</v>
      </c>
      <c r="C675" t="s">
        <v>3544</v>
      </c>
      <c r="D675" t="s">
        <v>1628</v>
      </c>
      <c r="E675" t="s">
        <v>3374</v>
      </c>
      <c r="F675" t="s">
        <v>3545</v>
      </c>
      <c r="G675" t="s">
        <v>2718</v>
      </c>
      <c r="H675">
        <v>9284282880</v>
      </c>
      <c r="K675" t="s">
        <v>3546</v>
      </c>
      <c r="M675" t="s">
        <v>1640</v>
      </c>
    </row>
    <row r="676" spans="1:13" x14ac:dyDescent="0.25">
      <c r="A676">
        <v>4224</v>
      </c>
      <c r="B676" t="s">
        <v>3549</v>
      </c>
      <c r="C676" t="s">
        <v>3550</v>
      </c>
      <c r="D676" t="s">
        <v>1628</v>
      </c>
      <c r="E676" t="s">
        <v>3374</v>
      </c>
      <c r="F676" t="s">
        <v>3551</v>
      </c>
      <c r="G676" t="s">
        <v>3552</v>
      </c>
      <c r="J676">
        <v>9288283422</v>
      </c>
      <c r="K676" t="s">
        <v>3553</v>
      </c>
      <c r="L676" t="s">
        <v>3554</v>
      </c>
      <c r="M676" t="s">
        <v>1634</v>
      </c>
    </row>
    <row r="677" spans="1:13" x14ac:dyDescent="0.25">
      <c r="A677">
        <v>4224</v>
      </c>
      <c r="B677" t="s">
        <v>3549</v>
      </c>
      <c r="C677" t="s">
        <v>3550</v>
      </c>
      <c r="D677" t="s">
        <v>1628</v>
      </c>
      <c r="E677" t="s">
        <v>3374</v>
      </c>
      <c r="F677" t="s">
        <v>1630</v>
      </c>
      <c r="G677" t="s">
        <v>3555</v>
      </c>
      <c r="H677">
        <v>9288283363</v>
      </c>
      <c r="K677" t="s">
        <v>3556</v>
      </c>
      <c r="L677" t="s">
        <v>1668</v>
      </c>
      <c r="M677" t="s">
        <v>1634</v>
      </c>
    </row>
    <row r="678" spans="1:13" x14ac:dyDescent="0.25">
      <c r="A678">
        <v>4224</v>
      </c>
      <c r="B678" t="s">
        <v>3549</v>
      </c>
      <c r="C678" t="s">
        <v>3550</v>
      </c>
      <c r="D678" t="s">
        <v>1628</v>
      </c>
      <c r="E678" t="s">
        <v>3374</v>
      </c>
      <c r="F678" t="s">
        <v>2258</v>
      </c>
      <c r="G678" t="s">
        <v>3557</v>
      </c>
      <c r="H678">
        <v>9288283363</v>
      </c>
      <c r="I678">
        <v>4</v>
      </c>
      <c r="K678" t="s">
        <v>3558</v>
      </c>
      <c r="L678" t="s">
        <v>1668</v>
      </c>
      <c r="M678" t="s">
        <v>1634</v>
      </c>
    </row>
    <row r="679" spans="1:13" x14ac:dyDescent="0.25">
      <c r="A679">
        <v>4224</v>
      </c>
      <c r="B679" t="s">
        <v>3549</v>
      </c>
      <c r="C679" t="s">
        <v>3550</v>
      </c>
      <c r="D679" t="s">
        <v>1628</v>
      </c>
      <c r="E679" t="s">
        <v>3374</v>
      </c>
      <c r="F679" t="s">
        <v>2036</v>
      </c>
      <c r="G679" t="s">
        <v>3559</v>
      </c>
      <c r="H679">
        <v>9288283363</v>
      </c>
      <c r="I679">
        <v>2</v>
      </c>
      <c r="K679" t="s">
        <v>3560</v>
      </c>
      <c r="L679" t="s">
        <v>1640</v>
      </c>
      <c r="M679" t="s">
        <v>1640</v>
      </c>
    </row>
    <row r="680" spans="1:13" x14ac:dyDescent="0.25">
      <c r="A680">
        <v>4224</v>
      </c>
      <c r="B680" t="s">
        <v>3549</v>
      </c>
      <c r="C680" t="s">
        <v>3550</v>
      </c>
      <c r="D680" t="s">
        <v>1628</v>
      </c>
      <c r="E680" t="s">
        <v>3374</v>
      </c>
      <c r="F680" t="s">
        <v>1917</v>
      </c>
      <c r="G680" t="s">
        <v>3561</v>
      </c>
      <c r="H680">
        <v>9288283363</v>
      </c>
      <c r="I680">
        <v>2</v>
      </c>
      <c r="K680" t="s">
        <v>3562</v>
      </c>
      <c r="M680" t="s">
        <v>1640</v>
      </c>
    </row>
    <row r="681" spans="1:13" x14ac:dyDescent="0.25">
      <c r="A681">
        <v>4224</v>
      </c>
      <c r="B681" t="s">
        <v>3549</v>
      </c>
      <c r="C681" t="s">
        <v>3550</v>
      </c>
      <c r="D681" t="s">
        <v>1628</v>
      </c>
      <c r="E681" t="s">
        <v>3374</v>
      </c>
      <c r="F681" t="s">
        <v>2258</v>
      </c>
      <c r="G681" t="s">
        <v>3557</v>
      </c>
      <c r="H681">
        <v>9288283363</v>
      </c>
      <c r="I681">
        <v>4</v>
      </c>
      <c r="K681" t="s">
        <v>3558</v>
      </c>
      <c r="L681" t="s">
        <v>1668</v>
      </c>
      <c r="M681" t="s">
        <v>1640</v>
      </c>
    </row>
    <row r="682" spans="1:13" x14ac:dyDescent="0.25">
      <c r="A682">
        <v>4224</v>
      </c>
      <c r="B682" t="s">
        <v>3549</v>
      </c>
      <c r="C682" t="s">
        <v>3550</v>
      </c>
      <c r="D682" t="s">
        <v>1628</v>
      </c>
      <c r="E682" t="s">
        <v>3374</v>
      </c>
      <c r="F682" t="s">
        <v>3551</v>
      </c>
      <c r="G682" t="s">
        <v>3552</v>
      </c>
      <c r="J682">
        <v>9288283422</v>
      </c>
      <c r="K682" t="s">
        <v>3553</v>
      </c>
      <c r="L682" t="s">
        <v>3554</v>
      </c>
      <c r="M682" t="s">
        <v>1765</v>
      </c>
    </row>
    <row r="683" spans="1:13" x14ac:dyDescent="0.25">
      <c r="A683">
        <v>4896</v>
      </c>
      <c r="B683" t="s">
        <v>3563</v>
      </c>
      <c r="C683" t="s">
        <v>3564</v>
      </c>
      <c r="D683" t="s">
        <v>1643</v>
      </c>
      <c r="E683" t="s">
        <v>3374</v>
      </c>
      <c r="F683" t="s">
        <v>1630</v>
      </c>
      <c r="G683" t="s">
        <v>3555</v>
      </c>
      <c r="H683">
        <v>9288283363</v>
      </c>
      <c r="J683">
        <v>9288283422</v>
      </c>
      <c r="K683" t="s">
        <v>3565</v>
      </c>
      <c r="M683" t="s">
        <v>1634</v>
      </c>
    </row>
    <row r="684" spans="1:13" x14ac:dyDescent="0.25">
      <c r="A684">
        <v>79387</v>
      </c>
      <c r="B684" t="s">
        <v>3566</v>
      </c>
      <c r="C684" t="s">
        <v>3567</v>
      </c>
      <c r="D684" t="s">
        <v>1628</v>
      </c>
      <c r="E684" t="s">
        <v>3374</v>
      </c>
      <c r="F684" t="s">
        <v>3376</v>
      </c>
      <c r="G684" t="s">
        <v>3377</v>
      </c>
      <c r="H684">
        <v>9283483393</v>
      </c>
      <c r="K684" t="s">
        <v>3568</v>
      </c>
      <c r="L684" t="s">
        <v>1668</v>
      </c>
      <c r="M684" t="s">
        <v>1634</v>
      </c>
    </row>
    <row r="685" spans="1:13" x14ac:dyDescent="0.25">
      <c r="A685">
        <v>79387</v>
      </c>
      <c r="B685" t="s">
        <v>3566</v>
      </c>
      <c r="C685" t="s">
        <v>3567</v>
      </c>
      <c r="D685" t="s">
        <v>1628</v>
      </c>
      <c r="E685" t="s">
        <v>3374</v>
      </c>
      <c r="F685" t="s">
        <v>2581</v>
      </c>
      <c r="G685" t="s">
        <v>3407</v>
      </c>
      <c r="H685">
        <v>9283483393</v>
      </c>
      <c r="K685" t="s">
        <v>3569</v>
      </c>
      <c r="L685" t="s">
        <v>1668</v>
      </c>
      <c r="M685" t="s">
        <v>1634</v>
      </c>
    </row>
    <row r="686" spans="1:13" x14ac:dyDescent="0.25">
      <c r="A686">
        <v>79387</v>
      </c>
      <c r="B686" t="s">
        <v>3566</v>
      </c>
      <c r="C686" t="s">
        <v>3567</v>
      </c>
      <c r="D686" t="s">
        <v>1628</v>
      </c>
      <c r="E686" t="s">
        <v>3374</v>
      </c>
      <c r="F686" t="s">
        <v>3570</v>
      </c>
      <c r="G686" t="s">
        <v>1853</v>
      </c>
      <c r="H686">
        <v>9283483393</v>
      </c>
      <c r="K686" t="s">
        <v>3571</v>
      </c>
      <c r="L686" t="s">
        <v>2045</v>
      </c>
      <c r="M686" t="s">
        <v>1640</v>
      </c>
    </row>
    <row r="687" spans="1:13" x14ac:dyDescent="0.25">
      <c r="A687">
        <v>79387</v>
      </c>
      <c r="B687" t="s">
        <v>3566</v>
      </c>
      <c r="C687" t="s">
        <v>3567</v>
      </c>
      <c r="D687" t="s">
        <v>1628</v>
      </c>
      <c r="E687" t="s">
        <v>3374</v>
      </c>
      <c r="F687" t="s">
        <v>3465</v>
      </c>
      <c r="G687" t="s">
        <v>3572</v>
      </c>
      <c r="H687">
        <v>9283483393</v>
      </c>
      <c r="K687" t="s">
        <v>3573</v>
      </c>
      <c r="L687" t="s">
        <v>2045</v>
      </c>
      <c r="M687" t="s">
        <v>1765</v>
      </c>
    </row>
    <row r="688" spans="1:13" x14ac:dyDescent="0.25">
      <c r="A688">
        <v>79388</v>
      </c>
      <c r="B688" t="s">
        <v>3574</v>
      </c>
      <c r="C688" t="s">
        <v>3575</v>
      </c>
      <c r="D688" t="s">
        <v>1643</v>
      </c>
      <c r="E688" t="s">
        <v>3149</v>
      </c>
      <c r="F688" t="s">
        <v>2204</v>
      </c>
      <c r="G688" t="s">
        <v>3576</v>
      </c>
      <c r="H688">
        <v>9284282950</v>
      </c>
      <c r="J688">
        <v>9284283468</v>
      </c>
      <c r="L688" t="s">
        <v>3577</v>
      </c>
      <c r="M688" t="s">
        <v>1634</v>
      </c>
    </row>
    <row r="689" spans="1:13" x14ac:dyDescent="0.25">
      <c r="A689">
        <v>79650</v>
      </c>
      <c r="B689" t="s">
        <v>3578</v>
      </c>
      <c r="C689" t="s">
        <v>3579</v>
      </c>
      <c r="D689" t="s">
        <v>1643</v>
      </c>
      <c r="E689" t="s">
        <v>3374</v>
      </c>
      <c r="F689" t="s">
        <v>3580</v>
      </c>
      <c r="G689" t="s">
        <v>3581</v>
      </c>
      <c r="H689">
        <v>9283483393</v>
      </c>
      <c r="J689">
        <v>9283483037</v>
      </c>
      <c r="L689" t="s">
        <v>2045</v>
      </c>
      <c r="M689" t="s">
        <v>1634</v>
      </c>
    </row>
    <row r="690" spans="1:13" x14ac:dyDescent="0.25">
      <c r="A690">
        <v>79649</v>
      </c>
      <c r="B690" t="s">
        <v>3582</v>
      </c>
      <c r="C690" t="s">
        <v>3583</v>
      </c>
      <c r="D690" t="s">
        <v>1643</v>
      </c>
      <c r="E690" t="s">
        <v>3374</v>
      </c>
    </row>
    <row r="691" spans="1:13" x14ac:dyDescent="0.25">
      <c r="A691">
        <v>79647</v>
      </c>
      <c r="B691" t="s">
        <v>3584</v>
      </c>
      <c r="C691" t="s">
        <v>3585</v>
      </c>
      <c r="D691" t="s">
        <v>1643</v>
      </c>
      <c r="E691" t="s">
        <v>3374</v>
      </c>
    </row>
    <row r="692" spans="1:13" x14ac:dyDescent="0.25">
      <c r="A692">
        <v>79689</v>
      </c>
      <c r="B692" t="s">
        <v>3586</v>
      </c>
      <c r="C692" t="s">
        <v>3587</v>
      </c>
      <c r="D692" t="s">
        <v>1643</v>
      </c>
      <c r="E692" t="s">
        <v>3374</v>
      </c>
    </row>
    <row r="693" spans="1:13" x14ac:dyDescent="0.25">
      <c r="A693">
        <v>80535</v>
      </c>
      <c r="B693" t="s">
        <v>3588</v>
      </c>
      <c r="C693" t="s">
        <v>3589</v>
      </c>
      <c r="D693" t="s">
        <v>1643</v>
      </c>
      <c r="E693" t="s">
        <v>3374</v>
      </c>
      <c r="F693" t="s">
        <v>2207</v>
      </c>
      <c r="G693" t="s">
        <v>3590</v>
      </c>
      <c r="H693">
        <v>9283483393</v>
      </c>
      <c r="J693">
        <v>9283483037</v>
      </c>
      <c r="K693" t="s">
        <v>3591</v>
      </c>
      <c r="L693" t="s">
        <v>1668</v>
      </c>
      <c r="M693" t="s">
        <v>1634</v>
      </c>
    </row>
    <row r="694" spans="1:13" x14ac:dyDescent="0.25">
      <c r="A694">
        <v>84306</v>
      </c>
      <c r="B694" t="s">
        <v>3592</v>
      </c>
      <c r="C694" t="s">
        <v>3593</v>
      </c>
      <c r="D694" t="s">
        <v>1643</v>
      </c>
      <c r="E694" t="s">
        <v>3374</v>
      </c>
      <c r="F694" t="s">
        <v>2207</v>
      </c>
      <c r="G694" t="s">
        <v>3590</v>
      </c>
      <c r="H694">
        <v>9283483393</v>
      </c>
      <c r="J694">
        <v>9283483037</v>
      </c>
      <c r="K694" t="s">
        <v>3591</v>
      </c>
      <c r="L694" t="s">
        <v>1668</v>
      </c>
      <c r="M694" t="s">
        <v>1634</v>
      </c>
    </row>
    <row r="695" spans="1:13" x14ac:dyDescent="0.25">
      <c r="A695">
        <v>90892</v>
      </c>
      <c r="B695" t="s">
        <v>3594</v>
      </c>
      <c r="C695" t="s">
        <v>3595</v>
      </c>
      <c r="D695" t="s">
        <v>1643</v>
      </c>
      <c r="E695" t="s">
        <v>3374</v>
      </c>
      <c r="F695" t="s">
        <v>3376</v>
      </c>
      <c r="G695" t="s">
        <v>3377</v>
      </c>
      <c r="H695">
        <v>9283483393</v>
      </c>
      <c r="J695">
        <v>9283483037</v>
      </c>
      <c r="K695" t="s">
        <v>3596</v>
      </c>
      <c r="L695" t="s">
        <v>1668</v>
      </c>
      <c r="M695" t="s">
        <v>1634</v>
      </c>
    </row>
    <row r="696" spans="1:13" x14ac:dyDescent="0.25">
      <c r="A696">
        <v>90911</v>
      </c>
      <c r="B696" t="s">
        <v>3597</v>
      </c>
      <c r="C696" t="s">
        <v>3598</v>
      </c>
      <c r="D696" t="s">
        <v>1643</v>
      </c>
      <c r="E696" t="s">
        <v>3374</v>
      </c>
      <c r="F696" t="s">
        <v>3376</v>
      </c>
      <c r="G696" t="s">
        <v>3377</v>
      </c>
      <c r="H696">
        <v>9283483393</v>
      </c>
      <c r="I696">
        <v>928</v>
      </c>
      <c r="J696">
        <v>9283483037</v>
      </c>
      <c r="K696" t="s">
        <v>3596</v>
      </c>
      <c r="L696" t="s">
        <v>1668</v>
      </c>
      <c r="M696" t="s">
        <v>1634</v>
      </c>
    </row>
    <row r="697" spans="1:13" x14ac:dyDescent="0.25">
      <c r="A697">
        <v>4225</v>
      </c>
      <c r="B697" t="s">
        <v>3599</v>
      </c>
      <c r="C697" t="s">
        <v>3600</v>
      </c>
      <c r="D697" t="s">
        <v>2596</v>
      </c>
      <c r="E697" t="s">
        <v>3374</v>
      </c>
      <c r="F697" t="s">
        <v>2663</v>
      </c>
      <c r="G697" t="s">
        <v>3601</v>
      </c>
      <c r="H697">
        <v>9283488422</v>
      </c>
      <c r="J697">
        <v>9283488423</v>
      </c>
      <c r="K697" t="s">
        <v>3602</v>
      </c>
      <c r="L697" t="s">
        <v>3124</v>
      </c>
      <c r="M697" t="s">
        <v>1634</v>
      </c>
    </row>
    <row r="698" spans="1:13" x14ac:dyDescent="0.25">
      <c r="A698">
        <v>4897</v>
      </c>
      <c r="B698" t="s">
        <v>3599</v>
      </c>
      <c r="C698" t="s">
        <v>3603</v>
      </c>
      <c r="D698" t="s">
        <v>2605</v>
      </c>
      <c r="E698" t="s">
        <v>3374</v>
      </c>
      <c r="F698" t="s">
        <v>2663</v>
      </c>
      <c r="G698" t="s">
        <v>3601</v>
      </c>
      <c r="H698">
        <v>9284287589</v>
      </c>
      <c r="J698">
        <v>9283488423</v>
      </c>
      <c r="K698" t="s">
        <v>3604</v>
      </c>
      <c r="L698" t="s">
        <v>3124</v>
      </c>
      <c r="M698" t="s">
        <v>1634</v>
      </c>
    </row>
    <row r="699" spans="1:13" x14ac:dyDescent="0.25">
      <c r="A699">
        <v>6357</v>
      </c>
      <c r="B699" t="s">
        <v>3605</v>
      </c>
      <c r="C699" t="s">
        <v>3606</v>
      </c>
      <c r="D699" t="s">
        <v>2596</v>
      </c>
      <c r="E699" t="s">
        <v>3374</v>
      </c>
      <c r="F699" t="s">
        <v>1732</v>
      </c>
      <c r="G699" t="s">
        <v>3607</v>
      </c>
      <c r="H699">
        <v>9284852498</v>
      </c>
      <c r="K699" t="s">
        <v>3608</v>
      </c>
      <c r="L699" t="s">
        <v>3609</v>
      </c>
      <c r="M699" t="s">
        <v>1634</v>
      </c>
    </row>
    <row r="700" spans="1:13" x14ac:dyDescent="0.25">
      <c r="A700">
        <v>6357</v>
      </c>
      <c r="B700" t="s">
        <v>3605</v>
      </c>
      <c r="C700" t="s">
        <v>3606</v>
      </c>
      <c r="D700" t="s">
        <v>2596</v>
      </c>
      <c r="E700" t="s">
        <v>3374</v>
      </c>
      <c r="F700" t="s">
        <v>3610</v>
      </c>
      <c r="G700" t="s">
        <v>2927</v>
      </c>
      <c r="I700">
        <v>25</v>
      </c>
      <c r="K700" t="s">
        <v>3611</v>
      </c>
      <c r="L700" t="s">
        <v>3612</v>
      </c>
      <c r="M700" t="s">
        <v>1634</v>
      </c>
    </row>
    <row r="701" spans="1:13" x14ac:dyDescent="0.25">
      <c r="A701">
        <v>4898</v>
      </c>
      <c r="B701" t="s">
        <v>3605</v>
      </c>
      <c r="C701" t="s">
        <v>3613</v>
      </c>
      <c r="D701" t="s">
        <v>2605</v>
      </c>
      <c r="E701" t="s">
        <v>3374</v>
      </c>
      <c r="F701" t="s">
        <v>1732</v>
      </c>
      <c r="G701" t="s">
        <v>3607</v>
      </c>
      <c r="H701">
        <v>9284852498</v>
      </c>
      <c r="J701">
        <v>9284852508</v>
      </c>
      <c r="K701" t="s">
        <v>3608</v>
      </c>
      <c r="M701" t="s">
        <v>1634</v>
      </c>
    </row>
    <row r="702" spans="1:13" x14ac:dyDescent="0.25">
      <c r="A702">
        <v>4898</v>
      </c>
      <c r="B702" t="s">
        <v>3605</v>
      </c>
      <c r="C702" t="s">
        <v>3613</v>
      </c>
      <c r="D702" t="s">
        <v>2605</v>
      </c>
      <c r="E702" t="s">
        <v>3374</v>
      </c>
      <c r="F702" t="s">
        <v>3614</v>
      </c>
      <c r="G702" t="s">
        <v>2927</v>
      </c>
      <c r="M702" t="s">
        <v>1634</v>
      </c>
    </row>
    <row r="703" spans="1:13" x14ac:dyDescent="0.25">
      <c r="A703">
        <v>4228</v>
      </c>
      <c r="B703" t="s">
        <v>3615</v>
      </c>
      <c r="C703" t="s">
        <v>3616</v>
      </c>
      <c r="D703" t="s">
        <v>1628</v>
      </c>
      <c r="E703" t="s">
        <v>3617</v>
      </c>
      <c r="F703" t="s">
        <v>3618</v>
      </c>
      <c r="G703" t="s">
        <v>1743</v>
      </c>
      <c r="H703">
        <v>9283592472</v>
      </c>
      <c r="K703" t="s">
        <v>3619</v>
      </c>
      <c r="L703" t="s">
        <v>3620</v>
      </c>
      <c r="M703" t="s">
        <v>1634</v>
      </c>
    </row>
    <row r="704" spans="1:13" x14ac:dyDescent="0.25">
      <c r="A704">
        <v>4228</v>
      </c>
      <c r="B704" t="s">
        <v>3615</v>
      </c>
      <c r="C704" t="s">
        <v>3616</v>
      </c>
      <c r="D704" t="s">
        <v>1628</v>
      </c>
      <c r="E704" t="s">
        <v>3617</v>
      </c>
      <c r="F704" t="s">
        <v>3621</v>
      </c>
      <c r="G704" t="s">
        <v>3622</v>
      </c>
      <c r="H704">
        <v>9283592472</v>
      </c>
      <c r="K704" t="s">
        <v>3619</v>
      </c>
      <c r="L704" t="s">
        <v>1668</v>
      </c>
      <c r="M704" t="s">
        <v>1634</v>
      </c>
    </row>
    <row r="705" spans="1:13" x14ac:dyDescent="0.25">
      <c r="A705">
        <v>4228</v>
      </c>
      <c r="B705" t="s">
        <v>3615</v>
      </c>
      <c r="C705" t="s">
        <v>3616</v>
      </c>
      <c r="D705" t="s">
        <v>1628</v>
      </c>
      <c r="E705" t="s">
        <v>3617</v>
      </c>
      <c r="F705" t="s">
        <v>3623</v>
      </c>
      <c r="G705" t="s">
        <v>3624</v>
      </c>
      <c r="H705">
        <v>9283592472</v>
      </c>
      <c r="K705" t="s">
        <v>3625</v>
      </c>
      <c r="L705" t="s">
        <v>1640</v>
      </c>
      <c r="M705" t="s">
        <v>1640</v>
      </c>
    </row>
    <row r="706" spans="1:13" x14ac:dyDescent="0.25">
      <c r="A706">
        <v>4902</v>
      </c>
      <c r="B706" t="s">
        <v>3626</v>
      </c>
      <c r="C706" t="s">
        <v>3627</v>
      </c>
      <c r="D706" t="s">
        <v>1643</v>
      </c>
      <c r="E706" t="s">
        <v>3617</v>
      </c>
      <c r="F706" t="s">
        <v>3465</v>
      </c>
      <c r="G706" t="s">
        <v>3466</v>
      </c>
      <c r="H706">
        <v>9283592471</v>
      </c>
      <c r="J706">
        <v>9283591103</v>
      </c>
      <c r="K706" t="s">
        <v>3628</v>
      </c>
      <c r="L706" t="s">
        <v>1647</v>
      </c>
      <c r="M706" t="s">
        <v>1634</v>
      </c>
    </row>
    <row r="707" spans="1:13" x14ac:dyDescent="0.25">
      <c r="A707">
        <v>4902</v>
      </c>
      <c r="B707" t="s">
        <v>3626</v>
      </c>
      <c r="C707" t="s">
        <v>3627</v>
      </c>
      <c r="D707" t="s">
        <v>1643</v>
      </c>
      <c r="E707" t="s">
        <v>3617</v>
      </c>
      <c r="F707" t="s">
        <v>3629</v>
      </c>
      <c r="G707" t="s">
        <v>3630</v>
      </c>
      <c r="H707">
        <v>9283592471</v>
      </c>
      <c r="K707" t="s">
        <v>3631</v>
      </c>
      <c r="L707" t="s">
        <v>1721</v>
      </c>
      <c r="M707" t="s">
        <v>1634</v>
      </c>
    </row>
    <row r="708" spans="1:13" x14ac:dyDescent="0.25">
      <c r="A708">
        <v>4903</v>
      </c>
      <c r="B708" t="s">
        <v>3632</v>
      </c>
      <c r="C708" t="s">
        <v>3633</v>
      </c>
      <c r="D708" t="s">
        <v>1643</v>
      </c>
      <c r="E708" t="s">
        <v>3617</v>
      </c>
      <c r="F708" t="s">
        <v>3376</v>
      </c>
      <c r="G708" t="s">
        <v>3634</v>
      </c>
      <c r="K708" t="s">
        <v>3635</v>
      </c>
      <c r="L708" t="s">
        <v>1647</v>
      </c>
      <c r="M708" t="s">
        <v>1634</v>
      </c>
    </row>
    <row r="709" spans="1:13" x14ac:dyDescent="0.25">
      <c r="A709">
        <v>4230</v>
      </c>
      <c r="B709" t="s">
        <v>3636</v>
      </c>
      <c r="C709" t="s">
        <v>3637</v>
      </c>
      <c r="D709" t="s">
        <v>1628</v>
      </c>
      <c r="E709" t="s">
        <v>3617</v>
      </c>
      <c r="F709" t="s">
        <v>1707</v>
      </c>
      <c r="G709" t="s">
        <v>3638</v>
      </c>
      <c r="H709">
        <v>9288652081</v>
      </c>
      <c r="K709" t="s">
        <v>3639</v>
      </c>
      <c r="L709" t="s">
        <v>1668</v>
      </c>
      <c r="M709" t="s">
        <v>1634</v>
      </c>
    </row>
    <row r="710" spans="1:13" x14ac:dyDescent="0.25">
      <c r="A710">
        <v>4230</v>
      </c>
      <c r="B710" t="s">
        <v>3636</v>
      </c>
      <c r="C710" t="s">
        <v>3637</v>
      </c>
      <c r="D710" t="s">
        <v>1628</v>
      </c>
      <c r="E710" t="s">
        <v>3617</v>
      </c>
      <c r="F710" t="s">
        <v>3640</v>
      </c>
      <c r="G710" t="s">
        <v>2477</v>
      </c>
      <c r="K710" t="s">
        <v>3641</v>
      </c>
      <c r="L710" t="s">
        <v>1640</v>
      </c>
      <c r="M710" t="s">
        <v>1640</v>
      </c>
    </row>
    <row r="711" spans="1:13" x14ac:dyDescent="0.25">
      <c r="A711">
        <v>4906</v>
      </c>
      <c r="B711" t="s">
        <v>3642</v>
      </c>
      <c r="C711" t="s">
        <v>3643</v>
      </c>
      <c r="D711" t="s">
        <v>1643</v>
      </c>
      <c r="E711" t="s">
        <v>3617</v>
      </c>
      <c r="F711" t="s">
        <v>2803</v>
      </c>
      <c r="G711" t="s">
        <v>3644</v>
      </c>
      <c r="H711">
        <v>9288653631</v>
      </c>
      <c r="J711">
        <v>9288653614</v>
      </c>
      <c r="K711" t="s">
        <v>3645</v>
      </c>
      <c r="M711" t="s">
        <v>1634</v>
      </c>
    </row>
    <row r="712" spans="1:13" x14ac:dyDescent="0.25">
      <c r="A712">
        <v>4907</v>
      </c>
      <c r="B712" t="s">
        <v>3646</v>
      </c>
      <c r="C712" t="s">
        <v>3647</v>
      </c>
      <c r="D712" t="s">
        <v>1643</v>
      </c>
      <c r="E712" t="s">
        <v>3617</v>
      </c>
      <c r="F712" t="s">
        <v>3648</v>
      </c>
      <c r="G712" t="s">
        <v>1877</v>
      </c>
      <c r="H712">
        <v>9288653501</v>
      </c>
      <c r="J712">
        <v>9288655980</v>
      </c>
      <c r="K712" t="s">
        <v>3649</v>
      </c>
      <c r="M712" t="s">
        <v>1634</v>
      </c>
    </row>
    <row r="713" spans="1:13" x14ac:dyDescent="0.25">
      <c r="A713">
        <v>4907</v>
      </c>
      <c r="B713" t="s">
        <v>3646</v>
      </c>
      <c r="C713" t="s">
        <v>3647</v>
      </c>
      <c r="D713" t="s">
        <v>1643</v>
      </c>
      <c r="E713" t="s">
        <v>3617</v>
      </c>
      <c r="F713" t="s">
        <v>1779</v>
      </c>
      <c r="G713" t="s">
        <v>2310</v>
      </c>
      <c r="H713">
        <v>9288657290</v>
      </c>
      <c r="K713" t="s">
        <v>3650</v>
      </c>
      <c r="L713" t="s">
        <v>1647</v>
      </c>
      <c r="M713" t="s">
        <v>1634</v>
      </c>
    </row>
    <row r="714" spans="1:13" x14ac:dyDescent="0.25">
      <c r="A714">
        <v>92081</v>
      </c>
      <c r="B714" t="s">
        <v>3651</v>
      </c>
      <c r="C714" t="s">
        <v>3652</v>
      </c>
      <c r="D714" t="s">
        <v>1643</v>
      </c>
      <c r="E714" t="s">
        <v>3617</v>
      </c>
      <c r="F714" t="s">
        <v>3653</v>
      </c>
      <c r="G714" t="s">
        <v>3654</v>
      </c>
      <c r="H714">
        <v>9288652081</v>
      </c>
      <c r="K714" t="s">
        <v>3655</v>
      </c>
      <c r="L714" t="s">
        <v>2584</v>
      </c>
      <c r="M714" t="s">
        <v>1634</v>
      </c>
    </row>
    <row r="715" spans="1:13" x14ac:dyDescent="0.25">
      <c r="A715">
        <v>92081</v>
      </c>
      <c r="B715" t="s">
        <v>3651</v>
      </c>
      <c r="C715" t="s">
        <v>3652</v>
      </c>
      <c r="D715" t="s">
        <v>1643</v>
      </c>
      <c r="E715" t="s">
        <v>3617</v>
      </c>
      <c r="F715" t="s">
        <v>3640</v>
      </c>
      <c r="G715" t="s">
        <v>2477</v>
      </c>
      <c r="J715">
        <v>9288653130</v>
      </c>
      <c r="K715" t="s">
        <v>3641</v>
      </c>
      <c r="M715" t="s">
        <v>1640</v>
      </c>
    </row>
    <row r="716" spans="1:13" x14ac:dyDescent="0.25">
      <c r="A716">
        <v>4231</v>
      </c>
      <c r="B716" t="s">
        <v>3656</v>
      </c>
      <c r="C716" t="s">
        <v>3657</v>
      </c>
      <c r="D716" t="s">
        <v>1628</v>
      </c>
      <c r="E716" t="s">
        <v>3617</v>
      </c>
      <c r="F716" t="s">
        <v>3401</v>
      </c>
      <c r="G716" t="s">
        <v>3658</v>
      </c>
      <c r="H716">
        <v>9283394346</v>
      </c>
      <c r="K716" t="s">
        <v>3659</v>
      </c>
      <c r="L716" t="s">
        <v>1668</v>
      </c>
      <c r="M716" t="s">
        <v>1634</v>
      </c>
    </row>
    <row r="717" spans="1:13" x14ac:dyDescent="0.25">
      <c r="A717">
        <v>4231</v>
      </c>
      <c r="B717" t="s">
        <v>3656</v>
      </c>
      <c r="C717" t="s">
        <v>3657</v>
      </c>
      <c r="D717" t="s">
        <v>1628</v>
      </c>
      <c r="E717" t="s">
        <v>3617</v>
      </c>
      <c r="F717" t="s">
        <v>3660</v>
      </c>
      <c r="G717" t="s">
        <v>3661</v>
      </c>
      <c r="H717">
        <v>9288652822</v>
      </c>
      <c r="J717">
        <v>9288654417</v>
      </c>
      <c r="K717" t="s">
        <v>3662</v>
      </c>
      <c r="L717" t="s">
        <v>3663</v>
      </c>
      <c r="M717" t="s">
        <v>1634</v>
      </c>
    </row>
    <row r="718" spans="1:13" x14ac:dyDescent="0.25">
      <c r="A718">
        <v>4231</v>
      </c>
      <c r="B718" t="s">
        <v>3656</v>
      </c>
      <c r="C718" t="s">
        <v>3657</v>
      </c>
      <c r="D718" t="s">
        <v>1628</v>
      </c>
      <c r="E718" t="s">
        <v>3617</v>
      </c>
      <c r="F718" t="s">
        <v>2803</v>
      </c>
      <c r="G718" t="s">
        <v>3644</v>
      </c>
      <c r="H718">
        <v>9288652822</v>
      </c>
      <c r="K718" t="s">
        <v>3664</v>
      </c>
      <c r="M718" t="s">
        <v>1634</v>
      </c>
    </row>
    <row r="719" spans="1:13" x14ac:dyDescent="0.25">
      <c r="A719">
        <v>4231</v>
      </c>
      <c r="B719" t="s">
        <v>3656</v>
      </c>
      <c r="C719" t="s">
        <v>3657</v>
      </c>
      <c r="D719" t="s">
        <v>1628</v>
      </c>
      <c r="E719" t="s">
        <v>3617</v>
      </c>
      <c r="F719" t="s">
        <v>3401</v>
      </c>
      <c r="G719" t="s">
        <v>3658</v>
      </c>
      <c r="H719">
        <v>9283394346</v>
      </c>
      <c r="K719" t="s">
        <v>3659</v>
      </c>
      <c r="L719" t="s">
        <v>1668</v>
      </c>
      <c r="M719" t="s">
        <v>1765</v>
      </c>
    </row>
    <row r="720" spans="1:13" x14ac:dyDescent="0.25">
      <c r="A720">
        <v>4908</v>
      </c>
      <c r="B720" t="s">
        <v>3665</v>
      </c>
      <c r="C720" t="s">
        <v>3666</v>
      </c>
      <c r="D720" t="s">
        <v>1643</v>
      </c>
      <c r="E720" t="s">
        <v>3617</v>
      </c>
      <c r="F720" t="s">
        <v>3401</v>
      </c>
      <c r="G720" t="s">
        <v>3658</v>
      </c>
      <c r="H720">
        <v>9283394346</v>
      </c>
      <c r="J720">
        <v>9283394116</v>
      </c>
      <c r="K720" t="s">
        <v>3659</v>
      </c>
      <c r="M720" t="s">
        <v>1634</v>
      </c>
    </row>
    <row r="721" spans="1:13" x14ac:dyDescent="0.25">
      <c r="A721">
        <v>4232</v>
      </c>
      <c r="B721" t="s">
        <v>3667</v>
      </c>
      <c r="C721" t="s">
        <v>3668</v>
      </c>
      <c r="D721" t="s">
        <v>1628</v>
      </c>
      <c r="E721" t="s">
        <v>3617</v>
      </c>
      <c r="F721" t="s">
        <v>3660</v>
      </c>
      <c r="G721" t="s">
        <v>3661</v>
      </c>
      <c r="H721">
        <v>9288652822</v>
      </c>
      <c r="K721" t="s">
        <v>3662</v>
      </c>
      <c r="L721" t="s">
        <v>1668</v>
      </c>
      <c r="M721" t="s">
        <v>1634</v>
      </c>
    </row>
    <row r="722" spans="1:13" x14ac:dyDescent="0.25">
      <c r="A722">
        <v>4232</v>
      </c>
      <c r="B722" t="s">
        <v>3667</v>
      </c>
      <c r="C722" t="s">
        <v>3668</v>
      </c>
      <c r="D722" t="s">
        <v>1628</v>
      </c>
      <c r="E722" t="s">
        <v>3617</v>
      </c>
      <c r="F722" t="s">
        <v>2803</v>
      </c>
      <c r="G722" t="s">
        <v>3644</v>
      </c>
      <c r="H722">
        <v>9288652822</v>
      </c>
      <c r="K722" t="s">
        <v>3664</v>
      </c>
      <c r="M722" t="s">
        <v>1634</v>
      </c>
    </row>
    <row r="723" spans="1:13" x14ac:dyDescent="0.25">
      <c r="A723">
        <v>4234</v>
      </c>
      <c r="B723" t="s">
        <v>3669</v>
      </c>
      <c r="C723" t="s">
        <v>3670</v>
      </c>
      <c r="D723" t="s">
        <v>1628</v>
      </c>
      <c r="E723" t="s">
        <v>1273</v>
      </c>
      <c r="F723" t="s">
        <v>2997</v>
      </c>
      <c r="G723" t="s">
        <v>3671</v>
      </c>
      <c r="H723">
        <v>6025063866</v>
      </c>
      <c r="K723" t="s">
        <v>3672</v>
      </c>
      <c r="L723" t="s">
        <v>1668</v>
      </c>
      <c r="M723" t="s">
        <v>1634</v>
      </c>
    </row>
    <row r="724" spans="1:13" x14ac:dyDescent="0.25">
      <c r="A724">
        <v>4234</v>
      </c>
      <c r="B724" t="s">
        <v>3669</v>
      </c>
      <c r="C724" t="s">
        <v>3670</v>
      </c>
      <c r="D724" t="s">
        <v>1628</v>
      </c>
      <c r="E724" t="s">
        <v>1273</v>
      </c>
      <c r="F724" t="s">
        <v>3673</v>
      </c>
      <c r="G724" t="s">
        <v>3674</v>
      </c>
      <c r="H724">
        <v>6026890581</v>
      </c>
      <c r="K724" t="s">
        <v>3675</v>
      </c>
      <c r="L724" t="s">
        <v>3676</v>
      </c>
      <c r="M724" t="s">
        <v>1634</v>
      </c>
    </row>
    <row r="725" spans="1:13" x14ac:dyDescent="0.25">
      <c r="A725">
        <v>4234</v>
      </c>
      <c r="B725" t="s">
        <v>3669</v>
      </c>
      <c r="C725" t="s">
        <v>3670</v>
      </c>
      <c r="D725" t="s">
        <v>1628</v>
      </c>
      <c r="E725" t="s">
        <v>1273</v>
      </c>
      <c r="F725" t="s">
        <v>1775</v>
      </c>
      <c r="G725" t="s">
        <v>3449</v>
      </c>
      <c r="H725">
        <v>6237647104</v>
      </c>
      <c r="K725" t="s">
        <v>3677</v>
      </c>
      <c r="L725" t="s">
        <v>3678</v>
      </c>
      <c r="M725" t="s">
        <v>1634</v>
      </c>
    </row>
    <row r="726" spans="1:13" x14ac:dyDescent="0.25">
      <c r="A726">
        <v>4234</v>
      </c>
      <c r="B726" t="s">
        <v>3669</v>
      </c>
      <c r="C726" t="s">
        <v>3670</v>
      </c>
      <c r="D726" t="s">
        <v>1628</v>
      </c>
      <c r="E726" t="s">
        <v>1273</v>
      </c>
      <c r="F726" t="s">
        <v>3679</v>
      </c>
      <c r="G726" t="s">
        <v>3680</v>
      </c>
      <c r="K726" t="s">
        <v>3681</v>
      </c>
      <c r="M726" t="s">
        <v>1634</v>
      </c>
    </row>
    <row r="727" spans="1:13" x14ac:dyDescent="0.25">
      <c r="A727">
        <v>4234</v>
      </c>
      <c r="B727" t="s">
        <v>3669</v>
      </c>
      <c r="C727" t="s">
        <v>3670</v>
      </c>
      <c r="D727" t="s">
        <v>1628</v>
      </c>
      <c r="E727" t="s">
        <v>1273</v>
      </c>
      <c r="F727" t="s">
        <v>3682</v>
      </c>
      <c r="G727" t="s">
        <v>3683</v>
      </c>
      <c r="K727" t="s">
        <v>3684</v>
      </c>
      <c r="M727" t="s">
        <v>1634</v>
      </c>
    </row>
    <row r="728" spans="1:13" x14ac:dyDescent="0.25">
      <c r="A728">
        <v>4234</v>
      </c>
      <c r="B728" t="s">
        <v>3669</v>
      </c>
      <c r="C728" t="s">
        <v>3670</v>
      </c>
      <c r="D728" t="s">
        <v>1628</v>
      </c>
      <c r="E728" t="s">
        <v>1273</v>
      </c>
      <c r="F728" t="s">
        <v>3013</v>
      </c>
      <c r="G728" t="s">
        <v>3685</v>
      </c>
      <c r="H728">
        <v>6023614380</v>
      </c>
      <c r="K728" t="s">
        <v>3686</v>
      </c>
      <c r="L728" t="s">
        <v>3687</v>
      </c>
      <c r="M728" t="s">
        <v>1640</v>
      </c>
    </row>
    <row r="729" spans="1:13" x14ac:dyDescent="0.25">
      <c r="A729">
        <v>4234</v>
      </c>
      <c r="B729" t="s">
        <v>3669</v>
      </c>
      <c r="C729" t="s">
        <v>3670</v>
      </c>
      <c r="D729" t="s">
        <v>1628</v>
      </c>
      <c r="E729" t="s">
        <v>1273</v>
      </c>
      <c r="F729" t="s">
        <v>3679</v>
      </c>
      <c r="G729" t="s">
        <v>3680</v>
      </c>
      <c r="K729" t="s">
        <v>3681</v>
      </c>
      <c r="M729" t="s">
        <v>1640</v>
      </c>
    </row>
    <row r="730" spans="1:13" x14ac:dyDescent="0.25">
      <c r="A730">
        <v>969999</v>
      </c>
      <c r="B730" t="s">
        <v>3688</v>
      </c>
      <c r="C730" t="s">
        <v>3689</v>
      </c>
      <c r="D730" t="s">
        <v>1643</v>
      </c>
      <c r="E730" t="s">
        <v>1273</v>
      </c>
      <c r="F730" t="s">
        <v>3679</v>
      </c>
      <c r="G730" t="s">
        <v>3680</v>
      </c>
      <c r="K730" t="s">
        <v>3690</v>
      </c>
      <c r="L730" t="s">
        <v>3691</v>
      </c>
      <c r="M730" t="s">
        <v>1634</v>
      </c>
    </row>
    <row r="731" spans="1:13" x14ac:dyDescent="0.25">
      <c r="A731">
        <v>969999</v>
      </c>
      <c r="B731" t="s">
        <v>3688</v>
      </c>
      <c r="C731" t="s">
        <v>3689</v>
      </c>
      <c r="D731" t="s">
        <v>1643</v>
      </c>
      <c r="E731" t="s">
        <v>1273</v>
      </c>
      <c r="F731" t="s">
        <v>3692</v>
      </c>
      <c r="G731" t="s">
        <v>3693</v>
      </c>
      <c r="H731">
        <v>6027696377</v>
      </c>
      <c r="K731" t="s">
        <v>3694</v>
      </c>
      <c r="L731" t="s">
        <v>3695</v>
      </c>
      <c r="M731" t="s">
        <v>1634</v>
      </c>
    </row>
    <row r="732" spans="1:13" x14ac:dyDescent="0.25">
      <c r="A732">
        <v>549878</v>
      </c>
      <c r="B732" t="s">
        <v>865</v>
      </c>
      <c r="C732" t="s">
        <v>3696</v>
      </c>
      <c r="D732" t="s">
        <v>1643</v>
      </c>
      <c r="E732" t="s">
        <v>1273</v>
      </c>
      <c r="F732" t="s">
        <v>3697</v>
      </c>
      <c r="G732" t="s">
        <v>3698</v>
      </c>
      <c r="H732">
        <v>6023908008</v>
      </c>
      <c r="K732" t="s">
        <v>3699</v>
      </c>
      <c r="L732" t="s">
        <v>3695</v>
      </c>
      <c r="M732" t="s">
        <v>1634</v>
      </c>
    </row>
    <row r="733" spans="1:13" x14ac:dyDescent="0.25">
      <c r="A733">
        <v>4235</v>
      </c>
      <c r="B733" t="s">
        <v>341</v>
      </c>
      <c r="C733" t="s">
        <v>3700</v>
      </c>
      <c r="D733" t="s">
        <v>1628</v>
      </c>
      <c r="E733" t="s">
        <v>1273</v>
      </c>
      <c r="F733" t="s">
        <v>3701</v>
      </c>
      <c r="G733" t="s">
        <v>3702</v>
      </c>
      <c r="H733">
        <v>4804720200</v>
      </c>
      <c r="K733" t="s">
        <v>3703</v>
      </c>
      <c r="L733" t="s">
        <v>3704</v>
      </c>
      <c r="M733" t="s">
        <v>1634</v>
      </c>
    </row>
    <row r="734" spans="1:13" x14ac:dyDescent="0.25">
      <c r="A734">
        <v>4235</v>
      </c>
      <c r="B734" t="s">
        <v>341</v>
      </c>
      <c r="C734" t="s">
        <v>3700</v>
      </c>
      <c r="D734" t="s">
        <v>1628</v>
      </c>
      <c r="E734" t="s">
        <v>1273</v>
      </c>
      <c r="F734" t="s">
        <v>3705</v>
      </c>
      <c r="G734" t="s">
        <v>3706</v>
      </c>
      <c r="K734" t="s">
        <v>3707</v>
      </c>
      <c r="M734" t="s">
        <v>1634</v>
      </c>
    </row>
    <row r="735" spans="1:13" x14ac:dyDescent="0.25">
      <c r="A735">
        <v>4235</v>
      </c>
      <c r="B735" t="s">
        <v>341</v>
      </c>
      <c r="C735" t="s">
        <v>3700</v>
      </c>
      <c r="D735" t="s">
        <v>1628</v>
      </c>
      <c r="E735" t="s">
        <v>1273</v>
      </c>
      <c r="F735" t="s">
        <v>3708</v>
      </c>
      <c r="G735" t="s">
        <v>2886</v>
      </c>
      <c r="M735" t="s">
        <v>1634</v>
      </c>
    </row>
    <row r="736" spans="1:13" x14ac:dyDescent="0.25">
      <c r="A736">
        <v>4235</v>
      </c>
      <c r="B736" t="s">
        <v>341</v>
      </c>
      <c r="C736" t="s">
        <v>3700</v>
      </c>
      <c r="D736" t="s">
        <v>1628</v>
      </c>
      <c r="E736" t="s">
        <v>1273</v>
      </c>
      <c r="F736" t="s">
        <v>1707</v>
      </c>
      <c r="G736" t="s">
        <v>3709</v>
      </c>
      <c r="H736">
        <v>4804720200</v>
      </c>
      <c r="K736" t="s">
        <v>3710</v>
      </c>
      <c r="L736" t="s">
        <v>3711</v>
      </c>
      <c r="M736" t="s">
        <v>1634</v>
      </c>
    </row>
    <row r="737" spans="1:13" x14ac:dyDescent="0.25">
      <c r="A737">
        <v>4235</v>
      </c>
      <c r="B737" t="s">
        <v>341</v>
      </c>
      <c r="C737" t="s">
        <v>3700</v>
      </c>
      <c r="D737" t="s">
        <v>1628</v>
      </c>
      <c r="E737" t="s">
        <v>1273</v>
      </c>
      <c r="F737" t="s">
        <v>3310</v>
      </c>
      <c r="G737" t="s">
        <v>3712</v>
      </c>
      <c r="K737" t="s">
        <v>3713</v>
      </c>
      <c r="L737" t="s">
        <v>3714</v>
      </c>
      <c r="M737" t="s">
        <v>1634</v>
      </c>
    </row>
    <row r="738" spans="1:13" x14ac:dyDescent="0.25">
      <c r="A738">
        <v>4235</v>
      </c>
      <c r="B738" t="s">
        <v>341</v>
      </c>
      <c r="C738" t="s">
        <v>3700</v>
      </c>
      <c r="D738" t="s">
        <v>1628</v>
      </c>
      <c r="E738" t="s">
        <v>1273</v>
      </c>
      <c r="F738" t="s">
        <v>2204</v>
      </c>
      <c r="G738" t="s">
        <v>3715</v>
      </c>
      <c r="H738">
        <v>4804720205</v>
      </c>
      <c r="K738" t="s">
        <v>3716</v>
      </c>
      <c r="L738" t="s">
        <v>3717</v>
      </c>
      <c r="M738" t="s">
        <v>1640</v>
      </c>
    </row>
    <row r="739" spans="1:13" x14ac:dyDescent="0.25">
      <c r="A739">
        <v>4235</v>
      </c>
      <c r="B739" t="s">
        <v>341</v>
      </c>
      <c r="C739" t="s">
        <v>3700</v>
      </c>
      <c r="D739" t="s">
        <v>1628</v>
      </c>
      <c r="E739" t="s">
        <v>1273</v>
      </c>
      <c r="F739" t="s">
        <v>1690</v>
      </c>
      <c r="G739" t="s">
        <v>1840</v>
      </c>
      <c r="H739">
        <v>4804727205</v>
      </c>
      <c r="J739">
        <v>4804720154</v>
      </c>
      <c r="K739" t="s">
        <v>3718</v>
      </c>
      <c r="L739" t="s">
        <v>3719</v>
      </c>
      <c r="M739" t="s">
        <v>1640</v>
      </c>
    </row>
    <row r="740" spans="1:13" x14ac:dyDescent="0.25">
      <c r="A740">
        <v>4235</v>
      </c>
      <c r="B740" t="s">
        <v>341</v>
      </c>
      <c r="C740" t="s">
        <v>3700</v>
      </c>
      <c r="D740" t="s">
        <v>1628</v>
      </c>
      <c r="E740" t="s">
        <v>1273</v>
      </c>
      <c r="F740" t="s">
        <v>3720</v>
      </c>
      <c r="G740" t="s">
        <v>3721</v>
      </c>
      <c r="H740">
        <v>4804720413</v>
      </c>
      <c r="K740" t="s">
        <v>3722</v>
      </c>
      <c r="L740" t="s">
        <v>3723</v>
      </c>
      <c r="M740" t="s">
        <v>1640</v>
      </c>
    </row>
    <row r="741" spans="1:13" x14ac:dyDescent="0.25">
      <c r="A741">
        <v>4235</v>
      </c>
      <c r="B741" t="s">
        <v>341</v>
      </c>
      <c r="C741" t="s">
        <v>3700</v>
      </c>
      <c r="D741" t="s">
        <v>1628</v>
      </c>
      <c r="E741" t="s">
        <v>1273</v>
      </c>
      <c r="F741" t="s">
        <v>2408</v>
      </c>
      <c r="G741" t="s">
        <v>3724</v>
      </c>
      <c r="H741">
        <v>4804720000</v>
      </c>
      <c r="K741" t="s">
        <v>3725</v>
      </c>
      <c r="L741" t="s">
        <v>3726</v>
      </c>
      <c r="M741" t="s">
        <v>1640</v>
      </c>
    </row>
    <row r="742" spans="1:13" x14ac:dyDescent="0.25">
      <c r="A742">
        <v>4235</v>
      </c>
      <c r="B742" t="s">
        <v>341</v>
      </c>
      <c r="C742" t="s">
        <v>3700</v>
      </c>
      <c r="D742" t="s">
        <v>1628</v>
      </c>
      <c r="E742" t="s">
        <v>1273</v>
      </c>
      <c r="F742" t="s">
        <v>3727</v>
      </c>
      <c r="G742" t="s">
        <v>3728</v>
      </c>
      <c r="K742" t="s">
        <v>3729</v>
      </c>
      <c r="L742" t="s">
        <v>3730</v>
      </c>
      <c r="M742" t="s">
        <v>1765</v>
      </c>
    </row>
    <row r="743" spans="1:13" x14ac:dyDescent="0.25">
      <c r="A743">
        <v>4235</v>
      </c>
      <c r="B743" t="s">
        <v>341</v>
      </c>
      <c r="C743" t="s">
        <v>3700</v>
      </c>
      <c r="D743" t="s">
        <v>1628</v>
      </c>
      <c r="E743" t="s">
        <v>1273</v>
      </c>
      <c r="F743" t="s">
        <v>1707</v>
      </c>
      <c r="G743" t="s">
        <v>473</v>
      </c>
      <c r="K743" t="s">
        <v>3731</v>
      </c>
      <c r="M743" t="s">
        <v>1765</v>
      </c>
    </row>
    <row r="744" spans="1:13" x14ac:dyDescent="0.25">
      <c r="A744">
        <v>4913</v>
      </c>
      <c r="B744" t="s">
        <v>1373</v>
      </c>
      <c r="C744" t="s">
        <v>3732</v>
      </c>
      <c r="D744" t="s">
        <v>1643</v>
      </c>
      <c r="E744" t="s">
        <v>1273</v>
      </c>
      <c r="F744" t="s">
        <v>2344</v>
      </c>
      <c r="G744" t="s">
        <v>3733</v>
      </c>
      <c r="H744">
        <v>4804724372</v>
      </c>
      <c r="J744">
        <v>4804724350</v>
      </c>
      <c r="K744" t="s">
        <v>3734</v>
      </c>
      <c r="L744" t="s">
        <v>1647</v>
      </c>
      <c r="M744" t="s">
        <v>1634</v>
      </c>
    </row>
    <row r="745" spans="1:13" x14ac:dyDescent="0.25">
      <c r="A745">
        <v>4913</v>
      </c>
      <c r="B745" t="s">
        <v>1373</v>
      </c>
      <c r="C745" t="s">
        <v>3732</v>
      </c>
      <c r="D745" t="s">
        <v>1643</v>
      </c>
      <c r="E745" t="s">
        <v>1273</v>
      </c>
      <c r="F745" t="s">
        <v>2876</v>
      </c>
      <c r="G745" t="s">
        <v>3735</v>
      </c>
      <c r="H745">
        <v>4804724360</v>
      </c>
      <c r="K745" t="s">
        <v>3736</v>
      </c>
      <c r="L745" t="s">
        <v>1647</v>
      </c>
      <c r="M745" t="s">
        <v>1634</v>
      </c>
    </row>
    <row r="746" spans="1:13" x14ac:dyDescent="0.25">
      <c r="A746">
        <v>4915</v>
      </c>
      <c r="B746" t="s">
        <v>3737</v>
      </c>
      <c r="C746" t="s">
        <v>3738</v>
      </c>
      <c r="D746" t="s">
        <v>1643</v>
      </c>
      <c r="E746" t="s">
        <v>1273</v>
      </c>
      <c r="F746" t="s">
        <v>3739</v>
      </c>
      <c r="G746" t="s">
        <v>3740</v>
      </c>
      <c r="H746">
        <v>4804725277</v>
      </c>
      <c r="J746">
        <v>4804725281</v>
      </c>
      <c r="K746" t="s">
        <v>3741</v>
      </c>
      <c r="L746" t="s">
        <v>1647</v>
      </c>
      <c r="M746" t="s">
        <v>1634</v>
      </c>
    </row>
    <row r="747" spans="1:13" x14ac:dyDescent="0.25">
      <c r="A747">
        <v>4916</v>
      </c>
      <c r="B747" t="s">
        <v>3742</v>
      </c>
      <c r="C747" t="s">
        <v>3743</v>
      </c>
      <c r="D747" t="s">
        <v>1643</v>
      </c>
      <c r="E747" t="s">
        <v>1273</v>
      </c>
      <c r="F747" t="s">
        <v>2082</v>
      </c>
      <c r="G747" t="s">
        <v>3744</v>
      </c>
      <c r="K747" t="s">
        <v>3745</v>
      </c>
      <c r="L747" t="s">
        <v>1647</v>
      </c>
      <c r="M747" t="s">
        <v>1634</v>
      </c>
    </row>
    <row r="748" spans="1:13" x14ac:dyDescent="0.25">
      <c r="A748">
        <v>4916</v>
      </c>
      <c r="B748" t="s">
        <v>3742</v>
      </c>
      <c r="C748" t="s">
        <v>3743</v>
      </c>
      <c r="D748" t="s">
        <v>1643</v>
      </c>
      <c r="E748" t="s">
        <v>1273</v>
      </c>
      <c r="F748" t="s">
        <v>3746</v>
      </c>
      <c r="G748" t="s">
        <v>3747</v>
      </c>
      <c r="K748" t="s">
        <v>3748</v>
      </c>
      <c r="L748" t="s">
        <v>1647</v>
      </c>
      <c r="M748" t="s">
        <v>1634</v>
      </c>
    </row>
    <row r="749" spans="1:13" x14ac:dyDescent="0.25">
      <c r="A749">
        <v>4917</v>
      </c>
      <c r="B749" t="s">
        <v>3749</v>
      </c>
      <c r="C749" t="s">
        <v>3750</v>
      </c>
      <c r="D749" t="s">
        <v>1643</v>
      </c>
      <c r="E749" t="s">
        <v>1273</v>
      </c>
      <c r="F749" t="s">
        <v>2704</v>
      </c>
      <c r="G749" t="s">
        <v>3751</v>
      </c>
      <c r="K749" t="s">
        <v>3752</v>
      </c>
      <c r="M749" t="s">
        <v>1634</v>
      </c>
    </row>
    <row r="750" spans="1:13" x14ac:dyDescent="0.25">
      <c r="A750">
        <v>4918</v>
      </c>
      <c r="B750" t="s">
        <v>3753</v>
      </c>
      <c r="C750" t="s">
        <v>3754</v>
      </c>
      <c r="D750" t="s">
        <v>1643</v>
      </c>
      <c r="E750" t="s">
        <v>1273</v>
      </c>
      <c r="F750" t="s">
        <v>2876</v>
      </c>
      <c r="G750" t="s">
        <v>3755</v>
      </c>
      <c r="K750" t="s">
        <v>3736</v>
      </c>
      <c r="L750" t="s">
        <v>1647</v>
      </c>
      <c r="M750" t="s">
        <v>1634</v>
      </c>
    </row>
    <row r="751" spans="1:13" x14ac:dyDescent="0.25">
      <c r="A751">
        <v>4919</v>
      </c>
      <c r="B751" t="s">
        <v>3756</v>
      </c>
      <c r="C751" t="s">
        <v>3757</v>
      </c>
      <c r="D751" t="s">
        <v>1643</v>
      </c>
      <c r="E751" t="s">
        <v>1273</v>
      </c>
      <c r="F751" t="s">
        <v>3758</v>
      </c>
      <c r="G751" t="s">
        <v>1853</v>
      </c>
      <c r="H751">
        <v>4804725600</v>
      </c>
      <c r="J751">
        <v>4804725555</v>
      </c>
      <c r="K751" t="s">
        <v>3759</v>
      </c>
      <c r="L751" t="s">
        <v>1647</v>
      </c>
      <c r="M751" t="s">
        <v>1634</v>
      </c>
    </row>
    <row r="752" spans="1:13" x14ac:dyDescent="0.25">
      <c r="A752">
        <v>4919</v>
      </c>
      <c r="B752" t="s">
        <v>3756</v>
      </c>
      <c r="C752" t="s">
        <v>3757</v>
      </c>
      <c r="D752" t="s">
        <v>1643</v>
      </c>
      <c r="E752" t="s">
        <v>1273</v>
      </c>
      <c r="F752" t="s">
        <v>3760</v>
      </c>
      <c r="G752" t="s">
        <v>2927</v>
      </c>
      <c r="L752" t="s">
        <v>1647</v>
      </c>
      <c r="M752" t="s">
        <v>1634</v>
      </c>
    </row>
    <row r="753" spans="1:13" x14ac:dyDescent="0.25">
      <c r="A753">
        <v>4920</v>
      </c>
      <c r="B753" t="s">
        <v>3761</v>
      </c>
      <c r="C753" t="s">
        <v>3762</v>
      </c>
      <c r="D753" t="s">
        <v>1643</v>
      </c>
      <c r="E753" t="s">
        <v>1273</v>
      </c>
      <c r="F753" t="s">
        <v>3763</v>
      </c>
      <c r="G753" t="s">
        <v>3764</v>
      </c>
      <c r="K753" t="s">
        <v>3765</v>
      </c>
      <c r="L753" t="s">
        <v>1647</v>
      </c>
      <c r="M753" t="s">
        <v>1634</v>
      </c>
    </row>
    <row r="754" spans="1:13" x14ac:dyDescent="0.25">
      <c r="A754">
        <v>4921</v>
      </c>
      <c r="B754" t="s">
        <v>3766</v>
      </c>
      <c r="C754" t="s">
        <v>3767</v>
      </c>
      <c r="D754" t="s">
        <v>1643</v>
      </c>
      <c r="E754" t="s">
        <v>1273</v>
      </c>
      <c r="F754" t="s">
        <v>3768</v>
      </c>
      <c r="G754" t="s">
        <v>3769</v>
      </c>
      <c r="K754" t="s">
        <v>3770</v>
      </c>
      <c r="L754" t="s">
        <v>1647</v>
      </c>
      <c r="M754" t="s">
        <v>1634</v>
      </c>
    </row>
    <row r="755" spans="1:13" x14ac:dyDescent="0.25">
      <c r="A755">
        <v>4922</v>
      </c>
      <c r="B755" t="s">
        <v>737</v>
      </c>
      <c r="C755" t="s">
        <v>3771</v>
      </c>
      <c r="D755" t="s">
        <v>1643</v>
      </c>
      <c r="E755" t="s">
        <v>1273</v>
      </c>
      <c r="F755" t="s">
        <v>3772</v>
      </c>
      <c r="G755" t="s">
        <v>3773</v>
      </c>
      <c r="H755">
        <v>4804725549</v>
      </c>
      <c r="J755">
        <v>4804725480</v>
      </c>
      <c r="K755" t="s">
        <v>3774</v>
      </c>
      <c r="L755" t="s">
        <v>1647</v>
      </c>
      <c r="M755" t="s">
        <v>1634</v>
      </c>
    </row>
    <row r="756" spans="1:13" x14ac:dyDescent="0.25">
      <c r="A756">
        <v>4922</v>
      </c>
      <c r="B756" t="s">
        <v>737</v>
      </c>
      <c r="C756" t="s">
        <v>3771</v>
      </c>
      <c r="D756" t="s">
        <v>1643</v>
      </c>
      <c r="E756" t="s">
        <v>1273</v>
      </c>
      <c r="F756" t="s">
        <v>2977</v>
      </c>
      <c r="G756" t="s">
        <v>3775</v>
      </c>
      <c r="H756">
        <v>4804725549</v>
      </c>
      <c r="K756" t="s">
        <v>3776</v>
      </c>
      <c r="L756" t="s">
        <v>1647</v>
      </c>
      <c r="M756" t="s">
        <v>1634</v>
      </c>
    </row>
    <row r="757" spans="1:13" x14ac:dyDescent="0.25">
      <c r="A757">
        <v>4923</v>
      </c>
      <c r="B757" t="s">
        <v>818</v>
      </c>
      <c r="C757" t="s">
        <v>3777</v>
      </c>
      <c r="D757" t="s">
        <v>1643</v>
      </c>
      <c r="E757" t="s">
        <v>1273</v>
      </c>
      <c r="F757" t="s">
        <v>3778</v>
      </c>
      <c r="G757" t="s">
        <v>2104</v>
      </c>
      <c r="K757" t="s">
        <v>3779</v>
      </c>
      <c r="L757" t="s">
        <v>1647</v>
      </c>
      <c r="M757" t="s">
        <v>1634</v>
      </c>
    </row>
    <row r="758" spans="1:13" x14ac:dyDescent="0.25">
      <c r="A758">
        <v>4924</v>
      </c>
      <c r="B758" t="s">
        <v>744</v>
      </c>
      <c r="C758" t="s">
        <v>3780</v>
      </c>
      <c r="D758" t="s">
        <v>1643</v>
      </c>
      <c r="E758" t="s">
        <v>1273</v>
      </c>
    </row>
    <row r="759" spans="1:13" x14ac:dyDescent="0.25">
      <c r="A759">
        <v>4925</v>
      </c>
      <c r="B759" t="s">
        <v>735</v>
      </c>
      <c r="C759" t="s">
        <v>3781</v>
      </c>
      <c r="D759" t="s">
        <v>1643</v>
      </c>
      <c r="E759" t="s">
        <v>1273</v>
      </c>
      <c r="F759" t="s">
        <v>3782</v>
      </c>
      <c r="G759" t="s">
        <v>3783</v>
      </c>
      <c r="M759" t="s">
        <v>1634</v>
      </c>
    </row>
    <row r="760" spans="1:13" x14ac:dyDescent="0.25">
      <c r="A760">
        <v>4925</v>
      </c>
      <c r="B760" t="s">
        <v>735</v>
      </c>
      <c r="C760" t="s">
        <v>3781</v>
      </c>
      <c r="D760" t="s">
        <v>1643</v>
      </c>
      <c r="E760" t="s">
        <v>1273</v>
      </c>
      <c r="F760" t="s">
        <v>1938</v>
      </c>
      <c r="G760" t="s">
        <v>3784</v>
      </c>
      <c r="H760">
        <v>4804724930</v>
      </c>
      <c r="K760" t="s">
        <v>3785</v>
      </c>
      <c r="L760" t="s">
        <v>1721</v>
      </c>
      <c r="M760" t="s">
        <v>1634</v>
      </c>
    </row>
    <row r="761" spans="1:13" x14ac:dyDescent="0.25">
      <c r="A761">
        <v>4926</v>
      </c>
      <c r="B761" t="s">
        <v>3786</v>
      </c>
      <c r="C761" t="s">
        <v>3787</v>
      </c>
      <c r="D761" t="s">
        <v>1643</v>
      </c>
      <c r="E761" t="s">
        <v>1273</v>
      </c>
      <c r="F761" t="s">
        <v>2222</v>
      </c>
      <c r="G761" t="s">
        <v>3788</v>
      </c>
      <c r="H761">
        <v>4804725431</v>
      </c>
      <c r="K761" t="s">
        <v>3789</v>
      </c>
      <c r="L761" t="s">
        <v>1647</v>
      </c>
      <c r="M761" t="s">
        <v>1634</v>
      </c>
    </row>
    <row r="762" spans="1:13" x14ac:dyDescent="0.25">
      <c r="A762">
        <v>4927</v>
      </c>
      <c r="B762" t="s">
        <v>712</v>
      </c>
      <c r="C762" t="s">
        <v>3790</v>
      </c>
      <c r="D762" t="s">
        <v>1643</v>
      </c>
      <c r="E762" t="s">
        <v>1273</v>
      </c>
      <c r="F762" t="s">
        <v>1707</v>
      </c>
      <c r="G762" t="s">
        <v>3791</v>
      </c>
      <c r="L762" t="s">
        <v>1738</v>
      </c>
      <c r="M762" t="s">
        <v>1640</v>
      </c>
    </row>
    <row r="763" spans="1:13" x14ac:dyDescent="0.25">
      <c r="A763">
        <v>4928</v>
      </c>
      <c r="B763" t="s">
        <v>1501</v>
      </c>
      <c r="C763" t="s">
        <v>3792</v>
      </c>
      <c r="D763" t="s">
        <v>1643</v>
      </c>
      <c r="E763" t="s">
        <v>1273</v>
      </c>
      <c r="F763" t="s">
        <v>1938</v>
      </c>
      <c r="G763" t="s">
        <v>3784</v>
      </c>
      <c r="H763">
        <v>4804724900</v>
      </c>
      <c r="J763">
        <v>4804724905</v>
      </c>
      <c r="K763" t="s">
        <v>3793</v>
      </c>
      <c r="M763" t="s">
        <v>1634</v>
      </c>
    </row>
    <row r="764" spans="1:13" x14ac:dyDescent="0.25">
      <c r="A764">
        <v>4929</v>
      </c>
      <c r="B764" t="s">
        <v>3794</v>
      </c>
      <c r="C764" t="s">
        <v>3795</v>
      </c>
      <c r="D764" t="s">
        <v>1643</v>
      </c>
      <c r="E764" t="s">
        <v>1273</v>
      </c>
    </row>
    <row r="765" spans="1:13" x14ac:dyDescent="0.25">
      <c r="A765">
        <v>4930</v>
      </c>
      <c r="B765" t="s">
        <v>3796</v>
      </c>
      <c r="C765" t="s">
        <v>3797</v>
      </c>
      <c r="D765" t="s">
        <v>1643</v>
      </c>
      <c r="E765" t="s">
        <v>1273</v>
      </c>
      <c r="F765" t="s">
        <v>3798</v>
      </c>
      <c r="G765" t="s">
        <v>3799</v>
      </c>
      <c r="H765">
        <v>4804729088</v>
      </c>
      <c r="J765">
        <v>4804729090</v>
      </c>
      <c r="K765" t="s">
        <v>3800</v>
      </c>
      <c r="L765" t="s">
        <v>1647</v>
      </c>
      <c r="M765" t="s">
        <v>1634</v>
      </c>
    </row>
    <row r="766" spans="1:13" x14ac:dyDescent="0.25">
      <c r="A766">
        <v>4930</v>
      </c>
      <c r="B766" t="s">
        <v>3796</v>
      </c>
      <c r="C766" t="s">
        <v>3797</v>
      </c>
      <c r="D766" t="s">
        <v>1643</v>
      </c>
      <c r="E766" t="s">
        <v>1273</v>
      </c>
      <c r="F766" t="s">
        <v>3801</v>
      </c>
      <c r="G766" t="s">
        <v>3802</v>
      </c>
      <c r="M766" t="s">
        <v>1634</v>
      </c>
    </row>
    <row r="767" spans="1:13" x14ac:dyDescent="0.25">
      <c r="A767">
        <v>4931</v>
      </c>
      <c r="B767" t="s">
        <v>3803</v>
      </c>
      <c r="C767" t="s">
        <v>3804</v>
      </c>
      <c r="D767" t="s">
        <v>1643</v>
      </c>
      <c r="E767" t="s">
        <v>1273</v>
      </c>
      <c r="F767" t="s">
        <v>3805</v>
      </c>
      <c r="G767" t="s">
        <v>1943</v>
      </c>
      <c r="H767">
        <v>4804727433</v>
      </c>
      <c r="K767" t="s">
        <v>3806</v>
      </c>
      <c r="L767" t="s">
        <v>1647</v>
      </c>
      <c r="M767" t="s">
        <v>1634</v>
      </c>
    </row>
    <row r="768" spans="1:13" x14ac:dyDescent="0.25">
      <c r="A768">
        <v>4932</v>
      </c>
      <c r="B768" t="s">
        <v>3807</v>
      </c>
      <c r="C768" t="s">
        <v>3808</v>
      </c>
      <c r="D768" t="s">
        <v>1643</v>
      </c>
      <c r="E768" t="s">
        <v>1273</v>
      </c>
      <c r="F768" t="s">
        <v>1820</v>
      </c>
      <c r="G768" t="s">
        <v>3809</v>
      </c>
      <c r="K768" t="s">
        <v>3810</v>
      </c>
      <c r="L768" t="s">
        <v>1647</v>
      </c>
      <c r="M768" t="s">
        <v>1634</v>
      </c>
    </row>
    <row r="769" spans="1:13" x14ac:dyDescent="0.25">
      <c r="A769">
        <v>4933</v>
      </c>
      <c r="B769" t="s">
        <v>1366</v>
      </c>
      <c r="C769" t="s">
        <v>3811</v>
      </c>
      <c r="D769" t="s">
        <v>1643</v>
      </c>
      <c r="E769" t="s">
        <v>1273</v>
      </c>
    </row>
    <row r="770" spans="1:13" x14ac:dyDescent="0.25">
      <c r="A770">
        <v>4934</v>
      </c>
      <c r="B770" t="s">
        <v>739</v>
      </c>
      <c r="C770" t="s">
        <v>3812</v>
      </c>
      <c r="D770" t="s">
        <v>1643</v>
      </c>
      <c r="E770" t="s">
        <v>1273</v>
      </c>
      <c r="F770" t="s">
        <v>3813</v>
      </c>
      <c r="G770" t="s">
        <v>3814</v>
      </c>
      <c r="H770">
        <v>4804726300</v>
      </c>
      <c r="J770">
        <v>4804726310</v>
      </c>
      <c r="K770" t="s">
        <v>3815</v>
      </c>
      <c r="M770" t="s">
        <v>1634</v>
      </c>
    </row>
    <row r="771" spans="1:13" x14ac:dyDescent="0.25">
      <c r="A771">
        <v>4934</v>
      </c>
      <c r="B771" t="s">
        <v>739</v>
      </c>
      <c r="C771" t="s">
        <v>3812</v>
      </c>
      <c r="D771" t="s">
        <v>1643</v>
      </c>
      <c r="E771" t="s">
        <v>1273</v>
      </c>
      <c r="F771" t="s">
        <v>3401</v>
      </c>
      <c r="G771" t="s">
        <v>3489</v>
      </c>
      <c r="K771" t="s">
        <v>3816</v>
      </c>
      <c r="L771" t="s">
        <v>3817</v>
      </c>
      <c r="M771" t="s">
        <v>1634</v>
      </c>
    </row>
    <row r="772" spans="1:13" x14ac:dyDescent="0.25">
      <c r="A772">
        <v>4934</v>
      </c>
      <c r="B772" t="s">
        <v>739</v>
      </c>
      <c r="C772" t="s">
        <v>3812</v>
      </c>
      <c r="D772" t="s">
        <v>1643</v>
      </c>
      <c r="E772" t="s">
        <v>1273</v>
      </c>
      <c r="F772" t="s">
        <v>2142</v>
      </c>
      <c r="G772" t="s">
        <v>3818</v>
      </c>
      <c r="H772">
        <v>4802726323</v>
      </c>
      <c r="J772">
        <v>4804726310</v>
      </c>
      <c r="K772" t="s">
        <v>3819</v>
      </c>
      <c r="L772" t="s">
        <v>1647</v>
      </c>
      <c r="M772" t="s">
        <v>1634</v>
      </c>
    </row>
    <row r="773" spans="1:13" x14ac:dyDescent="0.25">
      <c r="A773">
        <v>4935</v>
      </c>
      <c r="B773" t="s">
        <v>3820</v>
      </c>
      <c r="C773" t="s">
        <v>3821</v>
      </c>
      <c r="D773" t="s">
        <v>1643</v>
      </c>
      <c r="E773" t="s">
        <v>1273</v>
      </c>
      <c r="F773" t="s">
        <v>3822</v>
      </c>
      <c r="G773" t="s">
        <v>2658</v>
      </c>
      <c r="H773">
        <v>4804721200</v>
      </c>
      <c r="J773">
        <v>4804721290</v>
      </c>
      <c r="K773" t="s">
        <v>3823</v>
      </c>
      <c r="M773" t="s">
        <v>1634</v>
      </c>
    </row>
    <row r="774" spans="1:13" x14ac:dyDescent="0.25">
      <c r="A774">
        <v>4936</v>
      </c>
      <c r="B774" t="s">
        <v>3824</v>
      </c>
      <c r="C774" t="s">
        <v>3825</v>
      </c>
      <c r="D774" t="s">
        <v>1643</v>
      </c>
      <c r="E774" t="s">
        <v>1273</v>
      </c>
      <c r="F774" t="s">
        <v>3826</v>
      </c>
      <c r="G774" t="s">
        <v>3827</v>
      </c>
      <c r="K774" t="s">
        <v>3828</v>
      </c>
      <c r="M774" t="s">
        <v>1634</v>
      </c>
    </row>
    <row r="775" spans="1:13" x14ac:dyDescent="0.25">
      <c r="A775">
        <v>4937</v>
      </c>
      <c r="B775" t="s">
        <v>3829</v>
      </c>
      <c r="C775" t="s">
        <v>3830</v>
      </c>
      <c r="D775" t="s">
        <v>1643</v>
      </c>
      <c r="E775" t="s">
        <v>1273</v>
      </c>
      <c r="F775" t="s">
        <v>1787</v>
      </c>
      <c r="G775" t="s">
        <v>3831</v>
      </c>
      <c r="K775" t="s">
        <v>3832</v>
      </c>
      <c r="L775" t="s">
        <v>1647</v>
      </c>
      <c r="M775" t="s">
        <v>1634</v>
      </c>
    </row>
    <row r="776" spans="1:13" x14ac:dyDescent="0.25">
      <c r="A776">
        <v>4937</v>
      </c>
      <c r="B776" t="s">
        <v>3829</v>
      </c>
      <c r="C776" t="s">
        <v>3830</v>
      </c>
      <c r="D776" t="s">
        <v>1643</v>
      </c>
      <c r="E776" t="s">
        <v>1273</v>
      </c>
      <c r="F776" t="s">
        <v>1690</v>
      </c>
      <c r="G776" t="s">
        <v>3833</v>
      </c>
      <c r="H776">
        <v>4804729800</v>
      </c>
      <c r="J776">
        <v>4804729819</v>
      </c>
      <c r="L776" t="s">
        <v>1647</v>
      </c>
      <c r="M776" t="s">
        <v>1634</v>
      </c>
    </row>
    <row r="777" spans="1:13" x14ac:dyDescent="0.25">
      <c r="A777">
        <v>4937</v>
      </c>
      <c r="B777" t="s">
        <v>3829</v>
      </c>
      <c r="C777" t="s">
        <v>3830</v>
      </c>
      <c r="D777" t="s">
        <v>1643</v>
      </c>
      <c r="E777" t="s">
        <v>1273</v>
      </c>
      <c r="F777" t="s">
        <v>3801</v>
      </c>
      <c r="G777" t="s">
        <v>3802</v>
      </c>
      <c r="M777" t="s">
        <v>1634</v>
      </c>
    </row>
    <row r="778" spans="1:13" x14ac:dyDescent="0.25">
      <c r="A778">
        <v>4938</v>
      </c>
      <c r="B778" t="s">
        <v>695</v>
      </c>
      <c r="C778" t="s">
        <v>3834</v>
      </c>
      <c r="D778" t="s">
        <v>1643</v>
      </c>
      <c r="E778" t="s">
        <v>1273</v>
      </c>
      <c r="F778" t="s">
        <v>3570</v>
      </c>
      <c r="G778" t="s">
        <v>3835</v>
      </c>
      <c r="K778" t="s">
        <v>3836</v>
      </c>
      <c r="M778" t="s">
        <v>1634</v>
      </c>
    </row>
    <row r="779" spans="1:13" x14ac:dyDescent="0.25">
      <c r="A779">
        <v>4939</v>
      </c>
      <c r="B779" t="s">
        <v>2315</v>
      </c>
      <c r="C779" t="s">
        <v>3837</v>
      </c>
      <c r="D779" t="s">
        <v>1643</v>
      </c>
      <c r="E779" t="s">
        <v>1273</v>
      </c>
      <c r="F779" t="s">
        <v>3838</v>
      </c>
      <c r="G779" t="s">
        <v>3839</v>
      </c>
      <c r="K779" t="s">
        <v>3840</v>
      </c>
      <c r="M779" t="s">
        <v>1640</v>
      </c>
    </row>
    <row r="780" spans="1:13" x14ac:dyDescent="0.25">
      <c r="A780">
        <v>4940</v>
      </c>
      <c r="B780" t="s">
        <v>1320</v>
      </c>
      <c r="C780" t="s">
        <v>3841</v>
      </c>
      <c r="D780" t="s">
        <v>1643</v>
      </c>
      <c r="E780" t="s">
        <v>1273</v>
      </c>
      <c r="F780" t="s">
        <v>3842</v>
      </c>
      <c r="G780" t="s">
        <v>3843</v>
      </c>
      <c r="K780" t="s">
        <v>3844</v>
      </c>
      <c r="L780" t="s">
        <v>1647</v>
      </c>
      <c r="M780" t="s">
        <v>1634</v>
      </c>
    </row>
    <row r="781" spans="1:13" x14ac:dyDescent="0.25">
      <c r="A781">
        <v>4940</v>
      </c>
      <c r="B781" t="s">
        <v>1320</v>
      </c>
      <c r="C781" t="s">
        <v>3841</v>
      </c>
      <c r="D781" t="s">
        <v>1643</v>
      </c>
      <c r="E781" t="s">
        <v>1273</v>
      </c>
      <c r="F781" t="s">
        <v>3193</v>
      </c>
      <c r="G781" t="s">
        <v>3845</v>
      </c>
      <c r="H781">
        <v>4804726155</v>
      </c>
      <c r="K781" t="s">
        <v>3846</v>
      </c>
      <c r="L781" t="s">
        <v>1647</v>
      </c>
      <c r="M781" t="s">
        <v>1634</v>
      </c>
    </row>
    <row r="782" spans="1:13" x14ac:dyDescent="0.25">
      <c r="A782">
        <v>4941</v>
      </c>
      <c r="B782" t="s">
        <v>3847</v>
      </c>
      <c r="C782" t="s">
        <v>3848</v>
      </c>
      <c r="D782" t="s">
        <v>1643</v>
      </c>
      <c r="E782" t="s">
        <v>1273</v>
      </c>
      <c r="F782" t="s">
        <v>2082</v>
      </c>
      <c r="G782" t="s">
        <v>3744</v>
      </c>
      <c r="K782" t="s">
        <v>3745</v>
      </c>
      <c r="L782" t="s">
        <v>3817</v>
      </c>
      <c r="M782" t="s">
        <v>1634</v>
      </c>
    </row>
    <row r="783" spans="1:13" x14ac:dyDescent="0.25">
      <c r="A783">
        <v>4943</v>
      </c>
      <c r="B783" t="s">
        <v>3849</v>
      </c>
      <c r="C783" t="s">
        <v>3850</v>
      </c>
      <c r="D783" t="s">
        <v>1643</v>
      </c>
      <c r="E783" t="s">
        <v>1273</v>
      </c>
      <c r="F783" t="s">
        <v>1723</v>
      </c>
      <c r="G783" t="s">
        <v>3851</v>
      </c>
      <c r="H783">
        <v>4804723752</v>
      </c>
      <c r="K783" t="s">
        <v>3852</v>
      </c>
      <c r="L783" t="s">
        <v>1647</v>
      </c>
      <c r="M783" t="s">
        <v>1634</v>
      </c>
    </row>
    <row r="784" spans="1:13" x14ac:dyDescent="0.25">
      <c r="A784">
        <v>4944</v>
      </c>
      <c r="B784" t="s">
        <v>3853</v>
      </c>
      <c r="C784" t="s">
        <v>3854</v>
      </c>
      <c r="D784" t="s">
        <v>1643</v>
      </c>
      <c r="E784" t="s">
        <v>1273</v>
      </c>
      <c r="F784" t="s">
        <v>3855</v>
      </c>
      <c r="G784" t="s">
        <v>3856</v>
      </c>
      <c r="K784" t="s">
        <v>3857</v>
      </c>
      <c r="L784" t="s">
        <v>1647</v>
      </c>
      <c r="M784" t="s">
        <v>1634</v>
      </c>
    </row>
    <row r="785" spans="1:13" x14ac:dyDescent="0.25">
      <c r="A785">
        <v>4945</v>
      </c>
      <c r="B785" t="s">
        <v>3858</v>
      </c>
      <c r="C785" t="s">
        <v>3859</v>
      </c>
      <c r="D785" t="s">
        <v>1643</v>
      </c>
      <c r="E785" t="s">
        <v>1273</v>
      </c>
      <c r="F785" t="s">
        <v>3860</v>
      </c>
      <c r="G785" t="s">
        <v>3861</v>
      </c>
      <c r="L785" t="s">
        <v>1647</v>
      </c>
      <c r="M785" t="s">
        <v>1634</v>
      </c>
    </row>
    <row r="786" spans="1:13" x14ac:dyDescent="0.25">
      <c r="A786">
        <v>4946</v>
      </c>
      <c r="B786" t="s">
        <v>3862</v>
      </c>
      <c r="C786" t="s">
        <v>3863</v>
      </c>
      <c r="D786" t="s">
        <v>1643</v>
      </c>
      <c r="E786" t="s">
        <v>1273</v>
      </c>
      <c r="F786" t="s">
        <v>3629</v>
      </c>
      <c r="G786" t="s">
        <v>3864</v>
      </c>
      <c r="L786" t="s">
        <v>1721</v>
      </c>
      <c r="M786" t="s">
        <v>1634</v>
      </c>
    </row>
    <row r="787" spans="1:13" x14ac:dyDescent="0.25">
      <c r="A787">
        <v>4947</v>
      </c>
      <c r="B787" t="s">
        <v>3865</v>
      </c>
      <c r="C787" t="s">
        <v>3866</v>
      </c>
      <c r="D787" t="s">
        <v>1643</v>
      </c>
      <c r="E787" t="s">
        <v>1273</v>
      </c>
      <c r="F787" t="s">
        <v>3105</v>
      </c>
      <c r="G787" t="s">
        <v>2658</v>
      </c>
      <c r="K787" t="s">
        <v>3867</v>
      </c>
      <c r="L787" t="s">
        <v>1647</v>
      </c>
      <c r="M787" t="s">
        <v>1634</v>
      </c>
    </row>
    <row r="788" spans="1:13" x14ac:dyDescent="0.25">
      <c r="A788">
        <v>4948</v>
      </c>
      <c r="B788" t="s">
        <v>3868</v>
      </c>
      <c r="C788" t="s">
        <v>3869</v>
      </c>
      <c r="D788" t="s">
        <v>1643</v>
      </c>
      <c r="E788" t="s">
        <v>1273</v>
      </c>
      <c r="F788" t="s">
        <v>3870</v>
      </c>
      <c r="G788" t="s">
        <v>3871</v>
      </c>
      <c r="K788" t="s">
        <v>3872</v>
      </c>
      <c r="L788" t="s">
        <v>1647</v>
      </c>
      <c r="M788" t="s">
        <v>1634</v>
      </c>
    </row>
    <row r="789" spans="1:13" x14ac:dyDescent="0.25">
      <c r="A789">
        <v>4949</v>
      </c>
      <c r="B789" t="s">
        <v>3873</v>
      </c>
      <c r="C789" t="s">
        <v>3874</v>
      </c>
      <c r="D789" t="s">
        <v>1643</v>
      </c>
      <c r="E789" t="s">
        <v>1273</v>
      </c>
      <c r="F789" t="s">
        <v>1690</v>
      </c>
      <c r="G789" t="s">
        <v>3875</v>
      </c>
      <c r="K789" t="s">
        <v>3876</v>
      </c>
      <c r="L789" t="s">
        <v>1647</v>
      </c>
      <c r="M789" t="s">
        <v>1634</v>
      </c>
    </row>
    <row r="790" spans="1:13" x14ac:dyDescent="0.25">
      <c r="A790">
        <v>4951</v>
      </c>
      <c r="B790" t="s">
        <v>3877</v>
      </c>
      <c r="C790" t="s">
        <v>3878</v>
      </c>
      <c r="D790" t="s">
        <v>1643</v>
      </c>
      <c r="E790" t="s">
        <v>1273</v>
      </c>
      <c r="F790" t="s">
        <v>3879</v>
      </c>
      <c r="G790" t="s">
        <v>3880</v>
      </c>
      <c r="K790" t="s">
        <v>3881</v>
      </c>
      <c r="L790" t="s">
        <v>1647</v>
      </c>
      <c r="M790" t="s">
        <v>1634</v>
      </c>
    </row>
    <row r="791" spans="1:13" x14ac:dyDescent="0.25">
      <c r="A791">
        <v>4952</v>
      </c>
      <c r="B791" t="s">
        <v>3882</v>
      </c>
      <c r="C791" t="s">
        <v>3883</v>
      </c>
      <c r="D791" t="s">
        <v>1643</v>
      </c>
      <c r="E791" t="s">
        <v>1273</v>
      </c>
      <c r="F791" t="s">
        <v>3884</v>
      </c>
      <c r="G791" t="s">
        <v>3799</v>
      </c>
      <c r="H791">
        <v>4804727700</v>
      </c>
      <c r="J791">
        <v>4804727686</v>
      </c>
      <c r="K791" t="s">
        <v>3885</v>
      </c>
      <c r="L791" t="s">
        <v>1647</v>
      </c>
      <c r="M791" t="s">
        <v>1634</v>
      </c>
    </row>
    <row r="792" spans="1:13" x14ac:dyDescent="0.25">
      <c r="A792">
        <v>4952</v>
      </c>
      <c r="B792" t="s">
        <v>3882</v>
      </c>
      <c r="C792" t="s">
        <v>3883</v>
      </c>
      <c r="D792" t="s">
        <v>1643</v>
      </c>
      <c r="E792" t="s">
        <v>1273</v>
      </c>
      <c r="F792" t="s">
        <v>1707</v>
      </c>
      <c r="G792" t="s">
        <v>3886</v>
      </c>
      <c r="K792" t="s">
        <v>3887</v>
      </c>
      <c r="L792" t="s">
        <v>1647</v>
      </c>
      <c r="M792" t="s">
        <v>1634</v>
      </c>
    </row>
    <row r="793" spans="1:13" x14ac:dyDescent="0.25">
      <c r="A793">
        <v>4953</v>
      </c>
      <c r="B793" t="s">
        <v>3888</v>
      </c>
      <c r="C793" t="s">
        <v>3889</v>
      </c>
      <c r="D793" t="s">
        <v>1643</v>
      </c>
      <c r="E793" t="s">
        <v>1273</v>
      </c>
    </row>
    <row r="794" spans="1:13" x14ac:dyDescent="0.25">
      <c r="A794">
        <v>4954</v>
      </c>
      <c r="B794" t="s">
        <v>3890</v>
      </c>
      <c r="C794" t="s">
        <v>3891</v>
      </c>
      <c r="D794" t="s">
        <v>1643</v>
      </c>
      <c r="E794" t="s">
        <v>1273</v>
      </c>
      <c r="F794" t="s">
        <v>3142</v>
      </c>
      <c r="G794" t="s">
        <v>3892</v>
      </c>
      <c r="K794" t="s">
        <v>3893</v>
      </c>
      <c r="L794" t="s">
        <v>1647</v>
      </c>
      <c r="M794" t="s">
        <v>1634</v>
      </c>
    </row>
    <row r="795" spans="1:13" x14ac:dyDescent="0.25">
      <c r="A795">
        <v>4955</v>
      </c>
      <c r="B795" t="s">
        <v>3894</v>
      </c>
      <c r="C795" t="s">
        <v>3895</v>
      </c>
      <c r="D795" t="s">
        <v>1643</v>
      </c>
      <c r="E795" t="s">
        <v>1273</v>
      </c>
      <c r="F795" t="s">
        <v>1787</v>
      </c>
      <c r="G795" t="s">
        <v>3896</v>
      </c>
      <c r="K795" t="s">
        <v>3897</v>
      </c>
      <c r="L795" t="s">
        <v>1647</v>
      </c>
      <c r="M795" t="s">
        <v>1634</v>
      </c>
    </row>
    <row r="796" spans="1:13" x14ac:dyDescent="0.25">
      <c r="A796">
        <v>4956</v>
      </c>
      <c r="B796" t="s">
        <v>3898</v>
      </c>
      <c r="C796" t="s">
        <v>3899</v>
      </c>
      <c r="D796" t="s">
        <v>1643</v>
      </c>
      <c r="E796" t="s">
        <v>1273</v>
      </c>
      <c r="F796" t="s">
        <v>2587</v>
      </c>
      <c r="G796" t="s">
        <v>3900</v>
      </c>
      <c r="K796" t="s">
        <v>3901</v>
      </c>
      <c r="L796" t="s">
        <v>1647</v>
      </c>
      <c r="M796" t="s">
        <v>1634</v>
      </c>
    </row>
    <row r="797" spans="1:13" x14ac:dyDescent="0.25">
      <c r="A797">
        <v>4957</v>
      </c>
      <c r="B797" t="s">
        <v>3902</v>
      </c>
      <c r="C797" t="s">
        <v>3903</v>
      </c>
      <c r="D797" t="s">
        <v>1643</v>
      </c>
      <c r="E797" t="s">
        <v>1273</v>
      </c>
    </row>
    <row r="798" spans="1:13" x14ac:dyDescent="0.25">
      <c r="A798">
        <v>4958</v>
      </c>
      <c r="B798" t="s">
        <v>3904</v>
      </c>
      <c r="C798" t="s">
        <v>3905</v>
      </c>
      <c r="D798" t="s">
        <v>1643</v>
      </c>
      <c r="E798" t="s">
        <v>1273</v>
      </c>
      <c r="F798" t="s">
        <v>3428</v>
      </c>
      <c r="G798" t="s">
        <v>3906</v>
      </c>
      <c r="H798">
        <v>4804725101</v>
      </c>
      <c r="K798" t="s">
        <v>3907</v>
      </c>
      <c r="L798" t="s">
        <v>1721</v>
      </c>
      <c r="M798" t="s">
        <v>1634</v>
      </c>
    </row>
    <row r="799" spans="1:13" x14ac:dyDescent="0.25">
      <c r="A799">
        <v>4959</v>
      </c>
      <c r="B799" t="s">
        <v>3908</v>
      </c>
      <c r="C799" t="s">
        <v>3909</v>
      </c>
      <c r="D799" t="s">
        <v>1643</v>
      </c>
      <c r="E799" t="s">
        <v>1273</v>
      </c>
      <c r="F799" t="s">
        <v>3910</v>
      </c>
      <c r="G799" t="s">
        <v>3911</v>
      </c>
      <c r="K799" t="s">
        <v>3912</v>
      </c>
      <c r="L799" t="s">
        <v>1647</v>
      </c>
      <c r="M799" t="s">
        <v>1634</v>
      </c>
    </row>
    <row r="800" spans="1:13" x14ac:dyDescent="0.25">
      <c r="A800">
        <v>4960</v>
      </c>
      <c r="B800" t="s">
        <v>3913</v>
      </c>
      <c r="C800" t="s">
        <v>3914</v>
      </c>
      <c r="D800" t="s">
        <v>1643</v>
      </c>
      <c r="E800" t="s">
        <v>1273</v>
      </c>
      <c r="F800" t="s">
        <v>2794</v>
      </c>
      <c r="G800" t="s">
        <v>3915</v>
      </c>
      <c r="H800">
        <v>4804727900</v>
      </c>
      <c r="J800">
        <v>4804727969</v>
      </c>
      <c r="K800" t="s">
        <v>3916</v>
      </c>
      <c r="L800" t="s">
        <v>1647</v>
      </c>
      <c r="M800" t="s">
        <v>1634</v>
      </c>
    </row>
    <row r="801" spans="1:13" x14ac:dyDescent="0.25">
      <c r="A801">
        <v>4960</v>
      </c>
      <c r="B801" t="s">
        <v>3913</v>
      </c>
      <c r="C801" t="s">
        <v>3914</v>
      </c>
      <c r="D801" t="s">
        <v>1643</v>
      </c>
      <c r="E801" t="s">
        <v>1273</v>
      </c>
      <c r="F801" t="s">
        <v>3917</v>
      </c>
      <c r="G801" t="s">
        <v>3918</v>
      </c>
      <c r="K801" t="s">
        <v>3919</v>
      </c>
      <c r="L801" t="s">
        <v>1647</v>
      </c>
      <c r="M801" t="s">
        <v>1640</v>
      </c>
    </row>
    <row r="802" spans="1:13" x14ac:dyDescent="0.25">
      <c r="A802">
        <v>4961</v>
      </c>
      <c r="B802" t="s">
        <v>3920</v>
      </c>
      <c r="C802" t="s">
        <v>3921</v>
      </c>
      <c r="D802" t="s">
        <v>1643</v>
      </c>
      <c r="E802" t="s">
        <v>1273</v>
      </c>
      <c r="F802" t="s">
        <v>3013</v>
      </c>
      <c r="G802" t="s">
        <v>1773</v>
      </c>
      <c r="K802" t="s">
        <v>3922</v>
      </c>
      <c r="L802" t="s">
        <v>1647</v>
      </c>
      <c r="M802" t="s">
        <v>1634</v>
      </c>
    </row>
    <row r="803" spans="1:13" x14ac:dyDescent="0.25">
      <c r="A803">
        <v>4962</v>
      </c>
      <c r="B803" t="s">
        <v>3923</v>
      </c>
      <c r="C803" t="s">
        <v>3924</v>
      </c>
      <c r="D803" t="s">
        <v>1643</v>
      </c>
      <c r="E803" t="s">
        <v>1273</v>
      </c>
      <c r="F803" t="s">
        <v>1766</v>
      </c>
      <c r="G803" t="s">
        <v>3925</v>
      </c>
      <c r="K803" t="s">
        <v>3926</v>
      </c>
      <c r="L803" t="s">
        <v>1647</v>
      </c>
      <c r="M803" t="s">
        <v>1634</v>
      </c>
    </row>
    <row r="804" spans="1:13" x14ac:dyDescent="0.25">
      <c r="A804">
        <v>6229</v>
      </c>
      <c r="B804" t="s">
        <v>1343</v>
      </c>
      <c r="C804" t="s">
        <v>3927</v>
      </c>
      <c r="D804" t="s">
        <v>1643</v>
      </c>
      <c r="E804" t="s">
        <v>1273</v>
      </c>
    </row>
    <row r="805" spans="1:13" x14ac:dyDescent="0.25">
      <c r="A805">
        <v>78938</v>
      </c>
      <c r="B805" t="s">
        <v>3928</v>
      </c>
      <c r="C805" t="s">
        <v>3929</v>
      </c>
      <c r="D805" t="s">
        <v>1643</v>
      </c>
      <c r="E805" t="s">
        <v>1273</v>
      </c>
      <c r="F805" t="s">
        <v>3930</v>
      </c>
      <c r="G805" t="s">
        <v>3931</v>
      </c>
      <c r="K805" t="s">
        <v>3932</v>
      </c>
      <c r="L805" t="s">
        <v>1647</v>
      </c>
      <c r="M805" t="s">
        <v>1634</v>
      </c>
    </row>
    <row r="806" spans="1:13" x14ac:dyDescent="0.25">
      <c r="A806">
        <v>79225</v>
      </c>
      <c r="B806" t="s">
        <v>1397</v>
      </c>
      <c r="C806" t="s">
        <v>3933</v>
      </c>
      <c r="D806" t="s">
        <v>1643</v>
      </c>
      <c r="E806" t="s">
        <v>1273</v>
      </c>
      <c r="F806" t="s">
        <v>3193</v>
      </c>
      <c r="G806" t="s">
        <v>3934</v>
      </c>
      <c r="K806" t="s">
        <v>3935</v>
      </c>
      <c r="M806" t="s">
        <v>1634</v>
      </c>
    </row>
    <row r="807" spans="1:13" x14ac:dyDescent="0.25">
      <c r="A807">
        <v>79490</v>
      </c>
      <c r="B807" t="s">
        <v>3936</v>
      </c>
      <c r="C807" t="s">
        <v>3937</v>
      </c>
      <c r="D807" t="s">
        <v>1643</v>
      </c>
      <c r="E807" t="s">
        <v>1273</v>
      </c>
      <c r="F807" t="s">
        <v>2408</v>
      </c>
      <c r="G807" t="s">
        <v>3724</v>
      </c>
      <c r="K807" t="s">
        <v>3725</v>
      </c>
      <c r="L807" t="s">
        <v>1721</v>
      </c>
      <c r="M807" t="s">
        <v>1634</v>
      </c>
    </row>
    <row r="808" spans="1:13" x14ac:dyDescent="0.25">
      <c r="A808">
        <v>79490</v>
      </c>
      <c r="B808" t="s">
        <v>3936</v>
      </c>
      <c r="C808" t="s">
        <v>3937</v>
      </c>
      <c r="D808" t="s">
        <v>1643</v>
      </c>
      <c r="E808" t="s">
        <v>1273</v>
      </c>
      <c r="F808" t="s">
        <v>3782</v>
      </c>
      <c r="G808" t="s">
        <v>3783</v>
      </c>
      <c r="H808">
        <v>4804724081</v>
      </c>
      <c r="K808" t="s">
        <v>3938</v>
      </c>
      <c r="L808" t="s">
        <v>1721</v>
      </c>
      <c r="M808" t="s">
        <v>1634</v>
      </c>
    </row>
    <row r="809" spans="1:13" x14ac:dyDescent="0.25">
      <c r="A809">
        <v>79807</v>
      </c>
      <c r="B809" t="s">
        <v>3939</v>
      </c>
      <c r="C809" t="s">
        <v>3940</v>
      </c>
      <c r="D809" t="s">
        <v>1643</v>
      </c>
      <c r="E809" t="s">
        <v>1273</v>
      </c>
      <c r="F809" t="s">
        <v>2222</v>
      </c>
      <c r="G809" t="s">
        <v>3941</v>
      </c>
      <c r="H809">
        <v>4803087241</v>
      </c>
      <c r="J809">
        <v>4803087255</v>
      </c>
      <c r="K809" t="s">
        <v>3942</v>
      </c>
      <c r="L809" t="s">
        <v>1647</v>
      </c>
      <c r="M809" t="s">
        <v>1634</v>
      </c>
    </row>
    <row r="810" spans="1:13" x14ac:dyDescent="0.25">
      <c r="A810">
        <v>90752</v>
      </c>
      <c r="B810" t="s">
        <v>3943</v>
      </c>
      <c r="C810" t="s">
        <v>3944</v>
      </c>
      <c r="D810" t="s">
        <v>1643</v>
      </c>
      <c r="E810" t="s">
        <v>1273</v>
      </c>
      <c r="F810" t="s">
        <v>3945</v>
      </c>
      <c r="G810" t="s">
        <v>1943</v>
      </c>
      <c r="H810">
        <v>4804723905</v>
      </c>
      <c r="J810">
        <v>4804729819</v>
      </c>
      <c r="K810" t="s">
        <v>3946</v>
      </c>
      <c r="L810" t="s">
        <v>1647</v>
      </c>
      <c r="M810" t="s">
        <v>1634</v>
      </c>
    </row>
    <row r="811" spans="1:13" x14ac:dyDescent="0.25">
      <c r="A811">
        <v>91812</v>
      </c>
      <c r="B811" t="s">
        <v>3947</v>
      </c>
      <c r="C811" t="s">
        <v>3948</v>
      </c>
      <c r="D811" t="s">
        <v>1643</v>
      </c>
      <c r="E811" t="s">
        <v>1273</v>
      </c>
      <c r="F811" t="s">
        <v>3162</v>
      </c>
      <c r="G811" t="s">
        <v>3949</v>
      </c>
      <c r="H811">
        <v>4804722602</v>
      </c>
      <c r="K811" t="s">
        <v>3950</v>
      </c>
      <c r="L811" t="s">
        <v>3951</v>
      </c>
      <c r="M811" t="s">
        <v>1634</v>
      </c>
    </row>
    <row r="812" spans="1:13" x14ac:dyDescent="0.25">
      <c r="A812">
        <v>92351</v>
      </c>
      <c r="B812" t="s">
        <v>3952</v>
      </c>
      <c r="C812" t="s">
        <v>3953</v>
      </c>
      <c r="D812" t="s">
        <v>1643</v>
      </c>
      <c r="E812" t="s">
        <v>1273</v>
      </c>
      <c r="F812" t="s">
        <v>3727</v>
      </c>
      <c r="G812" t="s">
        <v>3728</v>
      </c>
      <c r="K812" t="s">
        <v>3729</v>
      </c>
      <c r="M812" t="s">
        <v>1765</v>
      </c>
    </row>
    <row r="813" spans="1:13" x14ac:dyDescent="0.25">
      <c r="A813">
        <v>80046</v>
      </c>
      <c r="B813" t="s">
        <v>3954</v>
      </c>
      <c r="C813" t="s">
        <v>3955</v>
      </c>
      <c r="D813" t="s">
        <v>1643</v>
      </c>
      <c r="E813" t="s">
        <v>1273</v>
      </c>
      <c r="F813" t="s">
        <v>1726</v>
      </c>
      <c r="G813" t="s">
        <v>3956</v>
      </c>
      <c r="H813">
        <v>4804729351</v>
      </c>
      <c r="K813" t="s">
        <v>3957</v>
      </c>
      <c r="M813" t="s">
        <v>1634</v>
      </c>
    </row>
    <row r="814" spans="1:13" x14ac:dyDescent="0.25">
      <c r="A814">
        <v>89593</v>
      </c>
      <c r="B814" t="s">
        <v>3958</v>
      </c>
      <c r="C814" t="s">
        <v>3959</v>
      </c>
      <c r="D814" t="s">
        <v>1643</v>
      </c>
      <c r="E814" t="s">
        <v>1273</v>
      </c>
      <c r="F814" t="s">
        <v>1997</v>
      </c>
      <c r="G814" t="s">
        <v>3960</v>
      </c>
      <c r="H814">
        <v>4803087430</v>
      </c>
      <c r="J814">
        <v>4803087428</v>
      </c>
      <c r="K814" t="s">
        <v>3961</v>
      </c>
      <c r="L814" t="s">
        <v>1647</v>
      </c>
      <c r="M814" t="s">
        <v>1634</v>
      </c>
    </row>
    <row r="815" spans="1:13" x14ac:dyDescent="0.25">
      <c r="A815">
        <v>90753</v>
      </c>
      <c r="B815" t="s">
        <v>3962</v>
      </c>
      <c r="C815" t="s">
        <v>3963</v>
      </c>
      <c r="D815" t="s">
        <v>1643</v>
      </c>
      <c r="E815" t="s">
        <v>1273</v>
      </c>
      <c r="F815" t="s">
        <v>2082</v>
      </c>
      <c r="G815" t="s">
        <v>3964</v>
      </c>
      <c r="H815">
        <v>4804723458</v>
      </c>
      <c r="J815">
        <v>4804723549</v>
      </c>
      <c r="K815" t="s">
        <v>3965</v>
      </c>
      <c r="L815" t="s">
        <v>1647</v>
      </c>
      <c r="M815" t="s">
        <v>1634</v>
      </c>
    </row>
    <row r="816" spans="1:13" x14ac:dyDescent="0.25">
      <c r="A816">
        <v>90753</v>
      </c>
      <c r="B816" t="s">
        <v>3962</v>
      </c>
      <c r="C816" t="s">
        <v>3963</v>
      </c>
      <c r="D816" t="s">
        <v>1643</v>
      </c>
      <c r="E816" t="s">
        <v>1273</v>
      </c>
      <c r="F816" t="s">
        <v>2142</v>
      </c>
      <c r="G816" t="s">
        <v>3966</v>
      </c>
      <c r="H816">
        <v>4804720050</v>
      </c>
      <c r="J816">
        <v>4804720003</v>
      </c>
      <c r="K816" t="s">
        <v>3967</v>
      </c>
      <c r="L816" t="s">
        <v>3968</v>
      </c>
      <c r="M816" t="s">
        <v>1765</v>
      </c>
    </row>
    <row r="817" spans="1:13" x14ac:dyDescent="0.25">
      <c r="A817">
        <v>4967</v>
      </c>
      <c r="B817" t="s">
        <v>3969</v>
      </c>
      <c r="C817" t="s">
        <v>3970</v>
      </c>
      <c r="D817" t="s">
        <v>1643</v>
      </c>
      <c r="E817" t="s">
        <v>1273</v>
      </c>
    </row>
    <row r="818" spans="1:13" x14ac:dyDescent="0.25">
      <c r="A818">
        <v>4969</v>
      </c>
      <c r="B818" t="s">
        <v>3971</v>
      </c>
      <c r="C818" t="s">
        <v>3972</v>
      </c>
      <c r="D818" t="s">
        <v>1643</v>
      </c>
      <c r="E818" t="s">
        <v>1273</v>
      </c>
      <c r="F818" t="s">
        <v>3491</v>
      </c>
      <c r="G818" t="s">
        <v>3973</v>
      </c>
      <c r="H818">
        <v>4804722911</v>
      </c>
      <c r="J818">
        <v>4804722899</v>
      </c>
      <c r="K818" t="s">
        <v>3974</v>
      </c>
      <c r="L818" t="s">
        <v>1647</v>
      </c>
      <c r="M818" t="s">
        <v>1634</v>
      </c>
    </row>
    <row r="819" spans="1:13" x14ac:dyDescent="0.25">
      <c r="A819">
        <v>4970</v>
      </c>
      <c r="B819" t="s">
        <v>729</v>
      </c>
      <c r="C819" t="s">
        <v>3975</v>
      </c>
      <c r="D819" t="s">
        <v>1643</v>
      </c>
      <c r="E819" t="s">
        <v>1273</v>
      </c>
      <c r="F819" t="s">
        <v>1788</v>
      </c>
      <c r="G819" t="s">
        <v>3976</v>
      </c>
      <c r="K819" t="s">
        <v>3977</v>
      </c>
      <c r="L819" t="s">
        <v>3817</v>
      </c>
      <c r="M819" t="s">
        <v>1634</v>
      </c>
    </row>
    <row r="820" spans="1:13" x14ac:dyDescent="0.25">
      <c r="A820">
        <v>4970</v>
      </c>
      <c r="B820" t="s">
        <v>729</v>
      </c>
      <c r="C820" t="s">
        <v>3975</v>
      </c>
      <c r="D820" t="s">
        <v>1643</v>
      </c>
      <c r="E820" t="s">
        <v>1273</v>
      </c>
      <c r="F820" t="s">
        <v>3978</v>
      </c>
      <c r="G820" t="s">
        <v>2207</v>
      </c>
      <c r="K820" t="s">
        <v>3979</v>
      </c>
      <c r="L820" t="s">
        <v>3817</v>
      </c>
      <c r="M820" t="s">
        <v>1634</v>
      </c>
    </row>
    <row r="821" spans="1:13" x14ac:dyDescent="0.25">
      <c r="A821">
        <v>4970</v>
      </c>
      <c r="B821" t="s">
        <v>729</v>
      </c>
      <c r="C821" t="s">
        <v>3975</v>
      </c>
      <c r="D821" t="s">
        <v>1643</v>
      </c>
      <c r="E821" t="s">
        <v>1273</v>
      </c>
      <c r="F821" t="s">
        <v>3980</v>
      </c>
      <c r="G821" t="s">
        <v>3981</v>
      </c>
      <c r="K821" t="s">
        <v>3982</v>
      </c>
      <c r="L821" t="s">
        <v>1647</v>
      </c>
      <c r="M821" t="s">
        <v>1634</v>
      </c>
    </row>
    <row r="822" spans="1:13" x14ac:dyDescent="0.25">
      <c r="A822">
        <v>4971</v>
      </c>
      <c r="B822" t="s">
        <v>3983</v>
      </c>
      <c r="C822" t="s">
        <v>3984</v>
      </c>
      <c r="D822" t="s">
        <v>1643</v>
      </c>
      <c r="E822" t="s">
        <v>1273</v>
      </c>
      <c r="F822" t="s">
        <v>2547</v>
      </c>
      <c r="G822" t="s">
        <v>3985</v>
      </c>
      <c r="H822">
        <v>4804728283</v>
      </c>
      <c r="K822" t="s">
        <v>3986</v>
      </c>
      <c r="L822" t="s">
        <v>1647</v>
      </c>
      <c r="M822" t="s">
        <v>1634</v>
      </c>
    </row>
    <row r="823" spans="1:13" x14ac:dyDescent="0.25">
      <c r="A823">
        <v>4973</v>
      </c>
      <c r="B823" t="s">
        <v>3987</v>
      </c>
      <c r="C823" t="s">
        <v>3988</v>
      </c>
      <c r="D823" t="s">
        <v>1643</v>
      </c>
      <c r="E823" t="s">
        <v>1273</v>
      </c>
    </row>
    <row r="824" spans="1:13" x14ac:dyDescent="0.25">
      <c r="A824">
        <v>4974</v>
      </c>
      <c r="B824" t="s">
        <v>3989</v>
      </c>
      <c r="C824" t="s">
        <v>3990</v>
      </c>
      <c r="D824" t="s">
        <v>1643</v>
      </c>
      <c r="E824" t="s">
        <v>1273</v>
      </c>
      <c r="F824" t="s">
        <v>3350</v>
      </c>
      <c r="G824" t="s">
        <v>1929</v>
      </c>
      <c r="K824" t="s">
        <v>3991</v>
      </c>
      <c r="L824" t="s">
        <v>1647</v>
      </c>
      <c r="M824" t="s">
        <v>1634</v>
      </c>
    </row>
    <row r="825" spans="1:13" x14ac:dyDescent="0.25">
      <c r="A825">
        <v>4975</v>
      </c>
      <c r="B825" t="s">
        <v>3992</v>
      </c>
      <c r="C825" t="s">
        <v>3993</v>
      </c>
      <c r="D825" t="s">
        <v>1643</v>
      </c>
      <c r="E825" t="s">
        <v>1273</v>
      </c>
      <c r="F825" t="s">
        <v>3994</v>
      </c>
      <c r="G825" t="s">
        <v>3995</v>
      </c>
      <c r="K825" t="s">
        <v>3996</v>
      </c>
      <c r="L825" t="s">
        <v>1647</v>
      </c>
      <c r="M825" t="s">
        <v>1634</v>
      </c>
    </row>
    <row r="826" spans="1:13" x14ac:dyDescent="0.25">
      <c r="A826">
        <v>4977</v>
      </c>
      <c r="B826" t="s">
        <v>3997</v>
      </c>
      <c r="C826" t="s">
        <v>3998</v>
      </c>
      <c r="D826" t="s">
        <v>1643</v>
      </c>
      <c r="E826" t="s">
        <v>1273</v>
      </c>
      <c r="F826" t="s">
        <v>3999</v>
      </c>
      <c r="G826" t="s">
        <v>4000</v>
      </c>
      <c r="K826" t="s">
        <v>4001</v>
      </c>
      <c r="L826" t="s">
        <v>1647</v>
      </c>
      <c r="M826" t="s">
        <v>1634</v>
      </c>
    </row>
    <row r="827" spans="1:13" x14ac:dyDescent="0.25">
      <c r="A827">
        <v>4979</v>
      </c>
      <c r="B827" t="s">
        <v>4002</v>
      </c>
      <c r="C827" t="s">
        <v>4003</v>
      </c>
      <c r="D827" t="s">
        <v>1643</v>
      </c>
      <c r="E827" t="s">
        <v>1273</v>
      </c>
      <c r="F827" t="s">
        <v>2365</v>
      </c>
      <c r="G827" t="s">
        <v>4004</v>
      </c>
      <c r="H827">
        <v>4804722700</v>
      </c>
      <c r="J827">
        <v>4804722828</v>
      </c>
      <c r="K827" t="s">
        <v>4005</v>
      </c>
      <c r="L827" t="s">
        <v>1647</v>
      </c>
      <c r="M827" t="s">
        <v>1634</v>
      </c>
    </row>
    <row r="828" spans="1:13" x14ac:dyDescent="0.25">
      <c r="A828">
        <v>79489</v>
      </c>
      <c r="B828" t="s">
        <v>4006</v>
      </c>
      <c r="C828" t="s">
        <v>4007</v>
      </c>
      <c r="D828" t="s">
        <v>1643</v>
      </c>
      <c r="E828" t="s">
        <v>1273</v>
      </c>
      <c r="F828" t="s">
        <v>4008</v>
      </c>
      <c r="G828" t="s">
        <v>4009</v>
      </c>
      <c r="H828">
        <v>4804724650</v>
      </c>
      <c r="J828">
        <v>4804729999</v>
      </c>
      <c r="K828" t="s">
        <v>4010</v>
      </c>
      <c r="L828" t="s">
        <v>1647</v>
      </c>
      <c r="M828" t="s">
        <v>1634</v>
      </c>
    </row>
    <row r="829" spans="1:13" x14ac:dyDescent="0.25">
      <c r="A829">
        <v>90303</v>
      </c>
      <c r="B829" t="s">
        <v>4011</v>
      </c>
      <c r="C829" t="s">
        <v>4012</v>
      </c>
      <c r="D829" t="s">
        <v>1643</v>
      </c>
      <c r="E829" t="s">
        <v>1273</v>
      </c>
      <c r="F829" t="s">
        <v>4013</v>
      </c>
      <c r="G829" t="s">
        <v>4014</v>
      </c>
      <c r="M829" t="s">
        <v>1634</v>
      </c>
    </row>
    <row r="830" spans="1:13" x14ac:dyDescent="0.25">
      <c r="A830">
        <v>4980</v>
      </c>
      <c r="B830" t="s">
        <v>4015</v>
      </c>
      <c r="C830" t="s">
        <v>4016</v>
      </c>
      <c r="D830" t="s">
        <v>1643</v>
      </c>
      <c r="E830" t="s">
        <v>1273</v>
      </c>
      <c r="F830" t="s">
        <v>2587</v>
      </c>
      <c r="G830" t="s">
        <v>4017</v>
      </c>
      <c r="K830" t="s">
        <v>4018</v>
      </c>
      <c r="L830" t="s">
        <v>3817</v>
      </c>
      <c r="M830" t="s">
        <v>1634</v>
      </c>
    </row>
    <row r="831" spans="1:13" x14ac:dyDescent="0.25">
      <c r="A831">
        <v>4980</v>
      </c>
      <c r="B831" t="s">
        <v>4015</v>
      </c>
      <c r="C831" t="s">
        <v>4016</v>
      </c>
      <c r="D831" t="s">
        <v>1643</v>
      </c>
      <c r="E831" t="s">
        <v>1273</v>
      </c>
      <c r="F831" t="s">
        <v>4019</v>
      </c>
      <c r="G831" t="s">
        <v>2142</v>
      </c>
      <c r="H831">
        <v>4804725903</v>
      </c>
      <c r="K831" t="s">
        <v>4020</v>
      </c>
      <c r="L831" t="s">
        <v>1647</v>
      </c>
      <c r="M831" t="s">
        <v>1634</v>
      </c>
    </row>
    <row r="832" spans="1:13" x14ac:dyDescent="0.25">
      <c r="A832">
        <v>4981</v>
      </c>
      <c r="B832" t="s">
        <v>986</v>
      </c>
      <c r="C832" t="s">
        <v>4021</v>
      </c>
      <c r="D832" t="s">
        <v>1643</v>
      </c>
      <c r="E832" t="s">
        <v>1273</v>
      </c>
      <c r="F832" t="s">
        <v>4022</v>
      </c>
      <c r="G832" t="s">
        <v>3880</v>
      </c>
      <c r="K832" t="s">
        <v>4023</v>
      </c>
      <c r="M832" t="s">
        <v>1634</v>
      </c>
    </row>
    <row r="833" spans="1:13" x14ac:dyDescent="0.25">
      <c r="A833">
        <v>4981</v>
      </c>
      <c r="B833" t="s">
        <v>986</v>
      </c>
      <c r="C833" t="s">
        <v>4021</v>
      </c>
      <c r="D833" t="s">
        <v>1643</v>
      </c>
      <c r="E833" t="s">
        <v>1273</v>
      </c>
      <c r="F833" t="s">
        <v>1779</v>
      </c>
      <c r="G833" t="s">
        <v>2705</v>
      </c>
      <c r="H833">
        <v>4804724428</v>
      </c>
      <c r="K833" t="s">
        <v>4024</v>
      </c>
      <c r="L833" t="s">
        <v>4025</v>
      </c>
      <c r="M833" t="s">
        <v>1634</v>
      </c>
    </row>
    <row r="834" spans="1:13" x14ac:dyDescent="0.25">
      <c r="A834">
        <v>4982</v>
      </c>
      <c r="B834" t="s">
        <v>4026</v>
      </c>
      <c r="C834" t="s">
        <v>4027</v>
      </c>
      <c r="D834" t="s">
        <v>1643</v>
      </c>
      <c r="E834" t="s">
        <v>1273</v>
      </c>
      <c r="F834" t="s">
        <v>3870</v>
      </c>
      <c r="G834" t="s">
        <v>4028</v>
      </c>
      <c r="L834" t="s">
        <v>1647</v>
      </c>
      <c r="M834" t="s">
        <v>1634</v>
      </c>
    </row>
    <row r="835" spans="1:13" x14ac:dyDescent="0.25">
      <c r="A835">
        <v>4983</v>
      </c>
      <c r="B835" t="s">
        <v>4029</v>
      </c>
      <c r="C835" t="s">
        <v>4030</v>
      </c>
      <c r="D835" t="s">
        <v>1643</v>
      </c>
      <c r="E835" t="s">
        <v>1273</v>
      </c>
      <c r="F835" t="s">
        <v>2429</v>
      </c>
      <c r="G835" t="s">
        <v>4031</v>
      </c>
      <c r="K835" t="s">
        <v>4032</v>
      </c>
      <c r="M835" t="s">
        <v>1634</v>
      </c>
    </row>
    <row r="836" spans="1:13" x14ac:dyDescent="0.25">
      <c r="A836">
        <v>4984</v>
      </c>
      <c r="B836" t="s">
        <v>4033</v>
      </c>
      <c r="C836" t="s">
        <v>4034</v>
      </c>
      <c r="D836" t="s">
        <v>1643</v>
      </c>
      <c r="E836" t="s">
        <v>1273</v>
      </c>
      <c r="F836" t="s">
        <v>4035</v>
      </c>
      <c r="G836" t="s">
        <v>2756</v>
      </c>
      <c r="K836" t="s">
        <v>4036</v>
      </c>
      <c r="L836" t="s">
        <v>3817</v>
      </c>
      <c r="M836" t="s">
        <v>1634</v>
      </c>
    </row>
    <row r="837" spans="1:13" x14ac:dyDescent="0.25">
      <c r="A837">
        <v>78917</v>
      </c>
      <c r="B837" t="s">
        <v>4037</v>
      </c>
      <c r="C837" t="s">
        <v>4038</v>
      </c>
      <c r="D837" t="s">
        <v>1643</v>
      </c>
      <c r="E837" t="s">
        <v>1273</v>
      </c>
      <c r="F837" t="s">
        <v>2027</v>
      </c>
      <c r="G837" t="s">
        <v>4039</v>
      </c>
      <c r="H837">
        <v>4804729400</v>
      </c>
      <c r="J837">
        <v>4804729406</v>
      </c>
      <c r="K837" t="s">
        <v>4040</v>
      </c>
      <c r="L837" t="s">
        <v>1647</v>
      </c>
      <c r="M837" t="s">
        <v>1634</v>
      </c>
    </row>
    <row r="838" spans="1:13" x14ac:dyDescent="0.25">
      <c r="A838">
        <v>78917</v>
      </c>
      <c r="B838" t="s">
        <v>4037</v>
      </c>
      <c r="C838" t="s">
        <v>4038</v>
      </c>
      <c r="D838" t="s">
        <v>1643</v>
      </c>
      <c r="E838" t="s">
        <v>1273</v>
      </c>
      <c r="F838" t="s">
        <v>2142</v>
      </c>
      <c r="G838" t="s">
        <v>4041</v>
      </c>
      <c r="H838">
        <v>4804729408</v>
      </c>
      <c r="K838" t="s">
        <v>4042</v>
      </c>
      <c r="L838" t="s">
        <v>1647</v>
      </c>
      <c r="M838" t="s">
        <v>1634</v>
      </c>
    </row>
    <row r="839" spans="1:13" x14ac:dyDescent="0.25">
      <c r="A839">
        <v>78932</v>
      </c>
      <c r="B839" t="s">
        <v>4043</v>
      </c>
      <c r="C839" t="s">
        <v>4044</v>
      </c>
      <c r="D839" t="s">
        <v>1643</v>
      </c>
      <c r="E839" t="s">
        <v>1273</v>
      </c>
      <c r="F839" t="s">
        <v>3387</v>
      </c>
      <c r="G839" t="s">
        <v>4045</v>
      </c>
      <c r="H839">
        <v>4804729351</v>
      </c>
      <c r="K839" t="s">
        <v>4046</v>
      </c>
      <c r="M839" t="s">
        <v>1634</v>
      </c>
    </row>
    <row r="840" spans="1:13" x14ac:dyDescent="0.25">
      <c r="A840">
        <v>78930</v>
      </c>
      <c r="B840" t="s">
        <v>4047</v>
      </c>
      <c r="C840" t="s">
        <v>4048</v>
      </c>
      <c r="D840" t="s">
        <v>1643</v>
      </c>
      <c r="E840" t="s">
        <v>1273</v>
      </c>
    </row>
    <row r="841" spans="1:13" x14ac:dyDescent="0.25">
      <c r="A841">
        <v>4236</v>
      </c>
      <c r="B841" t="s">
        <v>530</v>
      </c>
      <c r="C841" t="s">
        <v>4049</v>
      </c>
      <c r="D841" t="s">
        <v>1628</v>
      </c>
      <c r="E841" t="s">
        <v>1273</v>
      </c>
      <c r="F841" t="s">
        <v>4050</v>
      </c>
      <c r="G841" t="s">
        <v>4051</v>
      </c>
      <c r="H841">
        <v>9286685350</v>
      </c>
      <c r="J841">
        <v>9286685390</v>
      </c>
      <c r="K841" t="s">
        <v>4052</v>
      </c>
      <c r="L841" t="s">
        <v>1668</v>
      </c>
      <c r="M841" t="s">
        <v>1634</v>
      </c>
    </row>
    <row r="842" spans="1:13" x14ac:dyDescent="0.25">
      <c r="A842">
        <v>4236</v>
      </c>
      <c r="B842" t="s">
        <v>530</v>
      </c>
      <c r="C842" t="s">
        <v>4049</v>
      </c>
      <c r="D842" t="s">
        <v>1628</v>
      </c>
      <c r="E842" t="s">
        <v>1273</v>
      </c>
      <c r="F842" t="s">
        <v>2672</v>
      </c>
      <c r="G842" t="s">
        <v>1853</v>
      </c>
      <c r="K842" t="s">
        <v>4053</v>
      </c>
      <c r="L842" t="s">
        <v>4054</v>
      </c>
      <c r="M842" t="s">
        <v>1640</v>
      </c>
    </row>
    <row r="843" spans="1:13" x14ac:dyDescent="0.25">
      <c r="A843">
        <v>4236</v>
      </c>
      <c r="B843" t="s">
        <v>530</v>
      </c>
      <c r="C843" t="s">
        <v>4049</v>
      </c>
      <c r="D843" t="s">
        <v>1628</v>
      </c>
      <c r="E843" t="s">
        <v>1273</v>
      </c>
      <c r="F843" t="s">
        <v>2325</v>
      </c>
      <c r="G843" t="s">
        <v>4055</v>
      </c>
      <c r="K843" t="s">
        <v>4056</v>
      </c>
      <c r="M843" t="s">
        <v>1765</v>
      </c>
    </row>
    <row r="844" spans="1:13" x14ac:dyDescent="0.25">
      <c r="A844">
        <v>91264</v>
      </c>
      <c r="B844" t="s">
        <v>4057</v>
      </c>
      <c r="C844" t="s">
        <v>4058</v>
      </c>
      <c r="D844" t="s">
        <v>1643</v>
      </c>
      <c r="E844" t="s">
        <v>1273</v>
      </c>
      <c r="F844" t="s">
        <v>4050</v>
      </c>
      <c r="G844" t="s">
        <v>4051</v>
      </c>
      <c r="H844">
        <v>9286685350</v>
      </c>
      <c r="J844">
        <v>9286685390</v>
      </c>
      <c r="K844" t="s">
        <v>4059</v>
      </c>
      <c r="L844" t="s">
        <v>1668</v>
      </c>
      <c r="M844" t="s">
        <v>1634</v>
      </c>
    </row>
    <row r="845" spans="1:13" x14ac:dyDescent="0.25">
      <c r="A845">
        <v>6001</v>
      </c>
      <c r="B845" t="s">
        <v>531</v>
      </c>
      <c r="C845" t="s">
        <v>4060</v>
      </c>
      <c r="D845" t="s">
        <v>1643</v>
      </c>
      <c r="E845" t="s">
        <v>1273</v>
      </c>
      <c r="F845" t="s">
        <v>2806</v>
      </c>
      <c r="G845" t="s">
        <v>4061</v>
      </c>
      <c r="H845">
        <v>9286685310</v>
      </c>
      <c r="K845" t="s">
        <v>4062</v>
      </c>
      <c r="L845" t="s">
        <v>1647</v>
      </c>
      <c r="M845" t="s">
        <v>1634</v>
      </c>
    </row>
    <row r="846" spans="1:13" x14ac:dyDescent="0.25">
      <c r="A846">
        <v>4986</v>
      </c>
      <c r="B846" t="s">
        <v>4063</v>
      </c>
      <c r="C846" t="s">
        <v>4064</v>
      </c>
      <c r="D846" t="s">
        <v>1643</v>
      </c>
      <c r="E846" t="s">
        <v>1273</v>
      </c>
      <c r="F846" t="s">
        <v>1779</v>
      </c>
      <c r="G846" t="s">
        <v>4065</v>
      </c>
      <c r="H846">
        <v>9286846705</v>
      </c>
      <c r="L846" t="s">
        <v>1647</v>
      </c>
      <c r="M846" t="s">
        <v>1634</v>
      </c>
    </row>
    <row r="847" spans="1:13" x14ac:dyDescent="0.25">
      <c r="A847">
        <v>89676</v>
      </c>
      <c r="B847" t="s">
        <v>4066</v>
      </c>
      <c r="C847" t="s">
        <v>4067</v>
      </c>
      <c r="D847" t="s">
        <v>1643</v>
      </c>
      <c r="E847" t="s">
        <v>1273</v>
      </c>
      <c r="F847" t="s">
        <v>2401</v>
      </c>
      <c r="G847" t="s">
        <v>4068</v>
      </c>
      <c r="H847">
        <v>9285016005</v>
      </c>
      <c r="J847">
        <v>9285015057</v>
      </c>
      <c r="K847" t="s">
        <v>4069</v>
      </c>
      <c r="L847" t="s">
        <v>1647</v>
      </c>
      <c r="M847" t="s">
        <v>1634</v>
      </c>
    </row>
    <row r="848" spans="1:13" x14ac:dyDescent="0.25">
      <c r="A848">
        <v>4987</v>
      </c>
      <c r="B848" t="s">
        <v>920</v>
      </c>
      <c r="C848" t="s">
        <v>4070</v>
      </c>
      <c r="D848" t="s">
        <v>1643</v>
      </c>
      <c r="E848" t="s">
        <v>1273</v>
      </c>
    </row>
    <row r="849" spans="1:13" x14ac:dyDescent="0.25">
      <c r="A849">
        <v>4237</v>
      </c>
      <c r="B849" t="s">
        <v>4071</v>
      </c>
      <c r="C849" t="s">
        <v>4072</v>
      </c>
      <c r="D849" t="s">
        <v>1628</v>
      </c>
      <c r="E849" t="s">
        <v>1273</v>
      </c>
      <c r="F849" t="s">
        <v>4073</v>
      </c>
      <c r="G849" t="s">
        <v>2142</v>
      </c>
      <c r="H849">
        <v>6234866140</v>
      </c>
      <c r="K849" t="s">
        <v>4074</v>
      </c>
      <c r="L849" t="s">
        <v>4075</v>
      </c>
      <c r="M849" t="s">
        <v>1634</v>
      </c>
    </row>
    <row r="850" spans="1:13" x14ac:dyDescent="0.25">
      <c r="A850">
        <v>4237</v>
      </c>
      <c r="B850" t="s">
        <v>4071</v>
      </c>
      <c r="C850" t="s">
        <v>4072</v>
      </c>
      <c r="D850" t="s">
        <v>1628</v>
      </c>
      <c r="E850" t="s">
        <v>1273</v>
      </c>
      <c r="F850" t="s">
        <v>2156</v>
      </c>
      <c r="G850" t="s">
        <v>4076</v>
      </c>
      <c r="H850">
        <v>6234866068</v>
      </c>
      <c r="J850">
        <v>6234866090</v>
      </c>
      <c r="K850" t="s">
        <v>4077</v>
      </c>
      <c r="M850" t="s">
        <v>1634</v>
      </c>
    </row>
    <row r="851" spans="1:13" x14ac:dyDescent="0.25">
      <c r="A851">
        <v>4237</v>
      </c>
      <c r="B851" t="s">
        <v>4071</v>
      </c>
      <c r="C851" t="s">
        <v>4072</v>
      </c>
      <c r="D851" t="s">
        <v>1628</v>
      </c>
      <c r="E851" t="s">
        <v>1273</v>
      </c>
      <c r="F851" t="s">
        <v>2376</v>
      </c>
      <c r="G851" t="s">
        <v>4078</v>
      </c>
      <c r="H851">
        <v>6234866033</v>
      </c>
      <c r="K851" t="s">
        <v>4079</v>
      </c>
      <c r="L851" t="s">
        <v>2368</v>
      </c>
      <c r="M851" t="s">
        <v>1640</v>
      </c>
    </row>
    <row r="852" spans="1:13" x14ac:dyDescent="0.25">
      <c r="A852">
        <v>4237</v>
      </c>
      <c r="B852" t="s">
        <v>4071</v>
      </c>
      <c r="C852" t="s">
        <v>4072</v>
      </c>
      <c r="D852" t="s">
        <v>1628</v>
      </c>
      <c r="E852" t="s">
        <v>1273</v>
      </c>
      <c r="F852" t="s">
        <v>4073</v>
      </c>
      <c r="G852" t="s">
        <v>2142</v>
      </c>
      <c r="H852">
        <v>6234866140</v>
      </c>
      <c r="K852" t="s">
        <v>4074</v>
      </c>
      <c r="L852" t="s">
        <v>4075</v>
      </c>
      <c r="M852" t="s">
        <v>1765</v>
      </c>
    </row>
    <row r="853" spans="1:13" x14ac:dyDescent="0.25">
      <c r="A853">
        <v>4989</v>
      </c>
      <c r="B853" t="s">
        <v>4080</v>
      </c>
      <c r="C853" t="s">
        <v>4081</v>
      </c>
      <c r="D853" t="s">
        <v>1643</v>
      </c>
      <c r="E853" t="s">
        <v>1273</v>
      </c>
    </row>
    <row r="854" spans="1:13" x14ac:dyDescent="0.25">
      <c r="A854">
        <v>4990</v>
      </c>
      <c r="B854" t="s">
        <v>4082</v>
      </c>
      <c r="C854" t="s">
        <v>4083</v>
      </c>
      <c r="D854" t="s">
        <v>1643</v>
      </c>
      <c r="E854" t="s">
        <v>1273</v>
      </c>
    </row>
    <row r="855" spans="1:13" x14ac:dyDescent="0.25">
      <c r="A855">
        <v>4991</v>
      </c>
      <c r="B855" t="s">
        <v>4084</v>
      </c>
      <c r="C855" t="s">
        <v>4085</v>
      </c>
      <c r="D855" t="s">
        <v>1643</v>
      </c>
      <c r="E855" t="s">
        <v>1273</v>
      </c>
      <c r="F855" t="s">
        <v>4086</v>
      </c>
      <c r="G855" t="s">
        <v>4087</v>
      </c>
      <c r="H855">
        <v>6234124501</v>
      </c>
      <c r="J855">
        <v>6234124509</v>
      </c>
      <c r="K855" t="s">
        <v>4088</v>
      </c>
      <c r="L855" t="s">
        <v>1647</v>
      </c>
      <c r="M855" t="s">
        <v>1634</v>
      </c>
    </row>
    <row r="856" spans="1:13" x14ac:dyDescent="0.25">
      <c r="A856">
        <v>4991</v>
      </c>
      <c r="B856" t="s">
        <v>4084</v>
      </c>
      <c r="C856" t="s">
        <v>4085</v>
      </c>
      <c r="D856" t="s">
        <v>1643</v>
      </c>
      <c r="E856" t="s">
        <v>1273</v>
      </c>
      <c r="F856" t="s">
        <v>1955</v>
      </c>
      <c r="G856" t="s">
        <v>4089</v>
      </c>
      <c r="H856">
        <v>6234124501</v>
      </c>
      <c r="K856" t="s">
        <v>4090</v>
      </c>
      <c r="L856" t="s">
        <v>1647</v>
      </c>
      <c r="M856" t="s">
        <v>1634</v>
      </c>
    </row>
    <row r="857" spans="1:13" x14ac:dyDescent="0.25">
      <c r="A857">
        <v>4992</v>
      </c>
      <c r="B857" t="s">
        <v>4091</v>
      </c>
      <c r="C857" t="s">
        <v>4092</v>
      </c>
      <c r="D857" t="s">
        <v>1643</v>
      </c>
      <c r="E857" t="s">
        <v>1273</v>
      </c>
    </row>
    <row r="858" spans="1:13" x14ac:dyDescent="0.25">
      <c r="A858">
        <v>4993</v>
      </c>
      <c r="B858" t="s">
        <v>4093</v>
      </c>
      <c r="C858" t="s">
        <v>4094</v>
      </c>
      <c r="D858" t="s">
        <v>1643</v>
      </c>
      <c r="E858" t="s">
        <v>1273</v>
      </c>
    </row>
    <row r="859" spans="1:13" x14ac:dyDescent="0.25">
      <c r="A859">
        <v>4994</v>
      </c>
      <c r="B859" t="s">
        <v>4095</v>
      </c>
      <c r="C859" t="s">
        <v>4096</v>
      </c>
      <c r="D859" t="s">
        <v>1643</v>
      </c>
      <c r="E859" t="s">
        <v>1273</v>
      </c>
      <c r="F859" t="s">
        <v>2082</v>
      </c>
      <c r="G859" t="s">
        <v>4097</v>
      </c>
      <c r="H859">
        <v>6234124577</v>
      </c>
      <c r="K859" t="s">
        <v>4098</v>
      </c>
      <c r="L859" t="s">
        <v>4099</v>
      </c>
      <c r="M859" t="s">
        <v>1634</v>
      </c>
    </row>
    <row r="860" spans="1:13" x14ac:dyDescent="0.25">
      <c r="A860">
        <v>4995</v>
      </c>
      <c r="B860" t="s">
        <v>4100</v>
      </c>
      <c r="C860" t="s">
        <v>4101</v>
      </c>
      <c r="D860" t="s">
        <v>1643</v>
      </c>
      <c r="E860" t="s">
        <v>1273</v>
      </c>
      <c r="F860" t="s">
        <v>2876</v>
      </c>
      <c r="G860" t="s">
        <v>3336</v>
      </c>
      <c r="H860">
        <v>6234124601</v>
      </c>
      <c r="K860" t="s">
        <v>4102</v>
      </c>
      <c r="L860" t="s">
        <v>1647</v>
      </c>
      <c r="M860" t="s">
        <v>1634</v>
      </c>
    </row>
    <row r="861" spans="1:13" x14ac:dyDescent="0.25">
      <c r="A861">
        <v>4996</v>
      </c>
      <c r="B861" t="s">
        <v>4103</v>
      </c>
      <c r="C861" t="s">
        <v>4104</v>
      </c>
      <c r="D861" t="s">
        <v>1643</v>
      </c>
      <c r="E861" t="s">
        <v>1273</v>
      </c>
      <c r="F861" t="s">
        <v>1820</v>
      </c>
      <c r="G861" t="s">
        <v>4105</v>
      </c>
      <c r="H861">
        <v>6234124626</v>
      </c>
      <c r="J861">
        <v>6234124635</v>
      </c>
      <c r="K861" t="s">
        <v>4106</v>
      </c>
      <c r="L861" t="s">
        <v>1647</v>
      </c>
      <c r="M861" t="s">
        <v>1634</v>
      </c>
    </row>
    <row r="862" spans="1:13" x14ac:dyDescent="0.25">
      <c r="A862">
        <v>4997</v>
      </c>
      <c r="B862" t="s">
        <v>4107</v>
      </c>
      <c r="C862" t="s">
        <v>4108</v>
      </c>
      <c r="D862" t="s">
        <v>1643</v>
      </c>
      <c r="E862" t="s">
        <v>1273</v>
      </c>
    </row>
    <row r="863" spans="1:13" x14ac:dyDescent="0.25">
      <c r="A863">
        <v>4998</v>
      </c>
      <c r="B863" t="s">
        <v>4109</v>
      </c>
      <c r="C863" t="s">
        <v>4110</v>
      </c>
      <c r="D863" t="s">
        <v>1643</v>
      </c>
      <c r="E863" t="s">
        <v>1273</v>
      </c>
      <c r="F863" t="s">
        <v>1779</v>
      </c>
      <c r="G863" t="s">
        <v>4111</v>
      </c>
      <c r="H863">
        <v>6234124676</v>
      </c>
      <c r="J863">
        <v>6234124685</v>
      </c>
      <c r="K863" t="s">
        <v>4112</v>
      </c>
      <c r="L863" t="s">
        <v>1647</v>
      </c>
      <c r="M863" t="s">
        <v>1634</v>
      </c>
    </row>
    <row r="864" spans="1:13" x14ac:dyDescent="0.25">
      <c r="A864">
        <v>4999</v>
      </c>
      <c r="B864" t="s">
        <v>4113</v>
      </c>
      <c r="C864" t="s">
        <v>4114</v>
      </c>
      <c r="D864" t="s">
        <v>1643</v>
      </c>
      <c r="E864" t="s">
        <v>1273</v>
      </c>
    </row>
    <row r="865" spans="1:13" x14ac:dyDescent="0.25">
      <c r="A865">
        <v>5000</v>
      </c>
      <c r="B865" t="s">
        <v>4115</v>
      </c>
      <c r="C865" t="s">
        <v>4116</v>
      </c>
      <c r="D865" t="s">
        <v>1643</v>
      </c>
      <c r="E865" t="s">
        <v>1273</v>
      </c>
      <c r="F865" t="s">
        <v>4022</v>
      </c>
      <c r="G865" t="s">
        <v>4117</v>
      </c>
      <c r="H865">
        <v>6234124726</v>
      </c>
      <c r="J865">
        <v>6234124734</v>
      </c>
      <c r="K865" t="s">
        <v>4118</v>
      </c>
      <c r="L865" t="s">
        <v>1647</v>
      </c>
      <c r="M865" t="s">
        <v>1634</v>
      </c>
    </row>
    <row r="866" spans="1:13" x14ac:dyDescent="0.25">
      <c r="A866">
        <v>5001</v>
      </c>
      <c r="B866" t="s">
        <v>4119</v>
      </c>
      <c r="C866" t="s">
        <v>4120</v>
      </c>
      <c r="D866" t="s">
        <v>1643</v>
      </c>
      <c r="E866" t="s">
        <v>1273</v>
      </c>
      <c r="F866" t="s">
        <v>4121</v>
      </c>
      <c r="G866" t="s">
        <v>4122</v>
      </c>
      <c r="H866">
        <v>6234124751</v>
      </c>
      <c r="J866">
        <v>6234124755</v>
      </c>
      <c r="K866" t="s">
        <v>4123</v>
      </c>
      <c r="L866" t="s">
        <v>1647</v>
      </c>
      <c r="M866" t="s">
        <v>1634</v>
      </c>
    </row>
    <row r="867" spans="1:13" x14ac:dyDescent="0.25">
      <c r="A867">
        <v>5002</v>
      </c>
      <c r="B867" t="s">
        <v>4124</v>
      </c>
      <c r="C867" t="s">
        <v>4125</v>
      </c>
      <c r="D867" t="s">
        <v>1643</v>
      </c>
      <c r="E867" t="s">
        <v>1273</v>
      </c>
      <c r="F867" t="s">
        <v>3024</v>
      </c>
      <c r="G867" t="s">
        <v>4126</v>
      </c>
      <c r="H867">
        <v>6234124776</v>
      </c>
      <c r="J867">
        <v>6234124786</v>
      </c>
      <c r="K867" t="s">
        <v>4127</v>
      </c>
      <c r="L867" t="s">
        <v>1647</v>
      </c>
      <c r="M867" t="s">
        <v>1634</v>
      </c>
    </row>
    <row r="868" spans="1:13" x14ac:dyDescent="0.25">
      <c r="A868">
        <v>5002</v>
      </c>
      <c r="B868" t="s">
        <v>4124</v>
      </c>
      <c r="C868" t="s">
        <v>4125</v>
      </c>
      <c r="D868" t="s">
        <v>1643</v>
      </c>
      <c r="E868" t="s">
        <v>1273</v>
      </c>
      <c r="F868" t="s">
        <v>1723</v>
      </c>
      <c r="G868" t="s">
        <v>4128</v>
      </c>
      <c r="H868">
        <v>6234155277</v>
      </c>
      <c r="K868" t="s">
        <v>4129</v>
      </c>
      <c r="L868" t="s">
        <v>1738</v>
      </c>
      <c r="M868" t="s">
        <v>1634</v>
      </c>
    </row>
    <row r="869" spans="1:13" x14ac:dyDescent="0.25">
      <c r="A869">
        <v>5003</v>
      </c>
      <c r="B869" t="s">
        <v>4130</v>
      </c>
      <c r="C869" t="s">
        <v>4131</v>
      </c>
      <c r="D869" t="s">
        <v>1643</v>
      </c>
      <c r="E869" t="s">
        <v>1273</v>
      </c>
      <c r="F869" t="s">
        <v>3239</v>
      </c>
      <c r="G869" t="s">
        <v>1918</v>
      </c>
      <c r="H869">
        <v>6234124801</v>
      </c>
      <c r="J869">
        <v>6234124809</v>
      </c>
      <c r="K869" t="s">
        <v>4132</v>
      </c>
      <c r="L869" t="s">
        <v>1647</v>
      </c>
      <c r="M869" t="s">
        <v>1634</v>
      </c>
    </row>
    <row r="870" spans="1:13" x14ac:dyDescent="0.25">
      <c r="A870">
        <v>5003</v>
      </c>
      <c r="B870" t="s">
        <v>4130</v>
      </c>
      <c r="C870" t="s">
        <v>4131</v>
      </c>
      <c r="D870" t="s">
        <v>1643</v>
      </c>
      <c r="E870" t="s">
        <v>1273</v>
      </c>
      <c r="F870" t="s">
        <v>2307</v>
      </c>
      <c r="G870" t="s">
        <v>4117</v>
      </c>
      <c r="H870">
        <v>6234124802</v>
      </c>
      <c r="K870" t="s">
        <v>4133</v>
      </c>
      <c r="L870" t="s">
        <v>1738</v>
      </c>
      <c r="M870" t="s">
        <v>1634</v>
      </c>
    </row>
    <row r="871" spans="1:13" x14ac:dyDescent="0.25">
      <c r="A871">
        <v>5004</v>
      </c>
      <c r="B871" t="s">
        <v>4134</v>
      </c>
      <c r="C871" t="s">
        <v>4135</v>
      </c>
      <c r="D871" t="s">
        <v>1643</v>
      </c>
      <c r="E871" t="s">
        <v>1273</v>
      </c>
      <c r="F871" t="s">
        <v>2556</v>
      </c>
      <c r="G871" t="s">
        <v>4136</v>
      </c>
      <c r="H871">
        <v>6234124826</v>
      </c>
      <c r="J871">
        <v>6234124837</v>
      </c>
      <c r="K871" t="s">
        <v>4137</v>
      </c>
      <c r="L871" t="s">
        <v>1647</v>
      </c>
      <c r="M871" t="s">
        <v>1634</v>
      </c>
    </row>
    <row r="872" spans="1:13" x14ac:dyDescent="0.25">
      <c r="A872">
        <v>5005</v>
      </c>
      <c r="B872" t="s">
        <v>4138</v>
      </c>
      <c r="C872" t="s">
        <v>4139</v>
      </c>
      <c r="D872" t="s">
        <v>1643</v>
      </c>
      <c r="E872" t="s">
        <v>1273</v>
      </c>
      <c r="F872" t="s">
        <v>4140</v>
      </c>
      <c r="G872" t="s">
        <v>4141</v>
      </c>
      <c r="H872">
        <v>6234124826</v>
      </c>
      <c r="J872">
        <v>6234124837</v>
      </c>
      <c r="K872" t="s">
        <v>4142</v>
      </c>
      <c r="L872" t="s">
        <v>1647</v>
      </c>
      <c r="M872" t="s">
        <v>1634</v>
      </c>
    </row>
    <row r="873" spans="1:13" x14ac:dyDescent="0.25">
      <c r="A873">
        <v>5006</v>
      </c>
      <c r="B873" t="s">
        <v>2432</v>
      </c>
      <c r="C873" t="s">
        <v>4143</v>
      </c>
      <c r="D873" t="s">
        <v>1643</v>
      </c>
      <c r="E873" t="s">
        <v>1273</v>
      </c>
      <c r="F873" t="s">
        <v>3760</v>
      </c>
      <c r="G873" t="s">
        <v>4144</v>
      </c>
      <c r="H873">
        <v>6234124876</v>
      </c>
      <c r="J873">
        <v>6234124885</v>
      </c>
      <c r="K873" t="s">
        <v>4145</v>
      </c>
      <c r="L873" t="s">
        <v>1647</v>
      </c>
      <c r="M873" t="s">
        <v>1634</v>
      </c>
    </row>
    <row r="874" spans="1:13" x14ac:dyDescent="0.25">
      <c r="A874">
        <v>5006</v>
      </c>
      <c r="B874" t="s">
        <v>2432</v>
      </c>
      <c r="C874" t="s">
        <v>4143</v>
      </c>
      <c r="D874" t="s">
        <v>1643</v>
      </c>
      <c r="E874" t="s">
        <v>1273</v>
      </c>
      <c r="F874" t="s">
        <v>1787</v>
      </c>
      <c r="G874" t="s">
        <v>2571</v>
      </c>
      <c r="H874">
        <v>6234124877</v>
      </c>
      <c r="K874" t="s">
        <v>4146</v>
      </c>
      <c r="L874" t="s">
        <v>1738</v>
      </c>
      <c r="M874" t="s">
        <v>1634</v>
      </c>
    </row>
    <row r="875" spans="1:13" x14ac:dyDescent="0.25">
      <c r="A875">
        <v>5007</v>
      </c>
      <c r="B875" t="s">
        <v>4147</v>
      </c>
      <c r="C875" t="s">
        <v>4148</v>
      </c>
      <c r="D875" t="s">
        <v>1643</v>
      </c>
      <c r="E875" t="s">
        <v>1273</v>
      </c>
      <c r="F875" t="s">
        <v>4149</v>
      </c>
      <c r="G875" t="s">
        <v>4150</v>
      </c>
      <c r="H875">
        <v>6234125051</v>
      </c>
      <c r="J875">
        <v>6234125061</v>
      </c>
      <c r="K875" t="s">
        <v>4151</v>
      </c>
      <c r="L875" t="s">
        <v>1647</v>
      </c>
      <c r="M875" t="s">
        <v>1634</v>
      </c>
    </row>
    <row r="876" spans="1:13" x14ac:dyDescent="0.25">
      <c r="A876">
        <v>5008</v>
      </c>
      <c r="B876" t="s">
        <v>4152</v>
      </c>
      <c r="C876" t="s">
        <v>4153</v>
      </c>
      <c r="D876" t="s">
        <v>1643</v>
      </c>
      <c r="E876" t="s">
        <v>1273</v>
      </c>
      <c r="F876" t="s">
        <v>4154</v>
      </c>
      <c r="G876" t="s">
        <v>4155</v>
      </c>
      <c r="H876">
        <v>6234866452</v>
      </c>
      <c r="J876">
        <v>6234866461</v>
      </c>
      <c r="K876" t="s">
        <v>4156</v>
      </c>
      <c r="L876" t="s">
        <v>1647</v>
      </c>
      <c r="M876" t="s">
        <v>1634</v>
      </c>
    </row>
    <row r="877" spans="1:13" x14ac:dyDescent="0.25">
      <c r="A877">
        <v>5009</v>
      </c>
      <c r="B877" t="s">
        <v>4157</v>
      </c>
      <c r="C877" t="s">
        <v>4158</v>
      </c>
      <c r="D877" t="s">
        <v>1643</v>
      </c>
      <c r="E877" t="s">
        <v>1273</v>
      </c>
      <c r="F877" t="s">
        <v>1820</v>
      </c>
      <c r="G877" t="s">
        <v>1918</v>
      </c>
      <c r="H877">
        <v>6234866477</v>
      </c>
      <c r="J877">
        <v>6234866487</v>
      </c>
      <c r="K877" t="s">
        <v>4159</v>
      </c>
      <c r="L877" t="s">
        <v>1647</v>
      </c>
      <c r="M877" t="s">
        <v>1634</v>
      </c>
    </row>
    <row r="878" spans="1:13" x14ac:dyDescent="0.25">
      <c r="A878">
        <v>5010</v>
      </c>
      <c r="B878" t="s">
        <v>4160</v>
      </c>
      <c r="C878" t="s">
        <v>4161</v>
      </c>
      <c r="D878" t="s">
        <v>1643</v>
      </c>
      <c r="E878" t="s">
        <v>1273</v>
      </c>
      <c r="F878" t="s">
        <v>4162</v>
      </c>
      <c r="G878" t="s">
        <v>4163</v>
      </c>
      <c r="H878">
        <v>6234125076</v>
      </c>
      <c r="J878">
        <v>6234125084</v>
      </c>
      <c r="K878" t="s">
        <v>4164</v>
      </c>
      <c r="L878" t="s">
        <v>1647</v>
      </c>
      <c r="M878" t="s">
        <v>1634</v>
      </c>
    </row>
    <row r="879" spans="1:13" x14ac:dyDescent="0.25">
      <c r="A879">
        <v>5011</v>
      </c>
      <c r="B879" t="s">
        <v>4165</v>
      </c>
      <c r="C879" t="s">
        <v>4166</v>
      </c>
      <c r="D879" t="s">
        <v>1643</v>
      </c>
      <c r="E879" t="s">
        <v>1273</v>
      </c>
      <c r="F879" t="s">
        <v>4167</v>
      </c>
      <c r="G879" t="s">
        <v>4168</v>
      </c>
      <c r="H879">
        <v>6234866201</v>
      </c>
      <c r="J879">
        <v>6234866207</v>
      </c>
      <c r="K879" t="s">
        <v>4169</v>
      </c>
      <c r="L879" t="s">
        <v>1647</v>
      </c>
      <c r="M879" t="s">
        <v>1634</v>
      </c>
    </row>
    <row r="880" spans="1:13" x14ac:dyDescent="0.25">
      <c r="A880">
        <v>5012</v>
      </c>
      <c r="B880" t="s">
        <v>4170</v>
      </c>
      <c r="C880" t="s">
        <v>4171</v>
      </c>
      <c r="D880" t="s">
        <v>1643</v>
      </c>
      <c r="E880" t="s">
        <v>1273</v>
      </c>
      <c r="F880" t="s">
        <v>4172</v>
      </c>
      <c r="G880" t="s">
        <v>699</v>
      </c>
      <c r="H880">
        <v>6234875102</v>
      </c>
      <c r="J880">
        <v>6234875110</v>
      </c>
      <c r="K880" t="s">
        <v>4173</v>
      </c>
      <c r="L880" t="s">
        <v>1647</v>
      </c>
      <c r="M880" t="s">
        <v>1634</v>
      </c>
    </row>
    <row r="881" spans="1:13" x14ac:dyDescent="0.25">
      <c r="A881">
        <v>6005</v>
      </c>
      <c r="B881" t="s">
        <v>4174</v>
      </c>
      <c r="C881" t="s">
        <v>4175</v>
      </c>
      <c r="D881" t="s">
        <v>1643</v>
      </c>
      <c r="E881" t="s">
        <v>1273</v>
      </c>
    </row>
    <row r="882" spans="1:13" x14ac:dyDescent="0.25">
      <c r="A882">
        <v>79223</v>
      </c>
      <c r="B882" t="s">
        <v>4176</v>
      </c>
      <c r="C882" t="s">
        <v>4177</v>
      </c>
      <c r="D882" t="s">
        <v>1643</v>
      </c>
      <c r="E882" t="s">
        <v>1273</v>
      </c>
      <c r="F882" t="s">
        <v>4178</v>
      </c>
      <c r="G882" t="s">
        <v>4179</v>
      </c>
      <c r="H882">
        <v>6234125201</v>
      </c>
      <c r="J882">
        <v>6234125207</v>
      </c>
      <c r="K882" t="s">
        <v>4180</v>
      </c>
      <c r="L882" t="s">
        <v>1647</v>
      </c>
      <c r="M882" t="s">
        <v>1634</v>
      </c>
    </row>
    <row r="883" spans="1:13" x14ac:dyDescent="0.25">
      <c r="A883">
        <v>79222</v>
      </c>
      <c r="B883" t="s">
        <v>4181</v>
      </c>
      <c r="C883" t="s">
        <v>4182</v>
      </c>
      <c r="D883" t="s">
        <v>1643</v>
      </c>
      <c r="E883" t="s">
        <v>1273</v>
      </c>
    </row>
    <row r="884" spans="1:13" x14ac:dyDescent="0.25">
      <c r="A884">
        <v>79645</v>
      </c>
      <c r="B884" t="s">
        <v>4183</v>
      </c>
      <c r="C884" t="s">
        <v>4184</v>
      </c>
      <c r="D884" t="s">
        <v>1643</v>
      </c>
      <c r="E884" t="s">
        <v>1273</v>
      </c>
    </row>
    <row r="885" spans="1:13" x14ac:dyDescent="0.25">
      <c r="A885">
        <v>81144</v>
      </c>
      <c r="B885" t="s">
        <v>4185</v>
      </c>
      <c r="C885" t="s">
        <v>4186</v>
      </c>
      <c r="D885" t="s">
        <v>1643</v>
      </c>
      <c r="E885" t="s">
        <v>1273</v>
      </c>
      <c r="F885" t="s">
        <v>2066</v>
      </c>
      <c r="G885" t="s">
        <v>4187</v>
      </c>
      <c r="H885">
        <v>6234125401</v>
      </c>
      <c r="J885">
        <v>6234125407</v>
      </c>
      <c r="K885" t="s">
        <v>4188</v>
      </c>
      <c r="L885" t="s">
        <v>1647</v>
      </c>
      <c r="M885" t="s">
        <v>1634</v>
      </c>
    </row>
    <row r="886" spans="1:13" x14ac:dyDescent="0.25">
      <c r="A886">
        <v>88397</v>
      </c>
      <c r="B886" t="s">
        <v>4189</v>
      </c>
      <c r="C886" t="s">
        <v>4190</v>
      </c>
      <c r="D886" t="s">
        <v>1643</v>
      </c>
      <c r="E886" t="s">
        <v>1273</v>
      </c>
      <c r="F886" t="s">
        <v>1779</v>
      </c>
      <c r="G886" t="s">
        <v>4191</v>
      </c>
      <c r="H886">
        <v>6237736500</v>
      </c>
      <c r="J886">
        <v>6237736507</v>
      </c>
      <c r="K886" t="s">
        <v>4192</v>
      </c>
      <c r="L886" t="s">
        <v>1647</v>
      </c>
      <c r="M886" t="s">
        <v>1634</v>
      </c>
    </row>
    <row r="887" spans="1:13" x14ac:dyDescent="0.25">
      <c r="A887">
        <v>88397</v>
      </c>
      <c r="B887" t="s">
        <v>4189</v>
      </c>
      <c r="C887" t="s">
        <v>4190</v>
      </c>
      <c r="D887" t="s">
        <v>1643</v>
      </c>
      <c r="E887" t="s">
        <v>1273</v>
      </c>
      <c r="F887" t="s">
        <v>4193</v>
      </c>
      <c r="G887" t="s">
        <v>4194</v>
      </c>
      <c r="H887">
        <v>6237736500</v>
      </c>
      <c r="J887">
        <v>6237736507</v>
      </c>
      <c r="L887" t="s">
        <v>1668</v>
      </c>
      <c r="M887" t="s">
        <v>1634</v>
      </c>
    </row>
    <row r="888" spans="1:13" x14ac:dyDescent="0.25">
      <c r="A888">
        <v>90135</v>
      </c>
      <c r="B888" t="s">
        <v>4195</v>
      </c>
      <c r="C888" t="s">
        <v>4196</v>
      </c>
      <c r="D888" t="s">
        <v>1643</v>
      </c>
      <c r="E888" t="s">
        <v>1273</v>
      </c>
      <c r="F888" t="s">
        <v>3660</v>
      </c>
      <c r="G888" t="s">
        <v>4039</v>
      </c>
      <c r="H888">
        <v>6237736576</v>
      </c>
      <c r="J888">
        <v>6237736580</v>
      </c>
      <c r="K888" t="s">
        <v>4197</v>
      </c>
      <c r="L888" t="s">
        <v>1721</v>
      </c>
      <c r="M888" t="s">
        <v>1634</v>
      </c>
    </row>
    <row r="889" spans="1:13" x14ac:dyDescent="0.25">
      <c r="A889">
        <v>91217</v>
      </c>
      <c r="B889" t="s">
        <v>4198</v>
      </c>
      <c r="C889" t="s">
        <v>4199</v>
      </c>
      <c r="D889" t="s">
        <v>1643</v>
      </c>
      <c r="E889" t="s">
        <v>1273</v>
      </c>
      <c r="F889" t="s">
        <v>3660</v>
      </c>
      <c r="G889" t="s">
        <v>4200</v>
      </c>
      <c r="H889">
        <v>6234125351</v>
      </c>
      <c r="J889">
        <v>6234125355</v>
      </c>
      <c r="K889" t="s">
        <v>4201</v>
      </c>
      <c r="L889" t="s">
        <v>1647</v>
      </c>
      <c r="M889" t="s">
        <v>1634</v>
      </c>
    </row>
    <row r="890" spans="1:13" x14ac:dyDescent="0.25">
      <c r="A890">
        <v>91217</v>
      </c>
      <c r="B890" t="s">
        <v>4198</v>
      </c>
      <c r="C890" t="s">
        <v>4199</v>
      </c>
      <c r="D890" t="s">
        <v>1643</v>
      </c>
      <c r="E890" t="s">
        <v>1273</v>
      </c>
      <c r="F890" t="s">
        <v>2192</v>
      </c>
      <c r="G890" t="s">
        <v>3376</v>
      </c>
      <c r="H890">
        <v>6234125351</v>
      </c>
      <c r="K890" t="s">
        <v>4202</v>
      </c>
      <c r="L890" t="s">
        <v>1647</v>
      </c>
      <c r="M890" t="s">
        <v>1634</v>
      </c>
    </row>
    <row r="891" spans="1:13" x14ac:dyDescent="0.25">
      <c r="A891">
        <v>92638</v>
      </c>
      <c r="B891" t="s">
        <v>4203</v>
      </c>
      <c r="C891" t="s">
        <v>4204</v>
      </c>
      <c r="D891" t="s">
        <v>1643</v>
      </c>
      <c r="E891" t="s">
        <v>1273</v>
      </c>
      <c r="F891" t="s">
        <v>2926</v>
      </c>
      <c r="G891" t="s">
        <v>4205</v>
      </c>
      <c r="H891">
        <v>6234866071</v>
      </c>
      <c r="J891">
        <v>6234866111</v>
      </c>
      <c r="L891" t="s">
        <v>4206</v>
      </c>
      <c r="M891" t="s">
        <v>1634</v>
      </c>
    </row>
    <row r="892" spans="1:13" x14ac:dyDescent="0.25">
      <c r="A892">
        <v>92638</v>
      </c>
      <c r="B892" t="s">
        <v>4203</v>
      </c>
      <c r="C892" t="s">
        <v>4204</v>
      </c>
      <c r="D892" t="s">
        <v>1643</v>
      </c>
      <c r="E892" t="s">
        <v>1273</v>
      </c>
      <c r="F892" t="s">
        <v>2037</v>
      </c>
      <c r="G892" t="s">
        <v>4207</v>
      </c>
      <c r="K892" t="s">
        <v>4208</v>
      </c>
      <c r="L892" t="s">
        <v>1647</v>
      </c>
      <c r="M892" t="s">
        <v>1634</v>
      </c>
    </row>
    <row r="893" spans="1:13" x14ac:dyDescent="0.25">
      <c r="A893">
        <v>92645</v>
      </c>
      <c r="B893" t="s">
        <v>4209</v>
      </c>
      <c r="C893" t="s">
        <v>4210</v>
      </c>
      <c r="D893" t="s">
        <v>1643</v>
      </c>
      <c r="E893" t="s">
        <v>1273</v>
      </c>
      <c r="F893" t="s">
        <v>3068</v>
      </c>
      <c r="G893" t="s">
        <v>4150</v>
      </c>
      <c r="H893">
        <v>6234125050</v>
      </c>
      <c r="J893">
        <v>6234125061</v>
      </c>
      <c r="K893" t="s">
        <v>4151</v>
      </c>
      <c r="L893" t="s">
        <v>1647</v>
      </c>
      <c r="M893" t="s">
        <v>1634</v>
      </c>
    </row>
    <row r="894" spans="1:13" x14ac:dyDescent="0.25">
      <c r="A894">
        <v>92645</v>
      </c>
      <c r="B894" t="s">
        <v>4209</v>
      </c>
      <c r="C894" t="s">
        <v>4210</v>
      </c>
      <c r="D894" t="s">
        <v>1643</v>
      </c>
      <c r="E894" t="s">
        <v>1273</v>
      </c>
      <c r="F894" t="s">
        <v>4193</v>
      </c>
      <c r="G894" t="s">
        <v>4211</v>
      </c>
      <c r="H894">
        <v>6234866005</v>
      </c>
      <c r="K894" t="s">
        <v>4212</v>
      </c>
      <c r="M894" t="s">
        <v>1634</v>
      </c>
    </row>
    <row r="895" spans="1:13" x14ac:dyDescent="0.25">
      <c r="A895">
        <v>92645</v>
      </c>
      <c r="B895" t="s">
        <v>4209</v>
      </c>
      <c r="C895" t="s">
        <v>4210</v>
      </c>
      <c r="D895" t="s">
        <v>1643</v>
      </c>
      <c r="E895" t="s">
        <v>1273</v>
      </c>
      <c r="F895" t="s">
        <v>2977</v>
      </c>
      <c r="G895" t="s">
        <v>4213</v>
      </c>
      <c r="H895">
        <v>6234125052</v>
      </c>
      <c r="J895">
        <v>6234125061</v>
      </c>
      <c r="K895" t="s">
        <v>4214</v>
      </c>
      <c r="L895" t="s">
        <v>1738</v>
      </c>
      <c r="M895" t="s">
        <v>1634</v>
      </c>
    </row>
    <row r="896" spans="1:13" x14ac:dyDescent="0.25">
      <c r="A896">
        <v>81207</v>
      </c>
      <c r="B896" t="s">
        <v>4215</v>
      </c>
      <c r="C896" t="s">
        <v>4216</v>
      </c>
      <c r="D896" t="s">
        <v>1643</v>
      </c>
      <c r="E896" t="s">
        <v>1273</v>
      </c>
      <c r="F896" t="s">
        <v>4217</v>
      </c>
      <c r="G896" t="s">
        <v>4218</v>
      </c>
      <c r="H896">
        <v>6234125400</v>
      </c>
      <c r="K896" t="s">
        <v>4219</v>
      </c>
      <c r="L896" t="s">
        <v>4220</v>
      </c>
      <c r="M896" t="s">
        <v>1634</v>
      </c>
    </row>
    <row r="897" spans="1:13" x14ac:dyDescent="0.25">
      <c r="A897">
        <v>5013</v>
      </c>
      <c r="B897" t="s">
        <v>4221</v>
      </c>
      <c r="C897" t="s">
        <v>4222</v>
      </c>
      <c r="D897" t="s">
        <v>1643</v>
      </c>
      <c r="E897" t="s">
        <v>1273</v>
      </c>
      <c r="F897" t="s">
        <v>3303</v>
      </c>
      <c r="G897" t="s">
        <v>4223</v>
      </c>
      <c r="H897">
        <v>6234866302</v>
      </c>
      <c r="J897">
        <v>6234866330</v>
      </c>
      <c r="K897" t="s">
        <v>4224</v>
      </c>
      <c r="L897" t="s">
        <v>1647</v>
      </c>
      <c r="M897" t="s">
        <v>1634</v>
      </c>
    </row>
    <row r="898" spans="1:13" x14ac:dyDescent="0.25">
      <c r="A898">
        <v>5014</v>
      </c>
      <c r="B898" t="s">
        <v>4225</v>
      </c>
      <c r="C898" t="s">
        <v>4226</v>
      </c>
      <c r="D898" t="s">
        <v>1643</v>
      </c>
      <c r="E898" t="s">
        <v>1273</v>
      </c>
      <c r="F898" t="s">
        <v>4227</v>
      </c>
      <c r="G898" t="s">
        <v>4228</v>
      </c>
      <c r="H898">
        <v>6234125002</v>
      </c>
      <c r="J898">
        <v>6234125020</v>
      </c>
      <c r="K898" t="s">
        <v>4229</v>
      </c>
      <c r="L898" t="s">
        <v>1647</v>
      </c>
      <c r="M898" t="s">
        <v>1634</v>
      </c>
    </row>
    <row r="899" spans="1:13" x14ac:dyDescent="0.25">
      <c r="A899">
        <v>5014</v>
      </c>
      <c r="B899" t="s">
        <v>4225</v>
      </c>
      <c r="C899" t="s">
        <v>4226</v>
      </c>
      <c r="D899" t="s">
        <v>1643</v>
      </c>
      <c r="E899" t="s">
        <v>1273</v>
      </c>
      <c r="F899" t="s">
        <v>3345</v>
      </c>
      <c r="G899" t="s">
        <v>4230</v>
      </c>
      <c r="H899">
        <v>6234125003</v>
      </c>
      <c r="K899" t="s">
        <v>4231</v>
      </c>
      <c r="L899" t="s">
        <v>1738</v>
      </c>
      <c r="M899" t="s">
        <v>1634</v>
      </c>
    </row>
    <row r="900" spans="1:13" x14ac:dyDescent="0.25">
      <c r="A900">
        <v>5015</v>
      </c>
      <c r="B900" t="s">
        <v>4232</v>
      </c>
      <c r="C900" t="s">
        <v>4233</v>
      </c>
      <c r="D900" t="s">
        <v>1643</v>
      </c>
      <c r="E900" t="s">
        <v>1273</v>
      </c>
    </row>
    <row r="901" spans="1:13" x14ac:dyDescent="0.25">
      <c r="A901">
        <v>5016</v>
      </c>
      <c r="B901" t="s">
        <v>4234</v>
      </c>
      <c r="C901" t="s">
        <v>4235</v>
      </c>
      <c r="D901" t="s">
        <v>1643</v>
      </c>
      <c r="E901" t="s">
        <v>1273</v>
      </c>
      <c r="F901" t="s">
        <v>2355</v>
      </c>
      <c r="G901" t="s">
        <v>4236</v>
      </c>
      <c r="H901">
        <v>6234124402</v>
      </c>
      <c r="J901">
        <v>6234124420</v>
      </c>
      <c r="K901" t="s">
        <v>4237</v>
      </c>
      <c r="L901" t="s">
        <v>1647</v>
      </c>
      <c r="M901" t="s">
        <v>1634</v>
      </c>
    </row>
    <row r="902" spans="1:13" x14ac:dyDescent="0.25">
      <c r="A902">
        <v>5017</v>
      </c>
      <c r="B902" t="s">
        <v>4238</v>
      </c>
      <c r="C902" t="s">
        <v>4239</v>
      </c>
      <c r="D902" t="s">
        <v>1643</v>
      </c>
      <c r="E902" t="s">
        <v>1273</v>
      </c>
      <c r="F902" t="s">
        <v>2581</v>
      </c>
      <c r="G902" t="s">
        <v>3751</v>
      </c>
      <c r="H902">
        <v>6234875159</v>
      </c>
      <c r="J902">
        <v>6234875140</v>
      </c>
      <c r="K902" t="s">
        <v>4240</v>
      </c>
      <c r="L902" t="s">
        <v>1738</v>
      </c>
      <c r="M902" t="s">
        <v>1634</v>
      </c>
    </row>
    <row r="903" spans="1:13" x14ac:dyDescent="0.25">
      <c r="A903">
        <v>5017</v>
      </c>
      <c r="B903" t="s">
        <v>4238</v>
      </c>
      <c r="C903" t="s">
        <v>4239</v>
      </c>
      <c r="D903" t="s">
        <v>1643</v>
      </c>
      <c r="E903" t="s">
        <v>1273</v>
      </c>
      <c r="F903" t="s">
        <v>1707</v>
      </c>
      <c r="G903" t="s">
        <v>4241</v>
      </c>
      <c r="H903">
        <v>6234875127</v>
      </c>
      <c r="J903">
        <v>6234875140</v>
      </c>
      <c r="K903" t="s">
        <v>4242</v>
      </c>
      <c r="L903" t="s">
        <v>1647</v>
      </c>
      <c r="M903" t="s">
        <v>1634</v>
      </c>
    </row>
    <row r="904" spans="1:13" x14ac:dyDescent="0.25">
      <c r="A904">
        <v>85835</v>
      </c>
      <c r="B904" t="s">
        <v>4243</v>
      </c>
      <c r="C904" t="s">
        <v>4244</v>
      </c>
      <c r="D904" t="s">
        <v>1643</v>
      </c>
      <c r="E904" t="s">
        <v>1273</v>
      </c>
      <c r="F904" t="s">
        <v>2046</v>
      </c>
      <c r="G904" t="s">
        <v>4245</v>
      </c>
      <c r="H904">
        <v>6234125427</v>
      </c>
      <c r="J904">
        <v>6234125447</v>
      </c>
      <c r="K904" t="s">
        <v>4246</v>
      </c>
      <c r="L904" t="s">
        <v>1647</v>
      </c>
      <c r="M904" t="s">
        <v>1634</v>
      </c>
    </row>
    <row r="905" spans="1:13" x14ac:dyDescent="0.25">
      <c r="A905">
        <v>6231</v>
      </c>
      <c r="B905" t="s">
        <v>4247</v>
      </c>
      <c r="C905" t="s">
        <v>4248</v>
      </c>
      <c r="D905" t="s">
        <v>1643</v>
      </c>
      <c r="E905" t="s">
        <v>1273</v>
      </c>
      <c r="F905" t="s">
        <v>4249</v>
      </c>
      <c r="G905" t="s">
        <v>4250</v>
      </c>
      <c r="H905">
        <v>6234125477</v>
      </c>
      <c r="J905">
        <v>6234125480</v>
      </c>
      <c r="K905" t="s">
        <v>4251</v>
      </c>
      <c r="L905" t="s">
        <v>3124</v>
      </c>
      <c r="M905" t="s">
        <v>1634</v>
      </c>
    </row>
    <row r="906" spans="1:13" x14ac:dyDescent="0.25">
      <c r="A906">
        <v>87520</v>
      </c>
      <c r="B906" t="s">
        <v>1012</v>
      </c>
      <c r="C906" t="s">
        <v>4252</v>
      </c>
      <c r="D906" t="s">
        <v>1643</v>
      </c>
      <c r="E906" t="s">
        <v>1273</v>
      </c>
      <c r="F906" t="s">
        <v>1787</v>
      </c>
      <c r="G906" t="s">
        <v>4253</v>
      </c>
      <c r="H906">
        <v>6237736527</v>
      </c>
      <c r="J906">
        <v>6237736540</v>
      </c>
      <c r="K906" t="s">
        <v>4254</v>
      </c>
      <c r="L906" t="s">
        <v>1647</v>
      </c>
      <c r="M906" t="s">
        <v>1634</v>
      </c>
    </row>
    <row r="907" spans="1:13" x14ac:dyDescent="0.25">
      <c r="A907">
        <v>4238</v>
      </c>
      <c r="B907" t="s">
        <v>319</v>
      </c>
      <c r="C907" t="s">
        <v>4255</v>
      </c>
      <c r="D907" t="s">
        <v>1628</v>
      </c>
      <c r="E907" t="s">
        <v>1273</v>
      </c>
      <c r="F907" t="s">
        <v>3165</v>
      </c>
      <c r="G907" t="s">
        <v>4256</v>
      </c>
      <c r="H907">
        <v>9286832225</v>
      </c>
      <c r="K907" t="s">
        <v>4257</v>
      </c>
      <c r="L907" t="s">
        <v>1668</v>
      </c>
      <c r="M907" t="s">
        <v>1634</v>
      </c>
    </row>
    <row r="908" spans="1:13" x14ac:dyDescent="0.25">
      <c r="A908">
        <v>4238</v>
      </c>
      <c r="B908" t="s">
        <v>319</v>
      </c>
      <c r="C908" t="s">
        <v>4255</v>
      </c>
      <c r="D908" t="s">
        <v>1628</v>
      </c>
      <c r="E908" t="s">
        <v>1273</v>
      </c>
      <c r="F908" t="s">
        <v>2269</v>
      </c>
      <c r="G908" t="s">
        <v>3399</v>
      </c>
      <c r="K908" t="s">
        <v>4258</v>
      </c>
      <c r="M908" t="s">
        <v>1634</v>
      </c>
    </row>
    <row r="909" spans="1:13" x14ac:dyDescent="0.25">
      <c r="A909">
        <v>4238</v>
      </c>
      <c r="B909" t="s">
        <v>319</v>
      </c>
      <c r="C909" t="s">
        <v>4255</v>
      </c>
      <c r="D909" t="s">
        <v>1628</v>
      </c>
      <c r="E909" t="s">
        <v>1273</v>
      </c>
      <c r="F909" t="s">
        <v>1775</v>
      </c>
      <c r="G909" t="s">
        <v>4259</v>
      </c>
      <c r="H909" t="s">
        <v>4260</v>
      </c>
      <c r="K909" t="s">
        <v>4261</v>
      </c>
      <c r="L909" t="s">
        <v>2368</v>
      </c>
      <c r="M909" t="s">
        <v>1640</v>
      </c>
    </row>
    <row r="910" spans="1:13" x14ac:dyDescent="0.25">
      <c r="A910">
        <v>5018</v>
      </c>
      <c r="B910" t="s">
        <v>528</v>
      </c>
      <c r="C910" t="s">
        <v>4262</v>
      </c>
      <c r="D910" t="s">
        <v>1643</v>
      </c>
      <c r="E910" t="s">
        <v>1273</v>
      </c>
      <c r="F910" t="s">
        <v>4263</v>
      </c>
      <c r="G910" t="s">
        <v>4264</v>
      </c>
      <c r="H910">
        <v>9286832225</v>
      </c>
      <c r="I910">
        <v>123</v>
      </c>
      <c r="K910" t="s">
        <v>4265</v>
      </c>
      <c r="L910" t="s">
        <v>1647</v>
      </c>
      <c r="M910" t="s">
        <v>1634</v>
      </c>
    </row>
    <row r="911" spans="1:13" x14ac:dyDescent="0.25">
      <c r="A911">
        <v>5019</v>
      </c>
      <c r="B911" t="s">
        <v>922</v>
      </c>
      <c r="C911" t="s">
        <v>4266</v>
      </c>
      <c r="D911" t="s">
        <v>1643</v>
      </c>
      <c r="E911" t="s">
        <v>1273</v>
      </c>
      <c r="F911" t="s">
        <v>2258</v>
      </c>
      <c r="G911" t="s">
        <v>4267</v>
      </c>
      <c r="H911">
        <v>9286832225</v>
      </c>
      <c r="I911">
        <v>111</v>
      </c>
      <c r="K911" t="s">
        <v>4268</v>
      </c>
      <c r="L911" t="s">
        <v>1647</v>
      </c>
      <c r="M911" t="s">
        <v>1634</v>
      </c>
    </row>
    <row r="912" spans="1:13" x14ac:dyDescent="0.25">
      <c r="A912">
        <v>5019</v>
      </c>
      <c r="B912" t="s">
        <v>922</v>
      </c>
      <c r="C912" t="s">
        <v>4266</v>
      </c>
      <c r="D912" t="s">
        <v>1643</v>
      </c>
      <c r="E912" t="s">
        <v>1273</v>
      </c>
      <c r="F912" t="s">
        <v>4269</v>
      </c>
      <c r="G912" t="s">
        <v>1659</v>
      </c>
      <c r="H912">
        <v>9286832225</v>
      </c>
      <c r="I912">
        <v>152</v>
      </c>
      <c r="K912" t="s">
        <v>4270</v>
      </c>
      <c r="L912" t="s">
        <v>1668</v>
      </c>
      <c r="M912" t="s">
        <v>1634</v>
      </c>
    </row>
    <row r="913" spans="1:13" x14ac:dyDescent="0.25">
      <c r="A913">
        <v>4239</v>
      </c>
      <c r="B913" t="s">
        <v>4271</v>
      </c>
      <c r="C913" t="s">
        <v>4272</v>
      </c>
      <c r="D913" t="s">
        <v>1628</v>
      </c>
      <c r="E913" t="s">
        <v>1273</v>
      </c>
      <c r="F913" t="s">
        <v>4273</v>
      </c>
      <c r="G913" t="s">
        <v>4274</v>
      </c>
      <c r="H913" t="s">
        <v>4275</v>
      </c>
      <c r="K913" t="s">
        <v>4276</v>
      </c>
      <c r="L913" t="s">
        <v>4277</v>
      </c>
      <c r="M913" t="s">
        <v>1634</v>
      </c>
    </row>
    <row r="914" spans="1:13" x14ac:dyDescent="0.25">
      <c r="A914">
        <v>4239</v>
      </c>
      <c r="B914" t="s">
        <v>4271</v>
      </c>
      <c r="C914" t="s">
        <v>4272</v>
      </c>
      <c r="D914" t="s">
        <v>1628</v>
      </c>
      <c r="E914" t="s">
        <v>1273</v>
      </c>
      <c r="F914" t="s">
        <v>3501</v>
      </c>
      <c r="G914" t="s">
        <v>4278</v>
      </c>
      <c r="H914">
        <v>4804973397</v>
      </c>
      <c r="K914" t="s">
        <v>4279</v>
      </c>
      <c r="L914" t="s">
        <v>1668</v>
      </c>
      <c r="M914" t="s">
        <v>1634</v>
      </c>
    </row>
    <row r="915" spans="1:13" x14ac:dyDescent="0.25">
      <c r="A915">
        <v>4239</v>
      </c>
      <c r="B915" t="s">
        <v>4271</v>
      </c>
      <c r="C915" t="s">
        <v>4272</v>
      </c>
      <c r="D915" t="s">
        <v>1628</v>
      </c>
      <c r="E915" t="s">
        <v>1273</v>
      </c>
      <c r="F915" t="s">
        <v>2408</v>
      </c>
      <c r="G915" t="s">
        <v>4280</v>
      </c>
      <c r="H915">
        <v>4804973388</v>
      </c>
      <c r="J915">
        <v>4804973484</v>
      </c>
      <c r="K915" t="s">
        <v>4281</v>
      </c>
      <c r="L915" t="s">
        <v>4282</v>
      </c>
      <c r="M915" t="s">
        <v>1640</v>
      </c>
    </row>
    <row r="916" spans="1:13" x14ac:dyDescent="0.25">
      <c r="A916">
        <v>4239</v>
      </c>
      <c r="B916" t="s">
        <v>4271</v>
      </c>
      <c r="C916" t="s">
        <v>4272</v>
      </c>
      <c r="D916" t="s">
        <v>1628</v>
      </c>
      <c r="E916" t="s">
        <v>1273</v>
      </c>
      <c r="F916" t="s">
        <v>4283</v>
      </c>
      <c r="G916" t="s">
        <v>4284</v>
      </c>
      <c r="H916">
        <v>4804973452</v>
      </c>
      <c r="K916" t="s">
        <v>4285</v>
      </c>
      <c r="L916" t="s">
        <v>2358</v>
      </c>
      <c r="M916" t="s">
        <v>1640</v>
      </c>
    </row>
    <row r="917" spans="1:13" x14ac:dyDescent="0.25">
      <c r="A917">
        <v>4239</v>
      </c>
      <c r="B917" t="s">
        <v>4271</v>
      </c>
      <c r="C917" t="s">
        <v>4272</v>
      </c>
      <c r="D917" t="s">
        <v>1628</v>
      </c>
      <c r="E917" t="s">
        <v>1273</v>
      </c>
      <c r="F917" t="s">
        <v>2079</v>
      </c>
      <c r="G917" t="s">
        <v>4286</v>
      </c>
      <c r="H917">
        <v>4804973444</v>
      </c>
      <c r="K917" t="s">
        <v>4287</v>
      </c>
      <c r="L917" t="s">
        <v>4288</v>
      </c>
      <c r="M917" t="s">
        <v>1640</v>
      </c>
    </row>
    <row r="918" spans="1:13" x14ac:dyDescent="0.25">
      <c r="A918">
        <v>4239</v>
      </c>
      <c r="B918" t="s">
        <v>4271</v>
      </c>
      <c r="C918" t="s">
        <v>4272</v>
      </c>
      <c r="D918" t="s">
        <v>1628</v>
      </c>
      <c r="E918" t="s">
        <v>1273</v>
      </c>
      <c r="F918" t="s">
        <v>4273</v>
      </c>
      <c r="G918" t="s">
        <v>4274</v>
      </c>
      <c r="H918" t="s">
        <v>4275</v>
      </c>
      <c r="K918" t="s">
        <v>4276</v>
      </c>
      <c r="L918" t="s">
        <v>4277</v>
      </c>
      <c r="M918" t="s">
        <v>1765</v>
      </c>
    </row>
    <row r="919" spans="1:13" x14ac:dyDescent="0.25">
      <c r="A919">
        <v>5021</v>
      </c>
      <c r="B919" t="s">
        <v>4289</v>
      </c>
      <c r="C919" t="s">
        <v>4290</v>
      </c>
      <c r="D919" t="s">
        <v>1643</v>
      </c>
      <c r="E919" t="s">
        <v>1273</v>
      </c>
      <c r="F919" t="s">
        <v>2499</v>
      </c>
      <c r="G919" t="s">
        <v>1853</v>
      </c>
      <c r="H919">
        <v>4809261433</v>
      </c>
      <c r="J919">
        <v>4808139002</v>
      </c>
      <c r="K919" t="s">
        <v>4291</v>
      </c>
      <c r="M919" t="s">
        <v>1634</v>
      </c>
    </row>
    <row r="920" spans="1:13" x14ac:dyDescent="0.25">
      <c r="A920">
        <v>5022</v>
      </c>
      <c r="B920" t="s">
        <v>4292</v>
      </c>
      <c r="C920" t="s">
        <v>4293</v>
      </c>
      <c r="D920" t="s">
        <v>1643</v>
      </c>
      <c r="E920" t="s">
        <v>1273</v>
      </c>
      <c r="F920" t="s">
        <v>3193</v>
      </c>
      <c r="G920" t="s">
        <v>4294</v>
      </c>
      <c r="K920" t="s">
        <v>4295</v>
      </c>
      <c r="L920" t="s">
        <v>1647</v>
      </c>
      <c r="M920" t="s">
        <v>1634</v>
      </c>
    </row>
    <row r="921" spans="1:13" x14ac:dyDescent="0.25">
      <c r="A921">
        <v>6006</v>
      </c>
      <c r="B921" t="s">
        <v>4296</v>
      </c>
      <c r="C921" t="s">
        <v>4297</v>
      </c>
      <c r="D921" t="s">
        <v>1643</v>
      </c>
      <c r="E921" t="s">
        <v>1273</v>
      </c>
      <c r="F921" t="s">
        <v>1783</v>
      </c>
      <c r="G921" t="s">
        <v>1588</v>
      </c>
      <c r="H921">
        <v>4806324739</v>
      </c>
      <c r="K921" t="s">
        <v>4298</v>
      </c>
      <c r="L921" t="s">
        <v>1721</v>
      </c>
      <c r="M921" t="s">
        <v>1634</v>
      </c>
    </row>
    <row r="922" spans="1:13" x14ac:dyDescent="0.25">
      <c r="A922">
        <v>6006</v>
      </c>
      <c r="B922" t="s">
        <v>4296</v>
      </c>
      <c r="C922" t="s">
        <v>4297</v>
      </c>
      <c r="D922" t="s">
        <v>1643</v>
      </c>
      <c r="E922" t="s">
        <v>1273</v>
      </c>
      <c r="F922" t="s">
        <v>4299</v>
      </c>
      <c r="G922" t="s">
        <v>1909</v>
      </c>
      <c r="H922">
        <v>4806324739</v>
      </c>
      <c r="K922" t="s">
        <v>4300</v>
      </c>
      <c r="L922" t="s">
        <v>1647</v>
      </c>
      <c r="M922" t="s">
        <v>1634</v>
      </c>
    </row>
    <row r="923" spans="1:13" x14ac:dyDescent="0.25">
      <c r="A923">
        <v>79629</v>
      </c>
      <c r="B923" t="s">
        <v>4301</v>
      </c>
      <c r="C923" t="s">
        <v>4302</v>
      </c>
      <c r="D923" t="s">
        <v>1643</v>
      </c>
      <c r="E923" t="s">
        <v>1273</v>
      </c>
    </row>
    <row r="924" spans="1:13" x14ac:dyDescent="0.25">
      <c r="A924">
        <v>85847</v>
      </c>
      <c r="B924" t="s">
        <v>4303</v>
      </c>
      <c r="C924" t="s">
        <v>4304</v>
      </c>
      <c r="D924" t="s">
        <v>1643</v>
      </c>
      <c r="E924" t="s">
        <v>1273</v>
      </c>
      <c r="F924" t="s">
        <v>3193</v>
      </c>
      <c r="G924" t="s">
        <v>4305</v>
      </c>
      <c r="H924">
        <v>4808550015</v>
      </c>
      <c r="K924" t="s">
        <v>4306</v>
      </c>
      <c r="M924" t="s">
        <v>1634</v>
      </c>
    </row>
    <row r="925" spans="1:13" x14ac:dyDescent="0.25">
      <c r="A925">
        <v>5023</v>
      </c>
      <c r="B925" t="s">
        <v>4307</v>
      </c>
      <c r="C925" t="s">
        <v>4308</v>
      </c>
      <c r="D925" t="s">
        <v>1643</v>
      </c>
      <c r="E925" t="s">
        <v>1273</v>
      </c>
      <c r="F925" t="s">
        <v>2908</v>
      </c>
      <c r="G925" t="s">
        <v>4309</v>
      </c>
      <c r="H925">
        <v>4808928624</v>
      </c>
      <c r="L925" t="s">
        <v>1647</v>
      </c>
      <c r="M925" t="s">
        <v>1634</v>
      </c>
    </row>
    <row r="926" spans="1:13" x14ac:dyDescent="0.25">
      <c r="A926">
        <v>5024</v>
      </c>
      <c r="B926" t="s">
        <v>4310</v>
      </c>
      <c r="C926" t="s">
        <v>4311</v>
      </c>
      <c r="D926" t="s">
        <v>1643</v>
      </c>
      <c r="E926" t="s">
        <v>1273</v>
      </c>
      <c r="F926" t="s">
        <v>2053</v>
      </c>
      <c r="G926" t="s">
        <v>4312</v>
      </c>
      <c r="H926">
        <v>4808922801</v>
      </c>
      <c r="K926" t="s">
        <v>4313</v>
      </c>
      <c r="L926" t="s">
        <v>1647</v>
      </c>
      <c r="M926" t="s">
        <v>1634</v>
      </c>
    </row>
    <row r="927" spans="1:13" x14ac:dyDescent="0.25">
      <c r="A927">
        <v>5025</v>
      </c>
      <c r="B927" t="s">
        <v>4314</v>
      </c>
      <c r="C927" t="s">
        <v>4315</v>
      </c>
      <c r="D927" t="s">
        <v>1643</v>
      </c>
      <c r="E927" t="s">
        <v>1273</v>
      </c>
    </row>
    <row r="928" spans="1:13" x14ac:dyDescent="0.25">
      <c r="A928">
        <v>5026</v>
      </c>
      <c r="B928" t="s">
        <v>4316</v>
      </c>
      <c r="C928" t="s">
        <v>4317</v>
      </c>
      <c r="D928" t="s">
        <v>1643</v>
      </c>
      <c r="E928" t="s">
        <v>1273</v>
      </c>
      <c r="F928" t="s">
        <v>4318</v>
      </c>
      <c r="G928" t="s">
        <v>4319</v>
      </c>
      <c r="H928">
        <v>4808922805</v>
      </c>
      <c r="K928" t="s">
        <v>4320</v>
      </c>
      <c r="L928" t="s">
        <v>1647</v>
      </c>
      <c r="M928" t="s">
        <v>1634</v>
      </c>
    </row>
    <row r="929" spans="1:13" x14ac:dyDescent="0.25">
      <c r="A929">
        <v>5026</v>
      </c>
      <c r="B929" t="s">
        <v>4316</v>
      </c>
      <c r="C929" t="s">
        <v>4317</v>
      </c>
      <c r="D929" t="s">
        <v>1643</v>
      </c>
      <c r="E929" t="s">
        <v>1273</v>
      </c>
      <c r="F929" t="s">
        <v>1779</v>
      </c>
      <c r="G929" t="s">
        <v>4321</v>
      </c>
      <c r="K929" t="s">
        <v>4322</v>
      </c>
      <c r="L929" t="s">
        <v>1647</v>
      </c>
      <c r="M929" t="s">
        <v>1634</v>
      </c>
    </row>
    <row r="930" spans="1:13" x14ac:dyDescent="0.25">
      <c r="A930">
        <v>5027</v>
      </c>
      <c r="B930" t="s">
        <v>4093</v>
      </c>
      <c r="C930" t="s">
        <v>4323</v>
      </c>
      <c r="D930" t="s">
        <v>1643</v>
      </c>
      <c r="E930" t="s">
        <v>1273</v>
      </c>
    </row>
    <row r="931" spans="1:13" x14ac:dyDescent="0.25">
      <c r="A931">
        <v>5028</v>
      </c>
      <c r="B931" t="s">
        <v>4324</v>
      </c>
      <c r="C931" t="s">
        <v>4325</v>
      </c>
      <c r="D931" t="s">
        <v>1643</v>
      </c>
      <c r="E931" t="s">
        <v>1273</v>
      </c>
      <c r="F931" t="s">
        <v>2204</v>
      </c>
      <c r="G931" t="s">
        <v>4326</v>
      </c>
      <c r="H931">
        <v>4804970742</v>
      </c>
      <c r="K931" t="s">
        <v>4327</v>
      </c>
      <c r="L931" t="s">
        <v>1647</v>
      </c>
      <c r="M931" t="s">
        <v>1634</v>
      </c>
    </row>
    <row r="932" spans="1:13" x14ac:dyDescent="0.25">
      <c r="A932">
        <v>5029</v>
      </c>
      <c r="B932" t="s">
        <v>4328</v>
      </c>
      <c r="C932" t="s">
        <v>4329</v>
      </c>
      <c r="D932" t="s">
        <v>1643</v>
      </c>
      <c r="E932" t="s">
        <v>1273</v>
      </c>
      <c r="F932" t="s">
        <v>2381</v>
      </c>
      <c r="G932" t="s">
        <v>4330</v>
      </c>
      <c r="H932">
        <v>4804979790</v>
      </c>
      <c r="K932" t="s">
        <v>4331</v>
      </c>
      <c r="L932" t="s">
        <v>1721</v>
      </c>
      <c r="M932" t="s">
        <v>1634</v>
      </c>
    </row>
    <row r="933" spans="1:13" x14ac:dyDescent="0.25">
      <c r="A933">
        <v>5030</v>
      </c>
      <c r="B933" t="s">
        <v>4332</v>
      </c>
      <c r="C933" t="s">
        <v>4333</v>
      </c>
      <c r="D933" t="s">
        <v>1643</v>
      </c>
      <c r="E933" t="s">
        <v>1273</v>
      </c>
      <c r="F933" t="s">
        <v>4334</v>
      </c>
      <c r="G933" t="s">
        <v>4335</v>
      </c>
      <c r="H933">
        <v>4809263816</v>
      </c>
      <c r="J933">
        <v>4808138789</v>
      </c>
      <c r="K933" t="s">
        <v>4336</v>
      </c>
      <c r="L933" t="s">
        <v>1647</v>
      </c>
      <c r="M933" t="s">
        <v>1634</v>
      </c>
    </row>
    <row r="934" spans="1:13" x14ac:dyDescent="0.25">
      <c r="A934">
        <v>5031</v>
      </c>
      <c r="B934" t="s">
        <v>4337</v>
      </c>
      <c r="C934" t="s">
        <v>4338</v>
      </c>
      <c r="D934" t="s">
        <v>1643</v>
      </c>
      <c r="E934" t="s">
        <v>1273</v>
      </c>
      <c r="F934" t="s">
        <v>2734</v>
      </c>
      <c r="G934" t="s">
        <v>1918</v>
      </c>
      <c r="H934">
        <v>4809266301</v>
      </c>
      <c r="J934">
        <v>4808139011</v>
      </c>
      <c r="K934" t="s">
        <v>4339</v>
      </c>
      <c r="L934" t="s">
        <v>1647</v>
      </c>
      <c r="M934" t="s">
        <v>1634</v>
      </c>
    </row>
    <row r="935" spans="1:13" x14ac:dyDescent="0.25">
      <c r="A935">
        <v>5031</v>
      </c>
      <c r="B935" t="s">
        <v>4337</v>
      </c>
      <c r="C935" t="s">
        <v>4338</v>
      </c>
      <c r="D935" t="s">
        <v>1643</v>
      </c>
      <c r="E935" t="s">
        <v>1273</v>
      </c>
      <c r="F935" t="s">
        <v>4340</v>
      </c>
      <c r="G935" t="s">
        <v>4341</v>
      </c>
      <c r="H935">
        <v>4809266301</v>
      </c>
      <c r="I935">
        <v>321</v>
      </c>
      <c r="J935">
        <v>4808139011</v>
      </c>
      <c r="K935" t="s">
        <v>4342</v>
      </c>
      <c r="L935" t="s">
        <v>2045</v>
      </c>
      <c r="M935" t="s">
        <v>1634</v>
      </c>
    </row>
    <row r="936" spans="1:13" x14ac:dyDescent="0.25">
      <c r="A936">
        <v>5032</v>
      </c>
      <c r="B936" t="s">
        <v>1436</v>
      </c>
      <c r="C936" t="s">
        <v>4343</v>
      </c>
      <c r="D936" t="s">
        <v>1643</v>
      </c>
      <c r="E936" t="s">
        <v>1273</v>
      </c>
      <c r="F936" t="s">
        <v>2704</v>
      </c>
      <c r="G936" t="s">
        <v>4344</v>
      </c>
      <c r="H936">
        <v>4808131240</v>
      </c>
      <c r="K936" t="s">
        <v>4345</v>
      </c>
      <c r="L936" t="s">
        <v>1647</v>
      </c>
      <c r="M936" t="s">
        <v>1634</v>
      </c>
    </row>
    <row r="937" spans="1:13" x14ac:dyDescent="0.25">
      <c r="A937">
        <v>5033</v>
      </c>
      <c r="B937" t="s">
        <v>4346</v>
      </c>
      <c r="C937" t="s">
        <v>4347</v>
      </c>
      <c r="D937" t="s">
        <v>1643</v>
      </c>
      <c r="E937" t="s">
        <v>1273</v>
      </c>
    </row>
    <row r="938" spans="1:13" x14ac:dyDescent="0.25">
      <c r="A938">
        <v>5034</v>
      </c>
      <c r="B938" t="s">
        <v>4348</v>
      </c>
      <c r="C938" t="s">
        <v>4349</v>
      </c>
      <c r="D938" t="s">
        <v>1643</v>
      </c>
      <c r="E938" t="s">
        <v>1273</v>
      </c>
      <c r="F938" t="s">
        <v>4350</v>
      </c>
      <c r="G938" t="s">
        <v>1912</v>
      </c>
      <c r="H938">
        <v>4808927810</v>
      </c>
      <c r="J938">
        <v>4808928842</v>
      </c>
      <c r="K938" t="s">
        <v>4351</v>
      </c>
      <c r="L938" t="s">
        <v>1647</v>
      </c>
      <c r="M938" t="s">
        <v>1634</v>
      </c>
    </row>
    <row r="939" spans="1:13" x14ac:dyDescent="0.25">
      <c r="A939">
        <v>5034</v>
      </c>
      <c r="B939" t="s">
        <v>4348</v>
      </c>
      <c r="C939" t="s">
        <v>4349</v>
      </c>
      <c r="D939" t="s">
        <v>1643</v>
      </c>
      <c r="E939" t="s">
        <v>1273</v>
      </c>
      <c r="F939" t="s">
        <v>4352</v>
      </c>
      <c r="G939" t="s">
        <v>4353</v>
      </c>
      <c r="H939">
        <v>4808927810</v>
      </c>
      <c r="K939" t="s">
        <v>4354</v>
      </c>
      <c r="L939" t="s">
        <v>4355</v>
      </c>
      <c r="M939" t="s">
        <v>1634</v>
      </c>
    </row>
    <row r="940" spans="1:13" x14ac:dyDescent="0.25">
      <c r="A940">
        <v>5035</v>
      </c>
      <c r="B940" t="s">
        <v>4356</v>
      </c>
      <c r="C940" t="s">
        <v>4357</v>
      </c>
      <c r="D940" t="s">
        <v>1643</v>
      </c>
      <c r="E940" t="s">
        <v>1273</v>
      </c>
      <c r="F940" t="s">
        <v>4358</v>
      </c>
      <c r="G940" t="s">
        <v>4359</v>
      </c>
      <c r="K940" t="s">
        <v>4360</v>
      </c>
      <c r="L940" t="s">
        <v>1647</v>
      </c>
      <c r="M940" t="s">
        <v>1634</v>
      </c>
    </row>
    <row r="941" spans="1:13" x14ac:dyDescent="0.25">
      <c r="A941">
        <v>5036</v>
      </c>
      <c r="B941" t="s">
        <v>4361</v>
      </c>
      <c r="C941" t="s">
        <v>4362</v>
      </c>
      <c r="D941" t="s">
        <v>1643</v>
      </c>
      <c r="E941" t="s">
        <v>1273</v>
      </c>
      <c r="F941" t="s">
        <v>4363</v>
      </c>
      <c r="G941" t="s">
        <v>4364</v>
      </c>
      <c r="H941">
        <v>4804979343</v>
      </c>
      <c r="J941">
        <v>4804979574</v>
      </c>
      <c r="K941" t="s">
        <v>4365</v>
      </c>
      <c r="L941" t="s">
        <v>1647</v>
      </c>
      <c r="M941" t="s">
        <v>1634</v>
      </c>
    </row>
    <row r="942" spans="1:13" x14ac:dyDescent="0.25">
      <c r="A942">
        <v>5036</v>
      </c>
      <c r="B942" t="s">
        <v>4361</v>
      </c>
      <c r="C942" t="s">
        <v>4362</v>
      </c>
      <c r="D942" t="s">
        <v>1643</v>
      </c>
      <c r="E942" t="s">
        <v>1273</v>
      </c>
      <c r="F942" t="s">
        <v>4366</v>
      </c>
      <c r="G942" t="s">
        <v>1943</v>
      </c>
      <c r="H942">
        <v>4804979343</v>
      </c>
      <c r="K942" t="s">
        <v>4367</v>
      </c>
      <c r="L942" t="s">
        <v>1721</v>
      </c>
      <c r="M942" t="s">
        <v>1634</v>
      </c>
    </row>
    <row r="943" spans="1:13" x14ac:dyDescent="0.25">
      <c r="A943">
        <v>5037</v>
      </c>
      <c r="B943" t="s">
        <v>4368</v>
      </c>
      <c r="C943" t="s">
        <v>4369</v>
      </c>
      <c r="D943" t="s">
        <v>1643</v>
      </c>
      <c r="E943" t="s">
        <v>1273</v>
      </c>
      <c r="F943" t="s">
        <v>3387</v>
      </c>
      <c r="G943" t="s">
        <v>1948</v>
      </c>
      <c r="H943">
        <v>4806416413</v>
      </c>
      <c r="K943" t="s">
        <v>4370</v>
      </c>
      <c r="L943" t="s">
        <v>1647</v>
      </c>
      <c r="M943" t="s">
        <v>1634</v>
      </c>
    </row>
    <row r="944" spans="1:13" x14ac:dyDescent="0.25">
      <c r="A944">
        <v>5038</v>
      </c>
      <c r="B944" t="s">
        <v>4371</v>
      </c>
      <c r="C944" t="s">
        <v>4372</v>
      </c>
      <c r="D944" t="s">
        <v>1643</v>
      </c>
      <c r="E944" t="s">
        <v>1273</v>
      </c>
    </row>
    <row r="945" spans="1:13" x14ac:dyDescent="0.25">
      <c r="A945">
        <v>78918</v>
      </c>
      <c r="B945" t="s">
        <v>4373</v>
      </c>
      <c r="C945" t="s">
        <v>4374</v>
      </c>
      <c r="D945" t="s">
        <v>1643</v>
      </c>
      <c r="E945" t="s">
        <v>1273</v>
      </c>
      <c r="F945" t="s">
        <v>2556</v>
      </c>
      <c r="G945" t="s">
        <v>3511</v>
      </c>
      <c r="H945">
        <v>4806324785</v>
      </c>
      <c r="K945" t="s">
        <v>4375</v>
      </c>
      <c r="L945" t="s">
        <v>1647</v>
      </c>
      <c r="M945" t="s">
        <v>1634</v>
      </c>
    </row>
    <row r="946" spans="1:13" x14ac:dyDescent="0.25">
      <c r="A946">
        <v>78919</v>
      </c>
      <c r="B946" t="s">
        <v>4376</v>
      </c>
      <c r="C946" t="s">
        <v>4377</v>
      </c>
      <c r="D946" t="s">
        <v>1643</v>
      </c>
      <c r="E946" t="s">
        <v>1273</v>
      </c>
      <c r="F946" t="s">
        <v>4378</v>
      </c>
      <c r="G946" t="s">
        <v>1708</v>
      </c>
      <c r="H946">
        <v>4805071481</v>
      </c>
      <c r="J946">
        <v>4805071550</v>
      </c>
      <c r="K946" t="s">
        <v>4379</v>
      </c>
      <c r="L946" t="s">
        <v>1647</v>
      </c>
      <c r="M946" t="s">
        <v>1634</v>
      </c>
    </row>
    <row r="947" spans="1:13" x14ac:dyDescent="0.25">
      <c r="A947">
        <v>79144</v>
      </c>
      <c r="B947" t="s">
        <v>4380</v>
      </c>
      <c r="C947" t="s">
        <v>4381</v>
      </c>
      <c r="D947" t="s">
        <v>1643</v>
      </c>
      <c r="E947" t="s">
        <v>1273</v>
      </c>
      <c r="F947" t="s">
        <v>4382</v>
      </c>
      <c r="G947" t="s">
        <v>4383</v>
      </c>
      <c r="H947">
        <v>4805071359</v>
      </c>
      <c r="J947">
        <v>4805031487</v>
      </c>
      <c r="K947" t="s">
        <v>4384</v>
      </c>
      <c r="L947" t="s">
        <v>1647</v>
      </c>
      <c r="M947" t="s">
        <v>1634</v>
      </c>
    </row>
    <row r="948" spans="1:13" x14ac:dyDescent="0.25">
      <c r="A948">
        <v>79145</v>
      </c>
      <c r="B948" t="s">
        <v>4385</v>
      </c>
      <c r="C948" t="s">
        <v>4386</v>
      </c>
      <c r="D948" t="s">
        <v>1643</v>
      </c>
      <c r="E948" t="s">
        <v>1273</v>
      </c>
    </row>
    <row r="949" spans="1:13" x14ac:dyDescent="0.25">
      <c r="A949">
        <v>79181</v>
      </c>
      <c r="B949" t="s">
        <v>4387</v>
      </c>
      <c r="C949" t="s">
        <v>4388</v>
      </c>
      <c r="D949" t="s">
        <v>1643</v>
      </c>
      <c r="E949" t="s">
        <v>1273</v>
      </c>
      <c r="F949" t="s">
        <v>2865</v>
      </c>
      <c r="G949" t="s">
        <v>4051</v>
      </c>
      <c r="H949">
        <v>4809179900</v>
      </c>
      <c r="K949" t="s">
        <v>4389</v>
      </c>
      <c r="L949" t="s">
        <v>1647</v>
      </c>
      <c r="M949" t="s">
        <v>1634</v>
      </c>
    </row>
    <row r="950" spans="1:13" x14ac:dyDescent="0.25">
      <c r="A950">
        <v>79630</v>
      </c>
      <c r="B950" t="s">
        <v>4390</v>
      </c>
      <c r="C950" t="s">
        <v>4391</v>
      </c>
      <c r="D950" t="s">
        <v>1643</v>
      </c>
      <c r="E950" t="s">
        <v>1273</v>
      </c>
    </row>
    <row r="951" spans="1:13" x14ac:dyDescent="0.25">
      <c r="A951">
        <v>79829</v>
      </c>
      <c r="B951" t="s">
        <v>4392</v>
      </c>
      <c r="C951" t="s">
        <v>4393</v>
      </c>
      <c r="D951" t="s">
        <v>1643</v>
      </c>
      <c r="E951" t="s">
        <v>1273</v>
      </c>
      <c r="F951" t="s">
        <v>4149</v>
      </c>
      <c r="G951" t="s">
        <v>4394</v>
      </c>
      <c r="M951" t="s">
        <v>1634</v>
      </c>
    </row>
    <row r="952" spans="1:13" x14ac:dyDescent="0.25">
      <c r="A952">
        <v>79829</v>
      </c>
      <c r="B952" t="s">
        <v>4392</v>
      </c>
      <c r="C952" t="s">
        <v>4393</v>
      </c>
      <c r="D952" t="s">
        <v>1643</v>
      </c>
      <c r="E952" t="s">
        <v>1273</v>
      </c>
      <c r="F952" t="s">
        <v>3879</v>
      </c>
      <c r="G952" t="s">
        <v>3880</v>
      </c>
      <c r="H952">
        <v>4809843216</v>
      </c>
      <c r="K952" t="s">
        <v>4395</v>
      </c>
      <c r="L952" t="s">
        <v>1647</v>
      </c>
      <c r="M952" t="s">
        <v>1634</v>
      </c>
    </row>
    <row r="953" spans="1:13" x14ac:dyDescent="0.25">
      <c r="A953">
        <v>79829</v>
      </c>
      <c r="B953" t="s">
        <v>4392</v>
      </c>
      <c r="C953" t="s">
        <v>4393</v>
      </c>
      <c r="D953" t="s">
        <v>1643</v>
      </c>
      <c r="E953" t="s">
        <v>1273</v>
      </c>
      <c r="F953" t="s">
        <v>4396</v>
      </c>
      <c r="G953" t="s">
        <v>4397</v>
      </c>
      <c r="H953">
        <v>4809843216</v>
      </c>
      <c r="K953" t="s">
        <v>4398</v>
      </c>
      <c r="L953" t="s">
        <v>2045</v>
      </c>
      <c r="M953" t="s">
        <v>1634</v>
      </c>
    </row>
    <row r="954" spans="1:13" x14ac:dyDescent="0.25">
      <c r="A954">
        <v>81145</v>
      </c>
      <c r="B954" t="s">
        <v>4399</v>
      </c>
      <c r="C954" t="s">
        <v>4400</v>
      </c>
      <c r="D954" t="s">
        <v>1643</v>
      </c>
      <c r="E954" t="s">
        <v>1273</v>
      </c>
      <c r="F954" t="s">
        <v>3253</v>
      </c>
      <c r="G954" t="s">
        <v>4401</v>
      </c>
      <c r="H954">
        <v>4809170117</v>
      </c>
      <c r="K954" t="s">
        <v>4402</v>
      </c>
      <c r="L954" t="s">
        <v>1647</v>
      </c>
      <c r="M954" t="s">
        <v>1634</v>
      </c>
    </row>
    <row r="955" spans="1:13" x14ac:dyDescent="0.25">
      <c r="A955">
        <v>87533</v>
      </c>
      <c r="B955" t="s">
        <v>4403</v>
      </c>
      <c r="C955" t="s">
        <v>4404</v>
      </c>
      <c r="D955" t="s">
        <v>1643</v>
      </c>
      <c r="E955" t="s">
        <v>1273</v>
      </c>
      <c r="F955" t="s">
        <v>4405</v>
      </c>
      <c r="G955" t="s">
        <v>4406</v>
      </c>
      <c r="K955" t="s">
        <v>4407</v>
      </c>
      <c r="L955" t="s">
        <v>2180</v>
      </c>
      <c r="M955" t="s">
        <v>1634</v>
      </c>
    </row>
    <row r="956" spans="1:13" x14ac:dyDescent="0.25">
      <c r="A956">
        <v>88401</v>
      </c>
      <c r="B956" t="s">
        <v>4408</v>
      </c>
      <c r="C956" t="s">
        <v>4409</v>
      </c>
      <c r="D956" t="s">
        <v>1643</v>
      </c>
      <c r="E956" t="s">
        <v>1273</v>
      </c>
      <c r="F956" t="s">
        <v>3772</v>
      </c>
      <c r="G956" t="s">
        <v>4410</v>
      </c>
      <c r="H956">
        <v>4808323034</v>
      </c>
      <c r="J956">
        <v>4808323027</v>
      </c>
      <c r="K956" t="s">
        <v>4411</v>
      </c>
      <c r="L956" t="s">
        <v>1647</v>
      </c>
      <c r="M956" t="s">
        <v>1634</v>
      </c>
    </row>
    <row r="957" spans="1:13" x14ac:dyDescent="0.25">
      <c r="A957">
        <v>89594</v>
      </c>
      <c r="B957" t="s">
        <v>4412</v>
      </c>
      <c r="C957" t="s">
        <v>4413</v>
      </c>
      <c r="D957" t="s">
        <v>1643</v>
      </c>
      <c r="E957" t="s">
        <v>1273</v>
      </c>
      <c r="F957" t="s">
        <v>2222</v>
      </c>
      <c r="G957" t="s">
        <v>4414</v>
      </c>
      <c r="H957">
        <v>4808555732</v>
      </c>
      <c r="K957" t="s">
        <v>4415</v>
      </c>
      <c r="L957" t="s">
        <v>1647</v>
      </c>
      <c r="M957" t="s">
        <v>1634</v>
      </c>
    </row>
    <row r="958" spans="1:13" x14ac:dyDescent="0.25">
      <c r="A958">
        <v>89594</v>
      </c>
      <c r="B958" t="s">
        <v>4412</v>
      </c>
      <c r="C958" t="s">
        <v>4413</v>
      </c>
      <c r="D958" t="s">
        <v>1643</v>
      </c>
      <c r="E958" t="s">
        <v>1273</v>
      </c>
      <c r="F958" t="s">
        <v>4416</v>
      </c>
      <c r="G958" t="s">
        <v>4341</v>
      </c>
      <c r="K958" t="s">
        <v>4417</v>
      </c>
      <c r="L958" t="s">
        <v>1647</v>
      </c>
      <c r="M958" t="s">
        <v>1634</v>
      </c>
    </row>
    <row r="959" spans="1:13" x14ac:dyDescent="0.25">
      <c r="A959">
        <v>5039</v>
      </c>
      <c r="B959" t="s">
        <v>4418</v>
      </c>
      <c r="C959" t="s">
        <v>4419</v>
      </c>
      <c r="D959" t="s">
        <v>1643</v>
      </c>
      <c r="E959" t="s">
        <v>1273</v>
      </c>
    </row>
    <row r="960" spans="1:13" x14ac:dyDescent="0.25">
      <c r="A960">
        <v>5040</v>
      </c>
      <c r="B960" t="s">
        <v>4420</v>
      </c>
      <c r="C960" t="s">
        <v>4421</v>
      </c>
      <c r="D960" t="s">
        <v>1643</v>
      </c>
      <c r="E960" t="s">
        <v>1273</v>
      </c>
      <c r="F960" t="s">
        <v>4149</v>
      </c>
      <c r="G960" t="s">
        <v>2705</v>
      </c>
      <c r="H960">
        <v>4808130051</v>
      </c>
      <c r="K960" t="s">
        <v>4422</v>
      </c>
      <c r="L960" t="s">
        <v>1738</v>
      </c>
      <c r="M960" t="s">
        <v>1634</v>
      </c>
    </row>
    <row r="961" spans="1:13" x14ac:dyDescent="0.25">
      <c r="A961">
        <v>5040</v>
      </c>
      <c r="B961" t="s">
        <v>4420</v>
      </c>
      <c r="C961" t="s">
        <v>4421</v>
      </c>
      <c r="D961" t="s">
        <v>1643</v>
      </c>
      <c r="E961" t="s">
        <v>1273</v>
      </c>
      <c r="F961" t="s">
        <v>2122</v>
      </c>
      <c r="G961" t="s">
        <v>3224</v>
      </c>
      <c r="H961">
        <v>4808130051</v>
      </c>
      <c r="K961" t="s">
        <v>4423</v>
      </c>
      <c r="L961" t="s">
        <v>1647</v>
      </c>
      <c r="M961" t="s">
        <v>1634</v>
      </c>
    </row>
    <row r="962" spans="1:13" x14ac:dyDescent="0.25">
      <c r="A962">
        <v>5040</v>
      </c>
      <c r="B962" t="s">
        <v>4420</v>
      </c>
      <c r="C962" t="s">
        <v>4421</v>
      </c>
      <c r="D962" t="s">
        <v>1643</v>
      </c>
      <c r="E962" t="s">
        <v>1273</v>
      </c>
      <c r="F962" t="s">
        <v>3253</v>
      </c>
      <c r="G962" t="s">
        <v>4424</v>
      </c>
      <c r="M962" t="s">
        <v>1640</v>
      </c>
    </row>
    <row r="963" spans="1:13" x14ac:dyDescent="0.25">
      <c r="A963">
        <v>5040</v>
      </c>
      <c r="B963" t="s">
        <v>4420</v>
      </c>
      <c r="C963" t="s">
        <v>4421</v>
      </c>
      <c r="D963" t="s">
        <v>1643</v>
      </c>
      <c r="E963" t="s">
        <v>1273</v>
      </c>
      <c r="F963" t="s">
        <v>1783</v>
      </c>
      <c r="G963" t="s">
        <v>1588</v>
      </c>
      <c r="M963" t="s">
        <v>1640</v>
      </c>
    </row>
    <row r="964" spans="1:13" x14ac:dyDescent="0.25">
      <c r="A964">
        <v>6007</v>
      </c>
      <c r="B964" t="s">
        <v>4425</v>
      </c>
      <c r="C964" t="s">
        <v>4426</v>
      </c>
      <c r="D964" t="s">
        <v>1643</v>
      </c>
      <c r="E964" t="s">
        <v>1273</v>
      </c>
      <c r="F964" t="s">
        <v>4427</v>
      </c>
      <c r="G964" t="s">
        <v>4428</v>
      </c>
      <c r="H964">
        <v>4806324750</v>
      </c>
      <c r="I964">
        <v>1130</v>
      </c>
      <c r="J964">
        <v>4806324769</v>
      </c>
      <c r="K964" t="s">
        <v>4429</v>
      </c>
      <c r="L964" t="s">
        <v>4430</v>
      </c>
      <c r="M964" t="s">
        <v>1640</v>
      </c>
    </row>
    <row r="965" spans="1:13" x14ac:dyDescent="0.25">
      <c r="A965">
        <v>79823</v>
      </c>
      <c r="B965" t="s">
        <v>4431</v>
      </c>
      <c r="C965" t="s">
        <v>4432</v>
      </c>
      <c r="D965" t="s">
        <v>1643</v>
      </c>
      <c r="E965" t="s">
        <v>1273</v>
      </c>
    </row>
    <row r="966" spans="1:13" x14ac:dyDescent="0.25">
      <c r="A966">
        <v>90124</v>
      </c>
      <c r="B966" t="s">
        <v>4433</v>
      </c>
      <c r="C966" t="s">
        <v>4434</v>
      </c>
      <c r="D966" t="s">
        <v>1643</v>
      </c>
      <c r="E966" t="s">
        <v>1273</v>
      </c>
    </row>
    <row r="967" spans="1:13" x14ac:dyDescent="0.25">
      <c r="A967">
        <v>89606</v>
      </c>
      <c r="B967" t="s">
        <v>4435</v>
      </c>
      <c r="C967" t="s">
        <v>4436</v>
      </c>
      <c r="D967" t="s">
        <v>1643</v>
      </c>
      <c r="E967" t="s">
        <v>1273</v>
      </c>
      <c r="F967" t="s">
        <v>2499</v>
      </c>
      <c r="G967" t="s">
        <v>1849</v>
      </c>
      <c r="H967">
        <v>4804974034</v>
      </c>
      <c r="K967" t="s">
        <v>4437</v>
      </c>
      <c r="L967" t="s">
        <v>1647</v>
      </c>
      <c r="M967" t="s">
        <v>1634</v>
      </c>
    </row>
    <row r="968" spans="1:13" x14ac:dyDescent="0.25">
      <c r="A968">
        <v>89606</v>
      </c>
      <c r="B968" t="s">
        <v>4435</v>
      </c>
      <c r="C968" t="s">
        <v>4436</v>
      </c>
      <c r="D968" t="s">
        <v>1643</v>
      </c>
      <c r="E968" t="s">
        <v>1273</v>
      </c>
      <c r="F968" t="s">
        <v>4438</v>
      </c>
      <c r="G968" t="s">
        <v>3721</v>
      </c>
      <c r="H968">
        <v>4804974034</v>
      </c>
      <c r="I968">
        <v>2143</v>
      </c>
      <c r="K968" t="s">
        <v>4439</v>
      </c>
      <c r="M968" t="s">
        <v>1634</v>
      </c>
    </row>
    <row r="969" spans="1:13" x14ac:dyDescent="0.25">
      <c r="A969">
        <v>91209</v>
      </c>
      <c r="B969" t="s">
        <v>4440</v>
      </c>
      <c r="C969" t="s">
        <v>4441</v>
      </c>
      <c r="D969" t="s">
        <v>1643</v>
      </c>
      <c r="E969" t="s">
        <v>1273</v>
      </c>
    </row>
    <row r="970" spans="1:13" x14ac:dyDescent="0.25">
      <c r="A970">
        <v>4240</v>
      </c>
      <c r="B970" t="s">
        <v>1574</v>
      </c>
      <c r="C970" t="s">
        <v>4442</v>
      </c>
      <c r="D970" t="s">
        <v>1628</v>
      </c>
      <c r="E970" t="s">
        <v>1273</v>
      </c>
      <c r="F970" t="s">
        <v>4443</v>
      </c>
      <c r="G970" t="s">
        <v>4444</v>
      </c>
      <c r="K970" t="s">
        <v>4445</v>
      </c>
      <c r="M970" t="s">
        <v>1634</v>
      </c>
    </row>
    <row r="971" spans="1:13" x14ac:dyDescent="0.25">
      <c r="A971">
        <v>4240</v>
      </c>
      <c r="B971" t="s">
        <v>1574</v>
      </c>
      <c r="C971" t="s">
        <v>4442</v>
      </c>
      <c r="D971" t="s">
        <v>1628</v>
      </c>
      <c r="E971" t="s">
        <v>1273</v>
      </c>
      <c r="F971" t="s">
        <v>1848</v>
      </c>
      <c r="G971" t="s">
        <v>4446</v>
      </c>
      <c r="K971" t="s">
        <v>4447</v>
      </c>
      <c r="M971" t="s">
        <v>1634</v>
      </c>
    </row>
    <row r="972" spans="1:13" x14ac:dyDescent="0.25">
      <c r="A972">
        <v>4240</v>
      </c>
      <c r="B972" t="s">
        <v>1574</v>
      </c>
      <c r="C972" t="s">
        <v>4442</v>
      </c>
      <c r="D972" t="s">
        <v>1628</v>
      </c>
      <c r="E972" t="s">
        <v>1273</v>
      </c>
      <c r="F972" t="s">
        <v>3456</v>
      </c>
      <c r="G972" t="s">
        <v>4448</v>
      </c>
      <c r="K972" t="s">
        <v>4449</v>
      </c>
      <c r="L972" t="s">
        <v>4450</v>
      </c>
      <c r="M972" t="s">
        <v>1634</v>
      </c>
    </row>
    <row r="973" spans="1:13" x14ac:dyDescent="0.25">
      <c r="A973">
        <v>4240</v>
      </c>
      <c r="B973" t="s">
        <v>1574</v>
      </c>
      <c r="C973" t="s">
        <v>4442</v>
      </c>
      <c r="D973" t="s">
        <v>1628</v>
      </c>
      <c r="E973" t="s">
        <v>1273</v>
      </c>
      <c r="F973" t="s">
        <v>1943</v>
      </c>
      <c r="G973" t="s">
        <v>2877</v>
      </c>
      <c r="K973" t="s">
        <v>4451</v>
      </c>
      <c r="L973" t="s">
        <v>4452</v>
      </c>
      <c r="M973" t="s">
        <v>1634</v>
      </c>
    </row>
    <row r="974" spans="1:13" x14ac:dyDescent="0.25">
      <c r="A974">
        <v>4240</v>
      </c>
      <c r="B974" t="s">
        <v>1574</v>
      </c>
      <c r="C974" t="s">
        <v>4442</v>
      </c>
      <c r="D974" t="s">
        <v>1628</v>
      </c>
      <c r="E974" t="s">
        <v>1273</v>
      </c>
      <c r="F974" t="s">
        <v>3838</v>
      </c>
      <c r="G974" t="s">
        <v>4453</v>
      </c>
      <c r="H974">
        <v>4804846142</v>
      </c>
      <c r="K974" t="s">
        <v>4454</v>
      </c>
      <c r="M974" t="s">
        <v>1634</v>
      </c>
    </row>
    <row r="975" spans="1:13" x14ac:dyDescent="0.25">
      <c r="A975">
        <v>4240</v>
      </c>
      <c r="B975" t="s">
        <v>1574</v>
      </c>
      <c r="C975" t="s">
        <v>4442</v>
      </c>
      <c r="D975" t="s">
        <v>1628</v>
      </c>
      <c r="E975" t="s">
        <v>1273</v>
      </c>
      <c r="F975" t="s">
        <v>4455</v>
      </c>
      <c r="G975" t="s">
        <v>4456</v>
      </c>
      <c r="L975" t="s">
        <v>4457</v>
      </c>
      <c r="M975" t="s">
        <v>1634</v>
      </c>
    </row>
    <row r="976" spans="1:13" x14ac:dyDescent="0.25">
      <c r="A976">
        <v>4240</v>
      </c>
      <c r="B976" t="s">
        <v>1574</v>
      </c>
      <c r="C976" t="s">
        <v>4442</v>
      </c>
      <c r="D976" t="s">
        <v>1628</v>
      </c>
      <c r="E976" t="s">
        <v>1273</v>
      </c>
      <c r="F976" t="s">
        <v>2835</v>
      </c>
      <c r="G976" t="s">
        <v>4458</v>
      </c>
      <c r="H976">
        <v>4804845025</v>
      </c>
      <c r="K976" t="s">
        <v>4459</v>
      </c>
      <c r="L976" t="s">
        <v>4460</v>
      </c>
      <c r="M976" t="s">
        <v>1634</v>
      </c>
    </row>
    <row r="977" spans="1:13" x14ac:dyDescent="0.25">
      <c r="A977">
        <v>4240</v>
      </c>
      <c r="B977" t="s">
        <v>1574</v>
      </c>
      <c r="C977" t="s">
        <v>4442</v>
      </c>
      <c r="D977" t="s">
        <v>1628</v>
      </c>
      <c r="E977" t="s">
        <v>1273</v>
      </c>
      <c r="F977" t="s">
        <v>3040</v>
      </c>
      <c r="G977" t="s">
        <v>4456</v>
      </c>
      <c r="H977">
        <v>4804846411</v>
      </c>
      <c r="K977" t="s">
        <v>4461</v>
      </c>
      <c r="L977" t="s">
        <v>4457</v>
      </c>
      <c r="M977" t="s">
        <v>1634</v>
      </c>
    </row>
    <row r="978" spans="1:13" x14ac:dyDescent="0.25">
      <c r="A978">
        <v>4240</v>
      </c>
      <c r="B978" t="s">
        <v>1574</v>
      </c>
      <c r="C978" t="s">
        <v>4442</v>
      </c>
      <c r="D978" t="s">
        <v>1628</v>
      </c>
      <c r="E978" t="s">
        <v>1273</v>
      </c>
      <c r="F978" t="s">
        <v>3838</v>
      </c>
      <c r="G978" t="s">
        <v>4453</v>
      </c>
      <c r="H978">
        <v>4804846142</v>
      </c>
      <c r="K978" t="s">
        <v>4454</v>
      </c>
      <c r="M978" t="s">
        <v>1640</v>
      </c>
    </row>
    <row r="979" spans="1:13" x14ac:dyDescent="0.25">
      <c r="A979">
        <v>4240</v>
      </c>
      <c r="B979" t="s">
        <v>1574</v>
      </c>
      <c r="C979" t="s">
        <v>4442</v>
      </c>
      <c r="D979" t="s">
        <v>1628</v>
      </c>
      <c r="E979" t="s">
        <v>1273</v>
      </c>
      <c r="F979" t="s">
        <v>2046</v>
      </c>
      <c r="G979" t="s">
        <v>4462</v>
      </c>
      <c r="K979" t="s">
        <v>4463</v>
      </c>
      <c r="L979" t="s">
        <v>3723</v>
      </c>
      <c r="M979" t="s">
        <v>1640</v>
      </c>
    </row>
    <row r="980" spans="1:13" x14ac:dyDescent="0.25">
      <c r="A980">
        <v>4240</v>
      </c>
      <c r="B980" t="s">
        <v>1574</v>
      </c>
      <c r="C980" t="s">
        <v>4442</v>
      </c>
      <c r="D980" t="s">
        <v>1628</v>
      </c>
      <c r="E980" t="s">
        <v>1273</v>
      </c>
      <c r="F980" t="s">
        <v>4464</v>
      </c>
      <c r="G980" t="s">
        <v>1708</v>
      </c>
      <c r="K980" t="s">
        <v>4465</v>
      </c>
      <c r="L980" t="s">
        <v>4466</v>
      </c>
      <c r="M980" t="s">
        <v>1640</v>
      </c>
    </row>
    <row r="981" spans="1:13" x14ac:dyDescent="0.25">
      <c r="A981">
        <v>4240</v>
      </c>
      <c r="B981" t="s">
        <v>1574</v>
      </c>
      <c r="C981" t="s">
        <v>4442</v>
      </c>
      <c r="D981" t="s">
        <v>1628</v>
      </c>
      <c r="E981" t="s">
        <v>1273</v>
      </c>
      <c r="F981" t="s">
        <v>1943</v>
      </c>
      <c r="G981" t="s">
        <v>2877</v>
      </c>
      <c r="K981" t="s">
        <v>4451</v>
      </c>
      <c r="L981" t="s">
        <v>4452</v>
      </c>
      <c r="M981" t="s">
        <v>1765</v>
      </c>
    </row>
    <row r="982" spans="1:13" x14ac:dyDescent="0.25">
      <c r="A982">
        <v>5043</v>
      </c>
      <c r="B982" t="s">
        <v>2423</v>
      </c>
      <c r="C982" t="s">
        <v>4467</v>
      </c>
      <c r="D982" t="s">
        <v>1643</v>
      </c>
      <c r="E982" t="s">
        <v>1273</v>
      </c>
      <c r="F982" t="s">
        <v>4468</v>
      </c>
      <c r="G982" t="s">
        <v>4469</v>
      </c>
      <c r="H982">
        <v>4804841110</v>
      </c>
      <c r="K982" t="s">
        <v>4470</v>
      </c>
      <c r="L982" t="s">
        <v>1647</v>
      </c>
      <c r="M982" t="s">
        <v>1634</v>
      </c>
    </row>
    <row r="983" spans="1:13" x14ac:dyDescent="0.25">
      <c r="A983">
        <v>5044</v>
      </c>
      <c r="B983" t="s">
        <v>4471</v>
      </c>
      <c r="C983" t="s">
        <v>4472</v>
      </c>
      <c r="D983" t="s">
        <v>1643</v>
      </c>
      <c r="E983" t="s">
        <v>1273</v>
      </c>
      <c r="F983" t="s">
        <v>4473</v>
      </c>
      <c r="G983" t="s">
        <v>4474</v>
      </c>
      <c r="H983">
        <v>4804843500</v>
      </c>
      <c r="J983">
        <v>4804843501</v>
      </c>
      <c r="K983" t="s">
        <v>4475</v>
      </c>
      <c r="L983" t="s">
        <v>1647</v>
      </c>
      <c r="M983" t="s">
        <v>1634</v>
      </c>
    </row>
    <row r="984" spans="1:13" x14ac:dyDescent="0.25">
      <c r="A984">
        <v>5044</v>
      </c>
      <c r="B984" t="s">
        <v>4471</v>
      </c>
      <c r="C984" t="s">
        <v>4472</v>
      </c>
      <c r="D984" t="s">
        <v>1643</v>
      </c>
      <c r="E984" t="s">
        <v>1273</v>
      </c>
      <c r="F984" t="s">
        <v>2401</v>
      </c>
      <c r="G984" t="s">
        <v>4476</v>
      </c>
      <c r="H984">
        <v>4804843514</v>
      </c>
      <c r="K984" t="s">
        <v>4477</v>
      </c>
      <c r="L984" t="s">
        <v>1738</v>
      </c>
      <c r="M984" t="s">
        <v>1634</v>
      </c>
    </row>
    <row r="985" spans="1:13" x14ac:dyDescent="0.25">
      <c r="A985">
        <v>5044</v>
      </c>
      <c r="B985" t="s">
        <v>4471</v>
      </c>
      <c r="C985" t="s">
        <v>4472</v>
      </c>
      <c r="D985" t="s">
        <v>1643</v>
      </c>
      <c r="E985" t="s">
        <v>1273</v>
      </c>
      <c r="F985" t="s">
        <v>4478</v>
      </c>
      <c r="G985" t="s">
        <v>4479</v>
      </c>
      <c r="H985">
        <v>4804843515</v>
      </c>
      <c r="K985" t="s">
        <v>4480</v>
      </c>
      <c r="L985" t="s">
        <v>1738</v>
      </c>
      <c r="M985" t="s">
        <v>1640</v>
      </c>
    </row>
    <row r="986" spans="1:13" x14ac:dyDescent="0.25">
      <c r="A986">
        <v>5045</v>
      </c>
      <c r="B986" t="s">
        <v>4481</v>
      </c>
      <c r="C986" t="s">
        <v>4482</v>
      </c>
      <c r="D986" t="s">
        <v>1643</v>
      </c>
      <c r="E986" t="s">
        <v>1273</v>
      </c>
      <c r="F986" t="s">
        <v>4483</v>
      </c>
      <c r="G986" t="s">
        <v>4484</v>
      </c>
      <c r="H986">
        <v>4804842210</v>
      </c>
      <c r="K986" t="s">
        <v>4485</v>
      </c>
      <c r="L986" t="s">
        <v>1647</v>
      </c>
      <c r="M986" t="s">
        <v>1634</v>
      </c>
    </row>
    <row r="987" spans="1:13" x14ac:dyDescent="0.25">
      <c r="A987">
        <v>5045</v>
      </c>
      <c r="B987" t="s">
        <v>4481</v>
      </c>
      <c r="C987" t="s">
        <v>4482</v>
      </c>
      <c r="D987" t="s">
        <v>1643</v>
      </c>
      <c r="E987" t="s">
        <v>1273</v>
      </c>
      <c r="F987" t="s">
        <v>4486</v>
      </c>
      <c r="G987" t="s">
        <v>4487</v>
      </c>
      <c r="H987">
        <v>4804842209</v>
      </c>
      <c r="K987" t="s">
        <v>4488</v>
      </c>
      <c r="M987" t="s">
        <v>1634</v>
      </c>
    </row>
    <row r="988" spans="1:13" x14ac:dyDescent="0.25">
      <c r="A988">
        <v>5045</v>
      </c>
      <c r="B988" t="s">
        <v>4481</v>
      </c>
      <c r="C988" t="s">
        <v>4482</v>
      </c>
      <c r="D988" t="s">
        <v>1643</v>
      </c>
      <c r="E988" t="s">
        <v>1273</v>
      </c>
      <c r="F988" t="s">
        <v>2307</v>
      </c>
      <c r="G988" t="s">
        <v>4489</v>
      </c>
      <c r="H988">
        <v>4804842209</v>
      </c>
      <c r="K988" t="s">
        <v>4490</v>
      </c>
      <c r="L988" t="s">
        <v>1738</v>
      </c>
      <c r="M988" t="s">
        <v>1634</v>
      </c>
    </row>
    <row r="989" spans="1:13" x14ac:dyDescent="0.25">
      <c r="A989">
        <v>5046</v>
      </c>
      <c r="B989" t="s">
        <v>4491</v>
      </c>
      <c r="C989" t="s">
        <v>4492</v>
      </c>
      <c r="D989" t="s">
        <v>1643</v>
      </c>
      <c r="E989" t="s">
        <v>1273</v>
      </c>
      <c r="F989" t="s">
        <v>1938</v>
      </c>
      <c r="G989" t="s">
        <v>4493</v>
      </c>
      <c r="H989">
        <v>4804847510</v>
      </c>
      <c r="J989">
        <v>4804847501</v>
      </c>
      <c r="K989" t="s">
        <v>4494</v>
      </c>
      <c r="L989" t="s">
        <v>1647</v>
      </c>
      <c r="M989" t="s">
        <v>1634</v>
      </c>
    </row>
    <row r="990" spans="1:13" x14ac:dyDescent="0.25">
      <c r="A990">
        <v>5046</v>
      </c>
      <c r="B990" t="s">
        <v>4491</v>
      </c>
      <c r="C990" t="s">
        <v>4492</v>
      </c>
      <c r="D990" t="s">
        <v>1643</v>
      </c>
      <c r="E990" t="s">
        <v>1273</v>
      </c>
      <c r="F990" t="s">
        <v>4478</v>
      </c>
      <c r="G990" t="s">
        <v>4479</v>
      </c>
      <c r="H990">
        <v>4804847510</v>
      </c>
      <c r="K990" t="s">
        <v>4480</v>
      </c>
      <c r="L990" t="s">
        <v>1647</v>
      </c>
      <c r="M990" t="s">
        <v>1634</v>
      </c>
    </row>
    <row r="991" spans="1:13" x14ac:dyDescent="0.25">
      <c r="A991">
        <v>5046</v>
      </c>
      <c r="B991" t="s">
        <v>4491</v>
      </c>
      <c r="C991" t="s">
        <v>4492</v>
      </c>
      <c r="D991" t="s">
        <v>1643</v>
      </c>
      <c r="E991" t="s">
        <v>1273</v>
      </c>
      <c r="F991" t="s">
        <v>4495</v>
      </c>
      <c r="G991" t="s">
        <v>4496</v>
      </c>
      <c r="H991">
        <v>4804847500</v>
      </c>
      <c r="K991" t="s">
        <v>4497</v>
      </c>
      <c r="L991" t="s">
        <v>1721</v>
      </c>
      <c r="M991" t="s">
        <v>1634</v>
      </c>
    </row>
    <row r="992" spans="1:13" x14ac:dyDescent="0.25">
      <c r="A992">
        <v>5046</v>
      </c>
      <c r="B992" t="s">
        <v>4491</v>
      </c>
      <c r="C992" t="s">
        <v>4492</v>
      </c>
      <c r="D992" t="s">
        <v>1643</v>
      </c>
      <c r="E992" t="s">
        <v>1273</v>
      </c>
      <c r="F992" t="s">
        <v>1747</v>
      </c>
      <c r="G992" t="s">
        <v>4498</v>
      </c>
      <c r="H992">
        <v>4804847509</v>
      </c>
      <c r="K992" t="s">
        <v>4499</v>
      </c>
      <c r="L992" t="s">
        <v>1738</v>
      </c>
      <c r="M992" t="s">
        <v>1640</v>
      </c>
    </row>
    <row r="993" spans="1:13" x14ac:dyDescent="0.25">
      <c r="A993">
        <v>5047</v>
      </c>
      <c r="B993" t="s">
        <v>4500</v>
      </c>
      <c r="C993" t="s">
        <v>4501</v>
      </c>
      <c r="D993" t="s">
        <v>1643</v>
      </c>
      <c r="E993" t="s">
        <v>1273</v>
      </c>
      <c r="F993" t="s">
        <v>1707</v>
      </c>
      <c r="G993" t="s">
        <v>4502</v>
      </c>
      <c r="H993">
        <v>4804845812</v>
      </c>
      <c r="K993" t="s">
        <v>4503</v>
      </c>
      <c r="L993" t="s">
        <v>1647</v>
      </c>
      <c r="M993" t="s">
        <v>1634</v>
      </c>
    </row>
    <row r="994" spans="1:13" x14ac:dyDescent="0.25">
      <c r="A994">
        <v>5047</v>
      </c>
      <c r="B994" t="s">
        <v>4500</v>
      </c>
      <c r="C994" t="s">
        <v>4501</v>
      </c>
      <c r="D994" t="s">
        <v>1643</v>
      </c>
      <c r="E994" t="s">
        <v>1273</v>
      </c>
      <c r="F994" t="s">
        <v>1935</v>
      </c>
      <c r="G994" t="s">
        <v>4504</v>
      </c>
      <c r="H994">
        <v>4804843610</v>
      </c>
      <c r="K994" t="s">
        <v>4505</v>
      </c>
      <c r="L994" t="s">
        <v>1647</v>
      </c>
      <c r="M994" t="s">
        <v>1634</v>
      </c>
    </row>
    <row r="995" spans="1:13" x14ac:dyDescent="0.25">
      <c r="A995">
        <v>5047</v>
      </c>
      <c r="B995" t="s">
        <v>4500</v>
      </c>
      <c r="C995" t="s">
        <v>4501</v>
      </c>
      <c r="D995" t="s">
        <v>1643</v>
      </c>
      <c r="E995" t="s">
        <v>1273</v>
      </c>
      <c r="F995" t="s">
        <v>2997</v>
      </c>
      <c r="G995" t="s">
        <v>4506</v>
      </c>
      <c r="H995">
        <v>4804843609</v>
      </c>
      <c r="K995" t="s">
        <v>4507</v>
      </c>
      <c r="L995" t="s">
        <v>1738</v>
      </c>
      <c r="M995" t="s">
        <v>1634</v>
      </c>
    </row>
    <row r="996" spans="1:13" x14ac:dyDescent="0.25">
      <c r="A996">
        <v>5047</v>
      </c>
      <c r="B996" t="s">
        <v>4500</v>
      </c>
      <c r="C996" t="s">
        <v>4501</v>
      </c>
      <c r="D996" t="s">
        <v>1643</v>
      </c>
      <c r="E996" t="s">
        <v>1273</v>
      </c>
      <c r="F996" t="s">
        <v>4508</v>
      </c>
      <c r="G996" t="s">
        <v>3224</v>
      </c>
      <c r="H996">
        <v>4804843609</v>
      </c>
      <c r="K996" t="s">
        <v>4509</v>
      </c>
      <c r="L996" t="s">
        <v>1738</v>
      </c>
      <c r="M996" t="s">
        <v>1634</v>
      </c>
    </row>
    <row r="997" spans="1:13" x14ac:dyDescent="0.25">
      <c r="A997">
        <v>5047</v>
      </c>
      <c r="B997" t="s">
        <v>4500</v>
      </c>
      <c r="C997" t="s">
        <v>4501</v>
      </c>
      <c r="D997" t="s">
        <v>1643</v>
      </c>
      <c r="E997" t="s">
        <v>1273</v>
      </c>
      <c r="F997" t="s">
        <v>3884</v>
      </c>
      <c r="G997" t="s">
        <v>4510</v>
      </c>
      <c r="H997">
        <v>4804845800</v>
      </c>
      <c r="K997" t="s">
        <v>4511</v>
      </c>
      <c r="L997" t="s">
        <v>1721</v>
      </c>
      <c r="M997" t="s">
        <v>1634</v>
      </c>
    </row>
    <row r="998" spans="1:13" x14ac:dyDescent="0.25">
      <c r="A998">
        <v>5048</v>
      </c>
      <c r="B998" t="s">
        <v>3478</v>
      </c>
      <c r="C998" t="s">
        <v>4512</v>
      </c>
      <c r="D998" t="s">
        <v>1643</v>
      </c>
      <c r="E998" t="s">
        <v>1273</v>
      </c>
      <c r="F998" t="s">
        <v>3428</v>
      </c>
      <c r="G998" t="s">
        <v>4513</v>
      </c>
      <c r="H998">
        <v>4804842810</v>
      </c>
      <c r="K998" t="s">
        <v>4514</v>
      </c>
      <c r="L998" t="s">
        <v>1647</v>
      </c>
      <c r="M998" t="s">
        <v>1634</v>
      </c>
    </row>
    <row r="999" spans="1:13" x14ac:dyDescent="0.25">
      <c r="A999">
        <v>5048</v>
      </c>
      <c r="B999" t="s">
        <v>3478</v>
      </c>
      <c r="C999" t="s">
        <v>4512</v>
      </c>
      <c r="D999" t="s">
        <v>1643</v>
      </c>
      <c r="E999" t="s">
        <v>1273</v>
      </c>
      <c r="F999" t="s">
        <v>2429</v>
      </c>
      <c r="G999" t="s">
        <v>4515</v>
      </c>
      <c r="H999">
        <v>4804842807</v>
      </c>
      <c r="K999" t="s">
        <v>4516</v>
      </c>
      <c r="L999" t="s">
        <v>1738</v>
      </c>
      <c r="M999" t="s">
        <v>1634</v>
      </c>
    </row>
    <row r="1000" spans="1:13" x14ac:dyDescent="0.25">
      <c r="A1000">
        <v>5049</v>
      </c>
      <c r="B1000" t="s">
        <v>4517</v>
      </c>
      <c r="C1000" t="s">
        <v>4518</v>
      </c>
      <c r="D1000" t="s">
        <v>1643</v>
      </c>
      <c r="E1000" t="s">
        <v>1273</v>
      </c>
      <c r="F1000" t="s">
        <v>1935</v>
      </c>
      <c r="G1000" t="s">
        <v>4519</v>
      </c>
      <c r="H1000">
        <v>4804842010</v>
      </c>
      <c r="K1000" t="s">
        <v>4520</v>
      </c>
      <c r="L1000" t="s">
        <v>1647</v>
      </c>
      <c r="M1000" t="s">
        <v>1634</v>
      </c>
    </row>
    <row r="1001" spans="1:13" x14ac:dyDescent="0.25">
      <c r="A1001">
        <v>5049</v>
      </c>
      <c r="B1001" t="s">
        <v>4517</v>
      </c>
      <c r="C1001" t="s">
        <v>4518</v>
      </c>
      <c r="D1001" t="s">
        <v>1643</v>
      </c>
      <c r="E1001" t="s">
        <v>1273</v>
      </c>
      <c r="F1001" t="s">
        <v>4508</v>
      </c>
      <c r="G1001" t="s">
        <v>3224</v>
      </c>
      <c r="H1001">
        <v>4804842009</v>
      </c>
      <c r="K1001" t="s">
        <v>4509</v>
      </c>
      <c r="M1001" t="s">
        <v>1634</v>
      </c>
    </row>
    <row r="1002" spans="1:13" x14ac:dyDescent="0.25">
      <c r="A1002">
        <v>5049</v>
      </c>
      <c r="B1002" t="s">
        <v>4517</v>
      </c>
      <c r="C1002" t="s">
        <v>4518</v>
      </c>
      <c r="D1002" t="s">
        <v>1643</v>
      </c>
      <c r="E1002" t="s">
        <v>1273</v>
      </c>
      <c r="F1002" t="s">
        <v>2997</v>
      </c>
      <c r="G1002" t="s">
        <v>4506</v>
      </c>
      <c r="H1002">
        <v>4804842009</v>
      </c>
      <c r="K1002" t="s">
        <v>4507</v>
      </c>
      <c r="L1002" t="s">
        <v>1738</v>
      </c>
      <c r="M1002" t="s">
        <v>1634</v>
      </c>
    </row>
    <row r="1003" spans="1:13" x14ac:dyDescent="0.25">
      <c r="A1003">
        <v>5050</v>
      </c>
      <c r="B1003" t="s">
        <v>4521</v>
      </c>
      <c r="C1003" t="s">
        <v>4522</v>
      </c>
      <c r="D1003" t="s">
        <v>1643</v>
      </c>
      <c r="E1003" t="s">
        <v>1273</v>
      </c>
      <c r="F1003" t="s">
        <v>3428</v>
      </c>
      <c r="G1003" t="s">
        <v>1708</v>
      </c>
      <c r="K1003" t="s">
        <v>4523</v>
      </c>
      <c r="L1003" t="s">
        <v>1647</v>
      </c>
      <c r="M1003" t="s">
        <v>1634</v>
      </c>
    </row>
    <row r="1004" spans="1:13" x14ac:dyDescent="0.25">
      <c r="A1004">
        <v>5050</v>
      </c>
      <c r="B1004" t="s">
        <v>4521</v>
      </c>
      <c r="C1004" t="s">
        <v>4522</v>
      </c>
      <c r="D1004" t="s">
        <v>1643</v>
      </c>
      <c r="E1004" t="s">
        <v>1273</v>
      </c>
      <c r="F1004" t="s">
        <v>4524</v>
      </c>
      <c r="G1004" t="s">
        <v>4525</v>
      </c>
      <c r="H1004">
        <v>4804842609</v>
      </c>
      <c r="K1004" t="s">
        <v>4526</v>
      </c>
      <c r="M1004" t="s">
        <v>1634</v>
      </c>
    </row>
    <row r="1005" spans="1:13" x14ac:dyDescent="0.25">
      <c r="A1005">
        <v>5051</v>
      </c>
      <c r="B1005" t="s">
        <v>4527</v>
      </c>
      <c r="C1005" t="s">
        <v>4528</v>
      </c>
      <c r="D1005" t="s">
        <v>1643</v>
      </c>
      <c r="E1005" t="s">
        <v>1273</v>
      </c>
      <c r="F1005" t="s">
        <v>3884</v>
      </c>
      <c r="G1005" t="s">
        <v>4510</v>
      </c>
      <c r="H1005">
        <v>4804841809</v>
      </c>
      <c r="K1005" t="s">
        <v>4529</v>
      </c>
      <c r="M1005" t="s">
        <v>1634</v>
      </c>
    </row>
    <row r="1006" spans="1:13" x14ac:dyDescent="0.25">
      <c r="A1006">
        <v>5051</v>
      </c>
      <c r="B1006" t="s">
        <v>4527</v>
      </c>
      <c r="C1006" t="s">
        <v>4528</v>
      </c>
      <c r="D1006" t="s">
        <v>1643</v>
      </c>
      <c r="E1006" t="s">
        <v>1273</v>
      </c>
      <c r="F1006" t="s">
        <v>2429</v>
      </c>
      <c r="G1006" t="s">
        <v>4515</v>
      </c>
      <c r="H1006">
        <v>4804841809</v>
      </c>
      <c r="K1006" t="s">
        <v>4516</v>
      </c>
      <c r="L1006" t="s">
        <v>1738</v>
      </c>
      <c r="M1006" t="s">
        <v>1634</v>
      </c>
    </row>
    <row r="1007" spans="1:13" x14ac:dyDescent="0.25">
      <c r="A1007">
        <v>5052</v>
      </c>
      <c r="B1007" t="s">
        <v>4530</v>
      </c>
      <c r="C1007" t="s">
        <v>4531</v>
      </c>
      <c r="D1007" t="s">
        <v>1643</v>
      </c>
      <c r="E1007" t="s">
        <v>1273</v>
      </c>
      <c r="F1007" t="s">
        <v>2099</v>
      </c>
      <c r="G1007" t="s">
        <v>3634</v>
      </c>
      <c r="H1007">
        <v>4804843810</v>
      </c>
      <c r="K1007" t="s">
        <v>4532</v>
      </c>
      <c r="L1007" t="s">
        <v>1647</v>
      </c>
      <c r="M1007" t="s">
        <v>1634</v>
      </c>
    </row>
    <row r="1008" spans="1:13" x14ac:dyDescent="0.25">
      <c r="A1008">
        <v>5052</v>
      </c>
      <c r="B1008" t="s">
        <v>4530</v>
      </c>
      <c r="C1008" t="s">
        <v>4531</v>
      </c>
      <c r="D1008" t="s">
        <v>1643</v>
      </c>
      <c r="E1008" t="s">
        <v>1273</v>
      </c>
      <c r="F1008" t="s">
        <v>1707</v>
      </c>
      <c r="G1008" t="s">
        <v>4502</v>
      </c>
      <c r="H1008">
        <v>4804843809</v>
      </c>
      <c r="K1008" t="s">
        <v>4503</v>
      </c>
      <c r="L1008" t="s">
        <v>4533</v>
      </c>
      <c r="M1008" t="s">
        <v>1634</v>
      </c>
    </row>
    <row r="1009" spans="1:13" x14ac:dyDescent="0.25">
      <c r="A1009">
        <v>5052</v>
      </c>
      <c r="B1009" t="s">
        <v>4530</v>
      </c>
      <c r="C1009" t="s">
        <v>4531</v>
      </c>
      <c r="D1009" t="s">
        <v>1643</v>
      </c>
      <c r="E1009" t="s">
        <v>1273</v>
      </c>
      <c r="F1009" t="s">
        <v>2997</v>
      </c>
      <c r="G1009" t="s">
        <v>4506</v>
      </c>
      <c r="H1009">
        <v>4804843809</v>
      </c>
      <c r="K1009" t="s">
        <v>4507</v>
      </c>
      <c r="L1009" t="s">
        <v>1738</v>
      </c>
      <c r="M1009" t="s">
        <v>1634</v>
      </c>
    </row>
    <row r="1010" spans="1:13" x14ac:dyDescent="0.25">
      <c r="A1010">
        <v>5052</v>
      </c>
      <c r="B1010" t="s">
        <v>4530</v>
      </c>
      <c r="C1010" t="s">
        <v>4531</v>
      </c>
      <c r="D1010" t="s">
        <v>1643</v>
      </c>
      <c r="E1010" t="s">
        <v>1273</v>
      </c>
      <c r="F1010" t="s">
        <v>4508</v>
      </c>
      <c r="G1010" t="s">
        <v>3224</v>
      </c>
      <c r="H1010">
        <v>4804843809</v>
      </c>
      <c r="K1010" t="s">
        <v>4509</v>
      </c>
      <c r="L1010" t="s">
        <v>1738</v>
      </c>
      <c r="M1010" t="s">
        <v>1634</v>
      </c>
    </row>
    <row r="1011" spans="1:13" x14ac:dyDescent="0.25">
      <c r="A1011">
        <v>5053</v>
      </c>
      <c r="B1011" t="s">
        <v>4534</v>
      </c>
      <c r="C1011" t="s">
        <v>4535</v>
      </c>
      <c r="D1011" t="s">
        <v>1643</v>
      </c>
      <c r="E1011" t="s">
        <v>1273</v>
      </c>
      <c r="F1011" t="s">
        <v>4536</v>
      </c>
      <c r="G1011" t="s">
        <v>4537</v>
      </c>
      <c r="K1011" t="s">
        <v>4538</v>
      </c>
      <c r="L1011" t="s">
        <v>1647</v>
      </c>
      <c r="M1011" t="s">
        <v>1634</v>
      </c>
    </row>
    <row r="1012" spans="1:13" x14ac:dyDescent="0.25">
      <c r="A1012">
        <v>5054</v>
      </c>
      <c r="B1012" t="s">
        <v>4539</v>
      </c>
      <c r="C1012" t="s">
        <v>4540</v>
      </c>
      <c r="D1012" t="s">
        <v>1643</v>
      </c>
      <c r="E1012" t="s">
        <v>1273</v>
      </c>
      <c r="F1012" t="s">
        <v>4541</v>
      </c>
      <c r="G1012" t="s">
        <v>4542</v>
      </c>
      <c r="H1012">
        <v>4804848710</v>
      </c>
      <c r="K1012" t="s">
        <v>4543</v>
      </c>
      <c r="L1012" t="s">
        <v>1647</v>
      </c>
      <c r="M1012" t="s">
        <v>1634</v>
      </c>
    </row>
    <row r="1013" spans="1:13" x14ac:dyDescent="0.25">
      <c r="A1013">
        <v>5054</v>
      </c>
      <c r="B1013" t="s">
        <v>4539</v>
      </c>
      <c r="C1013" t="s">
        <v>4540</v>
      </c>
      <c r="D1013" t="s">
        <v>1643</v>
      </c>
      <c r="E1013" t="s">
        <v>1273</v>
      </c>
      <c r="F1013" t="s">
        <v>3303</v>
      </c>
      <c r="G1013" t="s">
        <v>4544</v>
      </c>
      <c r="H1013">
        <v>4804848714</v>
      </c>
      <c r="K1013" t="s">
        <v>4545</v>
      </c>
      <c r="L1013" t="s">
        <v>1738</v>
      </c>
      <c r="M1013" t="s">
        <v>1640</v>
      </c>
    </row>
    <row r="1014" spans="1:13" x14ac:dyDescent="0.25">
      <c r="A1014">
        <v>5055</v>
      </c>
      <c r="B1014" t="s">
        <v>1288</v>
      </c>
      <c r="C1014" t="s">
        <v>4546</v>
      </c>
      <c r="D1014" t="s">
        <v>1643</v>
      </c>
      <c r="E1014" t="s">
        <v>1273</v>
      </c>
      <c r="F1014" t="s">
        <v>4495</v>
      </c>
      <c r="G1014" t="s">
        <v>4547</v>
      </c>
      <c r="H1014">
        <v>4804842400</v>
      </c>
      <c r="J1014">
        <v>4804842401</v>
      </c>
      <c r="K1014" t="s">
        <v>4548</v>
      </c>
      <c r="L1014" t="s">
        <v>1647</v>
      </c>
      <c r="M1014" t="s">
        <v>1634</v>
      </c>
    </row>
    <row r="1015" spans="1:13" x14ac:dyDescent="0.25">
      <c r="A1015">
        <v>5056</v>
      </c>
      <c r="B1015" t="s">
        <v>4549</v>
      </c>
      <c r="C1015" t="s">
        <v>4550</v>
      </c>
      <c r="D1015" t="s">
        <v>1643</v>
      </c>
      <c r="E1015" t="s">
        <v>1273</v>
      </c>
      <c r="F1015" t="s">
        <v>4551</v>
      </c>
      <c r="G1015" t="s">
        <v>4552</v>
      </c>
      <c r="H1015">
        <v>4804843200</v>
      </c>
      <c r="J1015">
        <v>4804843201</v>
      </c>
      <c r="K1015" t="s">
        <v>4553</v>
      </c>
      <c r="L1015" t="s">
        <v>1647</v>
      </c>
      <c r="M1015" t="s">
        <v>1634</v>
      </c>
    </row>
    <row r="1016" spans="1:13" x14ac:dyDescent="0.25">
      <c r="A1016">
        <v>5056</v>
      </c>
      <c r="B1016" t="s">
        <v>4549</v>
      </c>
      <c r="C1016" t="s">
        <v>4550</v>
      </c>
      <c r="D1016" t="s">
        <v>1643</v>
      </c>
      <c r="E1016" t="s">
        <v>1273</v>
      </c>
      <c r="F1016" t="s">
        <v>2307</v>
      </c>
      <c r="G1016" t="s">
        <v>4489</v>
      </c>
      <c r="H1016">
        <v>4844843209</v>
      </c>
      <c r="K1016" t="s">
        <v>4490</v>
      </c>
      <c r="L1016" t="s">
        <v>1738</v>
      </c>
      <c r="M1016" t="s">
        <v>1634</v>
      </c>
    </row>
    <row r="1017" spans="1:13" x14ac:dyDescent="0.25">
      <c r="A1017">
        <v>5056</v>
      </c>
      <c r="B1017" t="s">
        <v>4549</v>
      </c>
      <c r="C1017" t="s">
        <v>4550</v>
      </c>
      <c r="D1017" t="s">
        <v>1643</v>
      </c>
      <c r="E1017" t="s">
        <v>1273</v>
      </c>
      <c r="F1017" t="s">
        <v>4486</v>
      </c>
      <c r="G1017" t="s">
        <v>4487</v>
      </c>
      <c r="H1017">
        <v>4804843209</v>
      </c>
      <c r="K1017" t="s">
        <v>4488</v>
      </c>
      <c r="L1017" t="s">
        <v>1738</v>
      </c>
      <c r="M1017" t="s">
        <v>1640</v>
      </c>
    </row>
    <row r="1018" spans="1:13" x14ac:dyDescent="0.25">
      <c r="A1018">
        <v>5057</v>
      </c>
      <c r="B1018" t="s">
        <v>4554</v>
      </c>
      <c r="C1018" t="s">
        <v>4555</v>
      </c>
      <c r="D1018" t="s">
        <v>1643</v>
      </c>
      <c r="E1018" t="s">
        <v>1273</v>
      </c>
      <c r="F1018" t="s">
        <v>2355</v>
      </c>
      <c r="G1018" t="s">
        <v>4556</v>
      </c>
      <c r="H1018">
        <v>4804844000</v>
      </c>
      <c r="K1018" t="s">
        <v>4557</v>
      </c>
      <c r="L1018" t="s">
        <v>1647</v>
      </c>
      <c r="M1018" t="s">
        <v>1634</v>
      </c>
    </row>
    <row r="1019" spans="1:13" x14ac:dyDescent="0.25">
      <c r="A1019">
        <v>5059</v>
      </c>
      <c r="B1019" t="s">
        <v>4558</v>
      </c>
      <c r="C1019" t="s">
        <v>4559</v>
      </c>
      <c r="D1019" t="s">
        <v>1643</v>
      </c>
      <c r="E1019" t="s">
        <v>1273</v>
      </c>
      <c r="F1019" t="s">
        <v>1726</v>
      </c>
      <c r="G1019" t="s">
        <v>4560</v>
      </c>
      <c r="H1019">
        <v>4804845610</v>
      </c>
      <c r="K1019" t="s">
        <v>4561</v>
      </c>
      <c r="M1019" t="s">
        <v>1634</v>
      </c>
    </row>
    <row r="1020" spans="1:13" x14ac:dyDescent="0.25">
      <c r="A1020">
        <v>5059</v>
      </c>
      <c r="B1020" t="s">
        <v>4558</v>
      </c>
      <c r="C1020" t="s">
        <v>4559</v>
      </c>
      <c r="D1020" t="s">
        <v>1643</v>
      </c>
      <c r="E1020" t="s">
        <v>1273</v>
      </c>
      <c r="F1020" t="s">
        <v>1820</v>
      </c>
      <c r="G1020" t="s">
        <v>4562</v>
      </c>
      <c r="H1020">
        <v>4804845605</v>
      </c>
      <c r="K1020" t="s">
        <v>4563</v>
      </c>
      <c r="M1020" t="s">
        <v>1634</v>
      </c>
    </row>
    <row r="1021" spans="1:13" x14ac:dyDescent="0.25">
      <c r="A1021">
        <v>6009</v>
      </c>
      <c r="B1021" t="s">
        <v>4564</v>
      </c>
      <c r="C1021" t="s">
        <v>4565</v>
      </c>
      <c r="D1021" t="s">
        <v>1643</v>
      </c>
      <c r="E1021" t="s">
        <v>1273</v>
      </c>
      <c r="F1021" t="s">
        <v>4566</v>
      </c>
      <c r="G1021" t="s">
        <v>4567</v>
      </c>
      <c r="H1021">
        <v>4804847300</v>
      </c>
      <c r="K1021" t="s">
        <v>4568</v>
      </c>
      <c r="L1021" t="s">
        <v>1647</v>
      </c>
      <c r="M1021" t="s">
        <v>1634</v>
      </c>
    </row>
    <row r="1022" spans="1:13" x14ac:dyDescent="0.25">
      <c r="A1022">
        <v>6009</v>
      </c>
      <c r="B1022" t="s">
        <v>4564</v>
      </c>
      <c r="C1022" t="s">
        <v>4565</v>
      </c>
      <c r="D1022" t="s">
        <v>1643</v>
      </c>
      <c r="E1022" t="s">
        <v>1273</v>
      </c>
      <c r="F1022" t="s">
        <v>1635</v>
      </c>
      <c r="G1022" t="s">
        <v>4569</v>
      </c>
      <c r="H1022">
        <v>4804847309</v>
      </c>
      <c r="K1022" t="s">
        <v>4570</v>
      </c>
      <c r="L1022" t="s">
        <v>1738</v>
      </c>
      <c r="M1022" t="s">
        <v>1640</v>
      </c>
    </row>
    <row r="1023" spans="1:13" x14ac:dyDescent="0.25">
      <c r="A1023">
        <v>6010</v>
      </c>
      <c r="B1023" t="s">
        <v>4571</v>
      </c>
      <c r="C1023" t="s">
        <v>4572</v>
      </c>
      <c r="D1023" t="s">
        <v>1643</v>
      </c>
      <c r="E1023" t="s">
        <v>1273</v>
      </c>
      <c r="F1023" t="s">
        <v>2556</v>
      </c>
      <c r="G1023" t="s">
        <v>4573</v>
      </c>
      <c r="H1023">
        <v>4804841710</v>
      </c>
      <c r="K1023" t="s">
        <v>4574</v>
      </c>
      <c r="L1023" t="s">
        <v>1647</v>
      </c>
      <c r="M1023" t="s">
        <v>1634</v>
      </c>
    </row>
    <row r="1024" spans="1:13" x14ac:dyDescent="0.25">
      <c r="A1024">
        <v>79639</v>
      </c>
      <c r="B1024" t="s">
        <v>4575</v>
      </c>
      <c r="C1024" t="s">
        <v>4576</v>
      </c>
      <c r="D1024" t="s">
        <v>1643</v>
      </c>
      <c r="E1024" t="s">
        <v>1273</v>
      </c>
      <c r="F1024" t="s">
        <v>2376</v>
      </c>
      <c r="G1024" t="s">
        <v>4577</v>
      </c>
      <c r="K1024" t="s">
        <v>4578</v>
      </c>
      <c r="L1024" t="s">
        <v>1647</v>
      </c>
      <c r="M1024" t="s">
        <v>1634</v>
      </c>
    </row>
    <row r="1025" spans="1:13" x14ac:dyDescent="0.25">
      <c r="A1025">
        <v>79639</v>
      </c>
      <c r="B1025" t="s">
        <v>4575</v>
      </c>
      <c r="C1025" t="s">
        <v>4576</v>
      </c>
      <c r="D1025" t="s">
        <v>1643</v>
      </c>
      <c r="E1025" t="s">
        <v>1273</v>
      </c>
      <c r="F1025" t="s">
        <v>2814</v>
      </c>
      <c r="G1025" t="s">
        <v>4579</v>
      </c>
      <c r="H1025">
        <v>4804841509</v>
      </c>
      <c r="K1025" t="s">
        <v>4580</v>
      </c>
      <c r="L1025" t="s">
        <v>1738</v>
      </c>
      <c r="M1025" t="s">
        <v>1634</v>
      </c>
    </row>
    <row r="1026" spans="1:13" x14ac:dyDescent="0.25">
      <c r="A1026">
        <v>79639</v>
      </c>
      <c r="B1026" t="s">
        <v>4575</v>
      </c>
      <c r="C1026" t="s">
        <v>4576</v>
      </c>
      <c r="D1026" t="s">
        <v>1643</v>
      </c>
      <c r="E1026" t="s">
        <v>1273</v>
      </c>
      <c r="F1026" t="s">
        <v>4581</v>
      </c>
      <c r="G1026" t="s">
        <v>4582</v>
      </c>
      <c r="H1026">
        <v>4804841506</v>
      </c>
      <c r="K1026" t="s">
        <v>4583</v>
      </c>
      <c r="L1026" t="s">
        <v>1738</v>
      </c>
      <c r="M1026" t="s">
        <v>1640</v>
      </c>
    </row>
    <row r="1027" spans="1:13" x14ac:dyDescent="0.25">
      <c r="A1027">
        <v>5061</v>
      </c>
      <c r="B1027" t="s">
        <v>4584</v>
      </c>
      <c r="C1027" t="s">
        <v>4585</v>
      </c>
      <c r="D1027" t="s">
        <v>1643</v>
      </c>
      <c r="E1027" t="s">
        <v>1273</v>
      </c>
      <c r="F1027" t="s">
        <v>2556</v>
      </c>
      <c r="G1027" t="s">
        <v>4573</v>
      </c>
      <c r="H1027">
        <v>4804844610</v>
      </c>
      <c r="K1027" t="s">
        <v>4574</v>
      </c>
      <c r="M1027" t="s">
        <v>1634</v>
      </c>
    </row>
    <row r="1028" spans="1:13" x14ac:dyDescent="0.25">
      <c r="A1028">
        <v>5062</v>
      </c>
      <c r="B1028" t="s">
        <v>4586</v>
      </c>
      <c r="C1028" t="s">
        <v>4587</v>
      </c>
      <c r="D1028" t="s">
        <v>1643</v>
      </c>
      <c r="E1028" t="s">
        <v>1273</v>
      </c>
      <c r="F1028" t="s">
        <v>3345</v>
      </c>
      <c r="G1028" t="s">
        <v>4588</v>
      </c>
      <c r="H1028">
        <v>4804844910</v>
      </c>
      <c r="K1028" t="s">
        <v>4589</v>
      </c>
      <c r="M1028" t="s">
        <v>1634</v>
      </c>
    </row>
    <row r="1029" spans="1:13" x14ac:dyDescent="0.25">
      <c r="A1029">
        <v>5063</v>
      </c>
      <c r="B1029" t="s">
        <v>4590</v>
      </c>
      <c r="C1029" t="s">
        <v>4591</v>
      </c>
      <c r="D1029" t="s">
        <v>1643</v>
      </c>
      <c r="E1029" t="s">
        <v>1273</v>
      </c>
      <c r="F1029" t="s">
        <v>2344</v>
      </c>
      <c r="G1029" t="s">
        <v>4592</v>
      </c>
      <c r="H1029">
        <v>4804845510</v>
      </c>
      <c r="K1029" t="s">
        <v>4593</v>
      </c>
      <c r="L1029" t="s">
        <v>1647</v>
      </c>
      <c r="M1029" t="s">
        <v>1634</v>
      </c>
    </row>
    <row r="1030" spans="1:13" x14ac:dyDescent="0.25">
      <c r="A1030">
        <v>5063</v>
      </c>
      <c r="B1030" t="s">
        <v>4590</v>
      </c>
      <c r="C1030" t="s">
        <v>4591</v>
      </c>
      <c r="D1030" t="s">
        <v>1643</v>
      </c>
      <c r="E1030" t="s">
        <v>1273</v>
      </c>
      <c r="F1030" t="s">
        <v>2355</v>
      </c>
      <c r="G1030" t="s">
        <v>4594</v>
      </c>
      <c r="H1030">
        <v>4804846500</v>
      </c>
      <c r="L1030" t="s">
        <v>4595</v>
      </c>
      <c r="M1030" t="s">
        <v>1634</v>
      </c>
    </row>
    <row r="1031" spans="1:13" x14ac:dyDescent="0.25">
      <c r="A1031">
        <v>5064</v>
      </c>
      <c r="B1031" t="s">
        <v>4596</v>
      </c>
      <c r="C1031" t="s">
        <v>4597</v>
      </c>
      <c r="D1031" t="s">
        <v>1643</v>
      </c>
      <c r="E1031" t="s">
        <v>1273</v>
      </c>
      <c r="F1031" t="s">
        <v>4598</v>
      </c>
      <c r="G1031" t="s">
        <v>4599</v>
      </c>
      <c r="K1031" t="s">
        <v>4600</v>
      </c>
      <c r="L1031" t="s">
        <v>1647</v>
      </c>
      <c r="M1031" t="s">
        <v>1634</v>
      </c>
    </row>
    <row r="1032" spans="1:13" x14ac:dyDescent="0.25">
      <c r="A1032">
        <v>5064</v>
      </c>
      <c r="B1032" t="s">
        <v>4596</v>
      </c>
      <c r="C1032" t="s">
        <v>4597</v>
      </c>
      <c r="D1032" t="s">
        <v>1643</v>
      </c>
      <c r="E1032" t="s">
        <v>1273</v>
      </c>
      <c r="F1032" t="s">
        <v>2229</v>
      </c>
      <c r="G1032" t="s">
        <v>1788</v>
      </c>
      <c r="H1032">
        <v>4804845207</v>
      </c>
      <c r="K1032" t="s">
        <v>4601</v>
      </c>
      <c r="L1032" t="s">
        <v>1738</v>
      </c>
      <c r="M1032" t="s">
        <v>1634</v>
      </c>
    </row>
    <row r="1033" spans="1:13" x14ac:dyDescent="0.25">
      <c r="A1033">
        <v>5065</v>
      </c>
      <c r="B1033" t="s">
        <v>4602</v>
      </c>
      <c r="C1033" t="s">
        <v>4603</v>
      </c>
      <c r="D1033" t="s">
        <v>1643</v>
      </c>
      <c r="E1033" t="s">
        <v>1273</v>
      </c>
      <c r="F1033" t="s">
        <v>1726</v>
      </c>
      <c r="G1033" t="s">
        <v>2142</v>
      </c>
      <c r="H1033">
        <v>4804844410</v>
      </c>
      <c r="K1033" t="s">
        <v>4604</v>
      </c>
      <c r="L1033" t="s">
        <v>1647</v>
      </c>
      <c r="M1033" t="s">
        <v>1634</v>
      </c>
    </row>
    <row r="1034" spans="1:13" x14ac:dyDescent="0.25">
      <c r="A1034">
        <v>5066</v>
      </c>
      <c r="B1034" t="s">
        <v>4605</v>
      </c>
      <c r="C1034" t="s">
        <v>4606</v>
      </c>
      <c r="D1034" t="s">
        <v>1643</v>
      </c>
      <c r="E1034" t="s">
        <v>1273</v>
      </c>
      <c r="F1034" t="s">
        <v>4607</v>
      </c>
      <c r="G1034" t="s">
        <v>4608</v>
      </c>
      <c r="H1034">
        <v>4804846310</v>
      </c>
      <c r="K1034" t="s">
        <v>4609</v>
      </c>
      <c r="L1034" t="s">
        <v>1721</v>
      </c>
      <c r="M1034" t="s">
        <v>1634</v>
      </c>
    </row>
    <row r="1035" spans="1:13" x14ac:dyDescent="0.25">
      <c r="A1035">
        <v>5066</v>
      </c>
      <c r="B1035" t="s">
        <v>4605</v>
      </c>
      <c r="C1035" t="s">
        <v>4606</v>
      </c>
      <c r="D1035" t="s">
        <v>1643</v>
      </c>
      <c r="E1035" t="s">
        <v>1273</v>
      </c>
      <c r="F1035" t="s">
        <v>4610</v>
      </c>
      <c r="G1035" t="s">
        <v>4611</v>
      </c>
      <c r="H1035">
        <v>4804846323</v>
      </c>
      <c r="K1035" t="s">
        <v>4612</v>
      </c>
      <c r="L1035" t="s">
        <v>1738</v>
      </c>
      <c r="M1035" t="s">
        <v>1634</v>
      </c>
    </row>
    <row r="1036" spans="1:13" x14ac:dyDescent="0.25">
      <c r="A1036">
        <v>5066</v>
      </c>
      <c r="B1036" t="s">
        <v>4605</v>
      </c>
      <c r="C1036" t="s">
        <v>4606</v>
      </c>
      <c r="D1036" t="s">
        <v>1643</v>
      </c>
      <c r="E1036" t="s">
        <v>1273</v>
      </c>
      <c r="F1036" t="s">
        <v>1761</v>
      </c>
      <c r="G1036" t="s">
        <v>4613</v>
      </c>
      <c r="H1036">
        <v>4804846313</v>
      </c>
      <c r="K1036" t="s">
        <v>4614</v>
      </c>
      <c r="L1036" t="s">
        <v>1738</v>
      </c>
      <c r="M1036" t="s">
        <v>1634</v>
      </c>
    </row>
    <row r="1037" spans="1:13" x14ac:dyDescent="0.25">
      <c r="A1037">
        <v>5066</v>
      </c>
      <c r="B1037" t="s">
        <v>4605</v>
      </c>
      <c r="C1037" t="s">
        <v>4606</v>
      </c>
      <c r="D1037" t="s">
        <v>1643</v>
      </c>
      <c r="E1037" t="s">
        <v>1273</v>
      </c>
      <c r="F1037" t="s">
        <v>1787</v>
      </c>
      <c r="G1037" t="s">
        <v>3964</v>
      </c>
      <c r="H1037">
        <v>4804846303</v>
      </c>
      <c r="K1037" t="s">
        <v>4615</v>
      </c>
      <c r="L1037" t="s">
        <v>1738</v>
      </c>
      <c r="M1037" t="s">
        <v>1634</v>
      </c>
    </row>
    <row r="1038" spans="1:13" x14ac:dyDescent="0.25">
      <c r="A1038">
        <v>5067</v>
      </c>
      <c r="B1038" t="s">
        <v>1575</v>
      </c>
      <c r="C1038" t="s">
        <v>4616</v>
      </c>
      <c r="D1038" t="s">
        <v>1643</v>
      </c>
      <c r="E1038" t="s">
        <v>1273</v>
      </c>
      <c r="F1038" t="s">
        <v>4617</v>
      </c>
      <c r="G1038" t="s">
        <v>4618</v>
      </c>
      <c r="H1038">
        <v>4804846810</v>
      </c>
      <c r="K1038" t="s">
        <v>4619</v>
      </c>
      <c r="M1038" t="s">
        <v>1634</v>
      </c>
    </row>
    <row r="1039" spans="1:13" x14ac:dyDescent="0.25">
      <c r="A1039">
        <v>5067</v>
      </c>
      <c r="B1039" t="s">
        <v>1575</v>
      </c>
      <c r="C1039" t="s">
        <v>4616</v>
      </c>
      <c r="D1039" t="s">
        <v>1643</v>
      </c>
      <c r="E1039" t="s">
        <v>1273</v>
      </c>
      <c r="F1039" t="s">
        <v>3303</v>
      </c>
      <c r="G1039" t="s">
        <v>4620</v>
      </c>
      <c r="H1039">
        <v>4804846828</v>
      </c>
      <c r="K1039" t="s">
        <v>4621</v>
      </c>
      <c r="L1039" t="s">
        <v>1738</v>
      </c>
      <c r="M1039" t="s">
        <v>1634</v>
      </c>
    </row>
    <row r="1040" spans="1:13" x14ac:dyDescent="0.25">
      <c r="A1040">
        <v>5068</v>
      </c>
      <c r="B1040" t="s">
        <v>4622</v>
      </c>
      <c r="C1040" t="s">
        <v>4623</v>
      </c>
      <c r="D1040" t="s">
        <v>1643</v>
      </c>
      <c r="E1040" t="s">
        <v>1273</v>
      </c>
      <c r="F1040" t="s">
        <v>3193</v>
      </c>
      <c r="G1040" t="s">
        <v>4624</v>
      </c>
      <c r="H1040">
        <v>4804847110</v>
      </c>
      <c r="K1040" t="s">
        <v>4625</v>
      </c>
      <c r="M1040" t="s">
        <v>1634</v>
      </c>
    </row>
    <row r="1041" spans="1:13" x14ac:dyDescent="0.25">
      <c r="A1041">
        <v>5068</v>
      </c>
      <c r="B1041" t="s">
        <v>4622</v>
      </c>
      <c r="C1041" t="s">
        <v>4623</v>
      </c>
      <c r="D1041" t="s">
        <v>1643</v>
      </c>
      <c r="E1041" t="s">
        <v>1273</v>
      </c>
      <c r="F1041" t="s">
        <v>2222</v>
      </c>
      <c r="G1041" t="s">
        <v>4626</v>
      </c>
      <c r="H1041">
        <v>4804847112</v>
      </c>
      <c r="K1041" t="s">
        <v>4627</v>
      </c>
      <c r="M1041" t="s">
        <v>1634</v>
      </c>
    </row>
    <row r="1042" spans="1:13" x14ac:dyDescent="0.25">
      <c r="A1042">
        <v>5068</v>
      </c>
      <c r="B1042" t="s">
        <v>4622</v>
      </c>
      <c r="C1042" t="s">
        <v>4623</v>
      </c>
      <c r="D1042" t="s">
        <v>1643</v>
      </c>
      <c r="E1042" t="s">
        <v>1273</v>
      </c>
      <c r="F1042" t="s">
        <v>2854</v>
      </c>
      <c r="G1042" t="s">
        <v>4628</v>
      </c>
      <c r="H1042">
        <v>4804847109</v>
      </c>
      <c r="K1042" t="s">
        <v>4629</v>
      </c>
      <c r="M1042" t="s">
        <v>1634</v>
      </c>
    </row>
    <row r="1043" spans="1:13" x14ac:dyDescent="0.25">
      <c r="A1043">
        <v>5069</v>
      </c>
      <c r="B1043" t="s">
        <v>4630</v>
      </c>
      <c r="C1043" t="s">
        <v>4631</v>
      </c>
      <c r="D1043" t="s">
        <v>1643</v>
      </c>
      <c r="E1043" t="s">
        <v>1273</v>
      </c>
      <c r="F1043" t="s">
        <v>4632</v>
      </c>
      <c r="G1043" t="s">
        <v>4633</v>
      </c>
      <c r="H1043">
        <v>4804846500</v>
      </c>
      <c r="J1043">
        <v>4804846501</v>
      </c>
      <c r="K1043" t="s">
        <v>4634</v>
      </c>
      <c r="M1043" t="s">
        <v>1634</v>
      </c>
    </row>
    <row r="1044" spans="1:13" x14ac:dyDescent="0.25">
      <c r="A1044">
        <v>5069</v>
      </c>
      <c r="B1044" t="s">
        <v>4630</v>
      </c>
      <c r="C1044" t="s">
        <v>4631</v>
      </c>
      <c r="D1044" t="s">
        <v>1643</v>
      </c>
      <c r="E1044" t="s">
        <v>1273</v>
      </c>
      <c r="F1044" t="s">
        <v>4013</v>
      </c>
      <c r="G1044" t="s">
        <v>2588</v>
      </c>
      <c r="H1044">
        <v>4804646510</v>
      </c>
      <c r="K1044" t="s">
        <v>4635</v>
      </c>
      <c r="L1044" t="s">
        <v>1647</v>
      </c>
      <c r="M1044" t="s">
        <v>1634</v>
      </c>
    </row>
    <row r="1045" spans="1:13" x14ac:dyDescent="0.25">
      <c r="A1045">
        <v>5069</v>
      </c>
      <c r="B1045" t="s">
        <v>4630</v>
      </c>
      <c r="C1045" t="s">
        <v>4631</v>
      </c>
      <c r="D1045" t="s">
        <v>1643</v>
      </c>
      <c r="E1045" t="s">
        <v>1273</v>
      </c>
      <c r="F1045" t="s">
        <v>2321</v>
      </c>
      <c r="G1045" t="s">
        <v>4636</v>
      </c>
      <c r="H1045">
        <v>4804846508</v>
      </c>
      <c r="K1045" t="s">
        <v>4637</v>
      </c>
      <c r="L1045" t="s">
        <v>1738</v>
      </c>
      <c r="M1045" t="s">
        <v>1634</v>
      </c>
    </row>
    <row r="1046" spans="1:13" x14ac:dyDescent="0.25">
      <c r="A1046">
        <v>5069</v>
      </c>
      <c r="B1046" t="s">
        <v>4630</v>
      </c>
      <c r="C1046" t="s">
        <v>4631</v>
      </c>
      <c r="D1046" t="s">
        <v>1643</v>
      </c>
      <c r="E1046" t="s">
        <v>1273</v>
      </c>
      <c r="F1046" t="s">
        <v>4638</v>
      </c>
      <c r="G1046" t="s">
        <v>4639</v>
      </c>
      <c r="H1046">
        <v>4804846514</v>
      </c>
      <c r="K1046" t="s">
        <v>4640</v>
      </c>
      <c r="L1046" t="s">
        <v>1738</v>
      </c>
      <c r="M1046" t="s">
        <v>1634</v>
      </c>
    </row>
    <row r="1047" spans="1:13" x14ac:dyDescent="0.25">
      <c r="A1047">
        <v>5070</v>
      </c>
      <c r="B1047" t="s">
        <v>4641</v>
      </c>
      <c r="C1047" t="s">
        <v>4642</v>
      </c>
      <c r="D1047" t="s">
        <v>1643</v>
      </c>
      <c r="E1047" t="s">
        <v>1273</v>
      </c>
      <c r="F1047" t="s">
        <v>2865</v>
      </c>
      <c r="G1047" t="s">
        <v>4051</v>
      </c>
      <c r="H1047">
        <v>4804847018</v>
      </c>
      <c r="K1047" t="s">
        <v>4643</v>
      </c>
      <c r="M1047" t="s">
        <v>1634</v>
      </c>
    </row>
    <row r="1048" spans="1:13" x14ac:dyDescent="0.25">
      <c r="A1048">
        <v>5070</v>
      </c>
      <c r="B1048" t="s">
        <v>4641</v>
      </c>
      <c r="C1048" t="s">
        <v>4642</v>
      </c>
      <c r="D1048" t="s">
        <v>1643</v>
      </c>
      <c r="E1048" t="s">
        <v>1273</v>
      </c>
      <c r="F1048" t="s">
        <v>4644</v>
      </c>
      <c r="G1048" t="s">
        <v>4645</v>
      </c>
      <c r="H1048">
        <v>4804847010</v>
      </c>
      <c r="K1048" t="s">
        <v>4646</v>
      </c>
      <c r="L1048" t="s">
        <v>1647</v>
      </c>
      <c r="M1048" t="s">
        <v>1634</v>
      </c>
    </row>
    <row r="1049" spans="1:13" x14ac:dyDescent="0.25">
      <c r="A1049">
        <v>91286</v>
      </c>
      <c r="B1049" t="s">
        <v>4647</v>
      </c>
      <c r="C1049" t="s">
        <v>4648</v>
      </c>
      <c r="D1049" t="s">
        <v>1643</v>
      </c>
      <c r="E1049" t="s">
        <v>1273</v>
      </c>
    </row>
    <row r="1050" spans="1:13" x14ac:dyDescent="0.25">
      <c r="A1050">
        <v>4248</v>
      </c>
      <c r="B1050" t="s">
        <v>4649</v>
      </c>
      <c r="C1050" t="s">
        <v>4650</v>
      </c>
      <c r="D1050" t="s">
        <v>1628</v>
      </c>
      <c r="E1050" t="s">
        <v>1273</v>
      </c>
      <c r="F1050" t="s">
        <v>2222</v>
      </c>
      <c r="G1050" t="s">
        <v>4651</v>
      </c>
      <c r="H1050">
        <v>4802797049</v>
      </c>
      <c r="K1050" t="s">
        <v>4652</v>
      </c>
      <c r="L1050" t="s">
        <v>1668</v>
      </c>
      <c r="M1050" t="s">
        <v>1634</v>
      </c>
    </row>
    <row r="1051" spans="1:13" x14ac:dyDescent="0.25">
      <c r="A1051">
        <v>4248</v>
      </c>
      <c r="B1051" t="s">
        <v>4649</v>
      </c>
      <c r="C1051" t="s">
        <v>4650</v>
      </c>
      <c r="D1051" t="s">
        <v>1628</v>
      </c>
      <c r="E1051" t="s">
        <v>1273</v>
      </c>
      <c r="F1051" t="s">
        <v>3758</v>
      </c>
      <c r="G1051" t="s">
        <v>4653</v>
      </c>
      <c r="H1051">
        <v>4802797050</v>
      </c>
      <c r="K1051" t="s">
        <v>4654</v>
      </c>
      <c r="M1051" t="s">
        <v>1634</v>
      </c>
    </row>
    <row r="1052" spans="1:13" x14ac:dyDescent="0.25">
      <c r="A1052">
        <v>4248</v>
      </c>
      <c r="B1052" t="s">
        <v>4649</v>
      </c>
      <c r="C1052" t="s">
        <v>4650</v>
      </c>
      <c r="D1052" t="s">
        <v>1628</v>
      </c>
      <c r="E1052" t="s">
        <v>1273</v>
      </c>
      <c r="F1052" t="s">
        <v>3193</v>
      </c>
      <c r="G1052" t="s">
        <v>3204</v>
      </c>
      <c r="K1052" t="s">
        <v>4655</v>
      </c>
      <c r="L1052" t="s">
        <v>4656</v>
      </c>
      <c r="M1052" t="s">
        <v>1634</v>
      </c>
    </row>
    <row r="1053" spans="1:13" x14ac:dyDescent="0.25">
      <c r="A1053">
        <v>4248</v>
      </c>
      <c r="B1053" t="s">
        <v>4649</v>
      </c>
      <c r="C1053" t="s">
        <v>4650</v>
      </c>
      <c r="D1053" t="s">
        <v>1628</v>
      </c>
      <c r="E1053" t="s">
        <v>1273</v>
      </c>
      <c r="F1053" t="s">
        <v>4657</v>
      </c>
      <c r="G1053" t="s">
        <v>4658</v>
      </c>
      <c r="H1053">
        <v>4802797053</v>
      </c>
      <c r="K1053" t="s">
        <v>4659</v>
      </c>
      <c r="L1053" t="s">
        <v>1640</v>
      </c>
      <c r="M1053" t="s">
        <v>1640</v>
      </c>
    </row>
    <row r="1054" spans="1:13" x14ac:dyDescent="0.25">
      <c r="A1054">
        <v>4248</v>
      </c>
      <c r="B1054" t="s">
        <v>4649</v>
      </c>
      <c r="C1054" t="s">
        <v>4650</v>
      </c>
      <c r="D1054" t="s">
        <v>1628</v>
      </c>
      <c r="E1054" t="s">
        <v>1273</v>
      </c>
      <c r="F1054" t="s">
        <v>4660</v>
      </c>
      <c r="G1054" t="s">
        <v>2588</v>
      </c>
      <c r="H1054" t="s">
        <v>4661</v>
      </c>
      <c r="J1054">
        <v>4802797509</v>
      </c>
      <c r="K1054" t="s">
        <v>4662</v>
      </c>
      <c r="L1054" t="s">
        <v>4663</v>
      </c>
      <c r="M1054" t="s">
        <v>1640</v>
      </c>
    </row>
    <row r="1055" spans="1:13" x14ac:dyDescent="0.25">
      <c r="A1055">
        <v>4248</v>
      </c>
      <c r="B1055" t="s">
        <v>4649</v>
      </c>
      <c r="C1055" t="s">
        <v>4650</v>
      </c>
      <c r="D1055" t="s">
        <v>1628</v>
      </c>
      <c r="E1055" t="s">
        <v>1273</v>
      </c>
      <c r="F1055" t="s">
        <v>3253</v>
      </c>
      <c r="G1055" t="s">
        <v>4664</v>
      </c>
      <c r="H1055">
        <v>4802797089</v>
      </c>
      <c r="K1055" t="s">
        <v>4665</v>
      </c>
      <c r="L1055" t="s">
        <v>4666</v>
      </c>
      <c r="M1055" t="s">
        <v>1640</v>
      </c>
    </row>
    <row r="1056" spans="1:13" x14ac:dyDescent="0.25">
      <c r="A1056">
        <v>4248</v>
      </c>
      <c r="B1056" t="s">
        <v>4649</v>
      </c>
      <c r="C1056" t="s">
        <v>4650</v>
      </c>
      <c r="D1056" t="s">
        <v>1628</v>
      </c>
      <c r="E1056" t="s">
        <v>1273</v>
      </c>
      <c r="F1056" t="s">
        <v>4464</v>
      </c>
      <c r="G1056" t="s">
        <v>1708</v>
      </c>
      <c r="H1056">
        <v>4802797053</v>
      </c>
      <c r="K1056" t="s">
        <v>4667</v>
      </c>
      <c r="L1056" t="s">
        <v>3124</v>
      </c>
      <c r="M1056" t="s">
        <v>1640</v>
      </c>
    </row>
    <row r="1057" spans="1:13" x14ac:dyDescent="0.25">
      <c r="A1057">
        <v>4248</v>
      </c>
      <c r="B1057" t="s">
        <v>4649</v>
      </c>
      <c r="C1057" t="s">
        <v>4650</v>
      </c>
      <c r="D1057" t="s">
        <v>1628</v>
      </c>
      <c r="E1057" t="s">
        <v>1273</v>
      </c>
      <c r="F1057" t="s">
        <v>4668</v>
      </c>
      <c r="G1057" t="s">
        <v>4669</v>
      </c>
      <c r="K1057" t="s">
        <v>4670</v>
      </c>
      <c r="L1057" t="s">
        <v>4671</v>
      </c>
      <c r="M1057" t="s">
        <v>1765</v>
      </c>
    </row>
    <row r="1058" spans="1:13" x14ac:dyDescent="0.25">
      <c r="A1058">
        <v>4248</v>
      </c>
      <c r="B1058" t="s">
        <v>4649</v>
      </c>
      <c r="C1058" t="s">
        <v>4650</v>
      </c>
      <c r="D1058" t="s">
        <v>1628</v>
      </c>
      <c r="E1058" t="s">
        <v>1273</v>
      </c>
      <c r="F1058" t="s">
        <v>3193</v>
      </c>
      <c r="G1058" t="s">
        <v>3204</v>
      </c>
      <c r="K1058" t="s">
        <v>4655</v>
      </c>
      <c r="L1058" t="s">
        <v>4656</v>
      </c>
      <c r="M1058" t="s">
        <v>1765</v>
      </c>
    </row>
    <row r="1059" spans="1:13" x14ac:dyDescent="0.25">
      <c r="A1059">
        <v>5168</v>
      </c>
      <c r="B1059" t="s">
        <v>4672</v>
      </c>
      <c r="C1059" t="s">
        <v>4673</v>
      </c>
      <c r="D1059" t="s">
        <v>1643</v>
      </c>
      <c r="E1059" t="s">
        <v>1273</v>
      </c>
      <c r="F1059" t="s">
        <v>4674</v>
      </c>
      <c r="G1059" t="s">
        <v>4675</v>
      </c>
      <c r="H1059">
        <v>4802796810</v>
      </c>
      <c r="K1059" t="s">
        <v>4676</v>
      </c>
      <c r="L1059" t="s">
        <v>1647</v>
      </c>
      <c r="M1059" t="s">
        <v>1634</v>
      </c>
    </row>
    <row r="1060" spans="1:13" x14ac:dyDescent="0.25">
      <c r="A1060">
        <v>79227</v>
      </c>
      <c r="B1060" t="s">
        <v>1641</v>
      </c>
      <c r="C1060" t="s">
        <v>4677</v>
      </c>
      <c r="D1060" t="s">
        <v>1643</v>
      </c>
      <c r="E1060" t="s">
        <v>1273</v>
      </c>
    </row>
    <row r="1061" spans="1:13" x14ac:dyDescent="0.25">
      <c r="A1061">
        <v>79375</v>
      </c>
      <c r="B1061" t="s">
        <v>4678</v>
      </c>
      <c r="C1061" t="s">
        <v>4679</v>
      </c>
      <c r="D1061" t="s">
        <v>1643</v>
      </c>
      <c r="E1061" t="s">
        <v>1273</v>
      </c>
      <c r="F1061" t="s">
        <v>2037</v>
      </c>
      <c r="G1061" t="s">
        <v>4680</v>
      </c>
      <c r="H1061">
        <v>4802797210</v>
      </c>
      <c r="K1061" t="s">
        <v>4681</v>
      </c>
      <c r="L1061" t="s">
        <v>1721</v>
      </c>
      <c r="M1061" t="s">
        <v>1634</v>
      </c>
    </row>
    <row r="1062" spans="1:13" x14ac:dyDescent="0.25">
      <c r="A1062">
        <v>80316</v>
      </c>
      <c r="B1062" t="s">
        <v>4682</v>
      </c>
      <c r="C1062" t="s">
        <v>4683</v>
      </c>
      <c r="D1062" t="s">
        <v>1643</v>
      </c>
      <c r="E1062" t="s">
        <v>1273</v>
      </c>
    </row>
    <row r="1063" spans="1:13" x14ac:dyDescent="0.25">
      <c r="A1063">
        <v>87487</v>
      </c>
      <c r="B1063" t="s">
        <v>4684</v>
      </c>
      <c r="C1063" t="s">
        <v>4685</v>
      </c>
      <c r="D1063" t="s">
        <v>1643</v>
      </c>
      <c r="E1063" t="s">
        <v>1273</v>
      </c>
    </row>
    <row r="1064" spans="1:13" x14ac:dyDescent="0.25">
      <c r="A1064">
        <v>88422</v>
      </c>
      <c r="B1064" t="s">
        <v>4686</v>
      </c>
      <c r="C1064" t="s">
        <v>4687</v>
      </c>
      <c r="D1064" t="s">
        <v>1643</v>
      </c>
      <c r="E1064" t="s">
        <v>1273</v>
      </c>
    </row>
    <row r="1065" spans="1:13" x14ac:dyDescent="0.25">
      <c r="A1065">
        <v>89580</v>
      </c>
      <c r="B1065" t="s">
        <v>4688</v>
      </c>
      <c r="C1065" t="s">
        <v>4689</v>
      </c>
      <c r="D1065" t="s">
        <v>1643</v>
      </c>
      <c r="E1065" t="s">
        <v>1273</v>
      </c>
    </row>
    <row r="1066" spans="1:13" x14ac:dyDescent="0.25">
      <c r="A1066">
        <v>90315</v>
      </c>
      <c r="B1066" t="s">
        <v>4690</v>
      </c>
      <c r="C1066" t="s">
        <v>4691</v>
      </c>
      <c r="D1066" t="s">
        <v>1643</v>
      </c>
      <c r="E1066" t="s">
        <v>1273</v>
      </c>
    </row>
    <row r="1067" spans="1:13" x14ac:dyDescent="0.25">
      <c r="A1067">
        <v>93009</v>
      </c>
      <c r="B1067" t="s">
        <v>4692</v>
      </c>
      <c r="C1067" t="s">
        <v>4693</v>
      </c>
      <c r="D1067" t="s">
        <v>1643</v>
      </c>
      <c r="E1067" t="s">
        <v>1273</v>
      </c>
    </row>
    <row r="1068" spans="1:13" x14ac:dyDescent="0.25">
      <c r="A1068">
        <v>92252</v>
      </c>
      <c r="B1068" t="s">
        <v>4694</v>
      </c>
      <c r="C1068" t="s">
        <v>4695</v>
      </c>
      <c r="D1068" t="s">
        <v>1643</v>
      </c>
      <c r="E1068" t="s">
        <v>1273</v>
      </c>
      <c r="F1068" t="s">
        <v>4581</v>
      </c>
      <c r="G1068" t="s">
        <v>4696</v>
      </c>
      <c r="K1068" t="s">
        <v>4697</v>
      </c>
      <c r="L1068" t="s">
        <v>3124</v>
      </c>
      <c r="M1068" t="s">
        <v>1634</v>
      </c>
    </row>
    <row r="1069" spans="1:13" x14ac:dyDescent="0.25">
      <c r="A1069">
        <v>92259</v>
      </c>
      <c r="B1069" t="s">
        <v>4698</v>
      </c>
      <c r="C1069" t="s">
        <v>4699</v>
      </c>
      <c r="D1069" t="s">
        <v>1643</v>
      </c>
      <c r="E1069" t="s">
        <v>1273</v>
      </c>
    </row>
    <row r="1070" spans="1:13" x14ac:dyDescent="0.25">
      <c r="A1070">
        <v>92260</v>
      </c>
      <c r="B1070" t="s">
        <v>4700</v>
      </c>
      <c r="C1070" t="s">
        <v>4701</v>
      </c>
      <c r="D1070" t="s">
        <v>1643</v>
      </c>
      <c r="E1070" t="s">
        <v>1273</v>
      </c>
    </row>
    <row r="1071" spans="1:13" x14ac:dyDescent="0.25">
      <c r="A1071">
        <v>79374</v>
      </c>
      <c r="B1071" t="s">
        <v>4702</v>
      </c>
      <c r="C1071" t="s">
        <v>4703</v>
      </c>
      <c r="D1071" t="s">
        <v>1643</v>
      </c>
      <c r="E1071" t="s">
        <v>1273</v>
      </c>
    </row>
    <row r="1072" spans="1:13" x14ac:dyDescent="0.25">
      <c r="A1072">
        <v>89581</v>
      </c>
      <c r="B1072" t="s">
        <v>4704</v>
      </c>
      <c r="C1072" t="s">
        <v>4705</v>
      </c>
      <c r="D1072" t="s">
        <v>1643</v>
      </c>
      <c r="E1072" t="s">
        <v>1273</v>
      </c>
      <c r="F1072" t="s">
        <v>2997</v>
      </c>
      <c r="G1072" t="s">
        <v>4706</v>
      </c>
      <c r="L1072" t="s">
        <v>1647</v>
      </c>
      <c r="M1072" t="s">
        <v>1634</v>
      </c>
    </row>
    <row r="1073" spans="1:13" x14ac:dyDescent="0.25">
      <c r="A1073">
        <v>1001176</v>
      </c>
      <c r="B1073" t="s">
        <v>4707</v>
      </c>
      <c r="C1073" t="s">
        <v>4708</v>
      </c>
      <c r="D1073" t="s">
        <v>1643</v>
      </c>
      <c r="E1073" t="s">
        <v>1273</v>
      </c>
      <c r="F1073" t="s">
        <v>3758</v>
      </c>
      <c r="G1073" t="s">
        <v>4653</v>
      </c>
      <c r="H1073">
        <v>4802797050</v>
      </c>
      <c r="K1073" t="s">
        <v>4654</v>
      </c>
      <c r="M1073" t="s">
        <v>1634</v>
      </c>
    </row>
    <row r="1074" spans="1:13" x14ac:dyDescent="0.25">
      <c r="A1074">
        <v>1001176</v>
      </c>
      <c r="B1074" t="s">
        <v>4707</v>
      </c>
      <c r="C1074" t="s">
        <v>4708</v>
      </c>
      <c r="D1074" t="s">
        <v>1643</v>
      </c>
      <c r="E1074" t="s">
        <v>1273</v>
      </c>
      <c r="F1074" t="s">
        <v>2222</v>
      </c>
      <c r="G1074" t="s">
        <v>4651</v>
      </c>
      <c r="H1074">
        <v>4802797049</v>
      </c>
      <c r="K1074" t="s">
        <v>4652</v>
      </c>
      <c r="L1074" t="s">
        <v>1668</v>
      </c>
      <c r="M1074" t="s">
        <v>1634</v>
      </c>
    </row>
    <row r="1075" spans="1:13" x14ac:dyDescent="0.25">
      <c r="A1075">
        <v>4241</v>
      </c>
      <c r="B1075" t="s">
        <v>1354</v>
      </c>
      <c r="C1075" t="s">
        <v>4709</v>
      </c>
      <c r="D1075" t="s">
        <v>1628</v>
      </c>
      <c r="E1075" t="s">
        <v>1273</v>
      </c>
      <c r="F1075" t="s">
        <v>3610</v>
      </c>
      <c r="G1075" t="s">
        <v>4710</v>
      </c>
      <c r="K1075" t="s">
        <v>4711</v>
      </c>
      <c r="L1075" t="s">
        <v>4712</v>
      </c>
      <c r="M1075" t="s">
        <v>1634</v>
      </c>
    </row>
    <row r="1076" spans="1:13" x14ac:dyDescent="0.25">
      <c r="A1076">
        <v>4241</v>
      </c>
      <c r="B1076" t="s">
        <v>1354</v>
      </c>
      <c r="C1076" t="s">
        <v>4709</v>
      </c>
      <c r="D1076" t="s">
        <v>1628</v>
      </c>
      <c r="E1076" t="s">
        <v>1273</v>
      </c>
      <c r="F1076" t="s">
        <v>3313</v>
      </c>
      <c r="G1076" t="s">
        <v>4713</v>
      </c>
      <c r="J1076">
        <v>6024492371</v>
      </c>
      <c r="K1076" t="s">
        <v>4714</v>
      </c>
      <c r="L1076" t="s">
        <v>4715</v>
      </c>
      <c r="M1076" t="s">
        <v>1634</v>
      </c>
    </row>
    <row r="1077" spans="1:13" x14ac:dyDescent="0.25">
      <c r="A1077">
        <v>4241</v>
      </c>
      <c r="B1077" t="s">
        <v>1354</v>
      </c>
      <c r="C1077" t="s">
        <v>4709</v>
      </c>
      <c r="D1077" t="s">
        <v>1628</v>
      </c>
      <c r="E1077" t="s">
        <v>1273</v>
      </c>
      <c r="F1077" t="s">
        <v>2156</v>
      </c>
      <c r="G1077" t="s">
        <v>4716</v>
      </c>
      <c r="H1077">
        <v>6024492033</v>
      </c>
      <c r="J1077">
        <v>6024492052</v>
      </c>
      <c r="K1077" t="s">
        <v>4717</v>
      </c>
      <c r="L1077" t="s">
        <v>4718</v>
      </c>
      <c r="M1077" t="s">
        <v>1640</v>
      </c>
    </row>
    <row r="1078" spans="1:13" x14ac:dyDescent="0.25">
      <c r="A1078">
        <v>5071</v>
      </c>
      <c r="B1078" t="s">
        <v>4719</v>
      </c>
      <c r="C1078" t="s">
        <v>4720</v>
      </c>
      <c r="D1078" t="s">
        <v>1643</v>
      </c>
      <c r="E1078" t="s">
        <v>1273</v>
      </c>
      <c r="F1078" t="s">
        <v>1726</v>
      </c>
      <c r="G1078" t="s">
        <v>4721</v>
      </c>
      <c r="H1078">
        <v>6024492600</v>
      </c>
      <c r="J1078">
        <v>6024492605</v>
      </c>
      <c r="K1078" t="s">
        <v>4722</v>
      </c>
      <c r="L1078" t="s">
        <v>1647</v>
      </c>
      <c r="M1078" t="s">
        <v>1634</v>
      </c>
    </row>
    <row r="1079" spans="1:13" x14ac:dyDescent="0.25">
      <c r="A1079">
        <v>92611</v>
      </c>
      <c r="B1079" t="s">
        <v>4723</v>
      </c>
      <c r="C1079" t="s">
        <v>4724</v>
      </c>
      <c r="D1079" t="s">
        <v>1643</v>
      </c>
      <c r="E1079" t="s">
        <v>1273</v>
      </c>
      <c r="F1079" t="s">
        <v>4725</v>
      </c>
      <c r="G1079" t="s">
        <v>4726</v>
      </c>
      <c r="H1079">
        <v>6024492300</v>
      </c>
      <c r="K1079" t="s">
        <v>4727</v>
      </c>
      <c r="L1079" t="s">
        <v>1647</v>
      </c>
      <c r="M1079" t="s">
        <v>1634</v>
      </c>
    </row>
    <row r="1080" spans="1:13" x14ac:dyDescent="0.25">
      <c r="A1080">
        <v>91754</v>
      </c>
      <c r="B1080" t="s">
        <v>4728</v>
      </c>
      <c r="C1080" t="s">
        <v>4729</v>
      </c>
      <c r="D1080" t="s">
        <v>1643</v>
      </c>
      <c r="E1080" t="s">
        <v>1273</v>
      </c>
      <c r="F1080" t="s">
        <v>2471</v>
      </c>
      <c r="G1080" t="s">
        <v>4730</v>
      </c>
      <c r="H1080">
        <v>6024494700</v>
      </c>
      <c r="K1080" t="s">
        <v>4731</v>
      </c>
      <c r="L1080" t="s">
        <v>1647</v>
      </c>
      <c r="M1080" t="s">
        <v>1634</v>
      </c>
    </row>
    <row r="1081" spans="1:13" x14ac:dyDescent="0.25">
      <c r="A1081">
        <v>5074</v>
      </c>
      <c r="B1081" t="s">
        <v>4732</v>
      </c>
      <c r="C1081" t="s">
        <v>4733</v>
      </c>
      <c r="D1081" t="s">
        <v>1643</v>
      </c>
      <c r="E1081" t="s">
        <v>1273</v>
      </c>
      <c r="F1081" t="s">
        <v>3310</v>
      </c>
      <c r="G1081" t="s">
        <v>4734</v>
      </c>
      <c r="K1081" t="s">
        <v>4735</v>
      </c>
      <c r="L1081" t="s">
        <v>4736</v>
      </c>
      <c r="M1081" t="s">
        <v>1634</v>
      </c>
    </row>
    <row r="1082" spans="1:13" x14ac:dyDescent="0.25">
      <c r="A1082">
        <v>5074</v>
      </c>
      <c r="B1082" t="s">
        <v>4732</v>
      </c>
      <c r="C1082" t="s">
        <v>4733</v>
      </c>
      <c r="D1082" t="s">
        <v>1643</v>
      </c>
      <c r="E1082" t="s">
        <v>1273</v>
      </c>
      <c r="F1082" t="s">
        <v>3178</v>
      </c>
      <c r="G1082" t="s">
        <v>4737</v>
      </c>
      <c r="K1082" t="s">
        <v>4738</v>
      </c>
      <c r="L1082" t="s">
        <v>1647</v>
      </c>
      <c r="M1082" t="s">
        <v>1634</v>
      </c>
    </row>
    <row r="1083" spans="1:13" x14ac:dyDescent="0.25">
      <c r="A1083">
        <v>5077</v>
      </c>
      <c r="B1083" t="s">
        <v>4739</v>
      </c>
      <c r="C1083" t="s">
        <v>4740</v>
      </c>
      <c r="D1083" t="s">
        <v>1643</v>
      </c>
      <c r="E1083" t="s">
        <v>1273</v>
      </c>
      <c r="F1083" t="s">
        <v>4741</v>
      </c>
      <c r="G1083" t="s">
        <v>4410</v>
      </c>
      <c r="H1083">
        <v>6024496400</v>
      </c>
      <c r="K1083" t="s">
        <v>4742</v>
      </c>
      <c r="L1083" t="s">
        <v>1647</v>
      </c>
      <c r="M1083" t="s">
        <v>1634</v>
      </c>
    </row>
    <row r="1084" spans="1:13" x14ac:dyDescent="0.25">
      <c r="A1084">
        <v>5078</v>
      </c>
      <c r="B1084" t="s">
        <v>4743</v>
      </c>
      <c r="C1084" t="s">
        <v>4744</v>
      </c>
      <c r="D1084" t="s">
        <v>1643</v>
      </c>
      <c r="E1084" t="s">
        <v>1273</v>
      </c>
      <c r="F1084" t="s">
        <v>2204</v>
      </c>
      <c r="G1084" t="s">
        <v>4745</v>
      </c>
      <c r="K1084" t="s">
        <v>4746</v>
      </c>
      <c r="L1084" t="s">
        <v>4747</v>
      </c>
      <c r="M1084" t="s">
        <v>1634</v>
      </c>
    </row>
    <row r="1085" spans="1:13" x14ac:dyDescent="0.25">
      <c r="A1085">
        <v>5078</v>
      </c>
      <c r="B1085" t="s">
        <v>4743</v>
      </c>
      <c r="C1085" t="s">
        <v>4744</v>
      </c>
      <c r="D1085" t="s">
        <v>1643</v>
      </c>
      <c r="E1085" t="s">
        <v>1273</v>
      </c>
      <c r="F1085" t="s">
        <v>4748</v>
      </c>
      <c r="G1085" t="s">
        <v>4749</v>
      </c>
      <c r="H1085">
        <v>6024495700</v>
      </c>
      <c r="K1085" t="s">
        <v>4750</v>
      </c>
      <c r="L1085" t="s">
        <v>1647</v>
      </c>
      <c r="M1085" t="s">
        <v>1634</v>
      </c>
    </row>
    <row r="1086" spans="1:13" x14ac:dyDescent="0.25">
      <c r="A1086">
        <v>5079</v>
      </c>
      <c r="B1086" t="s">
        <v>4751</v>
      </c>
      <c r="C1086" t="s">
        <v>4752</v>
      </c>
      <c r="D1086" t="s">
        <v>1643</v>
      </c>
      <c r="E1086" t="s">
        <v>1273</v>
      </c>
      <c r="F1086" t="s">
        <v>2977</v>
      </c>
      <c r="G1086" t="s">
        <v>4753</v>
      </c>
      <c r="K1086" t="s">
        <v>4754</v>
      </c>
      <c r="L1086" t="s">
        <v>4747</v>
      </c>
      <c r="M1086" t="s">
        <v>1634</v>
      </c>
    </row>
    <row r="1087" spans="1:13" x14ac:dyDescent="0.25">
      <c r="A1087">
        <v>5079</v>
      </c>
      <c r="B1087" t="s">
        <v>4751</v>
      </c>
      <c r="C1087" t="s">
        <v>4752</v>
      </c>
      <c r="D1087" t="s">
        <v>1643</v>
      </c>
      <c r="E1087" t="s">
        <v>1273</v>
      </c>
      <c r="F1087" t="s">
        <v>4755</v>
      </c>
      <c r="G1087" t="s">
        <v>4756</v>
      </c>
      <c r="H1087">
        <v>6024493100</v>
      </c>
      <c r="K1087" t="s">
        <v>4757</v>
      </c>
      <c r="L1087" t="s">
        <v>1647</v>
      </c>
      <c r="M1087" t="s">
        <v>1634</v>
      </c>
    </row>
    <row r="1088" spans="1:13" x14ac:dyDescent="0.25">
      <c r="A1088">
        <v>5080</v>
      </c>
      <c r="B1088" t="s">
        <v>4758</v>
      </c>
      <c r="C1088" t="s">
        <v>4759</v>
      </c>
      <c r="D1088" t="s">
        <v>1643</v>
      </c>
      <c r="E1088" t="s">
        <v>1273</v>
      </c>
      <c r="F1088" t="s">
        <v>3057</v>
      </c>
      <c r="G1088" t="s">
        <v>4760</v>
      </c>
      <c r="H1088">
        <v>6024493402</v>
      </c>
      <c r="K1088" t="s">
        <v>4761</v>
      </c>
      <c r="L1088" t="s">
        <v>1647</v>
      </c>
      <c r="M1088" t="s">
        <v>1634</v>
      </c>
    </row>
    <row r="1089" spans="1:13" x14ac:dyDescent="0.25">
      <c r="A1089">
        <v>5081</v>
      </c>
      <c r="B1089" t="s">
        <v>4762</v>
      </c>
      <c r="C1089" t="s">
        <v>4763</v>
      </c>
      <c r="D1089" t="s">
        <v>1643</v>
      </c>
      <c r="E1089" t="s">
        <v>1273</v>
      </c>
      <c r="F1089" t="s">
        <v>4764</v>
      </c>
      <c r="G1089" t="s">
        <v>4765</v>
      </c>
      <c r="H1089">
        <v>6024494400</v>
      </c>
      <c r="J1089">
        <v>6024494405</v>
      </c>
      <c r="K1089" t="s">
        <v>4766</v>
      </c>
      <c r="L1089" t="s">
        <v>1647</v>
      </c>
      <c r="M1089" t="s">
        <v>1634</v>
      </c>
    </row>
    <row r="1090" spans="1:13" x14ac:dyDescent="0.25">
      <c r="A1090">
        <v>5082</v>
      </c>
      <c r="B1090" t="s">
        <v>4767</v>
      </c>
      <c r="C1090" t="s">
        <v>4768</v>
      </c>
      <c r="D1090" t="s">
        <v>1643</v>
      </c>
      <c r="E1090" t="s">
        <v>1273</v>
      </c>
      <c r="F1090" t="s">
        <v>2085</v>
      </c>
      <c r="G1090" t="s">
        <v>4769</v>
      </c>
      <c r="K1090" t="s">
        <v>4770</v>
      </c>
      <c r="L1090" t="s">
        <v>4747</v>
      </c>
      <c r="M1090" t="s">
        <v>1634</v>
      </c>
    </row>
    <row r="1091" spans="1:13" x14ac:dyDescent="0.25">
      <c r="A1091">
        <v>5082</v>
      </c>
      <c r="B1091" t="s">
        <v>4767</v>
      </c>
      <c r="C1091" t="s">
        <v>4768</v>
      </c>
      <c r="D1091" t="s">
        <v>1643</v>
      </c>
      <c r="E1091" t="s">
        <v>1273</v>
      </c>
      <c r="F1091" t="s">
        <v>1848</v>
      </c>
      <c r="G1091" t="s">
        <v>4771</v>
      </c>
      <c r="H1091">
        <v>6024492502</v>
      </c>
      <c r="K1091" t="s">
        <v>4772</v>
      </c>
      <c r="L1091" t="s">
        <v>1647</v>
      </c>
      <c r="M1091" t="s">
        <v>1634</v>
      </c>
    </row>
    <row r="1092" spans="1:13" x14ac:dyDescent="0.25">
      <c r="A1092">
        <v>5083</v>
      </c>
      <c r="B1092" t="s">
        <v>4773</v>
      </c>
      <c r="C1092" t="s">
        <v>4774</v>
      </c>
      <c r="D1092" t="s">
        <v>1643</v>
      </c>
      <c r="E1092" t="s">
        <v>1273</v>
      </c>
      <c r="F1092" t="s">
        <v>4775</v>
      </c>
      <c r="G1092" t="s">
        <v>4776</v>
      </c>
      <c r="H1092">
        <v>6024497200</v>
      </c>
      <c r="K1092" t="s">
        <v>4777</v>
      </c>
      <c r="L1092" t="s">
        <v>1647</v>
      </c>
      <c r="M1092" t="s">
        <v>1634</v>
      </c>
    </row>
    <row r="1093" spans="1:13" x14ac:dyDescent="0.25">
      <c r="A1093">
        <v>5084</v>
      </c>
      <c r="B1093" t="s">
        <v>4778</v>
      </c>
      <c r="C1093" t="s">
        <v>4779</v>
      </c>
      <c r="D1093" t="s">
        <v>1643</v>
      </c>
      <c r="E1093" t="s">
        <v>1273</v>
      </c>
      <c r="F1093" t="s">
        <v>1820</v>
      </c>
      <c r="G1093" t="s">
        <v>4780</v>
      </c>
      <c r="H1093">
        <v>6024496500</v>
      </c>
      <c r="J1093">
        <v>6024496505</v>
      </c>
      <c r="K1093" t="s">
        <v>4781</v>
      </c>
      <c r="L1093" t="s">
        <v>1647</v>
      </c>
      <c r="M1093" t="s">
        <v>1634</v>
      </c>
    </row>
    <row r="1094" spans="1:13" x14ac:dyDescent="0.25">
      <c r="A1094">
        <v>5085</v>
      </c>
      <c r="B1094" t="s">
        <v>4782</v>
      </c>
      <c r="C1094" t="s">
        <v>4783</v>
      </c>
      <c r="D1094" t="s">
        <v>1643</v>
      </c>
      <c r="E1094" t="s">
        <v>1273</v>
      </c>
      <c r="F1094" t="s">
        <v>3345</v>
      </c>
      <c r="G1094" t="s">
        <v>4588</v>
      </c>
      <c r="K1094" t="s">
        <v>4784</v>
      </c>
      <c r="M1094" t="s">
        <v>1634</v>
      </c>
    </row>
    <row r="1095" spans="1:13" x14ac:dyDescent="0.25">
      <c r="A1095">
        <v>88406</v>
      </c>
      <c r="B1095" t="s">
        <v>4785</v>
      </c>
      <c r="C1095" t="s">
        <v>4786</v>
      </c>
      <c r="D1095" t="s">
        <v>1643</v>
      </c>
      <c r="E1095" t="s">
        <v>1273</v>
      </c>
      <c r="F1095" t="s">
        <v>2756</v>
      </c>
      <c r="G1095" t="s">
        <v>4787</v>
      </c>
      <c r="H1095">
        <v>6024494300</v>
      </c>
      <c r="K1095" t="s">
        <v>4788</v>
      </c>
      <c r="L1095" t="s">
        <v>1647</v>
      </c>
      <c r="M1095" t="s">
        <v>1634</v>
      </c>
    </row>
    <row r="1096" spans="1:13" x14ac:dyDescent="0.25">
      <c r="A1096">
        <v>5086</v>
      </c>
      <c r="B1096" t="s">
        <v>4789</v>
      </c>
      <c r="C1096" t="s">
        <v>4790</v>
      </c>
      <c r="D1096" t="s">
        <v>1643</v>
      </c>
      <c r="E1096" t="s">
        <v>1273</v>
      </c>
      <c r="F1096" t="s">
        <v>4791</v>
      </c>
      <c r="G1096" t="s">
        <v>4792</v>
      </c>
      <c r="H1096">
        <v>6024493200</v>
      </c>
      <c r="J1096">
        <v>6024493205</v>
      </c>
      <c r="K1096" t="s">
        <v>4793</v>
      </c>
      <c r="L1096" t="s">
        <v>1647</v>
      </c>
      <c r="M1096" t="s">
        <v>1634</v>
      </c>
    </row>
    <row r="1097" spans="1:13" x14ac:dyDescent="0.25">
      <c r="A1097">
        <v>80055</v>
      </c>
      <c r="B1097" t="s">
        <v>4794</v>
      </c>
      <c r="C1097" t="s">
        <v>4795</v>
      </c>
      <c r="D1097" t="s">
        <v>1643</v>
      </c>
      <c r="E1097" t="s">
        <v>1273</v>
      </c>
      <c r="F1097" t="s">
        <v>4796</v>
      </c>
      <c r="G1097" t="s">
        <v>4797</v>
      </c>
      <c r="K1097" t="s">
        <v>4798</v>
      </c>
      <c r="L1097" t="s">
        <v>4747</v>
      </c>
      <c r="M1097" t="s">
        <v>1634</v>
      </c>
    </row>
    <row r="1098" spans="1:13" x14ac:dyDescent="0.25">
      <c r="A1098">
        <v>80055</v>
      </c>
      <c r="B1098" t="s">
        <v>4794</v>
      </c>
      <c r="C1098" t="s">
        <v>4795</v>
      </c>
      <c r="D1098" t="s">
        <v>1643</v>
      </c>
      <c r="E1098" t="s">
        <v>1273</v>
      </c>
      <c r="F1098" t="s">
        <v>4799</v>
      </c>
      <c r="G1098" t="s">
        <v>4800</v>
      </c>
      <c r="H1098">
        <v>6024495602</v>
      </c>
      <c r="K1098" t="s">
        <v>4801</v>
      </c>
      <c r="L1098" t="s">
        <v>1647</v>
      </c>
      <c r="M1098" t="s">
        <v>1634</v>
      </c>
    </row>
    <row r="1099" spans="1:13" x14ac:dyDescent="0.25">
      <c r="A1099">
        <v>5087</v>
      </c>
      <c r="B1099" t="s">
        <v>4802</v>
      </c>
      <c r="C1099" t="s">
        <v>4803</v>
      </c>
      <c r="D1099" t="s">
        <v>1643</v>
      </c>
      <c r="E1099" t="s">
        <v>1273</v>
      </c>
      <c r="F1099" t="s">
        <v>4804</v>
      </c>
      <c r="G1099" t="s">
        <v>4805</v>
      </c>
      <c r="H1099">
        <v>6024494100</v>
      </c>
      <c r="K1099" t="s">
        <v>4806</v>
      </c>
      <c r="L1099" t="s">
        <v>1647</v>
      </c>
      <c r="M1099" t="s">
        <v>1634</v>
      </c>
    </row>
    <row r="1100" spans="1:13" x14ac:dyDescent="0.25">
      <c r="A1100">
        <v>5088</v>
      </c>
      <c r="B1100" t="s">
        <v>4807</v>
      </c>
      <c r="C1100" t="s">
        <v>4808</v>
      </c>
      <c r="D1100" t="s">
        <v>1643</v>
      </c>
      <c r="E1100" t="s">
        <v>1273</v>
      </c>
      <c r="F1100" t="s">
        <v>3218</v>
      </c>
      <c r="G1100" t="s">
        <v>4809</v>
      </c>
      <c r="H1100">
        <v>6024497300</v>
      </c>
      <c r="J1100">
        <v>6024497305</v>
      </c>
      <c r="K1100" t="s">
        <v>4810</v>
      </c>
      <c r="L1100" t="s">
        <v>1647</v>
      </c>
      <c r="M1100" t="s">
        <v>1634</v>
      </c>
    </row>
    <row r="1101" spans="1:13" x14ac:dyDescent="0.25">
      <c r="A1101">
        <v>5088</v>
      </c>
      <c r="B1101" t="s">
        <v>4807</v>
      </c>
      <c r="C1101" t="s">
        <v>4808</v>
      </c>
      <c r="D1101" t="s">
        <v>1643</v>
      </c>
      <c r="E1101" t="s">
        <v>1273</v>
      </c>
      <c r="F1101" t="s">
        <v>4811</v>
      </c>
      <c r="G1101" t="s">
        <v>402</v>
      </c>
      <c r="H1101">
        <v>6024497300</v>
      </c>
      <c r="J1101">
        <v>6024497305</v>
      </c>
      <c r="K1101" t="s">
        <v>4812</v>
      </c>
      <c r="L1101" t="s">
        <v>1738</v>
      </c>
      <c r="M1101" t="s">
        <v>1634</v>
      </c>
    </row>
    <row r="1102" spans="1:13" x14ac:dyDescent="0.25">
      <c r="A1102">
        <v>5089</v>
      </c>
      <c r="B1102" t="s">
        <v>1355</v>
      </c>
      <c r="C1102" t="s">
        <v>4813</v>
      </c>
      <c r="D1102" t="s">
        <v>1643</v>
      </c>
      <c r="E1102" t="s">
        <v>1273</v>
      </c>
      <c r="F1102" t="s">
        <v>4814</v>
      </c>
      <c r="G1102" t="s">
        <v>4218</v>
      </c>
      <c r="K1102" t="s">
        <v>4815</v>
      </c>
      <c r="L1102" t="s">
        <v>4736</v>
      </c>
      <c r="M1102" t="s">
        <v>1634</v>
      </c>
    </row>
    <row r="1103" spans="1:13" x14ac:dyDescent="0.25">
      <c r="A1103">
        <v>5089</v>
      </c>
      <c r="B1103" t="s">
        <v>1355</v>
      </c>
      <c r="C1103" t="s">
        <v>4813</v>
      </c>
      <c r="D1103" t="s">
        <v>1643</v>
      </c>
      <c r="E1103" t="s">
        <v>1273</v>
      </c>
      <c r="F1103" t="s">
        <v>4816</v>
      </c>
      <c r="G1103" t="s">
        <v>2909</v>
      </c>
      <c r="H1103">
        <v>6024493300</v>
      </c>
      <c r="K1103" t="s">
        <v>4817</v>
      </c>
      <c r="L1103" t="s">
        <v>1647</v>
      </c>
      <c r="M1103" t="s">
        <v>1634</v>
      </c>
    </row>
    <row r="1104" spans="1:13" x14ac:dyDescent="0.25">
      <c r="A1104">
        <v>6011</v>
      </c>
      <c r="B1104" t="s">
        <v>4818</v>
      </c>
      <c r="C1104" t="s">
        <v>4819</v>
      </c>
      <c r="D1104" t="s">
        <v>1643</v>
      </c>
      <c r="E1104" t="s">
        <v>1273</v>
      </c>
      <c r="F1104" t="s">
        <v>2376</v>
      </c>
      <c r="G1104" t="s">
        <v>4820</v>
      </c>
      <c r="H1104">
        <v>6024496600</v>
      </c>
      <c r="K1104" t="s">
        <v>4821</v>
      </c>
      <c r="L1104" t="s">
        <v>1647</v>
      </c>
      <c r="M1104" t="s">
        <v>1634</v>
      </c>
    </row>
    <row r="1105" spans="1:13" x14ac:dyDescent="0.25">
      <c r="A1105">
        <v>78920</v>
      </c>
      <c r="B1105" t="s">
        <v>4822</v>
      </c>
      <c r="C1105" t="s">
        <v>4823</v>
      </c>
      <c r="D1105" t="s">
        <v>1643</v>
      </c>
      <c r="E1105" t="s">
        <v>1273</v>
      </c>
      <c r="F1105" t="s">
        <v>2344</v>
      </c>
      <c r="G1105" t="s">
        <v>4824</v>
      </c>
      <c r="K1105" t="s">
        <v>4825</v>
      </c>
      <c r="L1105" t="s">
        <v>4826</v>
      </c>
      <c r="M1105" t="s">
        <v>1634</v>
      </c>
    </row>
    <row r="1106" spans="1:13" x14ac:dyDescent="0.25">
      <c r="A1106">
        <v>78920</v>
      </c>
      <c r="B1106" t="s">
        <v>4822</v>
      </c>
      <c r="C1106" t="s">
        <v>4823</v>
      </c>
      <c r="D1106" t="s">
        <v>1643</v>
      </c>
      <c r="E1106" t="s">
        <v>1273</v>
      </c>
      <c r="F1106" t="s">
        <v>1707</v>
      </c>
      <c r="G1106" t="s">
        <v>4827</v>
      </c>
      <c r="K1106" t="s">
        <v>4828</v>
      </c>
      <c r="L1106" t="s">
        <v>1647</v>
      </c>
      <c r="M1106" t="s">
        <v>1634</v>
      </c>
    </row>
    <row r="1107" spans="1:13" x14ac:dyDescent="0.25">
      <c r="A1107">
        <v>5090</v>
      </c>
      <c r="B1107" t="s">
        <v>1516</v>
      </c>
      <c r="C1107" t="s">
        <v>4829</v>
      </c>
      <c r="D1107" t="s">
        <v>1643</v>
      </c>
      <c r="E1107" t="s">
        <v>1273</v>
      </c>
      <c r="F1107" t="s">
        <v>3758</v>
      </c>
      <c r="G1107" t="s">
        <v>4830</v>
      </c>
      <c r="H1107">
        <v>6024496200</v>
      </c>
      <c r="K1107" t="s">
        <v>4831</v>
      </c>
      <c r="L1107" t="s">
        <v>1647</v>
      </c>
      <c r="M1107" t="s">
        <v>1634</v>
      </c>
    </row>
    <row r="1108" spans="1:13" x14ac:dyDescent="0.25">
      <c r="A1108">
        <v>5091</v>
      </c>
      <c r="B1108" t="s">
        <v>4832</v>
      </c>
      <c r="C1108" t="s">
        <v>4833</v>
      </c>
      <c r="D1108" t="s">
        <v>1643</v>
      </c>
      <c r="E1108" t="s">
        <v>1273</v>
      </c>
      <c r="F1108" t="s">
        <v>4834</v>
      </c>
      <c r="G1108" t="s">
        <v>4835</v>
      </c>
      <c r="H1108">
        <v>6024494500</v>
      </c>
      <c r="K1108" t="s">
        <v>4836</v>
      </c>
      <c r="L1108" t="s">
        <v>1647</v>
      </c>
      <c r="M1108" t="s">
        <v>1634</v>
      </c>
    </row>
    <row r="1109" spans="1:13" x14ac:dyDescent="0.25">
      <c r="A1109">
        <v>5092</v>
      </c>
      <c r="B1109" t="s">
        <v>4837</v>
      </c>
      <c r="C1109" t="s">
        <v>4838</v>
      </c>
      <c r="D1109" t="s">
        <v>1643</v>
      </c>
      <c r="E1109" t="s">
        <v>1273</v>
      </c>
      <c r="F1109" t="s">
        <v>1732</v>
      </c>
      <c r="G1109" t="s">
        <v>4839</v>
      </c>
      <c r="H1109">
        <v>6024936170</v>
      </c>
      <c r="J1109">
        <v>6024936175</v>
      </c>
      <c r="K1109" t="s">
        <v>4840</v>
      </c>
      <c r="M1109" t="s">
        <v>1634</v>
      </c>
    </row>
    <row r="1110" spans="1:13" x14ac:dyDescent="0.25">
      <c r="A1110">
        <v>5093</v>
      </c>
      <c r="B1110" t="s">
        <v>4841</v>
      </c>
      <c r="C1110" t="s">
        <v>4842</v>
      </c>
      <c r="D1110" t="s">
        <v>1643</v>
      </c>
      <c r="E1110" t="s">
        <v>1273</v>
      </c>
      <c r="F1110" t="s">
        <v>2330</v>
      </c>
      <c r="G1110" t="s">
        <v>4792</v>
      </c>
      <c r="K1110" t="s">
        <v>4843</v>
      </c>
      <c r="M1110" t="s">
        <v>1634</v>
      </c>
    </row>
    <row r="1111" spans="1:13" x14ac:dyDescent="0.25">
      <c r="A1111">
        <v>5093</v>
      </c>
      <c r="B1111" t="s">
        <v>4841</v>
      </c>
      <c r="C1111" t="s">
        <v>4842</v>
      </c>
      <c r="D1111" t="s">
        <v>1643</v>
      </c>
      <c r="E1111" t="s">
        <v>1273</v>
      </c>
      <c r="F1111" t="s">
        <v>4227</v>
      </c>
      <c r="G1111" t="s">
        <v>2927</v>
      </c>
      <c r="H1111">
        <v>6024495500</v>
      </c>
      <c r="K1111" t="s">
        <v>4844</v>
      </c>
      <c r="L1111" t="s">
        <v>1647</v>
      </c>
      <c r="M1111" t="s">
        <v>1634</v>
      </c>
    </row>
    <row r="1112" spans="1:13" x14ac:dyDescent="0.25">
      <c r="A1112">
        <v>79781</v>
      </c>
      <c r="B1112" t="s">
        <v>4845</v>
      </c>
      <c r="C1112" t="s">
        <v>4846</v>
      </c>
      <c r="D1112" t="s">
        <v>1643</v>
      </c>
      <c r="E1112" t="s">
        <v>1273</v>
      </c>
      <c r="F1112" t="s">
        <v>2797</v>
      </c>
      <c r="G1112" t="s">
        <v>4847</v>
      </c>
      <c r="H1112">
        <v>6024496700</v>
      </c>
      <c r="K1112" t="s">
        <v>4848</v>
      </c>
      <c r="L1112" t="s">
        <v>1647</v>
      </c>
      <c r="M1112" t="s">
        <v>1634</v>
      </c>
    </row>
    <row r="1113" spans="1:13" x14ac:dyDescent="0.25">
      <c r="A1113">
        <v>5094</v>
      </c>
      <c r="B1113" t="s">
        <v>1432</v>
      </c>
      <c r="C1113" t="s">
        <v>4849</v>
      </c>
      <c r="D1113" t="s">
        <v>1643</v>
      </c>
      <c r="E1113" t="s">
        <v>1273</v>
      </c>
      <c r="F1113" t="s">
        <v>4850</v>
      </c>
      <c r="G1113" t="s">
        <v>4851</v>
      </c>
      <c r="K1113" t="s">
        <v>4852</v>
      </c>
      <c r="L1113" t="s">
        <v>4747</v>
      </c>
      <c r="M1113" t="s">
        <v>1634</v>
      </c>
    </row>
    <row r="1114" spans="1:13" x14ac:dyDescent="0.25">
      <c r="A1114">
        <v>5094</v>
      </c>
      <c r="B1114" t="s">
        <v>1432</v>
      </c>
      <c r="C1114" t="s">
        <v>4849</v>
      </c>
      <c r="D1114" t="s">
        <v>1643</v>
      </c>
      <c r="E1114" t="s">
        <v>1273</v>
      </c>
      <c r="F1114" t="s">
        <v>1955</v>
      </c>
      <c r="G1114" t="s">
        <v>1974</v>
      </c>
      <c r="K1114" t="s">
        <v>4853</v>
      </c>
      <c r="M1114" t="s">
        <v>1634</v>
      </c>
    </row>
    <row r="1115" spans="1:13" x14ac:dyDescent="0.25">
      <c r="A1115">
        <v>81026</v>
      </c>
      <c r="B1115" t="s">
        <v>4854</v>
      </c>
      <c r="C1115" t="s">
        <v>4855</v>
      </c>
      <c r="D1115" t="s">
        <v>1643</v>
      </c>
      <c r="E1115" t="s">
        <v>1273</v>
      </c>
      <c r="F1115" t="s">
        <v>3313</v>
      </c>
      <c r="G1115" t="s">
        <v>4856</v>
      </c>
      <c r="K1115" t="s">
        <v>4857</v>
      </c>
      <c r="L1115" t="s">
        <v>1647</v>
      </c>
      <c r="M1115" t="s">
        <v>1634</v>
      </c>
    </row>
    <row r="1116" spans="1:13" x14ac:dyDescent="0.25">
      <c r="A1116">
        <v>81026</v>
      </c>
      <c r="B1116" t="s">
        <v>4854</v>
      </c>
      <c r="C1116" t="s">
        <v>4855</v>
      </c>
      <c r="D1116" t="s">
        <v>1643</v>
      </c>
      <c r="E1116" t="s">
        <v>1273</v>
      </c>
      <c r="F1116" t="s">
        <v>4858</v>
      </c>
      <c r="G1116" t="s">
        <v>4859</v>
      </c>
      <c r="K1116" t="s">
        <v>4860</v>
      </c>
      <c r="L1116" t="s">
        <v>4747</v>
      </c>
      <c r="M1116" t="s">
        <v>1634</v>
      </c>
    </row>
    <row r="1117" spans="1:13" x14ac:dyDescent="0.25">
      <c r="A1117">
        <v>5095</v>
      </c>
      <c r="B1117" t="s">
        <v>4861</v>
      </c>
      <c r="C1117" t="s">
        <v>4862</v>
      </c>
      <c r="D1117" t="s">
        <v>1643</v>
      </c>
      <c r="E1117" t="s">
        <v>1273</v>
      </c>
      <c r="F1117" t="s">
        <v>1726</v>
      </c>
      <c r="G1117" t="s">
        <v>4863</v>
      </c>
      <c r="H1117">
        <v>4803675800</v>
      </c>
      <c r="J1117">
        <v>4803675805</v>
      </c>
      <c r="K1117" t="s">
        <v>4864</v>
      </c>
      <c r="M1117" t="s">
        <v>1634</v>
      </c>
    </row>
    <row r="1118" spans="1:13" x14ac:dyDescent="0.25">
      <c r="A1118">
        <v>5095</v>
      </c>
      <c r="B1118" t="s">
        <v>4861</v>
      </c>
      <c r="C1118" t="s">
        <v>4862</v>
      </c>
      <c r="D1118" t="s">
        <v>1643</v>
      </c>
      <c r="E1118" t="s">
        <v>1273</v>
      </c>
      <c r="F1118" t="s">
        <v>4811</v>
      </c>
      <c r="G1118" t="s">
        <v>402</v>
      </c>
      <c r="K1118" t="s">
        <v>4865</v>
      </c>
      <c r="L1118" t="s">
        <v>1647</v>
      </c>
      <c r="M1118" t="s">
        <v>1634</v>
      </c>
    </row>
    <row r="1119" spans="1:13" x14ac:dyDescent="0.25">
      <c r="A1119">
        <v>5098</v>
      </c>
      <c r="B1119" t="s">
        <v>4866</v>
      </c>
      <c r="C1119" t="s">
        <v>4867</v>
      </c>
      <c r="D1119" t="s">
        <v>1643</v>
      </c>
      <c r="E1119" t="s">
        <v>1273</v>
      </c>
      <c r="F1119" t="s">
        <v>4868</v>
      </c>
      <c r="G1119" t="s">
        <v>1690</v>
      </c>
      <c r="H1119">
        <v>6024497100</v>
      </c>
      <c r="K1119" t="s">
        <v>4869</v>
      </c>
      <c r="L1119" t="s">
        <v>1647</v>
      </c>
      <c r="M1119" t="s">
        <v>1634</v>
      </c>
    </row>
    <row r="1120" spans="1:13" x14ac:dyDescent="0.25">
      <c r="A1120">
        <v>5099</v>
      </c>
      <c r="B1120" t="s">
        <v>4870</v>
      </c>
      <c r="C1120" t="s">
        <v>4871</v>
      </c>
      <c r="D1120" t="s">
        <v>1643</v>
      </c>
      <c r="E1120" t="s">
        <v>1273</v>
      </c>
      <c r="F1120" t="s">
        <v>2307</v>
      </c>
      <c r="G1120" t="s">
        <v>4872</v>
      </c>
      <c r="K1120" t="s">
        <v>4873</v>
      </c>
      <c r="M1120" t="s">
        <v>1634</v>
      </c>
    </row>
    <row r="1121" spans="1:13" x14ac:dyDescent="0.25">
      <c r="A1121">
        <v>5099</v>
      </c>
      <c r="B1121" t="s">
        <v>4870</v>
      </c>
      <c r="C1121" t="s">
        <v>4871</v>
      </c>
      <c r="D1121" t="s">
        <v>1643</v>
      </c>
      <c r="E1121" t="s">
        <v>1273</v>
      </c>
      <c r="F1121" t="s">
        <v>4874</v>
      </c>
      <c r="G1121" t="s">
        <v>4875</v>
      </c>
      <c r="H1121">
        <v>6024496804</v>
      </c>
      <c r="J1121">
        <v>4807077243</v>
      </c>
      <c r="K1121" t="s">
        <v>4876</v>
      </c>
      <c r="L1121" t="s">
        <v>1647</v>
      </c>
      <c r="M1121" t="s">
        <v>1634</v>
      </c>
    </row>
    <row r="1122" spans="1:13" x14ac:dyDescent="0.25">
      <c r="A1122">
        <v>5100</v>
      </c>
      <c r="B1122" t="s">
        <v>4877</v>
      </c>
      <c r="C1122" t="s">
        <v>4878</v>
      </c>
      <c r="D1122" t="s">
        <v>1643</v>
      </c>
      <c r="E1122" t="s">
        <v>1273</v>
      </c>
      <c r="F1122" t="s">
        <v>4879</v>
      </c>
      <c r="G1122" t="s">
        <v>4880</v>
      </c>
      <c r="K1122" t="s">
        <v>4881</v>
      </c>
      <c r="L1122" t="s">
        <v>4882</v>
      </c>
      <c r="M1122" t="s">
        <v>1634</v>
      </c>
    </row>
    <row r="1123" spans="1:13" x14ac:dyDescent="0.25">
      <c r="A1123">
        <v>5100</v>
      </c>
      <c r="B1123" t="s">
        <v>4877</v>
      </c>
      <c r="C1123" t="s">
        <v>4878</v>
      </c>
      <c r="D1123" t="s">
        <v>1643</v>
      </c>
      <c r="E1123" t="s">
        <v>1273</v>
      </c>
      <c r="F1123" t="s">
        <v>1723</v>
      </c>
      <c r="G1123" t="s">
        <v>1974</v>
      </c>
      <c r="H1123">
        <v>6024495300</v>
      </c>
      <c r="J1123">
        <v>6024495305</v>
      </c>
      <c r="K1123" t="s">
        <v>4883</v>
      </c>
      <c r="L1123" t="s">
        <v>3620</v>
      </c>
      <c r="M1123" t="s">
        <v>1634</v>
      </c>
    </row>
    <row r="1124" spans="1:13" x14ac:dyDescent="0.25">
      <c r="A1124">
        <v>5100</v>
      </c>
      <c r="B1124" t="s">
        <v>4877</v>
      </c>
      <c r="C1124" t="s">
        <v>4878</v>
      </c>
      <c r="D1124" t="s">
        <v>1643</v>
      </c>
      <c r="E1124" t="s">
        <v>1273</v>
      </c>
      <c r="F1124" t="s">
        <v>3303</v>
      </c>
      <c r="G1124" t="s">
        <v>4620</v>
      </c>
      <c r="H1124">
        <v>6024495300</v>
      </c>
      <c r="K1124" t="s">
        <v>4884</v>
      </c>
      <c r="L1124" t="s">
        <v>1647</v>
      </c>
      <c r="M1124" t="s">
        <v>1634</v>
      </c>
    </row>
    <row r="1125" spans="1:13" x14ac:dyDescent="0.25">
      <c r="A1125">
        <v>79729</v>
      </c>
      <c r="B1125" t="s">
        <v>4885</v>
      </c>
      <c r="C1125" t="s">
        <v>4886</v>
      </c>
      <c r="D1125" t="s">
        <v>1643</v>
      </c>
      <c r="E1125" t="s">
        <v>1273</v>
      </c>
      <c r="F1125" t="s">
        <v>4887</v>
      </c>
      <c r="G1125" t="s">
        <v>3341</v>
      </c>
      <c r="H1125">
        <v>6024494600</v>
      </c>
      <c r="K1125" t="s">
        <v>4888</v>
      </c>
      <c r="L1125" t="s">
        <v>1647</v>
      </c>
      <c r="M1125" t="s">
        <v>1634</v>
      </c>
    </row>
    <row r="1126" spans="1:13" x14ac:dyDescent="0.25">
      <c r="A1126">
        <v>5101</v>
      </c>
      <c r="B1126" t="s">
        <v>1413</v>
      </c>
      <c r="C1126" t="s">
        <v>4889</v>
      </c>
      <c r="D1126" t="s">
        <v>1643</v>
      </c>
      <c r="E1126" t="s">
        <v>1273</v>
      </c>
      <c r="F1126" t="s">
        <v>2023</v>
      </c>
      <c r="G1126" t="s">
        <v>4851</v>
      </c>
      <c r="K1126" t="s">
        <v>4890</v>
      </c>
      <c r="L1126" t="s">
        <v>4891</v>
      </c>
      <c r="M1126" t="s">
        <v>1634</v>
      </c>
    </row>
    <row r="1127" spans="1:13" x14ac:dyDescent="0.25">
      <c r="A1127">
        <v>5101</v>
      </c>
      <c r="B1127" t="s">
        <v>1413</v>
      </c>
      <c r="C1127" t="s">
        <v>4889</v>
      </c>
      <c r="D1127" t="s">
        <v>1643</v>
      </c>
      <c r="E1127" t="s">
        <v>1273</v>
      </c>
      <c r="F1127" t="s">
        <v>4892</v>
      </c>
      <c r="G1127" t="s">
        <v>4893</v>
      </c>
      <c r="H1127">
        <v>6024492400</v>
      </c>
      <c r="K1127" t="s">
        <v>4894</v>
      </c>
      <c r="L1127" t="s">
        <v>1647</v>
      </c>
      <c r="M1127" t="s">
        <v>1634</v>
      </c>
    </row>
    <row r="1128" spans="1:13" x14ac:dyDescent="0.25">
      <c r="A1128">
        <v>5102</v>
      </c>
      <c r="B1128" t="s">
        <v>4895</v>
      </c>
      <c r="C1128" t="s">
        <v>4896</v>
      </c>
      <c r="D1128" t="s">
        <v>1643</v>
      </c>
      <c r="E1128" t="s">
        <v>1273</v>
      </c>
      <c r="F1128" t="s">
        <v>2249</v>
      </c>
      <c r="G1128" t="s">
        <v>4897</v>
      </c>
      <c r="H1128">
        <v>6024494204</v>
      </c>
      <c r="K1128" t="s">
        <v>4898</v>
      </c>
      <c r="L1128" t="s">
        <v>1647</v>
      </c>
      <c r="M1128" t="s">
        <v>1634</v>
      </c>
    </row>
    <row r="1129" spans="1:13" x14ac:dyDescent="0.25">
      <c r="A1129">
        <v>5103</v>
      </c>
      <c r="B1129" t="s">
        <v>4899</v>
      </c>
      <c r="C1129" t="s">
        <v>4900</v>
      </c>
      <c r="D1129" t="s">
        <v>1643</v>
      </c>
      <c r="E1129" t="s">
        <v>1273</v>
      </c>
      <c r="F1129" t="s">
        <v>3870</v>
      </c>
      <c r="G1129" t="s">
        <v>4410</v>
      </c>
      <c r="H1129">
        <v>6024936030</v>
      </c>
      <c r="J1129">
        <v>6024936037</v>
      </c>
      <c r="K1129" t="s">
        <v>4901</v>
      </c>
      <c r="M1129" t="s">
        <v>1634</v>
      </c>
    </row>
    <row r="1130" spans="1:13" x14ac:dyDescent="0.25">
      <c r="A1130">
        <v>5103</v>
      </c>
      <c r="B1130" t="s">
        <v>4899</v>
      </c>
      <c r="C1130" t="s">
        <v>4900</v>
      </c>
      <c r="D1130" t="s">
        <v>1643</v>
      </c>
      <c r="E1130" t="s">
        <v>1273</v>
      </c>
      <c r="F1130" t="s">
        <v>4902</v>
      </c>
      <c r="G1130" t="s">
        <v>4903</v>
      </c>
      <c r="K1130" t="s">
        <v>4904</v>
      </c>
      <c r="M1130" t="s">
        <v>1634</v>
      </c>
    </row>
    <row r="1131" spans="1:13" x14ac:dyDescent="0.25">
      <c r="A1131">
        <v>5104</v>
      </c>
      <c r="B1131" t="s">
        <v>4905</v>
      </c>
      <c r="C1131" t="s">
        <v>4906</v>
      </c>
      <c r="D1131" t="s">
        <v>1643</v>
      </c>
      <c r="E1131" t="s">
        <v>1273</v>
      </c>
      <c r="F1131" t="s">
        <v>1690</v>
      </c>
      <c r="G1131" t="s">
        <v>4907</v>
      </c>
      <c r="H1131">
        <v>6024493500</v>
      </c>
      <c r="K1131" t="s">
        <v>4908</v>
      </c>
      <c r="L1131" t="s">
        <v>1647</v>
      </c>
      <c r="M1131" t="s">
        <v>1634</v>
      </c>
    </row>
    <row r="1132" spans="1:13" x14ac:dyDescent="0.25">
      <c r="A1132">
        <v>5105</v>
      </c>
      <c r="B1132" t="s">
        <v>4909</v>
      </c>
      <c r="C1132" t="s">
        <v>4910</v>
      </c>
      <c r="D1132" t="s">
        <v>1643</v>
      </c>
      <c r="E1132" t="s">
        <v>1273</v>
      </c>
      <c r="F1132" t="s">
        <v>4911</v>
      </c>
      <c r="G1132" t="s">
        <v>4912</v>
      </c>
      <c r="H1132">
        <v>6024497000</v>
      </c>
      <c r="J1132">
        <v>6024497005</v>
      </c>
      <c r="K1132" t="s">
        <v>4913</v>
      </c>
      <c r="L1132" t="s">
        <v>1647</v>
      </c>
      <c r="M1132" t="s">
        <v>1634</v>
      </c>
    </row>
    <row r="1133" spans="1:13" x14ac:dyDescent="0.25">
      <c r="A1133">
        <v>79268</v>
      </c>
      <c r="B1133" t="s">
        <v>4914</v>
      </c>
      <c r="C1133" t="s">
        <v>4915</v>
      </c>
      <c r="D1133" t="s">
        <v>1643</v>
      </c>
      <c r="E1133" t="s">
        <v>1273</v>
      </c>
      <c r="F1133" t="s">
        <v>3345</v>
      </c>
      <c r="G1133" t="s">
        <v>1909</v>
      </c>
      <c r="H1133">
        <v>6024494000</v>
      </c>
      <c r="K1133" t="s">
        <v>4916</v>
      </c>
      <c r="L1133" t="s">
        <v>1647</v>
      </c>
      <c r="M1133" t="s">
        <v>1634</v>
      </c>
    </row>
    <row r="1134" spans="1:13" x14ac:dyDescent="0.25">
      <c r="A1134">
        <v>5106</v>
      </c>
      <c r="B1134" t="s">
        <v>4917</v>
      </c>
      <c r="C1134" t="s">
        <v>4918</v>
      </c>
      <c r="D1134" t="s">
        <v>1643</v>
      </c>
      <c r="E1134" t="s">
        <v>1273</v>
      </c>
      <c r="F1134" t="s">
        <v>2610</v>
      </c>
      <c r="G1134" t="s">
        <v>4919</v>
      </c>
      <c r="K1134" t="s">
        <v>4920</v>
      </c>
      <c r="M1134" t="s">
        <v>1634</v>
      </c>
    </row>
    <row r="1135" spans="1:13" x14ac:dyDescent="0.25">
      <c r="A1135">
        <v>5106</v>
      </c>
      <c r="B1135" t="s">
        <v>4917</v>
      </c>
      <c r="C1135" t="s">
        <v>4918</v>
      </c>
      <c r="D1135" t="s">
        <v>1643</v>
      </c>
      <c r="E1135" t="s">
        <v>1273</v>
      </c>
      <c r="F1135" t="s">
        <v>4921</v>
      </c>
      <c r="G1135" t="s">
        <v>2828</v>
      </c>
      <c r="H1135">
        <v>6024496032</v>
      </c>
      <c r="J1135">
        <v>6024496006</v>
      </c>
      <c r="L1135" t="s">
        <v>1738</v>
      </c>
      <c r="M1135" t="s">
        <v>1634</v>
      </c>
    </row>
    <row r="1136" spans="1:13" x14ac:dyDescent="0.25">
      <c r="A1136">
        <v>5107</v>
      </c>
      <c r="B1136" t="s">
        <v>4922</v>
      </c>
      <c r="C1136" t="s">
        <v>4923</v>
      </c>
      <c r="D1136" t="s">
        <v>1643</v>
      </c>
      <c r="E1136" t="s">
        <v>1273</v>
      </c>
      <c r="F1136" t="s">
        <v>4924</v>
      </c>
      <c r="G1136" t="s">
        <v>4925</v>
      </c>
      <c r="H1136">
        <v>6024495032</v>
      </c>
      <c r="K1136" t="s">
        <v>4926</v>
      </c>
      <c r="L1136" t="s">
        <v>1738</v>
      </c>
      <c r="M1136" t="s">
        <v>1634</v>
      </c>
    </row>
    <row r="1137" spans="1:13" x14ac:dyDescent="0.25">
      <c r="A1137">
        <v>5107</v>
      </c>
      <c r="B1137" t="s">
        <v>4922</v>
      </c>
      <c r="C1137" t="s">
        <v>4923</v>
      </c>
      <c r="D1137" t="s">
        <v>1643</v>
      </c>
      <c r="E1137" t="s">
        <v>1273</v>
      </c>
      <c r="F1137" t="s">
        <v>2307</v>
      </c>
      <c r="G1137" t="s">
        <v>4927</v>
      </c>
      <c r="H1137">
        <v>6024495000</v>
      </c>
      <c r="K1137" t="s">
        <v>4928</v>
      </c>
      <c r="L1137" t="s">
        <v>1647</v>
      </c>
      <c r="M1137" t="s">
        <v>1634</v>
      </c>
    </row>
    <row r="1138" spans="1:13" x14ac:dyDescent="0.25">
      <c r="A1138">
        <v>5108</v>
      </c>
      <c r="B1138" t="s">
        <v>4929</v>
      </c>
      <c r="C1138" t="s">
        <v>4930</v>
      </c>
      <c r="D1138" t="s">
        <v>1643</v>
      </c>
      <c r="E1138" t="s">
        <v>1273</v>
      </c>
      <c r="F1138" t="s">
        <v>1707</v>
      </c>
      <c r="G1138" t="s">
        <v>4931</v>
      </c>
      <c r="J1138">
        <v>6024493005</v>
      </c>
      <c r="K1138" t="s">
        <v>4932</v>
      </c>
      <c r="L1138" t="s">
        <v>1647</v>
      </c>
      <c r="M1138" t="s">
        <v>1634</v>
      </c>
    </row>
    <row r="1139" spans="1:13" x14ac:dyDescent="0.25">
      <c r="A1139">
        <v>90782</v>
      </c>
      <c r="B1139" t="s">
        <v>4933</v>
      </c>
      <c r="C1139" t="s">
        <v>4934</v>
      </c>
      <c r="D1139" t="s">
        <v>1643</v>
      </c>
      <c r="E1139" t="s">
        <v>1273</v>
      </c>
      <c r="F1139" t="s">
        <v>2734</v>
      </c>
      <c r="G1139" t="s">
        <v>4935</v>
      </c>
      <c r="H1139">
        <v>6024492097</v>
      </c>
      <c r="J1139">
        <v>6024492099</v>
      </c>
      <c r="K1139" t="s">
        <v>4936</v>
      </c>
      <c r="L1139" t="s">
        <v>4937</v>
      </c>
      <c r="M1139" t="s">
        <v>1634</v>
      </c>
    </row>
    <row r="1140" spans="1:13" x14ac:dyDescent="0.25">
      <c r="A1140">
        <v>90782</v>
      </c>
      <c r="B1140" t="s">
        <v>4933</v>
      </c>
      <c r="C1140" t="s">
        <v>4934</v>
      </c>
      <c r="D1140" t="s">
        <v>1643</v>
      </c>
      <c r="E1140" t="s">
        <v>1273</v>
      </c>
      <c r="F1140" t="s">
        <v>2610</v>
      </c>
      <c r="G1140" t="s">
        <v>2571</v>
      </c>
      <c r="M1140" t="s">
        <v>1634</v>
      </c>
    </row>
    <row r="1141" spans="1:13" x14ac:dyDescent="0.25">
      <c r="A1141">
        <v>90782</v>
      </c>
      <c r="B1141" t="s">
        <v>4933</v>
      </c>
      <c r="C1141" t="s">
        <v>4934</v>
      </c>
      <c r="D1141" t="s">
        <v>1643</v>
      </c>
      <c r="E1141" t="s">
        <v>1273</v>
      </c>
      <c r="F1141" t="s">
        <v>3040</v>
      </c>
      <c r="G1141" t="s">
        <v>4938</v>
      </c>
      <c r="K1141" t="s">
        <v>4939</v>
      </c>
      <c r="L1141" t="s">
        <v>1647</v>
      </c>
      <c r="M1141" t="s">
        <v>1634</v>
      </c>
    </row>
    <row r="1142" spans="1:13" x14ac:dyDescent="0.25">
      <c r="A1142">
        <v>89602</v>
      </c>
      <c r="B1142" t="s">
        <v>4940</v>
      </c>
      <c r="C1142" t="s">
        <v>4941</v>
      </c>
      <c r="D1142" t="s">
        <v>1643</v>
      </c>
      <c r="E1142" t="s">
        <v>1273</v>
      </c>
    </row>
    <row r="1143" spans="1:13" x14ac:dyDescent="0.25">
      <c r="A1143">
        <v>4242</v>
      </c>
      <c r="B1143" t="s">
        <v>721</v>
      </c>
      <c r="C1143" t="s">
        <v>4942</v>
      </c>
      <c r="D1143" t="s">
        <v>1628</v>
      </c>
      <c r="E1143" t="s">
        <v>1273</v>
      </c>
      <c r="F1143" t="s">
        <v>4943</v>
      </c>
      <c r="G1143" t="s">
        <v>4944</v>
      </c>
      <c r="H1143">
        <v>4808127000</v>
      </c>
      <c r="J1143">
        <v>4808127013</v>
      </c>
      <c r="K1143" t="s">
        <v>4945</v>
      </c>
      <c r="L1143" t="s">
        <v>1668</v>
      </c>
      <c r="M1143" t="s">
        <v>1634</v>
      </c>
    </row>
    <row r="1144" spans="1:13" x14ac:dyDescent="0.25">
      <c r="A1144">
        <v>4242</v>
      </c>
      <c r="B1144" t="s">
        <v>721</v>
      </c>
      <c r="C1144" t="s">
        <v>4942</v>
      </c>
      <c r="D1144" t="s">
        <v>1628</v>
      </c>
      <c r="E1144" t="s">
        <v>1273</v>
      </c>
      <c r="F1144" t="s">
        <v>2089</v>
      </c>
      <c r="G1144" t="s">
        <v>4946</v>
      </c>
      <c r="H1144">
        <v>4808127680</v>
      </c>
      <c r="K1144" t="s">
        <v>4947</v>
      </c>
      <c r="L1144" t="s">
        <v>2613</v>
      </c>
      <c r="M1144" t="s">
        <v>1634</v>
      </c>
    </row>
    <row r="1145" spans="1:13" x14ac:dyDescent="0.25">
      <c r="A1145">
        <v>4242</v>
      </c>
      <c r="B1145" t="s">
        <v>721</v>
      </c>
      <c r="C1145" t="s">
        <v>4942</v>
      </c>
      <c r="D1145" t="s">
        <v>1628</v>
      </c>
      <c r="E1145" t="s">
        <v>1273</v>
      </c>
      <c r="F1145" t="s">
        <v>2089</v>
      </c>
      <c r="G1145" t="s">
        <v>4948</v>
      </c>
      <c r="H1145">
        <v>4808127610</v>
      </c>
      <c r="J1145">
        <v>4802249058</v>
      </c>
      <c r="K1145" t="s">
        <v>4949</v>
      </c>
      <c r="L1145" t="s">
        <v>2613</v>
      </c>
      <c r="M1145" t="s">
        <v>1634</v>
      </c>
    </row>
    <row r="1146" spans="1:13" x14ac:dyDescent="0.25">
      <c r="A1146">
        <v>4242</v>
      </c>
      <c r="B1146" t="s">
        <v>721</v>
      </c>
      <c r="C1146" t="s">
        <v>4942</v>
      </c>
      <c r="D1146" t="s">
        <v>1628</v>
      </c>
      <c r="E1146" t="s">
        <v>1273</v>
      </c>
      <c r="F1146" t="s">
        <v>2876</v>
      </c>
      <c r="G1146" t="s">
        <v>4950</v>
      </c>
      <c r="H1146">
        <v>4808127610</v>
      </c>
      <c r="K1146" t="s">
        <v>4951</v>
      </c>
      <c r="L1146" t="s">
        <v>4952</v>
      </c>
      <c r="M1146" t="s">
        <v>1634</v>
      </c>
    </row>
    <row r="1147" spans="1:13" x14ac:dyDescent="0.25">
      <c r="A1147">
        <v>4242</v>
      </c>
      <c r="B1147" t="s">
        <v>721</v>
      </c>
      <c r="C1147" t="s">
        <v>4942</v>
      </c>
      <c r="D1147" t="s">
        <v>1628</v>
      </c>
      <c r="E1147" t="s">
        <v>1273</v>
      </c>
      <c r="F1147" t="s">
        <v>4378</v>
      </c>
      <c r="G1147" t="s">
        <v>2881</v>
      </c>
      <c r="H1147">
        <v>4808127660</v>
      </c>
      <c r="K1147" t="s">
        <v>4953</v>
      </c>
      <c r="L1147" t="s">
        <v>2368</v>
      </c>
      <c r="M1147" t="s">
        <v>1640</v>
      </c>
    </row>
    <row r="1148" spans="1:13" x14ac:dyDescent="0.25">
      <c r="A1148">
        <v>4242</v>
      </c>
      <c r="B1148" t="s">
        <v>721</v>
      </c>
      <c r="C1148" t="s">
        <v>4942</v>
      </c>
      <c r="D1148" t="s">
        <v>1628</v>
      </c>
      <c r="E1148" t="s">
        <v>1273</v>
      </c>
      <c r="F1148" t="s">
        <v>2381</v>
      </c>
      <c r="G1148" t="s">
        <v>4954</v>
      </c>
      <c r="H1148">
        <v>4808127675</v>
      </c>
      <c r="K1148" t="s">
        <v>4955</v>
      </c>
      <c r="L1148" t="s">
        <v>1640</v>
      </c>
      <c r="M1148" t="s">
        <v>1640</v>
      </c>
    </row>
    <row r="1149" spans="1:13" x14ac:dyDescent="0.25">
      <c r="A1149">
        <v>4242</v>
      </c>
      <c r="B1149" t="s">
        <v>721</v>
      </c>
      <c r="C1149" t="s">
        <v>4942</v>
      </c>
      <c r="D1149" t="s">
        <v>1628</v>
      </c>
      <c r="E1149" t="s">
        <v>1273</v>
      </c>
      <c r="F1149" t="s">
        <v>4956</v>
      </c>
      <c r="G1149" t="s">
        <v>4957</v>
      </c>
      <c r="K1149" t="s">
        <v>4958</v>
      </c>
      <c r="L1149" t="s">
        <v>4959</v>
      </c>
      <c r="M1149" t="s">
        <v>1765</v>
      </c>
    </row>
    <row r="1150" spans="1:13" x14ac:dyDescent="0.25">
      <c r="A1150">
        <v>4242</v>
      </c>
      <c r="B1150" t="s">
        <v>721</v>
      </c>
      <c r="C1150" t="s">
        <v>4942</v>
      </c>
      <c r="D1150" t="s">
        <v>1628</v>
      </c>
      <c r="E1150" t="s">
        <v>1273</v>
      </c>
      <c r="F1150" t="s">
        <v>2997</v>
      </c>
      <c r="G1150" t="s">
        <v>4960</v>
      </c>
      <c r="H1150">
        <v>4808127695</v>
      </c>
      <c r="K1150" t="s">
        <v>4961</v>
      </c>
      <c r="M1150" t="s">
        <v>1765</v>
      </c>
    </row>
    <row r="1151" spans="1:13" x14ac:dyDescent="0.25">
      <c r="A1151">
        <v>5110</v>
      </c>
      <c r="B1151" t="s">
        <v>4962</v>
      </c>
      <c r="C1151" t="s">
        <v>4963</v>
      </c>
      <c r="D1151" t="s">
        <v>1643</v>
      </c>
      <c r="E1151" t="s">
        <v>1273</v>
      </c>
      <c r="F1151" t="s">
        <v>2046</v>
      </c>
      <c r="G1151" t="s">
        <v>4964</v>
      </c>
      <c r="H1151">
        <v>4808835707</v>
      </c>
      <c r="J1151">
        <v>4808835720</v>
      </c>
      <c r="K1151" t="s">
        <v>4965</v>
      </c>
      <c r="L1151" t="s">
        <v>1647</v>
      </c>
      <c r="M1151" t="s">
        <v>1634</v>
      </c>
    </row>
    <row r="1152" spans="1:13" x14ac:dyDescent="0.25">
      <c r="A1152">
        <v>5111</v>
      </c>
      <c r="B1152" t="s">
        <v>1494</v>
      </c>
      <c r="C1152" t="s">
        <v>4966</v>
      </c>
      <c r="D1152" t="s">
        <v>1643</v>
      </c>
      <c r="E1152" t="s">
        <v>1273</v>
      </c>
      <c r="F1152" t="s">
        <v>4967</v>
      </c>
      <c r="G1152" t="s">
        <v>2104</v>
      </c>
      <c r="H1152">
        <v>4808834200</v>
      </c>
      <c r="J1152">
        <v>4808834220</v>
      </c>
      <c r="K1152" t="s">
        <v>4968</v>
      </c>
      <c r="L1152" t="s">
        <v>4969</v>
      </c>
      <c r="M1152" t="s">
        <v>1634</v>
      </c>
    </row>
    <row r="1153" spans="1:13" x14ac:dyDescent="0.25">
      <c r="A1153">
        <v>5113</v>
      </c>
      <c r="B1153" t="s">
        <v>4970</v>
      </c>
      <c r="C1153" t="s">
        <v>4971</v>
      </c>
      <c r="D1153" t="s">
        <v>1643</v>
      </c>
      <c r="E1153" t="s">
        <v>1273</v>
      </c>
      <c r="F1153" t="s">
        <v>4972</v>
      </c>
      <c r="G1153" t="s">
        <v>4973</v>
      </c>
      <c r="H1153">
        <v>4808126500</v>
      </c>
      <c r="K1153" t="s">
        <v>4974</v>
      </c>
      <c r="L1153" t="s">
        <v>4969</v>
      </c>
      <c r="M1153" t="s">
        <v>1634</v>
      </c>
    </row>
    <row r="1154" spans="1:13" x14ac:dyDescent="0.25">
      <c r="A1154">
        <v>5114</v>
      </c>
      <c r="B1154" t="s">
        <v>4975</v>
      </c>
      <c r="C1154" t="s">
        <v>4976</v>
      </c>
      <c r="D1154" t="s">
        <v>1643</v>
      </c>
      <c r="E1154" t="s">
        <v>1273</v>
      </c>
    </row>
    <row r="1155" spans="1:13" x14ac:dyDescent="0.25">
      <c r="A1155">
        <v>5115</v>
      </c>
      <c r="B1155" t="s">
        <v>4977</v>
      </c>
      <c r="C1155" t="s">
        <v>4978</v>
      </c>
      <c r="D1155" t="s">
        <v>1643</v>
      </c>
      <c r="E1155" t="s">
        <v>1273</v>
      </c>
      <c r="F1155" t="s">
        <v>2009</v>
      </c>
      <c r="G1155" t="s">
        <v>4979</v>
      </c>
      <c r="H1155">
        <v>4808126100</v>
      </c>
      <c r="K1155" t="s">
        <v>4980</v>
      </c>
      <c r="L1155" t="s">
        <v>4969</v>
      </c>
      <c r="M1155" t="s">
        <v>1634</v>
      </c>
    </row>
    <row r="1156" spans="1:13" x14ac:dyDescent="0.25">
      <c r="A1156">
        <v>87519</v>
      </c>
      <c r="B1156" t="s">
        <v>4981</v>
      </c>
      <c r="C1156" t="s">
        <v>4982</v>
      </c>
      <c r="D1156" t="s">
        <v>1643</v>
      </c>
      <c r="E1156" t="s">
        <v>1273</v>
      </c>
    </row>
    <row r="1157" spans="1:13" x14ac:dyDescent="0.25">
      <c r="A1157">
        <v>5116</v>
      </c>
      <c r="B1157" t="s">
        <v>722</v>
      </c>
      <c r="C1157" t="s">
        <v>4983</v>
      </c>
      <c r="D1157" t="s">
        <v>1643</v>
      </c>
      <c r="E1157" t="s">
        <v>1273</v>
      </c>
    </row>
    <row r="1158" spans="1:13" x14ac:dyDescent="0.25">
      <c r="A1158">
        <v>5117</v>
      </c>
      <c r="B1158" t="s">
        <v>4984</v>
      </c>
      <c r="C1158" t="s">
        <v>4985</v>
      </c>
      <c r="D1158" t="s">
        <v>1643</v>
      </c>
      <c r="E1158" t="s">
        <v>1273</v>
      </c>
      <c r="F1158" t="s">
        <v>4986</v>
      </c>
      <c r="G1158" t="s">
        <v>4626</v>
      </c>
      <c r="H1158">
        <v>4808834100</v>
      </c>
      <c r="K1158" t="s">
        <v>4987</v>
      </c>
      <c r="L1158" t="s">
        <v>4969</v>
      </c>
      <c r="M1158" t="s">
        <v>1634</v>
      </c>
    </row>
    <row r="1159" spans="1:13" x14ac:dyDescent="0.25">
      <c r="A1159">
        <v>5118</v>
      </c>
      <c r="B1159" t="s">
        <v>4988</v>
      </c>
      <c r="C1159" t="s">
        <v>4989</v>
      </c>
      <c r="D1159" t="s">
        <v>1643</v>
      </c>
      <c r="E1159" t="s">
        <v>1273</v>
      </c>
    </row>
    <row r="1160" spans="1:13" x14ac:dyDescent="0.25">
      <c r="A1160">
        <v>5119</v>
      </c>
      <c r="B1160" t="s">
        <v>4990</v>
      </c>
      <c r="C1160" t="s">
        <v>4991</v>
      </c>
      <c r="D1160" t="s">
        <v>1643</v>
      </c>
      <c r="E1160" t="s">
        <v>1273</v>
      </c>
      <c r="F1160" t="s">
        <v>2587</v>
      </c>
      <c r="G1160" t="s">
        <v>3374</v>
      </c>
      <c r="H1160">
        <v>4808126900</v>
      </c>
      <c r="K1160" t="s">
        <v>4992</v>
      </c>
      <c r="L1160" t="s">
        <v>4969</v>
      </c>
      <c r="M1160" t="s">
        <v>1634</v>
      </c>
    </row>
    <row r="1161" spans="1:13" x14ac:dyDescent="0.25">
      <c r="A1161">
        <v>5120</v>
      </c>
      <c r="B1161" t="s">
        <v>4993</v>
      </c>
      <c r="C1161" t="s">
        <v>4994</v>
      </c>
      <c r="D1161" t="s">
        <v>1643</v>
      </c>
      <c r="E1161" t="s">
        <v>1273</v>
      </c>
    </row>
    <row r="1162" spans="1:13" x14ac:dyDescent="0.25">
      <c r="A1162">
        <v>5121</v>
      </c>
      <c r="B1162" t="s">
        <v>4995</v>
      </c>
      <c r="C1162" t="s">
        <v>4996</v>
      </c>
      <c r="D1162" t="s">
        <v>1643</v>
      </c>
      <c r="E1162" t="s">
        <v>1273</v>
      </c>
    </row>
    <row r="1163" spans="1:13" x14ac:dyDescent="0.25">
      <c r="A1163">
        <v>5122</v>
      </c>
      <c r="B1163" t="s">
        <v>4997</v>
      </c>
      <c r="C1163" t="s">
        <v>4998</v>
      </c>
      <c r="D1163" t="s">
        <v>1643</v>
      </c>
      <c r="E1163" t="s">
        <v>1273</v>
      </c>
      <c r="F1163" t="s">
        <v>4999</v>
      </c>
      <c r="G1163" t="s">
        <v>5000</v>
      </c>
      <c r="H1163">
        <v>4808126800</v>
      </c>
      <c r="J1163">
        <v>4808126820</v>
      </c>
      <c r="K1163" t="s">
        <v>5001</v>
      </c>
      <c r="L1163" t="s">
        <v>4969</v>
      </c>
      <c r="M1163" t="s">
        <v>1634</v>
      </c>
    </row>
    <row r="1164" spans="1:13" x14ac:dyDescent="0.25">
      <c r="A1164">
        <v>5123</v>
      </c>
      <c r="B1164" t="s">
        <v>5002</v>
      </c>
      <c r="C1164" t="s">
        <v>5003</v>
      </c>
      <c r="D1164" t="s">
        <v>1643</v>
      </c>
      <c r="E1164" t="s">
        <v>1273</v>
      </c>
    </row>
    <row r="1165" spans="1:13" x14ac:dyDescent="0.25">
      <c r="A1165">
        <v>5124</v>
      </c>
      <c r="B1165" t="s">
        <v>5004</v>
      </c>
      <c r="C1165" t="s">
        <v>5005</v>
      </c>
      <c r="D1165" t="s">
        <v>1643</v>
      </c>
      <c r="E1165" t="s">
        <v>1273</v>
      </c>
      <c r="F1165" t="s">
        <v>5006</v>
      </c>
      <c r="G1165" t="s">
        <v>5007</v>
      </c>
      <c r="H1165">
        <v>4808127407</v>
      </c>
      <c r="K1165" t="s">
        <v>5008</v>
      </c>
      <c r="L1165" t="s">
        <v>1647</v>
      </c>
      <c r="M1165" t="s">
        <v>1634</v>
      </c>
    </row>
    <row r="1166" spans="1:13" x14ac:dyDescent="0.25">
      <c r="A1166">
        <v>5125</v>
      </c>
      <c r="B1166" t="s">
        <v>5009</v>
      </c>
      <c r="C1166" t="s">
        <v>5010</v>
      </c>
      <c r="D1166" t="s">
        <v>1643</v>
      </c>
      <c r="E1166" t="s">
        <v>1273</v>
      </c>
    </row>
    <row r="1167" spans="1:13" x14ac:dyDescent="0.25">
      <c r="A1167">
        <v>79634</v>
      </c>
      <c r="B1167" t="s">
        <v>5011</v>
      </c>
      <c r="C1167" t="s">
        <v>5012</v>
      </c>
      <c r="D1167" t="s">
        <v>1643</v>
      </c>
      <c r="E1167" t="s">
        <v>1273</v>
      </c>
    </row>
    <row r="1168" spans="1:13" x14ac:dyDescent="0.25">
      <c r="A1168">
        <v>5126</v>
      </c>
      <c r="B1168" t="s">
        <v>5013</v>
      </c>
      <c r="C1168" t="s">
        <v>5014</v>
      </c>
      <c r="D1168" t="s">
        <v>1643</v>
      </c>
      <c r="E1168" t="s">
        <v>1273</v>
      </c>
    </row>
    <row r="1169" spans="1:13" x14ac:dyDescent="0.25">
      <c r="A1169">
        <v>6013</v>
      </c>
      <c r="B1169" t="s">
        <v>5015</v>
      </c>
      <c r="C1169" t="s">
        <v>5016</v>
      </c>
      <c r="D1169" t="s">
        <v>1643</v>
      </c>
      <c r="E1169" t="s">
        <v>1273</v>
      </c>
      <c r="F1169" t="s">
        <v>5017</v>
      </c>
      <c r="G1169" t="s">
        <v>5018</v>
      </c>
      <c r="H1169">
        <v>4808834000</v>
      </c>
      <c r="K1169" t="s">
        <v>5019</v>
      </c>
      <c r="L1169" t="s">
        <v>1647</v>
      </c>
      <c r="M1169" t="s">
        <v>1634</v>
      </c>
    </row>
    <row r="1170" spans="1:13" x14ac:dyDescent="0.25">
      <c r="A1170">
        <v>6014</v>
      </c>
      <c r="B1170" t="s">
        <v>5020</v>
      </c>
      <c r="C1170" t="s">
        <v>5021</v>
      </c>
      <c r="D1170" t="s">
        <v>1643</v>
      </c>
      <c r="E1170" t="s">
        <v>1273</v>
      </c>
      <c r="F1170" t="s">
        <v>4725</v>
      </c>
      <c r="G1170" t="s">
        <v>4525</v>
      </c>
      <c r="H1170">
        <v>6023187120</v>
      </c>
      <c r="K1170" t="s">
        <v>5022</v>
      </c>
      <c r="L1170" t="s">
        <v>1721</v>
      </c>
      <c r="M1170" t="s">
        <v>1634</v>
      </c>
    </row>
    <row r="1171" spans="1:13" x14ac:dyDescent="0.25">
      <c r="A1171">
        <v>79247</v>
      </c>
      <c r="B1171" t="s">
        <v>5023</v>
      </c>
      <c r="C1171" t="s">
        <v>5024</v>
      </c>
      <c r="D1171" t="s">
        <v>1643</v>
      </c>
      <c r="E1171" t="s">
        <v>1273</v>
      </c>
    </row>
    <row r="1172" spans="1:13" x14ac:dyDescent="0.25">
      <c r="A1172">
        <v>79653</v>
      </c>
      <c r="B1172" t="s">
        <v>5025</v>
      </c>
      <c r="C1172" t="s">
        <v>5026</v>
      </c>
      <c r="D1172" t="s">
        <v>1643</v>
      </c>
      <c r="E1172" t="s">
        <v>1273</v>
      </c>
    </row>
    <row r="1173" spans="1:13" x14ac:dyDescent="0.25">
      <c r="A1173">
        <v>79635</v>
      </c>
      <c r="B1173" t="s">
        <v>5027</v>
      </c>
      <c r="C1173" t="s">
        <v>5028</v>
      </c>
      <c r="D1173" t="s">
        <v>1643</v>
      </c>
      <c r="E1173" t="s">
        <v>1273</v>
      </c>
    </row>
    <row r="1174" spans="1:13" x14ac:dyDescent="0.25">
      <c r="A1174">
        <v>79636</v>
      </c>
      <c r="B1174" t="s">
        <v>5029</v>
      </c>
      <c r="C1174" t="s">
        <v>5030</v>
      </c>
      <c r="D1174" t="s">
        <v>1643</v>
      </c>
      <c r="E1174" t="s">
        <v>1273</v>
      </c>
    </row>
    <row r="1175" spans="1:13" x14ac:dyDescent="0.25">
      <c r="A1175">
        <v>80102</v>
      </c>
      <c r="B1175" t="s">
        <v>5031</v>
      </c>
      <c r="C1175" t="s">
        <v>5032</v>
      </c>
      <c r="D1175" t="s">
        <v>1643</v>
      </c>
      <c r="E1175" t="s">
        <v>1273</v>
      </c>
    </row>
    <row r="1176" spans="1:13" x14ac:dyDescent="0.25">
      <c r="A1176">
        <v>85837</v>
      </c>
      <c r="B1176" t="s">
        <v>5033</v>
      </c>
      <c r="C1176" t="s">
        <v>5034</v>
      </c>
      <c r="D1176" t="s">
        <v>1643</v>
      </c>
      <c r="E1176" t="s">
        <v>1273</v>
      </c>
    </row>
    <row r="1177" spans="1:13" x14ac:dyDescent="0.25">
      <c r="A1177">
        <v>85838</v>
      </c>
      <c r="B1177" t="s">
        <v>5035</v>
      </c>
      <c r="C1177" t="s">
        <v>5036</v>
      </c>
      <c r="D1177" t="s">
        <v>1643</v>
      </c>
      <c r="E1177" t="s">
        <v>1273</v>
      </c>
      <c r="F1177" t="s">
        <v>4725</v>
      </c>
      <c r="G1177" t="s">
        <v>2666</v>
      </c>
      <c r="H1177">
        <v>4802243207</v>
      </c>
      <c r="J1177">
        <v>4802243220</v>
      </c>
      <c r="K1177" t="s">
        <v>5037</v>
      </c>
      <c r="L1177" t="s">
        <v>1647</v>
      </c>
      <c r="M1177" t="s">
        <v>1634</v>
      </c>
    </row>
    <row r="1178" spans="1:13" x14ac:dyDescent="0.25">
      <c r="A1178">
        <v>88404</v>
      </c>
      <c r="B1178" t="s">
        <v>5038</v>
      </c>
      <c r="C1178" t="s">
        <v>5039</v>
      </c>
      <c r="D1178" t="s">
        <v>1643</v>
      </c>
      <c r="E1178" t="s">
        <v>1273</v>
      </c>
      <c r="F1178" t="s">
        <v>2089</v>
      </c>
      <c r="G1178" t="s">
        <v>5040</v>
      </c>
      <c r="H1178">
        <v>4802242700</v>
      </c>
      <c r="K1178" t="s">
        <v>5041</v>
      </c>
      <c r="L1178" t="s">
        <v>4969</v>
      </c>
      <c r="M1178" t="s">
        <v>1634</v>
      </c>
    </row>
    <row r="1179" spans="1:13" x14ac:dyDescent="0.25">
      <c r="A1179">
        <v>87679</v>
      </c>
      <c r="B1179" t="s">
        <v>5042</v>
      </c>
      <c r="C1179" t="s">
        <v>5043</v>
      </c>
      <c r="D1179" t="s">
        <v>1643</v>
      </c>
      <c r="E1179" t="s">
        <v>1273</v>
      </c>
    </row>
    <row r="1180" spans="1:13" x14ac:dyDescent="0.25">
      <c r="A1180">
        <v>89590</v>
      </c>
      <c r="B1180" t="s">
        <v>5044</v>
      </c>
      <c r="C1180" t="s">
        <v>5045</v>
      </c>
      <c r="D1180" t="s">
        <v>1643</v>
      </c>
      <c r="E1180" t="s">
        <v>1273</v>
      </c>
    </row>
    <row r="1181" spans="1:13" x14ac:dyDescent="0.25">
      <c r="A1181">
        <v>89589</v>
      </c>
      <c r="B1181" t="s">
        <v>5046</v>
      </c>
      <c r="C1181" t="s">
        <v>5047</v>
      </c>
      <c r="D1181" t="s">
        <v>1643</v>
      </c>
      <c r="E1181" t="s">
        <v>1273</v>
      </c>
    </row>
    <row r="1182" spans="1:13" x14ac:dyDescent="0.25">
      <c r="A1182">
        <v>89926</v>
      </c>
      <c r="B1182" t="s">
        <v>5048</v>
      </c>
      <c r="C1182" t="s">
        <v>5049</v>
      </c>
      <c r="D1182" t="s">
        <v>1643</v>
      </c>
      <c r="E1182" t="s">
        <v>1273</v>
      </c>
    </row>
    <row r="1183" spans="1:13" x14ac:dyDescent="0.25">
      <c r="A1183">
        <v>89925</v>
      </c>
      <c r="B1183" t="s">
        <v>5050</v>
      </c>
      <c r="C1183" t="s">
        <v>5051</v>
      </c>
      <c r="D1183" t="s">
        <v>1643</v>
      </c>
      <c r="E1183" t="s">
        <v>1273</v>
      </c>
    </row>
    <row r="1184" spans="1:13" x14ac:dyDescent="0.25">
      <c r="A1184">
        <v>91794</v>
      </c>
      <c r="B1184" t="s">
        <v>5052</v>
      </c>
      <c r="C1184" t="s">
        <v>5053</v>
      </c>
      <c r="D1184" t="s">
        <v>1643</v>
      </c>
      <c r="E1184" t="s">
        <v>1273</v>
      </c>
      <c r="F1184" t="s">
        <v>5054</v>
      </c>
      <c r="G1184" t="s">
        <v>2402</v>
      </c>
      <c r="H1184">
        <v>4802243800</v>
      </c>
      <c r="K1184" t="s">
        <v>5055</v>
      </c>
      <c r="L1184" t="s">
        <v>4969</v>
      </c>
      <c r="M1184" t="s">
        <v>1634</v>
      </c>
    </row>
    <row r="1185" spans="1:13" x14ac:dyDescent="0.25">
      <c r="A1185">
        <v>90302</v>
      </c>
      <c r="B1185" t="s">
        <v>5056</v>
      </c>
      <c r="C1185" t="s">
        <v>5057</v>
      </c>
      <c r="D1185" t="s">
        <v>1643</v>
      </c>
      <c r="E1185" t="s">
        <v>1273</v>
      </c>
    </row>
    <row r="1186" spans="1:13" x14ac:dyDescent="0.25">
      <c r="A1186">
        <v>92891</v>
      </c>
      <c r="B1186" t="s">
        <v>5058</v>
      </c>
      <c r="C1186" t="s">
        <v>5059</v>
      </c>
      <c r="D1186" t="s">
        <v>1643</v>
      </c>
      <c r="E1186" t="s">
        <v>1273</v>
      </c>
    </row>
    <row r="1187" spans="1:13" x14ac:dyDescent="0.25">
      <c r="A1187">
        <v>1000381</v>
      </c>
      <c r="B1187" t="s">
        <v>5060</v>
      </c>
      <c r="C1187" t="s">
        <v>5061</v>
      </c>
      <c r="D1187" t="s">
        <v>1643</v>
      </c>
      <c r="E1187" t="s">
        <v>1273</v>
      </c>
    </row>
    <row r="1188" spans="1:13" x14ac:dyDescent="0.25">
      <c r="A1188">
        <v>5127</v>
      </c>
      <c r="B1188" t="s">
        <v>5062</v>
      </c>
      <c r="C1188" t="s">
        <v>5063</v>
      </c>
      <c r="D1188" t="s">
        <v>1643</v>
      </c>
      <c r="E1188" t="s">
        <v>1273</v>
      </c>
      <c r="F1188" t="s">
        <v>2085</v>
      </c>
      <c r="G1188" t="s">
        <v>4410</v>
      </c>
      <c r="H1188">
        <v>4808127700</v>
      </c>
      <c r="J1188">
        <v>4808127720</v>
      </c>
      <c r="K1188" t="s">
        <v>5064</v>
      </c>
      <c r="L1188" t="s">
        <v>1738</v>
      </c>
      <c r="M1188" t="s">
        <v>1634</v>
      </c>
    </row>
    <row r="1189" spans="1:13" x14ac:dyDescent="0.25">
      <c r="A1189">
        <v>5127</v>
      </c>
      <c r="B1189" t="s">
        <v>5062</v>
      </c>
      <c r="C1189" t="s">
        <v>5063</v>
      </c>
      <c r="D1189" t="s">
        <v>1643</v>
      </c>
      <c r="E1189" t="s">
        <v>1273</v>
      </c>
      <c r="F1189" t="s">
        <v>4775</v>
      </c>
      <c r="G1189" t="s">
        <v>5065</v>
      </c>
      <c r="K1189" t="s">
        <v>5066</v>
      </c>
      <c r="L1189" t="s">
        <v>5067</v>
      </c>
      <c r="M1189" t="s">
        <v>1634</v>
      </c>
    </row>
    <row r="1190" spans="1:13" x14ac:dyDescent="0.25">
      <c r="A1190">
        <v>79633</v>
      </c>
      <c r="B1190" t="s">
        <v>5068</v>
      </c>
      <c r="C1190" t="s">
        <v>5069</v>
      </c>
      <c r="D1190" t="s">
        <v>1643</v>
      </c>
      <c r="E1190" t="s">
        <v>1273</v>
      </c>
    </row>
    <row r="1191" spans="1:13" x14ac:dyDescent="0.25">
      <c r="A1191">
        <v>6015</v>
      </c>
      <c r="B1191" t="s">
        <v>5070</v>
      </c>
      <c r="C1191" t="s">
        <v>5071</v>
      </c>
      <c r="D1191" t="s">
        <v>1643</v>
      </c>
      <c r="E1191" t="s">
        <v>1273</v>
      </c>
    </row>
    <row r="1192" spans="1:13" x14ac:dyDescent="0.25">
      <c r="A1192">
        <v>89613</v>
      </c>
      <c r="B1192" t="s">
        <v>5072</v>
      </c>
      <c r="C1192" t="s">
        <v>5073</v>
      </c>
      <c r="D1192" t="s">
        <v>1643</v>
      </c>
      <c r="E1192" t="s">
        <v>1273</v>
      </c>
      <c r="F1192" t="s">
        <v>4859</v>
      </c>
      <c r="G1192" t="s">
        <v>2499</v>
      </c>
      <c r="H1192">
        <v>4802242807</v>
      </c>
      <c r="J1192">
        <v>4802242820</v>
      </c>
      <c r="K1192" t="s">
        <v>5074</v>
      </c>
      <c r="L1192" t="s">
        <v>1647</v>
      </c>
      <c r="M1192" t="s">
        <v>1634</v>
      </c>
    </row>
    <row r="1193" spans="1:13" x14ac:dyDescent="0.25">
      <c r="A1193">
        <v>89591</v>
      </c>
      <c r="B1193" t="s">
        <v>5075</v>
      </c>
      <c r="C1193" t="s">
        <v>5076</v>
      </c>
      <c r="D1193" t="s">
        <v>1643</v>
      </c>
      <c r="E1193" t="s">
        <v>1273</v>
      </c>
    </row>
    <row r="1194" spans="1:13" x14ac:dyDescent="0.25">
      <c r="A1194">
        <v>90027</v>
      </c>
      <c r="B1194" t="s">
        <v>5077</v>
      </c>
      <c r="C1194" t="s">
        <v>5078</v>
      </c>
      <c r="D1194" t="s">
        <v>1643</v>
      </c>
      <c r="E1194" t="s">
        <v>1273</v>
      </c>
      <c r="F1194" t="s">
        <v>5079</v>
      </c>
      <c r="G1194" t="s">
        <v>5080</v>
      </c>
      <c r="H1194">
        <v>4808127150</v>
      </c>
      <c r="K1194" t="s">
        <v>5081</v>
      </c>
      <c r="L1194" t="s">
        <v>1721</v>
      </c>
      <c r="M1194" t="s">
        <v>1634</v>
      </c>
    </row>
    <row r="1195" spans="1:13" x14ac:dyDescent="0.25">
      <c r="A1195">
        <v>92892</v>
      </c>
      <c r="B1195" t="s">
        <v>5082</v>
      </c>
      <c r="C1195" t="s">
        <v>5083</v>
      </c>
      <c r="D1195" t="s">
        <v>1643</v>
      </c>
      <c r="E1195" t="s">
        <v>1273</v>
      </c>
    </row>
    <row r="1196" spans="1:13" x14ac:dyDescent="0.25">
      <c r="A1196">
        <v>91282</v>
      </c>
      <c r="B1196" t="s">
        <v>5084</v>
      </c>
      <c r="C1196" t="s">
        <v>5085</v>
      </c>
      <c r="D1196" t="s">
        <v>1643</v>
      </c>
      <c r="E1196" t="s">
        <v>1273</v>
      </c>
      <c r="F1196" t="s">
        <v>5086</v>
      </c>
      <c r="G1196" t="s">
        <v>5087</v>
      </c>
      <c r="K1196" t="s">
        <v>5088</v>
      </c>
      <c r="L1196" t="s">
        <v>5089</v>
      </c>
      <c r="M1196" t="s">
        <v>1634</v>
      </c>
    </row>
    <row r="1197" spans="1:13" x14ac:dyDescent="0.25">
      <c r="A1197">
        <v>4252</v>
      </c>
      <c r="B1197" t="s">
        <v>1511</v>
      </c>
      <c r="C1197" t="s">
        <v>5090</v>
      </c>
      <c r="D1197" t="s">
        <v>1628</v>
      </c>
      <c r="E1197" t="s">
        <v>1273</v>
      </c>
      <c r="F1197" t="s">
        <v>5091</v>
      </c>
      <c r="G1197" t="s">
        <v>5092</v>
      </c>
      <c r="K1197" t="s">
        <v>5093</v>
      </c>
      <c r="L1197" t="s">
        <v>5094</v>
      </c>
      <c r="M1197" t="s">
        <v>1634</v>
      </c>
    </row>
    <row r="1198" spans="1:13" x14ac:dyDescent="0.25">
      <c r="A1198">
        <v>4252</v>
      </c>
      <c r="B1198" t="s">
        <v>1511</v>
      </c>
      <c r="C1198" t="s">
        <v>5090</v>
      </c>
      <c r="D1198" t="s">
        <v>1628</v>
      </c>
      <c r="E1198" t="s">
        <v>1273</v>
      </c>
      <c r="F1198" t="s">
        <v>2099</v>
      </c>
      <c r="G1198" t="s">
        <v>5095</v>
      </c>
      <c r="H1198">
        <v>6233882116</v>
      </c>
      <c r="K1198" t="s">
        <v>5096</v>
      </c>
      <c r="L1198" t="s">
        <v>5097</v>
      </c>
      <c r="M1198" t="s">
        <v>1634</v>
      </c>
    </row>
    <row r="1199" spans="1:13" x14ac:dyDescent="0.25">
      <c r="A1199">
        <v>4252</v>
      </c>
      <c r="B1199" t="s">
        <v>1511</v>
      </c>
      <c r="C1199" t="s">
        <v>5090</v>
      </c>
      <c r="D1199" t="s">
        <v>1628</v>
      </c>
      <c r="E1199" t="s">
        <v>1273</v>
      </c>
      <c r="F1199" t="s">
        <v>5098</v>
      </c>
      <c r="G1199" t="s">
        <v>5099</v>
      </c>
      <c r="H1199">
        <v>6233882121</v>
      </c>
      <c r="K1199" t="s">
        <v>5100</v>
      </c>
      <c r="L1199" t="s">
        <v>1633</v>
      </c>
      <c r="M1199" t="s">
        <v>1634</v>
      </c>
    </row>
    <row r="1200" spans="1:13" x14ac:dyDescent="0.25">
      <c r="A1200">
        <v>4252</v>
      </c>
      <c r="B1200" t="s">
        <v>1511</v>
      </c>
      <c r="C1200" t="s">
        <v>5090</v>
      </c>
      <c r="D1200" t="s">
        <v>1628</v>
      </c>
      <c r="E1200" t="s">
        <v>1273</v>
      </c>
      <c r="F1200" t="s">
        <v>5101</v>
      </c>
      <c r="G1200" t="s">
        <v>5102</v>
      </c>
      <c r="H1200" t="s">
        <v>5103</v>
      </c>
      <c r="K1200" t="s">
        <v>5104</v>
      </c>
      <c r="M1200" t="s">
        <v>1634</v>
      </c>
    </row>
    <row r="1201" spans="1:13" x14ac:dyDescent="0.25">
      <c r="A1201">
        <v>4252</v>
      </c>
      <c r="B1201" t="s">
        <v>1511</v>
      </c>
      <c r="C1201" t="s">
        <v>5090</v>
      </c>
      <c r="D1201" t="s">
        <v>1628</v>
      </c>
      <c r="E1201" t="s">
        <v>1273</v>
      </c>
      <c r="F1201" t="s">
        <v>5098</v>
      </c>
      <c r="G1201" t="s">
        <v>5099</v>
      </c>
      <c r="H1201">
        <v>6233882121</v>
      </c>
      <c r="K1201" t="s">
        <v>5100</v>
      </c>
      <c r="L1201" t="s">
        <v>1633</v>
      </c>
      <c r="M1201" t="s">
        <v>1640</v>
      </c>
    </row>
    <row r="1202" spans="1:13" x14ac:dyDescent="0.25">
      <c r="A1202">
        <v>4252</v>
      </c>
      <c r="B1202" t="s">
        <v>1511</v>
      </c>
      <c r="C1202" t="s">
        <v>5090</v>
      </c>
      <c r="D1202" t="s">
        <v>1628</v>
      </c>
      <c r="E1202" t="s">
        <v>1273</v>
      </c>
      <c r="F1202" t="s">
        <v>3018</v>
      </c>
      <c r="G1202" t="s">
        <v>5105</v>
      </c>
      <c r="H1202">
        <v>6233882100</v>
      </c>
      <c r="J1202">
        <v>6233882915</v>
      </c>
      <c r="K1202" t="s">
        <v>5106</v>
      </c>
      <c r="L1202" t="s">
        <v>5107</v>
      </c>
      <c r="M1202" t="s">
        <v>1765</v>
      </c>
    </row>
    <row r="1203" spans="1:13" x14ac:dyDescent="0.25">
      <c r="A1203">
        <v>4252</v>
      </c>
      <c r="B1203" t="s">
        <v>1511</v>
      </c>
      <c r="C1203" t="s">
        <v>5090</v>
      </c>
      <c r="D1203" t="s">
        <v>1628</v>
      </c>
      <c r="E1203" t="s">
        <v>1273</v>
      </c>
      <c r="F1203" t="s">
        <v>5098</v>
      </c>
      <c r="G1203" t="s">
        <v>5099</v>
      </c>
      <c r="H1203">
        <v>6233882121</v>
      </c>
      <c r="K1203" t="s">
        <v>5100</v>
      </c>
      <c r="L1203" t="s">
        <v>1633</v>
      </c>
      <c r="M1203" t="s">
        <v>1765</v>
      </c>
    </row>
    <row r="1204" spans="1:13" x14ac:dyDescent="0.25">
      <c r="A1204">
        <v>5190</v>
      </c>
      <c r="B1204" t="s">
        <v>1512</v>
      </c>
      <c r="C1204" t="s">
        <v>5108</v>
      </c>
      <c r="D1204" t="s">
        <v>1643</v>
      </c>
      <c r="E1204" t="s">
        <v>1273</v>
      </c>
      <c r="F1204" t="s">
        <v>5109</v>
      </c>
      <c r="G1204" t="s">
        <v>5110</v>
      </c>
      <c r="K1204" t="s">
        <v>5111</v>
      </c>
      <c r="L1204" t="s">
        <v>1647</v>
      </c>
      <c r="M1204" t="s">
        <v>1634</v>
      </c>
    </row>
    <row r="1205" spans="1:13" x14ac:dyDescent="0.25">
      <c r="A1205">
        <v>89748</v>
      </c>
      <c r="B1205" t="s">
        <v>5112</v>
      </c>
      <c r="C1205" t="s">
        <v>5113</v>
      </c>
      <c r="D1205" t="s">
        <v>1643</v>
      </c>
      <c r="E1205" t="s">
        <v>1273</v>
      </c>
      <c r="F1205" t="s">
        <v>1679</v>
      </c>
      <c r="G1205" t="s">
        <v>4218</v>
      </c>
      <c r="H1205">
        <v>6235565880</v>
      </c>
      <c r="I1205">
        <v>1103</v>
      </c>
      <c r="K1205" t="s">
        <v>5114</v>
      </c>
      <c r="L1205" t="s">
        <v>1647</v>
      </c>
      <c r="M1205" t="s">
        <v>1634</v>
      </c>
    </row>
    <row r="1206" spans="1:13" x14ac:dyDescent="0.25">
      <c r="A1206">
        <v>89748</v>
      </c>
      <c r="B1206" t="s">
        <v>5112</v>
      </c>
      <c r="C1206" t="s">
        <v>5113</v>
      </c>
      <c r="D1206" t="s">
        <v>1643</v>
      </c>
      <c r="E1206" t="s">
        <v>1273</v>
      </c>
      <c r="F1206" t="s">
        <v>5115</v>
      </c>
      <c r="G1206" t="s">
        <v>5116</v>
      </c>
      <c r="H1206">
        <v>6235565880</v>
      </c>
      <c r="J1206">
        <v>6235565898</v>
      </c>
      <c r="K1206" t="s">
        <v>5117</v>
      </c>
      <c r="L1206" t="s">
        <v>1647</v>
      </c>
      <c r="M1206" t="s">
        <v>1634</v>
      </c>
    </row>
    <row r="1207" spans="1:13" x14ac:dyDescent="0.25">
      <c r="A1207">
        <v>1000059</v>
      </c>
      <c r="B1207" t="s">
        <v>5118</v>
      </c>
      <c r="C1207" t="s">
        <v>5119</v>
      </c>
      <c r="D1207" t="s">
        <v>1643</v>
      </c>
      <c r="E1207" t="s">
        <v>1273</v>
      </c>
    </row>
    <row r="1208" spans="1:13" x14ac:dyDescent="0.25">
      <c r="A1208">
        <v>1001155</v>
      </c>
      <c r="B1208" t="s">
        <v>5120</v>
      </c>
      <c r="C1208" t="s">
        <v>5121</v>
      </c>
      <c r="D1208" t="s">
        <v>1643</v>
      </c>
      <c r="E1208" t="s">
        <v>1273</v>
      </c>
    </row>
    <row r="1209" spans="1:13" x14ac:dyDescent="0.25">
      <c r="A1209">
        <v>4243</v>
      </c>
      <c r="B1209" t="s">
        <v>340</v>
      </c>
      <c r="C1209" t="s">
        <v>5122</v>
      </c>
      <c r="D1209" t="s">
        <v>1628</v>
      </c>
      <c r="E1209" t="s">
        <v>1273</v>
      </c>
      <c r="F1209" t="s">
        <v>5123</v>
      </c>
      <c r="G1209" t="s">
        <v>2571</v>
      </c>
      <c r="H1209">
        <v>6238767002</v>
      </c>
      <c r="K1209" t="s">
        <v>5124</v>
      </c>
      <c r="L1209" t="s">
        <v>1746</v>
      </c>
      <c r="M1209" t="s">
        <v>1634</v>
      </c>
    </row>
    <row r="1210" spans="1:13" x14ac:dyDescent="0.25">
      <c r="A1210">
        <v>4243</v>
      </c>
      <c r="B1210" t="s">
        <v>340</v>
      </c>
      <c r="C1210" t="s">
        <v>5122</v>
      </c>
      <c r="D1210" t="s">
        <v>1628</v>
      </c>
      <c r="E1210" t="s">
        <v>1273</v>
      </c>
      <c r="F1210" t="s">
        <v>5125</v>
      </c>
      <c r="G1210" t="s">
        <v>5126</v>
      </c>
      <c r="H1210">
        <v>6238767000</v>
      </c>
      <c r="K1210" t="s">
        <v>5127</v>
      </c>
      <c r="L1210" t="s">
        <v>1668</v>
      </c>
      <c r="M1210" t="s">
        <v>1634</v>
      </c>
    </row>
    <row r="1211" spans="1:13" x14ac:dyDescent="0.25">
      <c r="A1211">
        <v>4243</v>
      </c>
      <c r="B1211" t="s">
        <v>340</v>
      </c>
      <c r="C1211" t="s">
        <v>5122</v>
      </c>
      <c r="D1211" t="s">
        <v>1628</v>
      </c>
      <c r="E1211" t="s">
        <v>1273</v>
      </c>
      <c r="F1211" t="s">
        <v>5128</v>
      </c>
      <c r="G1211" t="s">
        <v>5129</v>
      </c>
      <c r="K1211" t="s">
        <v>5130</v>
      </c>
      <c r="L1211" t="s">
        <v>5131</v>
      </c>
      <c r="M1211" t="s">
        <v>1640</v>
      </c>
    </row>
    <row r="1212" spans="1:13" x14ac:dyDescent="0.25">
      <c r="A1212">
        <v>4243</v>
      </c>
      <c r="B1212" t="s">
        <v>340</v>
      </c>
      <c r="C1212" t="s">
        <v>5122</v>
      </c>
      <c r="D1212" t="s">
        <v>1628</v>
      </c>
      <c r="E1212" t="s">
        <v>1273</v>
      </c>
      <c r="F1212" t="s">
        <v>2365</v>
      </c>
      <c r="G1212" t="s">
        <v>5132</v>
      </c>
      <c r="H1212">
        <v>6238767018</v>
      </c>
      <c r="K1212" t="s">
        <v>5133</v>
      </c>
      <c r="L1212" t="s">
        <v>5134</v>
      </c>
      <c r="M1212" t="s">
        <v>1640</v>
      </c>
    </row>
    <row r="1213" spans="1:13" x14ac:dyDescent="0.25">
      <c r="A1213">
        <v>4243</v>
      </c>
      <c r="B1213" t="s">
        <v>340</v>
      </c>
      <c r="C1213" t="s">
        <v>5122</v>
      </c>
      <c r="D1213" t="s">
        <v>1628</v>
      </c>
      <c r="E1213" t="s">
        <v>1273</v>
      </c>
      <c r="F1213" t="s">
        <v>2865</v>
      </c>
      <c r="G1213" t="s">
        <v>1909</v>
      </c>
      <c r="K1213" t="s">
        <v>5135</v>
      </c>
      <c r="L1213" t="s">
        <v>5136</v>
      </c>
      <c r="M1213" t="s">
        <v>1765</v>
      </c>
    </row>
    <row r="1214" spans="1:13" x14ac:dyDescent="0.25">
      <c r="A1214">
        <v>4243</v>
      </c>
      <c r="B1214" t="s">
        <v>340</v>
      </c>
      <c r="C1214" t="s">
        <v>5122</v>
      </c>
      <c r="D1214" t="s">
        <v>1628</v>
      </c>
      <c r="E1214" t="s">
        <v>1273</v>
      </c>
      <c r="F1214" t="s">
        <v>5137</v>
      </c>
      <c r="G1214" t="s">
        <v>5138</v>
      </c>
      <c r="H1214">
        <v>6238767312</v>
      </c>
      <c r="K1214" t="s">
        <v>5139</v>
      </c>
      <c r="M1214" t="s">
        <v>1765</v>
      </c>
    </row>
    <row r="1215" spans="1:13" x14ac:dyDescent="0.25">
      <c r="A1215">
        <v>5128</v>
      </c>
      <c r="B1215" t="s">
        <v>5140</v>
      </c>
      <c r="C1215" t="s">
        <v>5141</v>
      </c>
      <c r="D1215" t="s">
        <v>1643</v>
      </c>
      <c r="E1215" t="s">
        <v>1273</v>
      </c>
      <c r="F1215" t="s">
        <v>2610</v>
      </c>
      <c r="G1215" t="s">
        <v>5142</v>
      </c>
      <c r="H1215">
        <v>6238767100</v>
      </c>
      <c r="J1215">
        <v>6238767137</v>
      </c>
      <c r="K1215" t="s">
        <v>5143</v>
      </c>
      <c r="L1215" t="s">
        <v>5144</v>
      </c>
      <c r="M1215" t="s">
        <v>1634</v>
      </c>
    </row>
    <row r="1216" spans="1:13" x14ac:dyDescent="0.25">
      <c r="A1216">
        <v>5129</v>
      </c>
      <c r="B1216" t="s">
        <v>5145</v>
      </c>
      <c r="C1216" t="s">
        <v>5146</v>
      </c>
      <c r="D1216" t="s">
        <v>1643</v>
      </c>
      <c r="E1216" t="s">
        <v>1273</v>
      </c>
      <c r="F1216" t="s">
        <v>2376</v>
      </c>
      <c r="G1216" t="s">
        <v>5147</v>
      </c>
      <c r="H1216">
        <v>6238767202</v>
      </c>
      <c r="K1216" t="s">
        <v>5148</v>
      </c>
      <c r="L1216" t="s">
        <v>1647</v>
      </c>
      <c r="M1216" t="s">
        <v>1634</v>
      </c>
    </row>
    <row r="1217" spans="1:13" x14ac:dyDescent="0.25">
      <c r="A1217">
        <v>5130</v>
      </c>
      <c r="B1217" t="s">
        <v>5149</v>
      </c>
      <c r="C1217" t="s">
        <v>5150</v>
      </c>
      <c r="D1217" t="s">
        <v>1643</v>
      </c>
      <c r="E1217" t="s">
        <v>1273</v>
      </c>
      <c r="F1217" t="s">
        <v>2261</v>
      </c>
      <c r="G1217" t="s">
        <v>5151</v>
      </c>
      <c r="H1217">
        <v>6238767302</v>
      </c>
      <c r="K1217" t="s">
        <v>5152</v>
      </c>
      <c r="M1217" t="s">
        <v>1634</v>
      </c>
    </row>
    <row r="1218" spans="1:13" x14ac:dyDescent="0.25">
      <c r="A1218">
        <v>5131</v>
      </c>
      <c r="B1218" t="s">
        <v>5153</v>
      </c>
      <c r="C1218" t="s">
        <v>5154</v>
      </c>
      <c r="D1218" t="s">
        <v>1643</v>
      </c>
      <c r="E1218" t="s">
        <v>1273</v>
      </c>
      <c r="F1218" t="s">
        <v>5155</v>
      </c>
      <c r="G1218" t="s">
        <v>1846</v>
      </c>
      <c r="H1218">
        <v>6238767400</v>
      </c>
      <c r="J1218">
        <v>6238767411</v>
      </c>
      <c r="K1218" t="s">
        <v>5156</v>
      </c>
      <c r="L1218" t="s">
        <v>1647</v>
      </c>
      <c r="M1218" t="s">
        <v>1634</v>
      </c>
    </row>
    <row r="1219" spans="1:13" x14ac:dyDescent="0.25">
      <c r="A1219">
        <v>5131</v>
      </c>
      <c r="B1219" t="s">
        <v>5153</v>
      </c>
      <c r="C1219" t="s">
        <v>5154</v>
      </c>
      <c r="D1219" t="s">
        <v>1643</v>
      </c>
      <c r="E1219" t="s">
        <v>1273</v>
      </c>
      <c r="F1219" t="s">
        <v>2876</v>
      </c>
      <c r="G1219" t="s">
        <v>4907</v>
      </c>
      <c r="H1219">
        <v>6238767405</v>
      </c>
      <c r="K1219" t="s">
        <v>5157</v>
      </c>
      <c r="L1219" t="s">
        <v>1738</v>
      </c>
      <c r="M1219" t="s">
        <v>1634</v>
      </c>
    </row>
    <row r="1220" spans="1:13" x14ac:dyDescent="0.25">
      <c r="A1220">
        <v>1000162</v>
      </c>
      <c r="B1220" t="s">
        <v>5158</v>
      </c>
      <c r="C1220" t="s">
        <v>5159</v>
      </c>
      <c r="D1220" t="s">
        <v>1643</v>
      </c>
      <c r="E1220" t="s">
        <v>1273</v>
      </c>
    </row>
    <row r="1221" spans="1:13" x14ac:dyDescent="0.25">
      <c r="A1221">
        <v>5132</v>
      </c>
      <c r="B1221" t="s">
        <v>5160</v>
      </c>
      <c r="C1221" t="s">
        <v>5161</v>
      </c>
      <c r="D1221" t="s">
        <v>1643</v>
      </c>
      <c r="E1221" t="s">
        <v>1273</v>
      </c>
      <c r="F1221" t="s">
        <v>2325</v>
      </c>
      <c r="G1221" t="s">
        <v>5162</v>
      </c>
      <c r="K1221" t="s">
        <v>5163</v>
      </c>
      <c r="L1221" t="s">
        <v>2879</v>
      </c>
      <c r="M1221" t="s">
        <v>1634</v>
      </c>
    </row>
    <row r="1222" spans="1:13" x14ac:dyDescent="0.25">
      <c r="A1222">
        <v>1000163</v>
      </c>
      <c r="B1222" t="s">
        <v>5164</v>
      </c>
      <c r="C1222" t="s">
        <v>5165</v>
      </c>
      <c r="D1222" t="s">
        <v>1643</v>
      </c>
      <c r="E1222" t="s">
        <v>1273</v>
      </c>
    </row>
    <row r="1223" spans="1:13" x14ac:dyDescent="0.25">
      <c r="A1223">
        <v>79632</v>
      </c>
      <c r="B1223" t="s">
        <v>5166</v>
      </c>
      <c r="C1223" t="s">
        <v>5167</v>
      </c>
      <c r="D1223" t="s">
        <v>1643</v>
      </c>
      <c r="E1223" t="s">
        <v>1273</v>
      </c>
      <c r="F1223" t="s">
        <v>4598</v>
      </c>
      <c r="G1223" t="s">
        <v>5168</v>
      </c>
      <c r="H1223">
        <v>6238767700</v>
      </c>
      <c r="J1223">
        <v>6238767711</v>
      </c>
      <c r="K1223" t="s">
        <v>5169</v>
      </c>
      <c r="L1223" t="s">
        <v>1647</v>
      </c>
      <c r="M1223" t="s">
        <v>1634</v>
      </c>
    </row>
    <row r="1224" spans="1:13" x14ac:dyDescent="0.25">
      <c r="A1224">
        <v>79632</v>
      </c>
      <c r="B1224" t="s">
        <v>5166</v>
      </c>
      <c r="C1224" t="s">
        <v>5167</v>
      </c>
      <c r="D1224" t="s">
        <v>1643</v>
      </c>
      <c r="E1224" t="s">
        <v>1273</v>
      </c>
      <c r="F1224" t="s">
        <v>5170</v>
      </c>
      <c r="G1224" t="s">
        <v>5171</v>
      </c>
      <c r="K1224" t="s">
        <v>5172</v>
      </c>
      <c r="L1224" t="s">
        <v>1647</v>
      </c>
      <c r="M1224" t="s">
        <v>1634</v>
      </c>
    </row>
    <row r="1225" spans="1:13" x14ac:dyDescent="0.25">
      <c r="A1225">
        <v>80052</v>
      </c>
      <c r="B1225" t="s">
        <v>5173</v>
      </c>
      <c r="C1225" t="s">
        <v>5174</v>
      </c>
      <c r="D1225" t="s">
        <v>1643</v>
      </c>
      <c r="E1225" t="s">
        <v>1273</v>
      </c>
      <c r="F1225" t="s">
        <v>3525</v>
      </c>
      <c r="G1225" t="s">
        <v>5175</v>
      </c>
      <c r="H1225">
        <v>6238767800</v>
      </c>
      <c r="J1225">
        <v>6238767811</v>
      </c>
      <c r="K1225" t="s">
        <v>5176</v>
      </c>
      <c r="L1225" t="s">
        <v>1647</v>
      </c>
      <c r="M1225" t="s">
        <v>1634</v>
      </c>
    </row>
    <row r="1226" spans="1:13" x14ac:dyDescent="0.25">
      <c r="A1226">
        <v>81111</v>
      </c>
      <c r="B1226" t="s">
        <v>5177</v>
      </c>
      <c r="C1226" t="s">
        <v>5178</v>
      </c>
      <c r="D1226" t="s">
        <v>1643</v>
      </c>
      <c r="E1226" t="s">
        <v>1273</v>
      </c>
      <c r="F1226" t="s">
        <v>1707</v>
      </c>
      <c r="G1226" t="s">
        <v>5179</v>
      </c>
      <c r="H1226">
        <v>6235238300</v>
      </c>
      <c r="J1226">
        <v>6235239311</v>
      </c>
      <c r="K1226" t="s">
        <v>5180</v>
      </c>
      <c r="L1226" t="s">
        <v>1647</v>
      </c>
      <c r="M1226" t="s">
        <v>1634</v>
      </c>
    </row>
    <row r="1227" spans="1:13" x14ac:dyDescent="0.25">
      <c r="A1227">
        <v>81112</v>
      </c>
      <c r="B1227" t="s">
        <v>5181</v>
      </c>
      <c r="C1227" t="s">
        <v>5182</v>
      </c>
      <c r="D1227" t="s">
        <v>1643</v>
      </c>
      <c r="E1227" t="s">
        <v>1273</v>
      </c>
      <c r="F1227" t="s">
        <v>2241</v>
      </c>
      <c r="G1227" t="s">
        <v>5183</v>
      </c>
      <c r="H1227">
        <v>6235238600</v>
      </c>
      <c r="J1227">
        <v>6235238611</v>
      </c>
      <c r="K1227" t="s">
        <v>5184</v>
      </c>
      <c r="L1227" t="s">
        <v>1647</v>
      </c>
      <c r="M1227" t="s">
        <v>1634</v>
      </c>
    </row>
    <row r="1228" spans="1:13" x14ac:dyDescent="0.25">
      <c r="A1228">
        <v>81112</v>
      </c>
      <c r="B1228" t="s">
        <v>5181</v>
      </c>
      <c r="C1228" t="s">
        <v>5182</v>
      </c>
      <c r="D1228" t="s">
        <v>1643</v>
      </c>
      <c r="E1228" t="s">
        <v>1273</v>
      </c>
      <c r="F1228" t="s">
        <v>5185</v>
      </c>
      <c r="G1228" t="s">
        <v>2412</v>
      </c>
      <c r="L1228" t="s">
        <v>2879</v>
      </c>
      <c r="M1228" t="s">
        <v>1634</v>
      </c>
    </row>
    <row r="1229" spans="1:13" x14ac:dyDescent="0.25">
      <c r="A1229">
        <v>84683</v>
      </c>
      <c r="B1229" t="s">
        <v>5186</v>
      </c>
      <c r="C1229" t="s">
        <v>5187</v>
      </c>
      <c r="D1229" t="s">
        <v>1643</v>
      </c>
      <c r="E1229" t="s">
        <v>1273</v>
      </c>
      <c r="F1229" t="s">
        <v>4121</v>
      </c>
      <c r="G1229" t="s">
        <v>5188</v>
      </c>
      <c r="H1229">
        <v>6235238202</v>
      </c>
      <c r="J1229">
        <v>6235238211</v>
      </c>
      <c r="K1229" t="s">
        <v>5189</v>
      </c>
      <c r="L1229" t="s">
        <v>1647</v>
      </c>
      <c r="M1229" t="s">
        <v>1634</v>
      </c>
    </row>
    <row r="1230" spans="1:13" x14ac:dyDescent="0.25">
      <c r="A1230">
        <v>84684</v>
      </c>
      <c r="B1230" t="s">
        <v>5190</v>
      </c>
      <c r="C1230" t="s">
        <v>5191</v>
      </c>
      <c r="D1230" t="s">
        <v>1643</v>
      </c>
      <c r="E1230" t="s">
        <v>1273</v>
      </c>
      <c r="F1230" t="s">
        <v>4486</v>
      </c>
      <c r="G1230" t="s">
        <v>4856</v>
      </c>
      <c r="H1230">
        <v>6235238402</v>
      </c>
      <c r="K1230" t="s">
        <v>5192</v>
      </c>
      <c r="L1230" t="s">
        <v>1647</v>
      </c>
      <c r="M1230" t="s">
        <v>1634</v>
      </c>
    </row>
    <row r="1231" spans="1:13" x14ac:dyDescent="0.25">
      <c r="A1231">
        <v>84684</v>
      </c>
      <c r="B1231" t="s">
        <v>5190</v>
      </c>
      <c r="C1231" t="s">
        <v>5191</v>
      </c>
      <c r="D1231" t="s">
        <v>1643</v>
      </c>
      <c r="E1231" t="s">
        <v>1273</v>
      </c>
      <c r="F1231" t="s">
        <v>4858</v>
      </c>
      <c r="G1231" t="s">
        <v>5193</v>
      </c>
      <c r="L1231" t="s">
        <v>1647</v>
      </c>
      <c r="M1231" t="s">
        <v>1634</v>
      </c>
    </row>
    <row r="1232" spans="1:13" x14ac:dyDescent="0.25">
      <c r="A1232">
        <v>87620</v>
      </c>
      <c r="B1232" t="s">
        <v>5194</v>
      </c>
      <c r="C1232" t="s">
        <v>5195</v>
      </c>
      <c r="D1232" t="s">
        <v>1643</v>
      </c>
      <c r="E1232" t="s">
        <v>1273</v>
      </c>
      <c r="F1232" t="s">
        <v>5196</v>
      </c>
      <c r="G1232" t="s">
        <v>5197</v>
      </c>
      <c r="H1232">
        <v>6235238702</v>
      </c>
      <c r="K1232" t="s">
        <v>5198</v>
      </c>
      <c r="L1232" t="s">
        <v>2879</v>
      </c>
      <c r="M1232" t="s">
        <v>1634</v>
      </c>
    </row>
    <row r="1233" spans="1:13" x14ac:dyDescent="0.25">
      <c r="A1233">
        <v>87620</v>
      </c>
      <c r="B1233" t="s">
        <v>5194</v>
      </c>
      <c r="C1233" t="s">
        <v>5195</v>
      </c>
      <c r="D1233" t="s">
        <v>1643</v>
      </c>
      <c r="E1233" t="s">
        <v>1273</v>
      </c>
      <c r="F1233" t="s">
        <v>3428</v>
      </c>
      <c r="G1233" t="s">
        <v>4000</v>
      </c>
      <c r="H1233">
        <v>6235238702</v>
      </c>
      <c r="L1233" t="s">
        <v>2776</v>
      </c>
      <c r="M1233" t="s">
        <v>1634</v>
      </c>
    </row>
    <row r="1234" spans="1:13" x14ac:dyDescent="0.25">
      <c r="A1234">
        <v>87621</v>
      </c>
      <c r="B1234" t="s">
        <v>5199</v>
      </c>
      <c r="C1234" t="s">
        <v>5200</v>
      </c>
      <c r="D1234" t="s">
        <v>1643</v>
      </c>
      <c r="E1234" t="s">
        <v>1273</v>
      </c>
      <c r="F1234" t="s">
        <v>5201</v>
      </c>
      <c r="G1234" t="s">
        <v>5202</v>
      </c>
      <c r="H1234">
        <v>6235238500</v>
      </c>
      <c r="J1234">
        <v>6235238511</v>
      </c>
      <c r="K1234" t="s">
        <v>5203</v>
      </c>
      <c r="L1234" t="s">
        <v>1647</v>
      </c>
      <c r="M1234" t="s">
        <v>1634</v>
      </c>
    </row>
    <row r="1235" spans="1:13" x14ac:dyDescent="0.25">
      <c r="A1235">
        <v>87621</v>
      </c>
      <c r="B1235" t="s">
        <v>5199</v>
      </c>
      <c r="C1235" t="s">
        <v>5200</v>
      </c>
      <c r="D1235" t="s">
        <v>1643</v>
      </c>
      <c r="E1235" t="s">
        <v>1273</v>
      </c>
      <c r="F1235" t="s">
        <v>1690</v>
      </c>
      <c r="G1235" t="s">
        <v>1840</v>
      </c>
      <c r="H1235">
        <v>6238767008</v>
      </c>
      <c r="J1235">
        <v>6238767046</v>
      </c>
      <c r="K1235" t="s">
        <v>5204</v>
      </c>
      <c r="L1235" t="s">
        <v>5205</v>
      </c>
      <c r="M1235" t="s">
        <v>1640</v>
      </c>
    </row>
    <row r="1236" spans="1:13" x14ac:dyDescent="0.25">
      <c r="A1236">
        <v>88414</v>
      </c>
      <c r="B1236" t="s">
        <v>5206</v>
      </c>
      <c r="C1236" t="s">
        <v>5207</v>
      </c>
      <c r="D1236" t="s">
        <v>1643</v>
      </c>
      <c r="E1236" t="s">
        <v>1273</v>
      </c>
      <c r="F1236" t="s">
        <v>5208</v>
      </c>
      <c r="G1236" t="s">
        <v>5209</v>
      </c>
      <c r="H1236">
        <v>6235238550</v>
      </c>
      <c r="J1236">
        <v>6235238561</v>
      </c>
      <c r="K1236" t="s">
        <v>5210</v>
      </c>
      <c r="L1236" t="s">
        <v>1647</v>
      </c>
      <c r="M1236" t="s">
        <v>1634</v>
      </c>
    </row>
    <row r="1237" spans="1:13" x14ac:dyDescent="0.25">
      <c r="A1237">
        <v>88414</v>
      </c>
      <c r="B1237" t="s">
        <v>5206</v>
      </c>
      <c r="C1237" t="s">
        <v>5207</v>
      </c>
      <c r="D1237" t="s">
        <v>1643</v>
      </c>
      <c r="E1237" t="s">
        <v>1273</v>
      </c>
      <c r="F1237" t="s">
        <v>2253</v>
      </c>
      <c r="G1237" t="s">
        <v>5211</v>
      </c>
      <c r="L1237" t="s">
        <v>1647</v>
      </c>
      <c r="M1237" t="s">
        <v>1634</v>
      </c>
    </row>
    <row r="1238" spans="1:13" x14ac:dyDescent="0.25">
      <c r="A1238">
        <v>88415</v>
      </c>
      <c r="B1238" t="s">
        <v>5212</v>
      </c>
      <c r="C1238" t="s">
        <v>5213</v>
      </c>
      <c r="D1238" t="s">
        <v>1643</v>
      </c>
      <c r="E1238" t="s">
        <v>1273</v>
      </c>
      <c r="F1238" t="s">
        <v>2036</v>
      </c>
      <c r="G1238" t="s">
        <v>2050</v>
      </c>
      <c r="H1238">
        <v>6235238750</v>
      </c>
      <c r="J1238">
        <v>6235238761</v>
      </c>
      <c r="K1238" t="s">
        <v>5214</v>
      </c>
      <c r="L1238" t="s">
        <v>1647</v>
      </c>
      <c r="M1238" t="s">
        <v>1634</v>
      </c>
    </row>
    <row r="1239" spans="1:13" x14ac:dyDescent="0.25">
      <c r="A1239">
        <v>88415</v>
      </c>
      <c r="B1239" t="s">
        <v>5212</v>
      </c>
      <c r="C1239" t="s">
        <v>5213</v>
      </c>
      <c r="D1239" t="s">
        <v>1643</v>
      </c>
      <c r="E1239" t="s">
        <v>1273</v>
      </c>
      <c r="F1239" t="s">
        <v>5215</v>
      </c>
      <c r="G1239" t="s">
        <v>5216</v>
      </c>
      <c r="H1239">
        <v>6235238752</v>
      </c>
      <c r="J1239">
        <v>6235238761</v>
      </c>
      <c r="K1239" t="s">
        <v>5217</v>
      </c>
      <c r="L1239" t="s">
        <v>1647</v>
      </c>
      <c r="M1239" t="s">
        <v>1634</v>
      </c>
    </row>
    <row r="1240" spans="1:13" x14ac:dyDescent="0.25">
      <c r="A1240">
        <v>88415</v>
      </c>
      <c r="B1240" t="s">
        <v>5212</v>
      </c>
      <c r="C1240" t="s">
        <v>5213</v>
      </c>
      <c r="D1240" t="s">
        <v>1643</v>
      </c>
      <c r="E1240" t="s">
        <v>1273</v>
      </c>
      <c r="F1240" t="s">
        <v>2739</v>
      </c>
      <c r="G1240" t="s">
        <v>2571</v>
      </c>
      <c r="H1240">
        <v>6235238750</v>
      </c>
      <c r="J1240">
        <v>6235238761</v>
      </c>
      <c r="K1240" t="s">
        <v>5218</v>
      </c>
      <c r="L1240" t="s">
        <v>1647</v>
      </c>
      <c r="M1240" t="s">
        <v>1634</v>
      </c>
    </row>
    <row r="1241" spans="1:13" x14ac:dyDescent="0.25">
      <c r="A1241">
        <v>88416</v>
      </c>
      <c r="B1241" t="s">
        <v>5219</v>
      </c>
      <c r="C1241" t="s">
        <v>5220</v>
      </c>
      <c r="D1241" t="s">
        <v>1643</v>
      </c>
      <c r="E1241" t="s">
        <v>1273</v>
      </c>
      <c r="F1241" t="s">
        <v>5221</v>
      </c>
      <c r="G1241" t="s">
        <v>5222</v>
      </c>
      <c r="H1241">
        <v>6235238650</v>
      </c>
      <c r="J1241">
        <v>6235238661</v>
      </c>
      <c r="K1241" t="s">
        <v>5223</v>
      </c>
      <c r="L1241" t="s">
        <v>1647</v>
      </c>
      <c r="M1241" t="s">
        <v>1634</v>
      </c>
    </row>
    <row r="1242" spans="1:13" x14ac:dyDescent="0.25">
      <c r="A1242">
        <v>89604</v>
      </c>
      <c r="B1242" t="s">
        <v>5224</v>
      </c>
      <c r="C1242" t="s">
        <v>5225</v>
      </c>
      <c r="D1242" t="s">
        <v>1643</v>
      </c>
      <c r="E1242" t="s">
        <v>1273</v>
      </c>
      <c r="F1242" t="s">
        <v>3239</v>
      </c>
      <c r="G1242" t="s">
        <v>1918</v>
      </c>
      <c r="H1242">
        <v>6238767452</v>
      </c>
      <c r="K1242" t="s">
        <v>5226</v>
      </c>
      <c r="L1242" t="s">
        <v>1647</v>
      </c>
      <c r="M1242" t="s">
        <v>1634</v>
      </c>
    </row>
    <row r="1243" spans="1:13" x14ac:dyDescent="0.25">
      <c r="A1243">
        <v>89604</v>
      </c>
      <c r="B1243" t="s">
        <v>5224</v>
      </c>
      <c r="C1243" t="s">
        <v>5225</v>
      </c>
      <c r="D1243" t="s">
        <v>1643</v>
      </c>
      <c r="E1243" t="s">
        <v>1273</v>
      </c>
      <c r="F1243" t="s">
        <v>5227</v>
      </c>
      <c r="G1243" t="s">
        <v>5228</v>
      </c>
      <c r="L1243" t="s">
        <v>1738</v>
      </c>
      <c r="M1243" t="s">
        <v>1634</v>
      </c>
    </row>
    <row r="1244" spans="1:13" x14ac:dyDescent="0.25">
      <c r="A1244">
        <v>89600</v>
      </c>
      <c r="B1244" t="s">
        <v>5229</v>
      </c>
      <c r="C1244" t="s">
        <v>5230</v>
      </c>
      <c r="D1244" t="s">
        <v>1643</v>
      </c>
      <c r="E1244" t="s">
        <v>1273</v>
      </c>
      <c r="F1244" t="s">
        <v>5231</v>
      </c>
      <c r="G1244" t="s">
        <v>5232</v>
      </c>
      <c r="H1244">
        <v>6235238450</v>
      </c>
      <c r="J1244">
        <v>6235238461</v>
      </c>
      <c r="K1244" t="s">
        <v>5233</v>
      </c>
      <c r="L1244" t="s">
        <v>1647</v>
      </c>
      <c r="M1244" t="s">
        <v>1634</v>
      </c>
    </row>
    <row r="1245" spans="1:13" x14ac:dyDescent="0.25">
      <c r="A1245">
        <v>89821</v>
      </c>
      <c r="B1245" t="s">
        <v>5234</v>
      </c>
      <c r="C1245" t="s">
        <v>5235</v>
      </c>
      <c r="D1245" t="s">
        <v>1643</v>
      </c>
      <c r="E1245" t="s">
        <v>1273</v>
      </c>
      <c r="F1245" t="s">
        <v>2335</v>
      </c>
      <c r="G1245" t="s">
        <v>5236</v>
      </c>
      <c r="H1245">
        <v>6235238950</v>
      </c>
      <c r="J1245">
        <v>6235238961</v>
      </c>
      <c r="K1245" t="s">
        <v>5237</v>
      </c>
      <c r="L1245" t="s">
        <v>1647</v>
      </c>
      <c r="M1245" t="s">
        <v>1634</v>
      </c>
    </row>
    <row r="1246" spans="1:13" x14ac:dyDescent="0.25">
      <c r="A1246">
        <v>5133</v>
      </c>
      <c r="B1246" t="s">
        <v>5238</v>
      </c>
      <c r="C1246" t="s">
        <v>5239</v>
      </c>
      <c r="D1246" t="s">
        <v>1643</v>
      </c>
      <c r="E1246" t="s">
        <v>1273</v>
      </c>
    </row>
    <row r="1247" spans="1:13" x14ac:dyDescent="0.25">
      <c r="A1247">
        <v>90875</v>
      </c>
      <c r="B1247" t="s">
        <v>5240</v>
      </c>
      <c r="C1247" t="s">
        <v>5241</v>
      </c>
      <c r="D1247" t="s">
        <v>1643</v>
      </c>
      <c r="E1247" t="s">
        <v>1273</v>
      </c>
    </row>
    <row r="1248" spans="1:13" x14ac:dyDescent="0.25">
      <c r="A1248">
        <v>81113</v>
      </c>
      <c r="B1248" t="s">
        <v>5242</v>
      </c>
      <c r="C1248" t="s">
        <v>5243</v>
      </c>
      <c r="D1248" t="s">
        <v>1643</v>
      </c>
      <c r="E1248" t="s">
        <v>1273</v>
      </c>
      <c r="F1248" t="s">
        <v>5244</v>
      </c>
      <c r="G1248" t="s">
        <v>5245</v>
      </c>
      <c r="K1248" t="s">
        <v>5246</v>
      </c>
      <c r="M1248" t="s">
        <v>1634</v>
      </c>
    </row>
    <row r="1249" spans="1:13" x14ac:dyDescent="0.25">
      <c r="A1249">
        <v>81113</v>
      </c>
      <c r="B1249" t="s">
        <v>5242</v>
      </c>
      <c r="C1249" t="s">
        <v>5243</v>
      </c>
      <c r="D1249" t="s">
        <v>1643</v>
      </c>
      <c r="E1249" t="s">
        <v>1273</v>
      </c>
      <c r="F1249" t="s">
        <v>1750</v>
      </c>
      <c r="G1249" t="s">
        <v>5247</v>
      </c>
      <c r="H1249">
        <v>6235238014</v>
      </c>
      <c r="K1249" t="s">
        <v>5248</v>
      </c>
      <c r="L1249" t="s">
        <v>1738</v>
      </c>
      <c r="M1249" t="s">
        <v>1640</v>
      </c>
    </row>
    <row r="1250" spans="1:13" x14ac:dyDescent="0.25">
      <c r="A1250">
        <v>88417</v>
      </c>
      <c r="B1250" t="s">
        <v>5249</v>
      </c>
      <c r="C1250" t="s">
        <v>5250</v>
      </c>
      <c r="D1250" t="s">
        <v>1643</v>
      </c>
      <c r="E1250" t="s">
        <v>1273</v>
      </c>
      <c r="F1250" t="s">
        <v>1699</v>
      </c>
      <c r="G1250" t="s">
        <v>5251</v>
      </c>
      <c r="H1250">
        <v>6235238802</v>
      </c>
      <c r="J1250">
        <v>6235238811</v>
      </c>
      <c r="K1250" t="s">
        <v>5252</v>
      </c>
      <c r="L1250" t="s">
        <v>1647</v>
      </c>
      <c r="M1250" t="s">
        <v>1634</v>
      </c>
    </row>
    <row r="1251" spans="1:13" x14ac:dyDescent="0.25">
      <c r="A1251">
        <v>90134</v>
      </c>
      <c r="B1251" t="s">
        <v>5253</v>
      </c>
      <c r="C1251" t="s">
        <v>5254</v>
      </c>
      <c r="D1251" t="s">
        <v>1643</v>
      </c>
      <c r="E1251" t="s">
        <v>1273</v>
      </c>
      <c r="F1251" t="s">
        <v>1775</v>
      </c>
      <c r="G1251" t="s">
        <v>3502</v>
      </c>
      <c r="H1251">
        <v>6235235100</v>
      </c>
      <c r="K1251" t="s">
        <v>5255</v>
      </c>
      <c r="L1251" t="s">
        <v>1647</v>
      </c>
      <c r="M1251" t="s">
        <v>1634</v>
      </c>
    </row>
    <row r="1252" spans="1:13" x14ac:dyDescent="0.25">
      <c r="A1252">
        <v>90134</v>
      </c>
      <c r="B1252" t="s">
        <v>5253</v>
      </c>
      <c r="C1252" t="s">
        <v>5254</v>
      </c>
      <c r="D1252" t="s">
        <v>1643</v>
      </c>
      <c r="E1252" t="s">
        <v>1273</v>
      </c>
      <c r="F1252" t="s">
        <v>5123</v>
      </c>
      <c r="G1252" t="s">
        <v>2571</v>
      </c>
      <c r="H1252">
        <v>6235235100</v>
      </c>
      <c r="K1252" t="s">
        <v>5256</v>
      </c>
      <c r="L1252" t="s">
        <v>2446</v>
      </c>
      <c r="M1252" t="s">
        <v>1634</v>
      </c>
    </row>
    <row r="1253" spans="1:13" x14ac:dyDescent="0.25">
      <c r="A1253">
        <v>4254</v>
      </c>
      <c r="B1253" t="s">
        <v>5257</v>
      </c>
      <c r="C1253" t="s">
        <v>5258</v>
      </c>
      <c r="D1253" t="s">
        <v>1628</v>
      </c>
      <c r="E1253" t="s">
        <v>1273</v>
      </c>
      <c r="F1253" t="s">
        <v>5259</v>
      </c>
      <c r="G1253" t="s">
        <v>1877</v>
      </c>
      <c r="H1253">
        <v>6234745104</v>
      </c>
      <c r="K1253" t="s">
        <v>5260</v>
      </c>
      <c r="L1253" t="s">
        <v>5261</v>
      </c>
      <c r="M1253" t="s">
        <v>1634</v>
      </c>
    </row>
    <row r="1254" spans="1:13" x14ac:dyDescent="0.25">
      <c r="A1254">
        <v>4254</v>
      </c>
      <c r="B1254" t="s">
        <v>5257</v>
      </c>
      <c r="C1254" t="s">
        <v>5258</v>
      </c>
      <c r="D1254" t="s">
        <v>1628</v>
      </c>
      <c r="E1254" t="s">
        <v>1273</v>
      </c>
      <c r="F1254" t="s">
        <v>3303</v>
      </c>
      <c r="G1254" t="s">
        <v>5262</v>
      </c>
      <c r="H1254">
        <v>6234745111</v>
      </c>
      <c r="J1254">
        <v>6234745190</v>
      </c>
      <c r="K1254" t="s">
        <v>5263</v>
      </c>
      <c r="L1254" t="s">
        <v>1668</v>
      </c>
      <c r="M1254" t="s">
        <v>1634</v>
      </c>
    </row>
    <row r="1255" spans="1:13" x14ac:dyDescent="0.25">
      <c r="A1255">
        <v>4254</v>
      </c>
      <c r="B1255" t="s">
        <v>5257</v>
      </c>
      <c r="C1255" t="s">
        <v>5258</v>
      </c>
      <c r="D1255" t="s">
        <v>1628</v>
      </c>
      <c r="E1255" t="s">
        <v>1273</v>
      </c>
      <c r="F1255" t="s">
        <v>4019</v>
      </c>
      <c r="G1255" t="s">
        <v>5264</v>
      </c>
      <c r="K1255" t="s">
        <v>5265</v>
      </c>
      <c r="L1255" t="s">
        <v>5266</v>
      </c>
      <c r="M1255" t="s">
        <v>1634</v>
      </c>
    </row>
    <row r="1256" spans="1:13" x14ac:dyDescent="0.25">
      <c r="A1256">
        <v>4254</v>
      </c>
      <c r="B1256" t="s">
        <v>5257</v>
      </c>
      <c r="C1256" t="s">
        <v>5258</v>
      </c>
      <c r="D1256" t="s">
        <v>1628</v>
      </c>
      <c r="E1256" t="s">
        <v>1273</v>
      </c>
      <c r="F1256" t="s">
        <v>5267</v>
      </c>
      <c r="G1256" t="s">
        <v>1670</v>
      </c>
      <c r="H1256">
        <v>6234745234</v>
      </c>
      <c r="K1256" t="s">
        <v>5268</v>
      </c>
      <c r="L1256" t="s">
        <v>1640</v>
      </c>
      <c r="M1256" t="s">
        <v>1640</v>
      </c>
    </row>
    <row r="1257" spans="1:13" x14ac:dyDescent="0.25">
      <c r="A1257">
        <v>4254</v>
      </c>
      <c r="B1257" t="s">
        <v>5257</v>
      </c>
      <c r="C1257" t="s">
        <v>5258</v>
      </c>
      <c r="D1257" t="s">
        <v>1628</v>
      </c>
      <c r="E1257" t="s">
        <v>1273</v>
      </c>
      <c r="F1257" t="s">
        <v>4019</v>
      </c>
      <c r="G1257" t="s">
        <v>5264</v>
      </c>
      <c r="K1257" t="s">
        <v>5265</v>
      </c>
      <c r="L1257" t="s">
        <v>5266</v>
      </c>
      <c r="M1257" t="s">
        <v>1640</v>
      </c>
    </row>
    <row r="1258" spans="1:13" x14ac:dyDescent="0.25">
      <c r="A1258">
        <v>4254</v>
      </c>
      <c r="B1258" t="s">
        <v>5257</v>
      </c>
      <c r="C1258" t="s">
        <v>5258</v>
      </c>
      <c r="D1258" t="s">
        <v>1628</v>
      </c>
      <c r="E1258" t="s">
        <v>1273</v>
      </c>
      <c r="F1258" t="s">
        <v>4019</v>
      </c>
      <c r="G1258" t="s">
        <v>5264</v>
      </c>
      <c r="K1258" t="s">
        <v>5265</v>
      </c>
      <c r="L1258" t="s">
        <v>5266</v>
      </c>
      <c r="M1258" t="s">
        <v>1765</v>
      </c>
    </row>
    <row r="1259" spans="1:13" x14ac:dyDescent="0.25">
      <c r="A1259">
        <v>85819</v>
      </c>
      <c r="B1259" t="s">
        <v>5269</v>
      </c>
      <c r="C1259" t="s">
        <v>5270</v>
      </c>
      <c r="D1259" t="s">
        <v>1643</v>
      </c>
      <c r="E1259" t="s">
        <v>1273</v>
      </c>
      <c r="F1259" t="s">
        <v>1787</v>
      </c>
      <c r="G1259" t="s">
        <v>5271</v>
      </c>
      <c r="H1259">
        <v>6234745200</v>
      </c>
      <c r="J1259">
        <v>6234745214</v>
      </c>
      <c r="K1259" t="s">
        <v>5272</v>
      </c>
      <c r="M1259" t="s">
        <v>1634</v>
      </c>
    </row>
    <row r="1260" spans="1:13" x14ac:dyDescent="0.25">
      <c r="A1260">
        <v>85819</v>
      </c>
      <c r="B1260" t="s">
        <v>5269</v>
      </c>
      <c r="C1260" t="s">
        <v>5270</v>
      </c>
      <c r="D1260" t="s">
        <v>1643</v>
      </c>
      <c r="E1260" t="s">
        <v>1273</v>
      </c>
      <c r="F1260" t="s">
        <v>5273</v>
      </c>
      <c r="G1260" t="s">
        <v>2506</v>
      </c>
      <c r="K1260" t="s">
        <v>5274</v>
      </c>
      <c r="M1260" t="s">
        <v>1634</v>
      </c>
    </row>
    <row r="1261" spans="1:13" x14ac:dyDescent="0.25">
      <c r="A1261">
        <v>5192</v>
      </c>
      <c r="B1261" t="s">
        <v>5275</v>
      </c>
      <c r="C1261" t="s">
        <v>5276</v>
      </c>
      <c r="D1261" t="s">
        <v>1643</v>
      </c>
      <c r="E1261" t="s">
        <v>1273</v>
      </c>
      <c r="F1261" t="s">
        <v>2082</v>
      </c>
      <c r="G1261" t="s">
        <v>5277</v>
      </c>
      <c r="H1261">
        <v>6234745111</v>
      </c>
      <c r="K1261" t="s">
        <v>5278</v>
      </c>
      <c r="L1261" t="s">
        <v>2584</v>
      </c>
      <c r="M1261" t="s">
        <v>1634</v>
      </c>
    </row>
    <row r="1262" spans="1:13" x14ac:dyDescent="0.25">
      <c r="A1262">
        <v>5192</v>
      </c>
      <c r="B1262" t="s">
        <v>5275</v>
      </c>
      <c r="C1262" t="s">
        <v>5276</v>
      </c>
      <c r="D1262" t="s">
        <v>1643</v>
      </c>
      <c r="E1262" t="s">
        <v>1273</v>
      </c>
      <c r="F1262" t="s">
        <v>4508</v>
      </c>
      <c r="G1262" t="s">
        <v>5279</v>
      </c>
      <c r="K1262" t="s">
        <v>5280</v>
      </c>
      <c r="L1262" t="s">
        <v>1738</v>
      </c>
      <c r="M1262" t="s">
        <v>1634</v>
      </c>
    </row>
    <row r="1263" spans="1:13" x14ac:dyDescent="0.25">
      <c r="A1263">
        <v>5192</v>
      </c>
      <c r="B1263" t="s">
        <v>5275</v>
      </c>
      <c r="C1263" t="s">
        <v>5276</v>
      </c>
      <c r="D1263" t="s">
        <v>1643</v>
      </c>
      <c r="E1263" t="s">
        <v>1273</v>
      </c>
      <c r="F1263" t="s">
        <v>4167</v>
      </c>
      <c r="G1263" t="s">
        <v>2927</v>
      </c>
      <c r="H1263">
        <v>6234745110</v>
      </c>
      <c r="J1263">
        <v>6234745190</v>
      </c>
      <c r="K1263" t="s">
        <v>5281</v>
      </c>
      <c r="M1263" t="s">
        <v>1640</v>
      </c>
    </row>
    <row r="1264" spans="1:13" x14ac:dyDescent="0.25">
      <c r="A1264">
        <v>89596</v>
      </c>
      <c r="B1264" t="s">
        <v>5282</v>
      </c>
      <c r="C1264" t="s">
        <v>5283</v>
      </c>
      <c r="D1264" t="s">
        <v>1643</v>
      </c>
      <c r="E1264" t="s">
        <v>1273</v>
      </c>
    </row>
    <row r="1265" spans="1:13" x14ac:dyDescent="0.25">
      <c r="A1265">
        <v>89595</v>
      </c>
      <c r="B1265" t="s">
        <v>5284</v>
      </c>
      <c r="C1265" t="s">
        <v>5285</v>
      </c>
      <c r="D1265" t="s">
        <v>1643</v>
      </c>
      <c r="E1265" t="s">
        <v>1273</v>
      </c>
      <c r="F1265" t="s">
        <v>2965</v>
      </c>
      <c r="G1265" t="s">
        <v>2177</v>
      </c>
      <c r="K1265" t="s">
        <v>5286</v>
      </c>
      <c r="L1265" t="s">
        <v>1647</v>
      </c>
      <c r="M1265" t="s">
        <v>1634</v>
      </c>
    </row>
    <row r="1266" spans="1:13" x14ac:dyDescent="0.25">
      <c r="A1266">
        <v>4244</v>
      </c>
      <c r="B1266" t="s">
        <v>5287</v>
      </c>
      <c r="C1266" t="s">
        <v>5288</v>
      </c>
      <c r="D1266" t="s">
        <v>1628</v>
      </c>
      <c r="E1266" t="s">
        <v>1273</v>
      </c>
      <c r="F1266" t="s">
        <v>5289</v>
      </c>
      <c r="G1266" t="s">
        <v>5290</v>
      </c>
      <c r="H1266">
        <v>4805752015</v>
      </c>
      <c r="J1266">
        <v>4804887045</v>
      </c>
      <c r="K1266" t="s">
        <v>5291</v>
      </c>
      <c r="L1266" t="s">
        <v>1633</v>
      </c>
      <c r="M1266" t="s">
        <v>1634</v>
      </c>
    </row>
    <row r="1267" spans="1:13" x14ac:dyDescent="0.25">
      <c r="A1267">
        <v>4244</v>
      </c>
      <c r="B1267" t="s">
        <v>5287</v>
      </c>
      <c r="C1267" t="s">
        <v>5288</v>
      </c>
      <c r="D1267" t="s">
        <v>1628</v>
      </c>
      <c r="E1267" t="s">
        <v>1273</v>
      </c>
      <c r="F1267" t="s">
        <v>3387</v>
      </c>
      <c r="G1267" t="s">
        <v>5292</v>
      </c>
      <c r="K1267" t="s">
        <v>5293</v>
      </c>
      <c r="L1267" t="s">
        <v>2368</v>
      </c>
      <c r="M1267" t="s">
        <v>1634</v>
      </c>
    </row>
    <row r="1268" spans="1:13" x14ac:dyDescent="0.25">
      <c r="A1268">
        <v>4244</v>
      </c>
      <c r="B1268" t="s">
        <v>5287</v>
      </c>
      <c r="C1268" t="s">
        <v>5288</v>
      </c>
      <c r="D1268" t="s">
        <v>1628</v>
      </c>
      <c r="E1268" t="s">
        <v>1273</v>
      </c>
      <c r="F1268" t="s">
        <v>3629</v>
      </c>
      <c r="G1268" t="s">
        <v>5294</v>
      </c>
      <c r="H1268">
        <v>4805752020</v>
      </c>
      <c r="K1268" t="s">
        <v>5295</v>
      </c>
      <c r="L1268" t="s">
        <v>3157</v>
      </c>
      <c r="M1268" t="s">
        <v>1640</v>
      </c>
    </row>
    <row r="1269" spans="1:13" x14ac:dyDescent="0.25">
      <c r="A1269">
        <v>4244</v>
      </c>
      <c r="B1269" t="s">
        <v>5287</v>
      </c>
      <c r="C1269" t="s">
        <v>5288</v>
      </c>
      <c r="D1269" t="s">
        <v>1628</v>
      </c>
      <c r="E1269" t="s">
        <v>1273</v>
      </c>
      <c r="F1269" t="s">
        <v>3054</v>
      </c>
      <c r="G1269" t="s">
        <v>1918</v>
      </c>
      <c r="H1269">
        <v>4805752017</v>
      </c>
      <c r="K1269" t="s">
        <v>5296</v>
      </c>
      <c r="L1269" t="s">
        <v>5297</v>
      </c>
      <c r="M1269" t="s">
        <v>1640</v>
      </c>
    </row>
    <row r="1270" spans="1:13" x14ac:dyDescent="0.25">
      <c r="A1270">
        <v>4244</v>
      </c>
      <c r="B1270" t="s">
        <v>5287</v>
      </c>
      <c r="C1270" t="s">
        <v>5288</v>
      </c>
      <c r="D1270" t="s">
        <v>1628</v>
      </c>
      <c r="E1270" t="s">
        <v>1273</v>
      </c>
      <c r="F1270" t="s">
        <v>3215</v>
      </c>
      <c r="G1270" t="s">
        <v>5298</v>
      </c>
      <c r="H1270">
        <v>4805752029</v>
      </c>
      <c r="K1270" t="s">
        <v>5299</v>
      </c>
      <c r="L1270" t="s">
        <v>2358</v>
      </c>
      <c r="M1270" t="s">
        <v>1640</v>
      </c>
    </row>
    <row r="1271" spans="1:13" x14ac:dyDescent="0.25">
      <c r="A1271">
        <v>78911</v>
      </c>
      <c r="B1271" t="s">
        <v>5300</v>
      </c>
      <c r="C1271" t="s">
        <v>5301</v>
      </c>
      <c r="D1271" t="s">
        <v>1643</v>
      </c>
      <c r="E1271" t="s">
        <v>1273</v>
      </c>
      <c r="F1271" t="s">
        <v>3910</v>
      </c>
      <c r="G1271" t="s">
        <v>5302</v>
      </c>
      <c r="H1271">
        <v>4802728601</v>
      </c>
      <c r="J1271">
        <v>4802728699</v>
      </c>
      <c r="K1271" t="s">
        <v>5303</v>
      </c>
      <c r="L1271" t="s">
        <v>1647</v>
      </c>
      <c r="M1271" t="s">
        <v>1634</v>
      </c>
    </row>
    <row r="1272" spans="1:13" x14ac:dyDescent="0.25">
      <c r="A1272">
        <v>5134</v>
      </c>
      <c r="B1272" t="s">
        <v>5304</v>
      </c>
      <c r="C1272" t="s">
        <v>5305</v>
      </c>
      <c r="D1272" t="s">
        <v>1643</v>
      </c>
      <c r="E1272" t="s">
        <v>1273</v>
      </c>
      <c r="F1272" t="s">
        <v>2814</v>
      </c>
      <c r="G1272" t="s">
        <v>5306</v>
      </c>
      <c r="H1272">
        <v>4805752105</v>
      </c>
      <c r="K1272" t="s">
        <v>5307</v>
      </c>
      <c r="L1272" t="s">
        <v>1647</v>
      </c>
      <c r="M1272" t="s">
        <v>1634</v>
      </c>
    </row>
    <row r="1273" spans="1:13" x14ac:dyDescent="0.25">
      <c r="A1273">
        <v>78912</v>
      </c>
      <c r="B1273" t="s">
        <v>5308</v>
      </c>
      <c r="C1273" t="s">
        <v>5309</v>
      </c>
      <c r="D1273" t="s">
        <v>1643</v>
      </c>
      <c r="E1273" t="s">
        <v>1273</v>
      </c>
      <c r="F1273" t="s">
        <v>2279</v>
      </c>
      <c r="G1273" t="s">
        <v>2280</v>
      </c>
      <c r="H1273">
        <v>4805752805</v>
      </c>
      <c r="K1273" t="s">
        <v>5310</v>
      </c>
      <c r="L1273" t="s">
        <v>1647</v>
      </c>
      <c r="M1273" t="s">
        <v>1634</v>
      </c>
    </row>
    <row r="1274" spans="1:13" x14ac:dyDescent="0.25">
      <c r="A1274">
        <v>5136</v>
      </c>
      <c r="B1274" t="s">
        <v>5311</v>
      </c>
      <c r="C1274" t="s">
        <v>5312</v>
      </c>
      <c r="D1274" t="s">
        <v>1643</v>
      </c>
      <c r="E1274" t="s">
        <v>1273</v>
      </c>
      <c r="F1274" t="s">
        <v>1766</v>
      </c>
      <c r="G1274" t="s">
        <v>5313</v>
      </c>
      <c r="H1274">
        <v>4805752905</v>
      </c>
      <c r="K1274" t="s">
        <v>5314</v>
      </c>
      <c r="L1274" t="s">
        <v>1721</v>
      </c>
      <c r="M1274" t="s">
        <v>1634</v>
      </c>
    </row>
    <row r="1275" spans="1:13" x14ac:dyDescent="0.25">
      <c r="A1275">
        <v>80056</v>
      </c>
      <c r="B1275" t="s">
        <v>5315</v>
      </c>
      <c r="C1275" t="s">
        <v>5316</v>
      </c>
      <c r="D1275" t="s">
        <v>1643</v>
      </c>
      <c r="E1275" t="s">
        <v>1273</v>
      </c>
    </row>
    <row r="1276" spans="1:13" x14ac:dyDescent="0.25">
      <c r="A1276">
        <v>87477</v>
      </c>
      <c r="B1276" t="s">
        <v>5317</v>
      </c>
      <c r="C1276" t="s">
        <v>5318</v>
      </c>
      <c r="D1276" t="s">
        <v>1643</v>
      </c>
      <c r="E1276" t="s">
        <v>1273</v>
      </c>
    </row>
    <row r="1277" spans="1:13" x14ac:dyDescent="0.25">
      <c r="A1277">
        <v>1001171</v>
      </c>
      <c r="B1277" t="s">
        <v>5319</v>
      </c>
      <c r="C1277" t="s">
        <v>5320</v>
      </c>
      <c r="D1277" t="s">
        <v>1643</v>
      </c>
      <c r="E1277" t="s">
        <v>1273</v>
      </c>
      <c r="F1277" t="s">
        <v>5321</v>
      </c>
      <c r="G1277" t="s">
        <v>5322</v>
      </c>
      <c r="H1277">
        <v>4805752069</v>
      </c>
      <c r="K1277" t="s">
        <v>5323</v>
      </c>
      <c r="L1277" t="s">
        <v>5324</v>
      </c>
      <c r="M1277" t="s">
        <v>1634</v>
      </c>
    </row>
    <row r="1278" spans="1:13" x14ac:dyDescent="0.25">
      <c r="A1278">
        <v>1001171</v>
      </c>
      <c r="B1278" t="s">
        <v>5319</v>
      </c>
      <c r="C1278" t="s">
        <v>5320</v>
      </c>
      <c r="D1278" t="s">
        <v>1643</v>
      </c>
      <c r="E1278" t="s">
        <v>1273</v>
      </c>
      <c r="F1278" t="s">
        <v>5325</v>
      </c>
      <c r="G1278" t="s">
        <v>5326</v>
      </c>
      <c r="H1278">
        <v>4805752094</v>
      </c>
      <c r="K1278" t="s">
        <v>5327</v>
      </c>
      <c r="L1278" t="s">
        <v>5328</v>
      </c>
      <c r="M1278" t="s">
        <v>1634</v>
      </c>
    </row>
    <row r="1279" spans="1:13" x14ac:dyDescent="0.25">
      <c r="A1279">
        <v>1001171</v>
      </c>
      <c r="B1279" t="s">
        <v>5319</v>
      </c>
      <c r="C1279" t="s">
        <v>5320</v>
      </c>
      <c r="D1279" t="s">
        <v>1643</v>
      </c>
      <c r="E1279" t="s">
        <v>1273</v>
      </c>
      <c r="F1279" t="s">
        <v>4598</v>
      </c>
      <c r="G1279" t="s">
        <v>5329</v>
      </c>
      <c r="K1279" t="s">
        <v>5330</v>
      </c>
      <c r="L1279" t="s">
        <v>5331</v>
      </c>
      <c r="M1279" t="s">
        <v>1634</v>
      </c>
    </row>
    <row r="1280" spans="1:13" x14ac:dyDescent="0.25">
      <c r="A1280">
        <v>5137</v>
      </c>
      <c r="B1280" t="s">
        <v>5332</v>
      </c>
      <c r="C1280" t="s">
        <v>5333</v>
      </c>
      <c r="D1280" t="s">
        <v>1643</v>
      </c>
      <c r="E1280" t="s">
        <v>1273</v>
      </c>
      <c r="F1280" t="s">
        <v>5334</v>
      </c>
      <c r="G1280" t="s">
        <v>5335</v>
      </c>
      <c r="K1280" t="s">
        <v>5336</v>
      </c>
      <c r="M1280" t="s">
        <v>1634</v>
      </c>
    </row>
    <row r="1281" spans="1:13" x14ac:dyDescent="0.25">
      <c r="A1281">
        <v>5137</v>
      </c>
      <c r="B1281" t="s">
        <v>5332</v>
      </c>
      <c r="C1281" t="s">
        <v>5333</v>
      </c>
      <c r="D1281" t="s">
        <v>1643</v>
      </c>
      <c r="E1281" t="s">
        <v>1273</v>
      </c>
      <c r="F1281" t="s">
        <v>1723</v>
      </c>
      <c r="G1281" t="s">
        <v>5337</v>
      </c>
      <c r="H1281">
        <v>4805752400</v>
      </c>
      <c r="K1281" t="s">
        <v>5338</v>
      </c>
      <c r="L1281" t="s">
        <v>5339</v>
      </c>
      <c r="M1281" t="s">
        <v>1634</v>
      </c>
    </row>
    <row r="1282" spans="1:13" x14ac:dyDescent="0.25">
      <c r="A1282">
        <v>5137</v>
      </c>
      <c r="B1282" t="s">
        <v>5332</v>
      </c>
      <c r="C1282" t="s">
        <v>5333</v>
      </c>
      <c r="D1282" t="s">
        <v>1643</v>
      </c>
      <c r="E1282" t="s">
        <v>1273</v>
      </c>
      <c r="F1282" t="s">
        <v>5340</v>
      </c>
      <c r="G1282" t="s">
        <v>5341</v>
      </c>
      <c r="H1282">
        <v>4805752400</v>
      </c>
      <c r="K1282" t="s">
        <v>5342</v>
      </c>
      <c r="L1282" t="s">
        <v>5343</v>
      </c>
      <c r="M1282" t="s">
        <v>1634</v>
      </c>
    </row>
    <row r="1283" spans="1:13" x14ac:dyDescent="0.25">
      <c r="A1283">
        <v>4245</v>
      </c>
      <c r="B1283" t="s">
        <v>5344</v>
      </c>
      <c r="C1283" t="s">
        <v>5345</v>
      </c>
      <c r="D1283" t="s">
        <v>1628</v>
      </c>
      <c r="E1283" t="s">
        <v>1273</v>
      </c>
      <c r="F1283" t="s">
        <v>1670</v>
      </c>
      <c r="G1283" t="s">
        <v>2881</v>
      </c>
      <c r="H1283">
        <v>4809877463</v>
      </c>
      <c r="K1283" t="s">
        <v>5346</v>
      </c>
      <c r="L1283" t="s">
        <v>1668</v>
      </c>
      <c r="M1283" t="s">
        <v>1634</v>
      </c>
    </row>
    <row r="1284" spans="1:13" x14ac:dyDescent="0.25">
      <c r="A1284">
        <v>4245</v>
      </c>
      <c r="B1284" t="s">
        <v>5344</v>
      </c>
      <c r="C1284" t="s">
        <v>5345</v>
      </c>
      <c r="D1284" t="s">
        <v>1628</v>
      </c>
      <c r="E1284" t="s">
        <v>1273</v>
      </c>
      <c r="F1284" t="s">
        <v>3640</v>
      </c>
      <c r="G1284" t="s">
        <v>2465</v>
      </c>
      <c r="H1284">
        <v>4809875985</v>
      </c>
      <c r="K1284" t="s">
        <v>5347</v>
      </c>
      <c r="L1284" t="s">
        <v>1647</v>
      </c>
      <c r="M1284" t="s">
        <v>1634</v>
      </c>
    </row>
    <row r="1285" spans="1:13" x14ac:dyDescent="0.25">
      <c r="A1285">
        <v>4245</v>
      </c>
      <c r="B1285" t="s">
        <v>5344</v>
      </c>
      <c r="C1285" t="s">
        <v>5345</v>
      </c>
      <c r="D1285" t="s">
        <v>1628</v>
      </c>
      <c r="E1285" t="s">
        <v>1273</v>
      </c>
      <c r="F1285" t="s">
        <v>5348</v>
      </c>
      <c r="G1285" t="s">
        <v>1730</v>
      </c>
      <c r="H1285">
        <v>4809877462</v>
      </c>
      <c r="K1285" t="s">
        <v>5349</v>
      </c>
      <c r="L1285" t="s">
        <v>5350</v>
      </c>
      <c r="M1285" t="s">
        <v>1634</v>
      </c>
    </row>
    <row r="1286" spans="1:13" x14ac:dyDescent="0.25">
      <c r="A1286">
        <v>4245</v>
      </c>
      <c r="B1286" t="s">
        <v>5344</v>
      </c>
      <c r="C1286" t="s">
        <v>5345</v>
      </c>
      <c r="D1286" t="s">
        <v>1628</v>
      </c>
      <c r="E1286" t="s">
        <v>1273</v>
      </c>
      <c r="F1286" t="s">
        <v>2835</v>
      </c>
      <c r="G1286" t="s">
        <v>5351</v>
      </c>
      <c r="K1286" t="s">
        <v>5352</v>
      </c>
      <c r="L1286" t="s">
        <v>3157</v>
      </c>
      <c r="M1286" t="s">
        <v>1634</v>
      </c>
    </row>
    <row r="1287" spans="1:13" x14ac:dyDescent="0.25">
      <c r="A1287">
        <v>4245</v>
      </c>
      <c r="B1287" t="s">
        <v>5344</v>
      </c>
      <c r="C1287" t="s">
        <v>5345</v>
      </c>
      <c r="D1287" t="s">
        <v>1628</v>
      </c>
      <c r="E1287" t="s">
        <v>1273</v>
      </c>
      <c r="F1287" t="s">
        <v>5353</v>
      </c>
      <c r="G1287" t="s">
        <v>5354</v>
      </c>
      <c r="H1287">
        <v>4804746720</v>
      </c>
      <c r="K1287" t="s">
        <v>5355</v>
      </c>
      <c r="L1287" t="s">
        <v>1647</v>
      </c>
      <c r="M1287" t="s">
        <v>1634</v>
      </c>
    </row>
    <row r="1288" spans="1:13" x14ac:dyDescent="0.25">
      <c r="A1288">
        <v>4245</v>
      </c>
      <c r="B1288" t="s">
        <v>5344</v>
      </c>
      <c r="C1288" t="s">
        <v>5345</v>
      </c>
      <c r="D1288" t="s">
        <v>1628</v>
      </c>
      <c r="E1288" t="s">
        <v>1273</v>
      </c>
      <c r="F1288" t="s">
        <v>5356</v>
      </c>
      <c r="G1288" t="s">
        <v>5357</v>
      </c>
      <c r="H1288">
        <v>4809875920</v>
      </c>
      <c r="K1288" t="s">
        <v>5358</v>
      </c>
      <c r="L1288" t="s">
        <v>1647</v>
      </c>
      <c r="M1288" t="s">
        <v>1634</v>
      </c>
    </row>
    <row r="1289" spans="1:13" x14ac:dyDescent="0.25">
      <c r="A1289">
        <v>4245</v>
      </c>
      <c r="B1289" t="s">
        <v>5344</v>
      </c>
      <c r="C1289" t="s">
        <v>5345</v>
      </c>
      <c r="D1289" t="s">
        <v>1628</v>
      </c>
      <c r="E1289" t="s">
        <v>1273</v>
      </c>
      <c r="F1289" t="s">
        <v>2672</v>
      </c>
      <c r="G1289" t="s">
        <v>5359</v>
      </c>
      <c r="H1289">
        <v>4809875912</v>
      </c>
      <c r="K1289" t="s">
        <v>5360</v>
      </c>
      <c r="L1289" t="s">
        <v>1647</v>
      </c>
      <c r="M1289" t="s">
        <v>1634</v>
      </c>
    </row>
    <row r="1290" spans="1:13" x14ac:dyDescent="0.25">
      <c r="A1290">
        <v>4245</v>
      </c>
      <c r="B1290" t="s">
        <v>5344</v>
      </c>
      <c r="C1290" t="s">
        <v>5345</v>
      </c>
      <c r="D1290" t="s">
        <v>1628</v>
      </c>
      <c r="E1290" t="s">
        <v>1273</v>
      </c>
      <c r="F1290" t="s">
        <v>5361</v>
      </c>
      <c r="G1290" t="s">
        <v>4410</v>
      </c>
      <c r="H1290">
        <v>4809875950</v>
      </c>
      <c r="K1290" t="s">
        <v>5362</v>
      </c>
      <c r="M1290" t="s">
        <v>1640</v>
      </c>
    </row>
    <row r="1291" spans="1:13" x14ac:dyDescent="0.25">
      <c r="A1291">
        <v>4245</v>
      </c>
      <c r="B1291" t="s">
        <v>5344</v>
      </c>
      <c r="C1291" t="s">
        <v>5345</v>
      </c>
      <c r="D1291" t="s">
        <v>1628</v>
      </c>
      <c r="E1291" t="s">
        <v>1273</v>
      </c>
      <c r="F1291" t="s">
        <v>2908</v>
      </c>
      <c r="G1291" t="s">
        <v>5363</v>
      </c>
      <c r="H1291">
        <v>4809875950</v>
      </c>
      <c r="K1291" t="s">
        <v>5364</v>
      </c>
      <c r="L1291" t="s">
        <v>3210</v>
      </c>
      <c r="M1291" t="s">
        <v>1640</v>
      </c>
    </row>
    <row r="1292" spans="1:13" x14ac:dyDescent="0.25">
      <c r="A1292">
        <v>4245</v>
      </c>
      <c r="B1292" t="s">
        <v>5344</v>
      </c>
      <c r="C1292" t="s">
        <v>5345</v>
      </c>
      <c r="D1292" t="s">
        <v>1628</v>
      </c>
      <c r="E1292" t="s">
        <v>1273</v>
      </c>
      <c r="F1292" t="s">
        <v>5365</v>
      </c>
      <c r="G1292" t="s">
        <v>5366</v>
      </c>
      <c r="K1292" t="s">
        <v>5367</v>
      </c>
      <c r="L1292" t="s">
        <v>5368</v>
      </c>
      <c r="M1292" t="s">
        <v>1765</v>
      </c>
    </row>
    <row r="1293" spans="1:13" x14ac:dyDescent="0.25">
      <c r="A1293">
        <v>4245</v>
      </c>
      <c r="B1293" t="s">
        <v>5344</v>
      </c>
      <c r="C1293" t="s">
        <v>5345</v>
      </c>
      <c r="D1293" t="s">
        <v>1628</v>
      </c>
      <c r="E1293" t="s">
        <v>1273</v>
      </c>
      <c r="F1293" t="s">
        <v>5369</v>
      </c>
      <c r="G1293" t="s">
        <v>5370</v>
      </c>
      <c r="K1293" t="s">
        <v>5371</v>
      </c>
      <c r="M1293" t="s">
        <v>1765</v>
      </c>
    </row>
    <row r="1294" spans="1:13" x14ac:dyDescent="0.25">
      <c r="A1294">
        <v>4245</v>
      </c>
      <c r="B1294" t="s">
        <v>5344</v>
      </c>
      <c r="C1294" t="s">
        <v>5345</v>
      </c>
      <c r="D1294" t="s">
        <v>1628</v>
      </c>
      <c r="E1294" t="s">
        <v>1273</v>
      </c>
      <c r="F1294" t="s">
        <v>3456</v>
      </c>
      <c r="G1294" t="s">
        <v>5372</v>
      </c>
      <c r="H1294">
        <v>4809877401</v>
      </c>
      <c r="K1294" t="s">
        <v>5373</v>
      </c>
      <c r="L1294" t="s">
        <v>1765</v>
      </c>
      <c r="M1294" t="s">
        <v>1765</v>
      </c>
    </row>
    <row r="1295" spans="1:13" x14ac:dyDescent="0.25">
      <c r="A1295">
        <v>4245</v>
      </c>
      <c r="B1295" t="s">
        <v>5344</v>
      </c>
      <c r="C1295" t="s">
        <v>5345</v>
      </c>
      <c r="D1295" t="s">
        <v>1628</v>
      </c>
      <c r="E1295" t="s">
        <v>1273</v>
      </c>
      <c r="F1295" t="s">
        <v>2947</v>
      </c>
      <c r="G1295" t="s">
        <v>2948</v>
      </c>
      <c r="K1295" t="s">
        <v>2949</v>
      </c>
      <c r="L1295" t="s">
        <v>5374</v>
      </c>
      <c r="M1295" t="s">
        <v>1765</v>
      </c>
    </row>
    <row r="1296" spans="1:13" x14ac:dyDescent="0.25">
      <c r="A1296">
        <v>1000596</v>
      </c>
      <c r="B1296" t="s">
        <v>5375</v>
      </c>
      <c r="C1296" t="s">
        <v>5376</v>
      </c>
      <c r="D1296" t="s">
        <v>1643</v>
      </c>
      <c r="E1296" t="s">
        <v>1273</v>
      </c>
    </row>
    <row r="1297" spans="1:13" x14ac:dyDescent="0.25">
      <c r="A1297">
        <v>5138</v>
      </c>
      <c r="B1297" t="s">
        <v>5377</v>
      </c>
      <c r="C1297" t="s">
        <v>5378</v>
      </c>
      <c r="D1297" t="s">
        <v>1643</v>
      </c>
      <c r="E1297" t="s">
        <v>1273</v>
      </c>
    </row>
    <row r="1298" spans="1:13" x14ac:dyDescent="0.25">
      <c r="A1298">
        <v>5139</v>
      </c>
      <c r="B1298" t="s">
        <v>5379</v>
      </c>
      <c r="C1298" t="s">
        <v>5380</v>
      </c>
      <c r="D1298" t="s">
        <v>1643</v>
      </c>
      <c r="E1298" t="s">
        <v>1273</v>
      </c>
      <c r="F1298" t="s">
        <v>3910</v>
      </c>
      <c r="G1298" t="s">
        <v>3911</v>
      </c>
      <c r="H1298">
        <v>4809875912</v>
      </c>
      <c r="J1298">
        <v>4809875914</v>
      </c>
      <c r="K1298" t="s">
        <v>5381</v>
      </c>
      <c r="L1298" t="s">
        <v>5382</v>
      </c>
      <c r="M1298" t="s">
        <v>1634</v>
      </c>
    </row>
    <row r="1299" spans="1:13" x14ac:dyDescent="0.25">
      <c r="A1299">
        <v>80439</v>
      </c>
      <c r="B1299" t="s">
        <v>5383</v>
      </c>
      <c r="C1299" t="s">
        <v>5384</v>
      </c>
      <c r="D1299" t="s">
        <v>1643</v>
      </c>
      <c r="E1299" t="s">
        <v>1273</v>
      </c>
    </row>
    <row r="1300" spans="1:13" x14ac:dyDescent="0.25">
      <c r="A1300">
        <v>87478</v>
      </c>
      <c r="B1300" t="s">
        <v>5385</v>
      </c>
      <c r="C1300" t="s">
        <v>5386</v>
      </c>
      <c r="D1300" t="s">
        <v>1643</v>
      </c>
      <c r="E1300" t="s">
        <v>1273</v>
      </c>
      <c r="F1300" t="s">
        <v>3275</v>
      </c>
      <c r="G1300" t="s">
        <v>5387</v>
      </c>
      <c r="H1300">
        <v>4809877420</v>
      </c>
      <c r="J1300">
        <v>4809877439</v>
      </c>
      <c r="K1300" t="s">
        <v>5388</v>
      </c>
      <c r="L1300" t="s">
        <v>1647</v>
      </c>
      <c r="M1300" t="s">
        <v>1634</v>
      </c>
    </row>
    <row r="1301" spans="1:13" x14ac:dyDescent="0.25">
      <c r="A1301">
        <v>92911</v>
      </c>
      <c r="B1301" t="s">
        <v>5389</v>
      </c>
      <c r="C1301" t="s">
        <v>5390</v>
      </c>
      <c r="D1301" t="s">
        <v>1643</v>
      </c>
      <c r="E1301" t="s">
        <v>1273</v>
      </c>
      <c r="F1301" t="s">
        <v>5391</v>
      </c>
      <c r="G1301" t="s">
        <v>5392</v>
      </c>
      <c r="H1301">
        <v>4809875936</v>
      </c>
      <c r="K1301" t="s">
        <v>5393</v>
      </c>
      <c r="L1301" t="s">
        <v>1640</v>
      </c>
      <c r="M1301" t="s">
        <v>1634</v>
      </c>
    </row>
    <row r="1302" spans="1:13" x14ac:dyDescent="0.25">
      <c r="A1302">
        <v>5140</v>
      </c>
      <c r="B1302" t="s">
        <v>5394</v>
      </c>
      <c r="C1302" t="s">
        <v>5395</v>
      </c>
      <c r="D1302" t="s">
        <v>1643</v>
      </c>
      <c r="E1302" t="s">
        <v>1273</v>
      </c>
    </row>
    <row r="1303" spans="1:13" x14ac:dyDescent="0.25">
      <c r="A1303">
        <v>390026</v>
      </c>
      <c r="B1303" t="s">
        <v>5396</v>
      </c>
      <c r="C1303" t="s">
        <v>5397</v>
      </c>
      <c r="D1303" t="s">
        <v>1643</v>
      </c>
      <c r="E1303" t="s">
        <v>1273</v>
      </c>
      <c r="F1303" t="s">
        <v>5391</v>
      </c>
      <c r="G1303" t="s">
        <v>5392</v>
      </c>
      <c r="K1303" t="s">
        <v>5393</v>
      </c>
      <c r="L1303" t="s">
        <v>1640</v>
      </c>
      <c r="M1303" t="s">
        <v>1634</v>
      </c>
    </row>
    <row r="1304" spans="1:13" x14ac:dyDescent="0.25">
      <c r="A1304">
        <v>1000254</v>
      </c>
      <c r="B1304" t="s">
        <v>5398</v>
      </c>
      <c r="C1304" t="s">
        <v>5399</v>
      </c>
      <c r="D1304" t="s">
        <v>1643</v>
      </c>
      <c r="E1304" t="s">
        <v>1273</v>
      </c>
    </row>
    <row r="1305" spans="1:13" x14ac:dyDescent="0.25">
      <c r="A1305">
        <v>89912</v>
      </c>
      <c r="B1305" t="s">
        <v>5400</v>
      </c>
      <c r="C1305" t="s">
        <v>5401</v>
      </c>
      <c r="D1305" t="s">
        <v>1643</v>
      </c>
      <c r="E1305" t="s">
        <v>1273</v>
      </c>
      <c r="F1305" t="s">
        <v>2269</v>
      </c>
      <c r="G1305" t="s">
        <v>1853</v>
      </c>
      <c r="H1305">
        <v>4804746702</v>
      </c>
      <c r="K1305" t="s">
        <v>5402</v>
      </c>
      <c r="L1305" t="s">
        <v>1647</v>
      </c>
      <c r="M1305" t="s">
        <v>1634</v>
      </c>
    </row>
    <row r="1306" spans="1:13" x14ac:dyDescent="0.25">
      <c r="A1306">
        <v>92628</v>
      </c>
      <c r="B1306" t="s">
        <v>5403</v>
      </c>
      <c r="C1306" t="s">
        <v>5404</v>
      </c>
      <c r="D1306" t="s">
        <v>1643</v>
      </c>
      <c r="E1306" t="s">
        <v>1273</v>
      </c>
      <c r="F1306" t="s">
        <v>1670</v>
      </c>
      <c r="G1306" t="s">
        <v>2881</v>
      </c>
      <c r="H1306">
        <v>4809877463</v>
      </c>
      <c r="J1306">
        <v>4809877497</v>
      </c>
      <c r="K1306" t="s">
        <v>5346</v>
      </c>
      <c r="L1306" t="s">
        <v>2613</v>
      </c>
      <c r="M1306" t="s">
        <v>1634</v>
      </c>
    </row>
    <row r="1307" spans="1:13" x14ac:dyDescent="0.25">
      <c r="A1307">
        <v>5141</v>
      </c>
      <c r="B1307" t="s">
        <v>5405</v>
      </c>
      <c r="C1307" t="s">
        <v>5406</v>
      </c>
      <c r="D1307" t="s">
        <v>1643</v>
      </c>
      <c r="E1307" t="s">
        <v>1273</v>
      </c>
      <c r="F1307" t="s">
        <v>3303</v>
      </c>
      <c r="G1307" t="s">
        <v>5407</v>
      </c>
      <c r="H1307">
        <v>4809875962</v>
      </c>
      <c r="K1307" t="s">
        <v>5408</v>
      </c>
      <c r="M1307" t="s">
        <v>1634</v>
      </c>
    </row>
    <row r="1308" spans="1:13" x14ac:dyDescent="0.25">
      <c r="A1308">
        <v>1000117</v>
      </c>
      <c r="B1308" t="s">
        <v>5409</v>
      </c>
      <c r="C1308" t="s">
        <v>5410</v>
      </c>
      <c r="D1308" t="s">
        <v>1643</v>
      </c>
      <c r="E1308" t="s">
        <v>1273</v>
      </c>
    </row>
    <row r="1309" spans="1:13" x14ac:dyDescent="0.25">
      <c r="A1309">
        <v>4246</v>
      </c>
      <c r="B1309" t="s">
        <v>5411</v>
      </c>
      <c r="C1309" t="s">
        <v>5412</v>
      </c>
      <c r="D1309" t="s">
        <v>1628</v>
      </c>
      <c r="E1309" t="s">
        <v>1273</v>
      </c>
      <c r="F1309" t="s">
        <v>5109</v>
      </c>
      <c r="G1309" t="s">
        <v>5413</v>
      </c>
      <c r="H1309">
        <v>6234455002</v>
      </c>
      <c r="K1309" t="s">
        <v>5414</v>
      </c>
      <c r="L1309" t="s">
        <v>1668</v>
      </c>
      <c r="M1309" t="s">
        <v>1634</v>
      </c>
    </row>
    <row r="1310" spans="1:13" x14ac:dyDescent="0.25">
      <c r="A1310">
        <v>4246</v>
      </c>
      <c r="B1310" t="s">
        <v>5411</v>
      </c>
      <c r="C1310" t="s">
        <v>5412</v>
      </c>
      <c r="D1310" t="s">
        <v>1628</v>
      </c>
      <c r="E1310" t="s">
        <v>1273</v>
      </c>
      <c r="F1310" t="s">
        <v>2556</v>
      </c>
      <c r="G1310" t="s">
        <v>5415</v>
      </c>
      <c r="H1310">
        <v>6234455020</v>
      </c>
      <c r="J1310">
        <v>6028660728</v>
      </c>
      <c r="K1310" t="s">
        <v>5416</v>
      </c>
      <c r="L1310" t="s">
        <v>2358</v>
      </c>
      <c r="M1310" t="s">
        <v>1640</v>
      </c>
    </row>
    <row r="1311" spans="1:13" x14ac:dyDescent="0.25">
      <c r="A1311">
        <v>4246</v>
      </c>
      <c r="B1311" t="s">
        <v>5411</v>
      </c>
      <c r="C1311" t="s">
        <v>5412</v>
      </c>
      <c r="D1311" t="s">
        <v>1628</v>
      </c>
      <c r="E1311" t="s">
        <v>1273</v>
      </c>
      <c r="F1311" t="s">
        <v>2965</v>
      </c>
      <c r="G1311" t="s">
        <v>5417</v>
      </c>
      <c r="H1311">
        <v>6234454958</v>
      </c>
      <c r="K1311" t="s">
        <v>5418</v>
      </c>
      <c r="L1311" t="s">
        <v>1640</v>
      </c>
      <c r="M1311" t="s">
        <v>1640</v>
      </c>
    </row>
    <row r="1312" spans="1:13" x14ac:dyDescent="0.25">
      <c r="A1312">
        <v>4246</v>
      </c>
      <c r="B1312" t="s">
        <v>5411</v>
      </c>
      <c r="C1312" t="s">
        <v>5412</v>
      </c>
      <c r="D1312" t="s">
        <v>1628</v>
      </c>
      <c r="E1312" t="s">
        <v>1273</v>
      </c>
      <c r="F1312" t="s">
        <v>2381</v>
      </c>
      <c r="G1312" t="s">
        <v>5419</v>
      </c>
      <c r="H1312">
        <v>6234454957</v>
      </c>
      <c r="J1312">
        <v>6234455095</v>
      </c>
      <c r="K1312" t="s">
        <v>5420</v>
      </c>
      <c r="L1312" t="s">
        <v>2358</v>
      </c>
      <c r="M1312" t="s">
        <v>1640</v>
      </c>
    </row>
    <row r="1313" spans="1:13" x14ac:dyDescent="0.25">
      <c r="A1313">
        <v>4246</v>
      </c>
      <c r="B1313" t="s">
        <v>5411</v>
      </c>
      <c r="C1313" t="s">
        <v>5412</v>
      </c>
      <c r="D1313" t="s">
        <v>1628</v>
      </c>
      <c r="E1313" t="s">
        <v>1273</v>
      </c>
      <c r="F1313" t="s">
        <v>2401</v>
      </c>
      <c r="G1313" t="s">
        <v>5421</v>
      </c>
      <c r="H1313">
        <v>6234455022</v>
      </c>
      <c r="K1313" t="s">
        <v>5422</v>
      </c>
      <c r="L1313" t="s">
        <v>5423</v>
      </c>
      <c r="M1313" t="s">
        <v>1640</v>
      </c>
    </row>
    <row r="1314" spans="1:13" x14ac:dyDescent="0.25">
      <c r="A1314">
        <v>4246</v>
      </c>
      <c r="B1314" t="s">
        <v>5411</v>
      </c>
      <c r="C1314" t="s">
        <v>5412</v>
      </c>
      <c r="D1314" t="s">
        <v>1628</v>
      </c>
      <c r="E1314" t="s">
        <v>1273</v>
      </c>
      <c r="F1314" t="s">
        <v>1726</v>
      </c>
      <c r="G1314" t="s">
        <v>5424</v>
      </c>
      <c r="K1314" t="s">
        <v>5425</v>
      </c>
      <c r="L1314" t="s">
        <v>5426</v>
      </c>
      <c r="M1314" t="s">
        <v>1765</v>
      </c>
    </row>
    <row r="1315" spans="1:13" x14ac:dyDescent="0.25">
      <c r="A1315">
        <v>4246</v>
      </c>
      <c r="B1315" t="s">
        <v>5411</v>
      </c>
      <c r="C1315" t="s">
        <v>5412</v>
      </c>
      <c r="D1315" t="s">
        <v>1628</v>
      </c>
      <c r="E1315" t="s">
        <v>1273</v>
      </c>
      <c r="F1315" t="s">
        <v>3462</v>
      </c>
      <c r="G1315" t="s">
        <v>5427</v>
      </c>
      <c r="H1315">
        <v>6024675140</v>
      </c>
      <c r="K1315" t="s">
        <v>5428</v>
      </c>
      <c r="L1315" t="s">
        <v>5429</v>
      </c>
      <c r="M1315" t="s">
        <v>1765</v>
      </c>
    </row>
    <row r="1316" spans="1:13" x14ac:dyDescent="0.25">
      <c r="A1316">
        <v>5142</v>
      </c>
      <c r="B1316" t="s">
        <v>5430</v>
      </c>
      <c r="C1316" t="s">
        <v>5431</v>
      </c>
      <c r="D1316" t="s">
        <v>1643</v>
      </c>
      <c r="E1316" t="s">
        <v>1273</v>
      </c>
      <c r="F1316" t="s">
        <v>5432</v>
      </c>
      <c r="G1316" t="s">
        <v>3590</v>
      </c>
      <c r="K1316" t="s">
        <v>5433</v>
      </c>
      <c r="L1316" t="s">
        <v>1738</v>
      </c>
      <c r="M1316" t="s">
        <v>1634</v>
      </c>
    </row>
    <row r="1317" spans="1:13" x14ac:dyDescent="0.25">
      <c r="A1317">
        <v>5142</v>
      </c>
      <c r="B1317" t="s">
        <v>5430</v>
      </c>
      <c r="C1317" t="s">
        <v>5431</v>
      </c>
      <c r="D1317" t="s">
        <v>1643</v>
      </c>
      <c r="E1317" t="s">
        <v>1273</v>
      </c>
      <c r="F1317" t="s">
        <v>4443</v>
      </c>
      <c r="G1317" t="s">
        <v>5434</v>
      </c>
      <c r="H1317">
        <v>6234453351</v>
      </c>
      <c r="K1317" t="s">
        <v>5435</v>
      </c>
      <c r="M1317" t="s">
        <v>1634</v>
      </c>
    </row>
    <row r="1318" spans="1:13" x14ac:dyDescent="0.25">
      <c r="A1318">
        <v>5142</v>
      </c>
      <c r="B1318" t="s">
        <v>5430</v>
      </c>
      <c r="C1318" t="s">
        <v>5431</v>
      </c>
      <c r="D1318" t="s">
        <v>1643</v>
      </c>
      <c r="E1318" t="s">
        <v>1273</v>
      </c>
      <c r="F1318" t="s">
        <v>5436</v>
      </c>
      <c r="G1318" t="s">
        <v>5437</v>
      </c>
      <c r="H1318">
        <v>6234457104</v>
      </c>
      <c r="K1318" t="s">
        <v>5438</v>
      </c>
      <c r="L1318" t="s">
        <v>1647</v>
      </c>
      <c r="M1318" t="s">
        <v>1634</v>
      </c>
    </row>
    <row r="1319" spans="1:13" x14ac:dyDescent="0.25">
      <c r="A1319">
        <v>5142</v>
      </c>
      <c r="B1319" t="s">
        <v>5430</v>
      </c>
      <c r="C1319" t="s">
        <v>5431</v>
      </c>
      <c r="D1319" t="s">
        <v>1643</v>
      </c>
      <c r="E1319" t="s">
        <v>1273</v>
      </c>
      <c r="F1319" t="s">
        <v>4644</v>
      </c>
      <c r="G1319" t="s">
        <v>5439</v>
      </c>
      <c r="H1319">
        <v>6234453302</v>
      </c>
      <c r="K1319" t="s">
        <v>5440</v>
      </c>
      <c r="L1319" t="s">
        <v>1738</v>
      </c>
      <c r="M1319" t="s">
        <v>1634</v>
      </c>
    </row>
    <row r="1320" spans="1:13" x14ac:dyDescent="0.25">
      <c r="A1320">
        <v>5143</v>
      </c>
      <c r="B1320" t="s">
        <v>2394</v>
      </c>
      <c r="C1320" t="s">
        <v>5441</v>
      </c>
      <c r="D1320" t="s">
        <v>1643</v>
      </c>
      <c r="E1320" t="s">
        <v>1273</v>
      </c>
      <c r="F1320" t="s">
        <v>2307</v>
      </c>
      <c r="G1320" t="s">
        <v>5442</v>
      </c>
      <c r="H1320">
        <v>6024676300</v>
      </c>
      <c r="J1320">
        <v>6024676380</v>
      </c>
      <c r="K1320" t="s">
        <v>5443</v>
      </c>
      <c r="L1320" t="s">
        <v>1647</v>
      </c>
      <c r="M1320" t="s">
        <v>1634</v>
      </c>
    </row>
    <row r="1321" spans="1:13" x14ac:dyDescent="0.25">
      <c r="A1321">
        <v>5144</v>
      </c>
      <c r="B1321" t="s">
        <v>5444</v>
      </c>
      <c r="C1321" t="s">
        <v>5445</v>
      </c>
      <c r="D1321" t="s">
        <v>1643</v>
      </c>
      <c r="E1321" t="s">
        <v>1273</v>
      </c>
      <c r="F1321" t="s">
        <v>2876</v>
      </c>
      <c r="G1321" t="s">
        <v>5446</v>
      </c>
      <c r="H1321">
        <v>6233763500</v>
      </c>
      <c r="J1321">
        <v>6233763500</v>
      </c>
      <c r="K1321" t="s">
        <v>5447</v>
      </c>
      <c r="L1321" t="s">
        <v>1647</v>
      </c>
      <c r="M1321" t="s">
        <v>1634</v>
      </c>
    </row>
    <row r="1322" spans="1:13" x14ac:dyDescent="0.25">
      <c r="A1322">
        <v>5144</v>
      </c>
      <c r="B1322" t="s">
        <v>5444</v>
      </c>
      <c r="C1322" t="s">
        <v>5445</v>
      </c>
      <c r="D1322" t="s">
        <v>1643</v>
      </c>
      <c r="E1322" t="s">
        <v>1273</v>
      </c>
      <c r="F1322" t="s">
        <v>3801</v>
      </c>
      <c r="G1322" t="s">
        <v>1708</v>
      </c>
      <c r="H1322">
        <v>6233763500</v>
      </c>
      <c r="K1322" t="s">
        <v>5448</v>
      </c>
      <c r="M1322" t="s">
        <v>1634</v>
      </c>
    </row>
    <row r="1323" spans="1:13" x14ac:dyDescent="0.25">
      <c r="A1323">
        <v>5145</v>
      </c>
      <c r="B1323" t="s">
        <v>5449</v>
      </c>
      <c r="C1323" t="s">
        <v>5450</v>
      </c>
      <c r="D1323" t="s">
        <v>1643</v>
      </c>
      <c r="E1323" t="s">
        <v>1273</v>
      </c>
      <c r="F1323" t="s">
        <v>1820</v>
      </c>
      <c r="G1323" t="s">
        <v>5451</v>
      </c>
      <c r="H1323">
        <v>6234454100</v>
      </c>
      <c r="K1323" t="s">
        <v>5452</v>
      </c>
      <c r="M1323" t="s">
        <v>1634</v>
      </c>
    </row>
    <row r="1324" spans="1:13" x14ac:dyDescent="0.25">
      <c r="A1324">
        <v>5145</v>
      </c>
      <c r="B1324" t="s">
        <v>5449</v>
      </c>
      <c r="C1324" t="s">
        <v>5450</v>
      </c>
      <c r="D1324" t="s">
        <v>1643</v>
      </c>
      <c r="E1324" t="s">
        <v>1273</v>
      </c>
      <c r="F1324" t="s">
        <v>4416</v>
      </c>
      <c r="G1324" t="s">
        <v>5453</v>
      </c>
      <c r="H1324">
        <v>6234454104</v>
      </c>
      <c r="K1324" t="s">
        <v>5454</v>
      </c>
      <c r="L1324" t="s">
        <v>1647</v>
      </c>
      <c r="M1324" t="s">
        <v>1634</v>
      </c>
    </row>
    <row r="1325" spans="1:13" x14ac:dyDescent="0.25">
      <c r="A1325">
        <v>5146</v>
      </c>
      <c r="B1325" t="s">
        <v>5455</v>
      </c>
      <c r="C1325" t="s">
        <v>5456</v>
      </c>
      <c r="D1325" t="s">
        <v>1643</v>
      </c>
      <c r="E1325" t="s">
        <v>1273</v>
      </c>
      <c r="F1325" t="s">
        <v>5457</v>
      </c>
      <c r="G1325" t="s">
        <v>5458</v>
      </c>
      <c r="L1325" t="s">
        <v>1647</v>
      </c>
      <c r="M1325" t="s">
        <v>1634</v>
      </c>
    </row>
    <row r="1326" spans="1:13" x14ac:dyDescent="0.25">
      <c r="A1326">
        <v>5146</v>
      </c>
      <c r="B1326" t="s">
        <v>5455</v>
      </c>
      <c r="C1326" t="s">
        <v>5456</v>
      </c>
      <c r="D1326" t="s">
        <v>1643</v>
      </c>
      <c r="E1326" t="s">
        <v>1273</v>
      </c>
      <c r="F1326" t="s">
        <v>5459</v>
      </c>
      <c r="G1326" t="s">
        <v>5460</v>
      </c>
      <c r="M1326" t="s">
        <v>1634</v>
      </c>
    </row>
    <row r="1327" spans="1:13" x14ac:dyDescent="0.25">
      <c r="A1327">
        <v>5146</v>
      </c>
      <c r="B1327" t="s">
        <v>5455</v>
      </c>
      <c r="C1327" t="s">
        <v>5456</v>
      </c>
      <c r="D1327" t="s">
        <v>1643</v>
      </c>
      <c r="E1327" t="s">
        <v>1273</v>
      </c>
      <c r="F1327" t="s">
        <v>2082</v>
      </c>
      <c r="G1327" t="s">
        <v>5461</v>
      </c>
      <c r="H1327">
        <v>6234676100</v>
      </c>
      <c r="J1327">
        <v>6234676180</v>
      </c>
      <c r="K1327" t="s">
        <v>5462</v>
      </c>
      <c r="L1327" t="s">
        <v>1647</v>
      </c>
      <c r="M1327" t="s">
        <v>1634</v>
      </c>
    </row>
    <row r="1328" spans="1:13" x14ac:dyDescent="0.25">
      <c r="A1328">
        <v>5146</v>
      </c>
      <c r="B1328" t="s">
        <v>5455</v>
      </c>
      <c r="C1328" t="s">
        <v>5456</v>
      </c>
      <c r="D1328" t="s">
        <v>1643</v>
      </c>
      <c r="E1328" t="s">
        <v>1273</v>
      </c>
      <c r="F1328" t="s">
        <v>5463</v>
      </c>
      <c r="G1328" t="s">
        <v>5464</v>
      </c>
      <c r="H1328">
        <v>6024676100</v>
      </c>
      <c r="K1328" t="s">
        <v>5465</v>
      </c>
      <c r="L1328" t="s">
        <v>4099</v>
      </c>
      <c r="M1328" t="s">
        <v>1634</v>
      </c>
    </row>
    <row r="1329" spans="1:13" x14ac:dyDescent="0.25">
      <c r="A1329">
        <v>5147</v>
      </c>
      <c r="B1329" t="s">
        <v>5466</v>
      </c>
      <c r="C1329" t="s">
        <v>5467</v>
      </c>
      <c r="D1329" t="s">
        <v>1643</v>
      </c>
      <c r="E1329" t="s">
        <v>1273</v>
      </c>
      <c r="F1329" t="s">
        <v>2085</v>
      </c>
      <c r="G1329" t="s">
        <v>5468</v>
      </c>
      <c r="H1329">
        <v>6024675900</v>
      </c>
      <c r="K1329" t="s">
        <v>5469</v>
      </c>
      <c r="L1329" t="s">
        <v>1647</v>
      </c>
      <c r="M1329" t="s">
        <v>1634</v>
      </c>
    </row>
    <row r="1330" spans="1:13" x14ac:dyDescent="0.25">
      <c r="A1330">
        <v>5149</v>
      </c>
      <c r="B1330" t="s">
        <v>5470</v>
      </c>
      <c r="C1330" t="s">
        <v>5471</v>
      </c>
      <c r="D1330" t="s">
        <v>1643</v>
      </c>
      <c r="E1330" t="s">
        <v>1273</v>
      </c>
      <c r="F1330" t="s">
        <v>4816</v>
      </c>
      <c r="G1330" t="s">
        <v>5472</v>
      </c>
      <c r="K1330" t="s">
        <v>5473</v>
      </c>
      <c r="L1330" t="s">
        <v>1647</v>
      </c>
      <c r="M1330" t="s">
        <v>1634</v>
      </c>
    </row>
    <row r="1331" spans="1:13" x14ac:dyDescent="0.25">
      <c r="A1331">
        <v>5150</v>
      </c>
      <c r="B1331" t="s">
        <v>5474</v>
      </c>
      <c r="C1331" t="s">
        <v>5475</v>
      </c>
      <c r="D1331" t="s">
        <v>1643</v>
      </c>
      <c r="E1331" t="s">
        <v>1273</v>
      </c>
      <c r="F1331" t="s">
        <v>2229</v>
      </c>
      <c r="G1331" t="s">
        <v>5476</v>
      </c>
      <c r="H1331">
        <v>6024676500</v>
      </c>
      <c r="K1331" t="s">
        <v>5477</v>
      </c>
      <c r="M1331" t="s">
        <v>1634</v>
      </c>
    </row>
    <row r="1332" spans="1:13" x14ac:dyDescent="0.25">
      <c r="A1332">
        <v>5150</v>
      </c>
      <c r="B1332" t="s">
        <v>5474</v>
      </c>
      <c r="C1332" t="s">
        <v>5475</v>
      </c>
      <c r="D1332" t="s">
        <v>1643</v>
      </c>
      <c r="E1332" t="s">
        <v>1273</v>
      </c>
      <c r="F1332" t="s">
        <v>5478</v>
      </c>
      <c r="G1332" t="s">
        <v>2250</v>
      </c>
      <c r="K1332" t="s">
        <v>5479</v>
      </c>
      <c r="L1332" t="s">
        <v>1738</v>
      </c>
      <c r="M1332" t="s">
        <v>1634</v>
      </c>
    </row>
    <row r="1333" spans="1:13" x14ac:dyDescent="0.25">
      <c r="A1333">
        <v>5150</v>
      </c>
      <c r="B1333" t="s">
        <v>5474</v>
      </c>
      <c r="C1333" t="s">
        <v>5475</v>
      </c>
      <c r="D1333" t="s">
        <v>1643</v>
      </c>
      <c r="E1333" t="s">
        <v>1273</v>
      </c>
      <c r="F1333" t="s">
        <v>3350</v>
      </c>
      <c r="G1333" t="s">
        <v>5480</v>
      </c>
      <c r="K1333" t="s">
        <v>5481</v>
      </c>
      <c r="L1333" t="s">
        <v>1647</v>
      </c>
      <c r="M1333" t="s">
        <v>1634</v>
      </c>
    </row>
    <row r="1334" spans="1:13" x14ac:dyDescent="0.25">
      <c r="A1334">
        <v>5150</v>
      </c>
      <c r="B1334" t="s">
        <v>5474</v>
      </c>
      <c r="C1334" t="s">
        <v>5475</v>
      </c>
      <c r="D1334" t="s">
        <v>1643</v>
      </c>
      <c r="E1334" t="s">
        <v>1273</v>
      </c>
      <c r="F1334" t="s">
        <v>5482</v>
      </c>
      <c r="G1334" t="s">
        <v>5483</v>
      </c>
      <c r="K1334" t="s">
        <v>5484</v>
      </c>
      <c r="M1334" t="s">
        <v>1634</v>
      </c>
    </row>
    <row r="1335" spans="1:13" x14ac:dyDescent="0.25">
      <c r="A1335">
        <v>5150</v>
      </c>
      <c r="B1335" t="s">
        <v>5474</v>
      </c>
      <c r="C1335" t="s">
        <v>5475</v>
      </c>
      <c r="D1335" t="s">
        <v>1643</v>
      </c>
      <c r="E1335" t="s">
        <v>1273</v>
      </c>
      <c r="F1335" t="s">
        <v>3253</v>
      </c>
      <c r="G1335" t="s">
        <v>5485</v>
      </c>
      <c r="H1335">
        <v>6024676500</v>
      </c>
      <c r="J1335">
        <v>6024676580</v>
      </c>
      <c r="K1335" t="s">
        <v>5486</v>
      </c>
      <c r="L1335" t="s">
        <v>1738</v>
      </c>
      <c r="M1335" t="s">
        <v>1640</v>
      </c>
    </row>
    <row r="1336" spans="1:13" x14ac:dyDescent="0.25">
      <c r="A1336">
        <v>5151</v>
      </c>
      <c r="B1336" t="s">
        <v>5487</v>
      </c>
      <c r="C1336" t="s">
        <v>5488</v>
      </c>
      <c r="D1336" t="s">
        <v>1643</v>
      </c>
      <c r="E1336" t="s">
        <v>1273</v>
      </c>
      <c r="F1336" t="s">
        <v>4283</v>
      </c>
      <c r="G1336" t="s">
        <v>5489</v>
      </c>
      <c r="K1336" t="s">
        <v>5490</v>
      </c>
      <c r="L1336" t="s">
        <v>1647</v>
      </c>
      <c r="M1336" t="s">
        <v>1634</v>
      </c>
    </row>
    <row r="1337" spans="1:13" x14ac:dyDescent="0.25">
      <c r="A1337">
        <v>5152</v>
      </c>
      <c r="B1337" t="s">
        <v>5491</v>
      </c>
      <c r="C1337" t="s">
        <v>5492</v>
      </c>
      <c r="D1337" t="s">
        <v>1643</v>
      </c>
      <c r="E1337" t="s">
        <v>1273</v>
      </c>
      <c r="F1337" t="s">
        <v>5493</v>
      </c>
      <c r="G1337" t="s">
        <v>5494</v>
      </c>
      <c r="H1337">
        <v>6024675500</v>
      </c>
      <c r="J1337">
        <v>6024675580</v>
      </c>
      <c r="K1337" t="s">
        <v>5495</v>
      </c>
      <c r="L1337" t="s">
        <v>1647</v>
      </c>
      <c r="M1337" t="s">
        <v>1634</v>
      </c>
    </row>
    <row r="1338" spans="1:13" x14ac:dyDescent="0.25">
      <c r="A1338">
        <v>5153</v>
      </c>
      <c r="B1338" t="s">
        <v>5496</v>
      </c>
      <c r="C1338" t="s">
        <v>5497</v>
      </c>
      <c r="D1338" t="s">
        <v>1643</v>
      </c>
      <c r="E1338" t="s">
        <v>1273</v>
      </c>
      <c r="F1338" t="s">
        <v>4486</v>
      </c>
      <c r="G1338" t="s">
        <v>5498</v>
      </c>
      <c r="H1338">
        <v>6234454350</v>
      </c>
      <c r="K1338" t="s">
        <v>5499</v>
      </c>
      <c r="M1338" t="s">
        <v>1634</v>
      </c>
    </row>
    <row r="1339" spans="1:13" x14ac:dyDescent="0.25">
      <c r="A1339">
        <v>92525</v>
      </c>
      <c r="B1339" t="s">
        <v>5500</v>
      </c>
      <c r="C1339" t="s">
        <v>5501</v>
      </c>
      <c r="D1339" t="s">
        <v>1643</v>
      </c>
      <c r="E1339" t="s">
        <v>1273</v>
      </c>
    </row>
    <row r="1340" spans="1:13" x14ac:dyDescent="0.25">
      <c r="A1340">
        <v>5154</v>
      </c>
      <c r="B1340" t="s">
        <v>5502</v>
      </c>
      <c r="C1340" t="s">
        <v>5503</v>
      </c>
      <c r="D1340" t="s">
        <v>1643</v>
      </c>
      <c r="E1340" t="s">
        <v>1273</v>
      </c>
      <c r="F1340" t="s">
        <v>5504</v>
      </c>
      <c r="G1340" t="s">
        <v>5505</v>
      </c>
      <c r="H1340">
        <v>6233764100</v>
      </c>
      <c r="J1340">
        <v>6233764180</v>
      </c>
      <c r="K1340" t="s">
        <v>5506</v>
      </c>
      <c r="L1340" t="s">
        <v>1647</v>
      </c>
      <c r="M1340" t="s">
        <v>1634</v>
      </c>
    </row>
    <row r="1341" spans="1:13" x14ac:dyDescent="0.25">
      <c r="A1341">
        <v>5154</v>
      </c>
      <c r="B1341" t="s">
        <v>5502</v>
      </c>
      <c r="C1341" t="s">
        <v>5503</v>
      </c>
      <c r="D1341" t="s">
        <v>1643</v>
      </c>
      <c r="E1341" t="s">
        <v>1273</v>
      </c>
      <c r="F1341" t="s">
        <v>5507</v>
      </c>
      <c r="G1341" t="s">
        <v>2050</v>
      </c>
      <c r="K1341" t="s">
        <v>5508</v>
      </c>
      <c r="L1341" t="s">
        <v>1721</v>
      </c>
      <c r="M1341" t="s">
        <v>1634</v>
      </c>
    </row>
    <row r="1342" spans="1:13" x14ac:dyDescent="0.25">
      <c r="A1342">
        <v>5154</v>
      </c>
      <c r="B1342" t="s">
        <v>5502</v>
      </c>
      <c r="C1342" t="s">
        <v>5503</v>
      </c>
      <c r="D1342" t="s">
        <v>1643</v>
      </c>
      <c r="E1342" t="s">
        <v>1273</v>
      </c>
      <c r="F1342" t="s">
        <v>2099</v>
      </c>
      <c r="G1342" t="s">
        <v>4140</v>
      </c>
      <c r="K1342" t="s">
        <v>5509</v>
      </c>
      <c r="M1342" t="s">
        <v>1634</v>
      </c>
    </row>
    <row r="1343" spans="1:13" x14ac:dyDescent="0.25">
      <c r="A1343">
        <v>5154</v>
      </c>
      <c r="B1343" t="s">
        <v>5502</v>
      </c>
      <c r="C1343" t="s">
        <v>5503</v>
      </c>
      <c r="D1343" t="s">
        <v>1643</v>
      </c>
      <c r="E1343" t="s">
        <v>1273</v>
      </c>
      <c r="F1343" t="s">
        <v>2401</v>
      </c>
      <c r="G1343" t="s">
        <v>5510</v>
      </c>
      <c r="K1343" t="s">
        <v>5511</v>
      </c>
      <c r="M1343" t="s">
        <v>1634</v>
      </c>
    </row>
    <row r="1344" spans="1:13" x14ac:dyDescent="0.25">
      <c r="A1344">
        <v>5155</v>
      </c>
      <c r="B1344" t="s">
        <v>5512</v>
      </c>
      <c r="C1344" t="s">
        <v>5513</v>
      </c>
      <c r="D1344" t="s">
        <v>1643</v>
      </c>
      <c r="E1344" t="s">
        <v>1273</v>
      </c>
      <c r="F1344" t="s">
        <v>5215</v>
      </c>
      <c r="G1344" t="s">
        <v>5216</v>
      </c>
      <c r="H1344">
        <v>6233763300</v>
      </c>
      <c r="J1344">
        <v>6233763380</v>
      </c>
      <c r="K1344" t="s">
        <v>5514</v>
      </c>
      <c r="L1344" t="s">
        <v>1647</v>
      </c>
      <c r="M1344" t="s">
        <v>1634</v>
      </c>
    </row>
    <row r="1345" spans="1:13" x14ac:dyDescent="0.25">
      <c r="A1345">
        <v>5155</v>
      </c>
      <c r="B1345" t="s">
        <v>5512</v>
      </c>
      <c r="C1345" t="s">
        <v>5513</v>
      </c>
      <c r="D1345" t="s">
        <v>1643</v>
      </c>
      <c r="E1345" t="s">
        <v>1273</v>
      </c>
      <c r="F1345" t="s">
        <v>5515</v>
      </c>
      <c r="G1345" t="s">
        <v>5516</v>
      </c>
      <c r="H1345">
        <v>6233763300</v>
      </c>
      <c r="J1345">
        <v>6233763380</v>
      </c>
      <c r="K1345" t="s">
        <v>5517</v>
      </c>
      <c r="L1345" t="s">
        <v>1647</v>
      </c>
      <c r="M1345" t="s">
        <v>1634</v>
      </c>
    </row>
    <row r="1346" spans="1:13" x14ac:dyDescent="0.25">
      <c r="A1346">
        <v>5155</v>
      </c>
      <c r="B1346" t="s">
        <v>5512</v>
      </c>
      <c r="C1346" t="s">
        <v>5513</v>
      </c>
      <c r="D1346" t="s">
        <v>1643</v>
      </c>
      <c r="E1346" t="s">
        <v>1273</v>
      </c>
      <c r="F1346" t="s">
        <v>5518</v>
      </c>
      <c r="G1346" t="s">
        <v>5519</v>
      </c>
      <c r="L1346" t="s">
        <v>1738</v>
      </c>
      <c r="M1346" t="s">
        <v>1640</v>
      </c>
    </row>
    <row r="1347" spans="1:13" x14ac:dyDescent="0.25">
      <c r="A1347">
        <v>5156</v>
      </c>
      <c r="B1347" t="s">
        <v>5520</v>
      </c>
      <c r="C1347" t="s">
        <v>5521</v>
      </c>
      <c r="D1347" t="s">
        <v>1643</v>
      </c>
      <c r="E1347" t="s">
        <v>1273</v>
      </c>
      <c r="F1347" t="s">
        <v>2587</v>
      </c>
      <c r="G1347" t="s">
        <v>5522</v>
      </c>
      <c r="H1347">
        <v>6234454700</v>
      </c>
      <c r="J1347">
        <v>6234454780</v>
      </c>
      <c r="K1347" t="s">
        <v>5523</v>
      </c>
      <c r="L1347" t="s">
        <v>1647</v>
      </c>
      <c r="M1347" t="s">
        <v>1634</v>
      </c>
    </row>
    <row r="1348" spans="1:13" x14ac:dyDescent="0.25">
      <c r="A1348">
        <v>5157</v>
      </c>
      <c r="B1348" t="s">
        <v>1425</v>
      </c>
      <c r="C1348" t="s">
        <v>5524</v>
      </c>
      <c r="D1348" t="s">
        <v>1643</v>
      </c>
      <c r="E1348" t="s">
        <v>1273</v>
      </c>
      <c r="F1348" t="s">
        <v>2307</v>
      </c>
      <c r="G1348" t="s">
        <v>5525</v>
      </c>
      <c r="K1348" t="s">
        <v>5526</v>
      </c>
      <c r="L1348" t="s">
        <v>1647</v>
      </c>
      <c r="M1348" t="s">
        <v>1634</v>
      </c>
    </row>
    <row r="1349" spans="1:13" x14ac:dyDescent="0.25">
      <c r="A1349">
        <v>5158</v>
      </c>
      <c r="B1349" t="s">
        <v>5527</v>
      </c>
      <c r="C1349" t="s">
        <v>5528</v>
      </c>
      <c r="D1349" t="s">
        <v>1643</v>
      </c>
      <c r="E1349" t="s">
        <v>1273</v>
      </c>
      <c r="F1349" t="s">
        <v>5529</v>
      </c>
      <c r="G1349" t="s">
        <v>5530</v>
      </c>
      <c r="H1349">
        <v>6234455517</v>
      </c>
      <c r="K1349" t="s">
        <v>5531</v>
      </c>
      <c r="M1349" t="s">
        <v>1634</v>
      </c>
    </row>
    <row r="1350" spans="1:13" x14ac:dyDescent="0.25">
      <c r="A1350">
        <v>5158</v>
      </c>
      <c r="B1350" t="s">
        <v>5527</v>
      </c>
      <c r="C1350" t="s">
        <v>5528</v>
      </c>
      <c r="D1350" t="s">
        <v>1643</v>
      </c>
      <c r="E1350" t="s">
        <v>1273</v>
      </c>
      <c r="F1350" t="s">
        <v>2258</v>
      </c>
      <c r="G1350" t="s">
        <v>5532</v>
      </c>
      <c r="K1350" t="s">
        <v>5533</v>
      </c>
      <c r="L1350" t="s">
        <v>1647</v>
      </c>
      <c r="M1350" t="s">
        <v>1634</v>
      </c>
    </row>
    <row r="1351" spans="1:13" x14ac:dyDescent="0.25">
      <c r="A1351">
        <v>5159</v>
      </c>
      <c r="B1351" t="s">
        <v>5534</v>
      </c>
      <c r="C1351" t="s">
        <v>5535</v>
      </c>
      <c r="D1351" t="s">
        <v>1643</v>
      </c>
      <c r="E1351" t="s">
        <v>1273</v>
      </c>
      <c r="F1351" t="s">
        <v>5536</v>
      </c>
      <c r="G1351" t="s">
        <v>5537</v>
      </c>
      <c r="H1351">
        <v>6234453550</v>
      </c>
      <c r="K1351" t="s">
        <v>5538</v>
      </c>
      <c r="M1351" t="s">
        <v>1634</v>
      </c>
    </row>
    <row r="1352" spans="1:13" x14ac:dyDescent="0.25">
      <c r="A1352">
        <v>5159</v>
      </c>
      <c r="B1352" t="s">
        <v>5534</v>
      </c>
      <c r="C1352" t="s">
        <v>5535</v>
      </c>
      <c r="D1352" t="s">
        <v>1643</v>
      </c>
      <c r="E1352" t="s">
        <v>1273</v>
      </c>
      <c r="F1352" t="s">
        <v>5539</v>
      </c>
      <c r="G1352" t="s">
        <v>5540</v>
      </c>
      <c r="H1352">
        <v>6234453504</v>
      </c>
      <c r="K1352" t="s">
        <v>5541</v>
      </c>
      <c r="L1352" t="s">
        <v>1647</v>
      </c>
      <c r="M1352" t="s">
        <v>1634</v>
      </c>
    </row>
    <row r="1353" spans="1:13" x14ac:dyDescent="0.25">
      <c r="A1353">
        <v>5159</v>
      </c>
      <c r="B1353" t="s">
        <v>5534</v>
      </c>
      <c r="C1353" t="s">
        <v>5535</v>
      </c>
      <c r="D1353" t="s">
        <v>1643</v>
      </c>
      <c r="E1353" t="s">
        <v>1273</v>
      </c>
      <c r="F1353" t="s">
        <v>5542</v>
      </c>
      <c r="G1353" t="s">
        <v>5543</v>
      </c>
      <c r="H1353">
        <v>6234453502</v>
      </c>
      <c r="L1353" t="s">
        <v>5544</v>
      </c>
      <c r="M1353" t="s">
        <v>1640</v>
      </c>
    </row>
    <row r="1354" spans="1:13" x14ac:dyDescent="0.25">
      <c r="A1354">
        <v>5160</v>
      </c>
      <c r="B1354" t="s">
        <v>5545</v>
      </c>
      <c r="C1354" t="s">
        <v>5546</v>
      </c>
      <c r="D1354" t="s">
        <v>1643</v>
      </c>
      <c r="E1354" t="s">
        <v>1273</v>
      </c>
      <c r="F1354" t="s">
        <v>3193</v>
      </c>
      <c r="G1354" t="s">
        <v>5547</v>
      </c>
      <c r="H1354">
        <v>6233763900</v>
      </c>
      <c r="J1354">
        <v>6233763980</v>
      </c>
      <c r="K1354" t="s">
        <v>5548</v>
      </c>
      <c r="L1354" t="s">
        <v>1647</v>
      </c>
      <c r="M1354" t="s">
        <v>1634</v>
      </c>
    </row>
    <row r="1355" spans="1:13" x14ac:dyDescent="0.25">
      <c r="A1355">
        <v>5160</v>
      </c>
      <c r="B1355" t="s">
        <v>5545</v>
      </c>
      <c r="C1355" t="s">
        <v>5546</v>
      </c>
      <c r="D1355" t="s">
        <v>1643</v>
      </c>
      <c r="E1355" t="s">
        <v>1273</v>
      </c>
      <c r="F1355" t="s">
        <v>2261</v>
      </c>
      <c r="G1355" t="s">
        <v>5549</v>
      </c>
      <c r="H1355">
        <v>6234453900</v>
      </c>
      <c r="J1355">
        <v>6234453980</v>
      </c>
      <c r="K1355" t="s">
        <v>5550</v>
      </c>
      <c r="L1355" t="s">
        <v>1647</v>
      </c>
      <c r="M1355" t="s">
        <v>1634</v>
      </c>
    </row>
    <row r="1356" spans="1:13" x14ac:dyDescent="0.25">
      <c r="A1356">
        <v>6016</v>
      </c>
      <c r="B1356" t="s">
        <v>5551</v>
      </c>
      <c r="C1356" t="s">
        <v>5552</v>
      </c>
      <c r="D1356" t="s">
        <v>1643</v>
      </c>
      <c r="E1356" t="s">
        <v>1273</v>
      </c>
      <c r="F1356" t="s">
        <v>5553</v>
      </c>
      <c r="G1356" t="s">
        <v>5554</v>
      </c>
      <c r="K1356" t="s">
        <v>5555</v>
      </c>
      <c r="L1356" t="s">
        <v>2096</v>
      </c>
      <c r="M1356" t="s">
        <v>1634</v>
      </c>
    </row>
    <row r="1357" spans="1:13" x14ac:dyDescent="0.25">
      <c r="A1357">
        <v>6016</v>
      </c>
      <c r="B1357" t="s">
        <v>5551</v>
      </c>
      <c r="C1357" t="s">
        <v>5552</v>
      </c>
      <c r="D1357" t="s">
        <v>1643</v>
      </c>
      <c r="E1357" t="s">
        <v>1273</v>
      </c>
      <c r="F1357" t="s">
        <v>2704</v>
      </c>
      <c r="G1357" t="s">
        <v>5556</v>
      </c>
      <c r="K1357" t="s">
        <v>5557</v>
      </c>
      <c r="L1357" t="s">
        <v>1738</v>
      </c>
      <c r="M1357" t="s">
        <v>1634</v>
      </c>
    </row>
    <row r="1358" spans="1:13" x14ac:dyDescent="0.25">
      <c r="A1358">
        <v>78921</v>
      </c>
      <c r="B1358" t="s">
        <v>5558</v>
      </c>
      <c r="C1358" t="s">
        <v>5559</v>
      </c>
      <c r="D1358" t="s">
        <v>1643</v>
      </c>
      <c r="E1358" t="s">
        <v>1273</v>
      </c>
      <c r="F1358" t="s">
        <v>2082</v>
      </c>
      <c r="G1358" t="s">
        <v>2705</v>
      </c>
      <c r="H1358">
        <v>6233764304</v>
      </c>
      <c r="J1358">
        <v>6233764380</v>
      </c>
      <c r="K1358" t="s">
        <v>5560</v>
      </c>
      <c r="L1358" t="s">
        <v>1647</v>
      </c>
      <c r="M1358" t="s">
        <v>1634</v>
      </c>
    </row>
    <row r="1359" spans="1:13" x14ac:dyDescent="0.25">
      <c r="A1359">
        <v>78921</v>
      </c>
      <c r="B1359" t="s">
        <v>5558</v>
      </c>
      <c r="C1359" t="s">
        <v>5559</v>
      </c>
      <c r="D1359" t="s">
        <v>1643</v>
      </c>
      <c r="E1359" t="s">
        <v>1273</v>
      </c>
      <c r="F1359" t="s">
        <v>3253</v>
      </c>
      <c r="G1359" t="s">
        <v>5561</v>
      </c>
      <c r="K1359" t="s">
        <v>5486</v>
      </c>
      <c r="L1359" t="s">
        <v>1738</v>
      </c>
      <c r="M1359" t="s">
        <v>1634</v>
      </c>
    </row>
    <row r="1360" spans="1:13" x14ac:dyDescent="0.25">
      <c r="A1360">
        <v>78921</v>
      </c>
      <c r="B1360" t="s">
        <v>5558</v>
      </c>
      <c r="C1360" t="s">
        <v>5559</v>
      </c>
      <c r="D1360" t="s">
        <v>1643</v>
      </c>
      <c r="E1360" t="s">
        <v>1273</v>
      </c>
      <c r="F1360" t="s">
        <v>2053</v>
      </c>
      <c r="G1360" t="s">
        <v>5562</v>
      </c>
      <c r="H1360">
        <v>6233764300</v>
      </c>
      <c r="J1360">
        <v>6233764380</v>
      </c>
      <c r="K1360" t="s">
        <v>5563</v>
      </c>
      <c r="L1360" t="s">
        <v>1738</v>
      </c>
      <c r="M1360" t="s">
        <v>1640</v>
      </c>
    </row>
    <row r="1361" spans="1:13" x14ac:dyDescent="0.25">
      <c r="A1361">
        <v>78922</v>
      </c>
      <c r="B1361" t="s">
        <v>5564</v>
      </c>
      <c r="C1361" t="s">
        <v>5565</v>
      </c>
      <c r="D1361" t="s">
        <v>1643</v>
      </c>
      <c r="E1361" t="s">
        <v>1273</v>
      </c>
      <c r="F1361" t="s">
        <v>3879</v>
      </c>
      <c r="G1361" t="s">
        <v>5566</v>
      </c>
      <c r="H1361">
        <v>6233763700</v>
      </c>
      <c r="K1361" t="s">
        <v>5567</v>
      </c>
      <c r="L1361" t="s">
        <v>1647</v>
      </c>
      <c r="M1361" t="s">
        <v>1634</v>
      </c>
    </row>
    <row r="1362" spans="1:13" x14ac:dyDescent="0.25">
      <c r="A1362">
        <v>78922</v>
      </c>
      <c r="B1362" t="s">
        <v>5564</v>
      </c>
      <c r="C1362" t="s">
        <v>5565</v>
      </c>
      <c r="D1362" t="s">
        <v>1643</v>
      </c>
      <c r="E1362" t="s">
        <v>1273</v>
      </c>
      <c r="F1362" t="s">
        <v>5542</v>
      </c>
      <c r="G1362" t="s">
        <v>5568</v>
      </c>
      <c r="H1362">
        <v>6233763700</v>
      </c>
      <c r="K1362" t="s">
        <v>5569</v>
      </c>
      <c r="M1362" t="s">
        <v>1634</v>
      </c>
    </row>
    <row r="1363" spans="1:13" x14ac:dyDescent="0.25">
      <c r="A1363">
        <v>78922</v>
      </c>
      <c r="B1363" t="s">
        <v>5564</v>
      </c>
      <c r="C1363" t="s">
        <v>5565</v>
      </c>
      <c r="D1363" t="s">
        <v>1643</v>
      </c>
      <c r="E1363" t="s">
        <v>1273</v>
      </c>
      <c r="F1363" t="s">
        <v>5570</v>
      </c>
      <c r="G1363" t="s">
        <v>5571</v>
      </c>
      <c r="H1363">
        <v>6233763700</v>
      </c>
      <c r="K1363" t="s">
        <v>5572</v>
      </c>
      <c r="M1363" t="s">
        <v>1634</v>
      </c>
    </row>
    <row r="1364" spans="1:13" x14ac:dyDescent="0.25">
      <c r="A1364">
        <v>79290</v>
      </c>
      <c r="B1364" t="s">
        <v>5573</v>
      </c>
      <c r="C1364" t="s">
        <v>5574</v>
      </c>
      <c r="D1364" t="s">
        <v>1643</v>
      </c>
      <c r="E1364" t="s">
        <v>1273</v>
      </c>
      <c r="F1364" t="s">
        <v>2355</v>
      </c>
      <c r="G1364" t="s">
        <v>5575</v>
      </c>
      <c r="H1364">
        <v>6233764558</v>
      </c>
      <c r="K1364" t="s">
        <v>5576</v>
      </c>
      <c r="M1364" t="s">
        <v>1634</v>
      </c>
    </row>
    <row r="1365" spans="1:13" x14ac:dyDescent="0.25">
      <c r="A1365">
        <v>79574</v>
      </c>
      <c r="B1365" t="s">
        <v>5577</v>
      </c>
      <c r="C1365" t="s">
        <v>5578</v>
      </c>
      <c r="D1365" t="s">
        <v>1643</v>
      </c>
      <c r="E1365" t="s">
        <v>1273</v>
      </c>
      <c r="F1365" t="s">
        <v>3018</v>
      </c>
      <c r="G1365" t="s">
        <v>5579</v>
      </c>
      <c r="H1365">
        <v>6233763800</v>
      </c>
      <c r="J1365">
        <v>6233763880</v>
      </c>
      <c r="K1365" t="s">
        <v>5580</v>
      </c>
      <c r="L1365" t="s">
        <v>1647</v>
      </c>
      <c r="M1365" t="s">
        <v>1634</v>
      </c>
    </row>
    <row r="1366" spans="1:13" x14ac:dyDescent="0.25">
      <c r="A1366">
        <v>79573</v>
      </c>
      <c r="B1366" t="s">
        <v>5581</v>
      </c>
      <c r="C1366" t="s">
        <v>5582</v>
      </c>
      <c r="D1366" t="s">
        <v>1643</v>
      </c>
      <c r="E1366" t="s">
        <v>1273</v>
      </c>
      <c r="F1366" t="s">
        <v>5583</v>
      </c>
      <c r="G1366" t="s">
        <v>2705</v>
      </c>
      <c r="K1366" t="s">
        <v>5584</v>
      </c>
      <c r="M1366" t="s">
        <v>1634</v>
      </c>
    </row>
    <row r="1367" spans="1:13" x14ac:dyDescent="0.25">
      <c r="A1367">
        <v>79573</v>
      </c>
      <c r="B1367" t="s">
        <v>5581</v>
      </c>
      <c r="C1367" t="s">
        <v>5582</v>
      </c>
      <c r="D1367" t="s">
        <v>1643</v>
      </c>
      <c r="E1367" t="s">
        <v>1273</v>
      </c>
      <c r="F1367" t="s">
        <v>5585</v>
      </c>
      <c r="G1367" t="s">
        <v>5586</v>
      </c>
      <c r="K1367" t="s">
        <v>5587</v>
      </c>
      <c r="M1367" t="s">
        <v>1634</v>
      </c>
    </row>
    <row r="1368" spans="1:13" x14ac:dyDescent="0.25">
      <c r="A1368">
        <v>79573</v>
      </c>
      <c r="B1368" t="s">
        <v>5581</v>
      </c>
      <c r="C1368" t="s">
        <v>5582</v>
      </c>
      <c r="D1368" t="s">
        <v>1643</v>
      </c>
      <c r="E1368" t="s">
        <v>1273</v>
      </c>
      <c r="F1368" t="s">
        <v>3428</v>
      </c>
      <c r="G1368" t="s">
        <v>5588</v>
      </c>
      <c r="H1368">
        <v>6234455300</v>
      </c>
      <c r="J1368">
        <v>5234455380</v>
      </c>
      <c r="K1368" t="s">
        <v>5589</v>
      </c>
      <c r="L1368" t="s">
        <v>1647</v>
      </c>
      <c r="M1368" t="s">
        <v>1634</v>
      </c>
    </row>
    <row r="1369" spans="1:13" x14ac:dyDescent="0.25">
      <c r="A1369">
        <v>80318</v>
      </c>
      <c r="B1369" t="s">
        <v>5590</v>
      </c>
      <c r="C1369" t="s">
        <v>5591</v>
      </c>
      <c r="D1369" t="s">
        <v>1643</v>
      </c>
      <c r="E1369" t="s">
        <v>1273</v>
      </c>
      <c r="F1369" t="s">
        <v>3345</v>
      </c>
      <c r="G1369" t="s">
        <v>5592</v>
      </c>
      <c r="K1369" t="s">
        <v>5593</v>
      </c>
      <c r="L1369" t="s">
        <v>1647</v>
      </c>
      <c r="M1369" t="s">
        <v>1634</v>
      </c>
    </row>
    <row r="1370" spans="1:13" x14ac:dyDescent="0.25">
      <c r="A1370">
        <v>81016</v>
      </c>
      <c r="B1370" t="s">
        <v>5594</v>
      </c>
      <c r="C1370" t="s">
        <v>5595</v>
      </c>
      <c r="D1370" t="s">
        <v>1643</v>
      </c>
      <c r="E1370" t="s">
        <v>1273</v>
      </c>
      <c r="F1370" t="s">
        <v>5596</v>
      </c>
      <c r="G1370" t="s">
        <v>5597</v>
      </c>
      <c r="H1370">
        <v>6234457600</v>
      </c>
      <c r="K1370" t="s">
        <v>5598</v>
      </c>
      <c r="M1370" t="s">
        <v>1634</v>
      </c>
    </row>
    <row r="1371" spans="1:13" x14ac:dyDescent="0.25">
      <c r="A1371">
        <v>81016</v>
      </c>
      <c r="B1371" t="s">
        <v>5594</v>
      </c>
      <c r="C1371" t="s">
        <v>5595</v>
      </c>
      <c r="D1371" t="s">
        <v>1643</v>
      </c>
      <c r="E1371" t="s">
        <v>1273</v>
      </c>
      <c r="F1371" t="s">
        <v>3253</v>
      </c>
      <c r="G1371" t="s">
        <v>5561</v>
      </c>
      <c r="K1371" t="s">
        <v>5599</v>
      </c>
      <c r="L1371" t="s">
        <v>5600</v>
      </c>
      <c r="M1371" t="s">
        <v>1634</v>
      </c>
    </row>
    <row r="1372" spans="1:13" x14ac:dyDescent="0.25">
      <c r="A1372">
        <v>81016</v>
      </c>
      <c r="B1372" t="s">
        <v>5594</v>
      </c>
      <c r="C1372" t="s">
        <v>5595</v>
      </c>
      <c r="D1372" t="s">
        <v>1643</v>
      </c>
      <c r="E1372" t="s">
        <v>1273</v>
      </c>
      <c r="F1372" t="s">
        <v>2376</v>
      </c>
      <c r="G1372" t="s">
        <v>5601</v>
      </c>
      <c r="K1372" t="s">
        <v>5602</v>
      </c>
      <c r="M1372" t="s">
        <v>1634</v>
      </c>
    </row>
    <row r="1373" spans="1:13" x14ac:dyDescent="0.25">
      <c r="A1373">
        <v>81017</v>
      </c>
      <c r="B1373" t="s">
        <v>5603</v>
      </c>
      <c r="C1373" t="s">
        <v>5604</v>
      </c>
      <c r="D1373" t="s">
        <v>1643</v>
      </c>
      <c r="E1373" t="s">
        <v>1273</v>
      </c>
      <c r="F1373" t="s">
        <v>2009</v>
      </c>
      <c r="G1373" t="s">
        <v>5605</v>
      </c>
      <c r="H1373">
        <v>6234457800</v>
      </c>
      <c r="J1373">
        <v>6234457880</v>
      </c>
      <c r="K1373" t="s">
        <v>5606</v>
      </c>
      <c r="L1373" t="s">
        <v>1647</v>
      </c>
      <c r="M1373" t="s">
        <v>1634</v>
      </c>
    </row>
    <row r="1374" spans="1:13" x14ac:dyDescent="0.25">
      <c r="A1374">
        <v>81017</v>
      </c>
      <c r="B1374" t="s">
        <v>5603</v>
      </c>
      <c r="C1374" t="s">
        <v>5604</v>
      </c>
      <c r="D1374" t="s">
        <v>1643</v>
      </c>
      <c r="E1374" t="s">
        <v>1273</v>
      </c>
      <c r="F1374" t="s">
        <v>2156</v>
      </c>
      <c r="G1374" t="s">
        <v>5607</v>
      </c>
      <c r="H1374">
        <v>6234457802</v>
      </c>
      <c r="K1374" t="s">
        <v>5608</v>
      </c>
      <c r="M1374" t="s">
        <v>1634</v>
      </c>
    </row>
    <row r="1375" spans="1:13" x14ac:dyDescent="0.25">
      <c r="A1375">
        <v>85851</v>
      </c>
      <c r="B1375" t="s">
        <v>5609</v>
      </c>
      <c r="C1375" t="s">
        <v>5610</v>
      </c>
      <c r="D1375" t="s">
        <v>1643</v>
      </c>
      <c r="E1375" t="s">
        <v>1273</v>
      </c>
      <c r="F1375" t="s">
        <v>5611</v>
      </c>
      <c r="G1375" t="s">
        <v>5612</v>
      </c>
      <c r="H1375">
        <v>6234458000</v>
      </c>
      <c r="J1375">
        <v>6234458080</v>
      </c>
      <c r="K1375" t="s">
        <v>5613</v>
      </c>
      <c r="L1375" t="s">
        <v>3951</v>
      </c>
      <c r="M1375" t="s">
        <v>1634</v>
      </c>
    </row>
    <row r="1376" spans="1:13" x14ac:dyDescent="0.25">
      <c r="A1376">
        <v>85851</v>
      </c>
      <c r="B1376" t="s">
        <v>5609</v>
      </c>
      <c r="C1376" t="s">
        <v>5610</v>
      </c>
      <c r="D1376" t="s">
        <v>1643</v>
      </c>
      <c r="E1376" t="s">
        <v>1273</v>
      </c>
      <c r="F1376" t="s">
        <v>5614</v>
      </c>
      <c r="G1376" t="s">
        <v>5615</v>
      </c>
      <c r="K1376" t="s">
        <v>5616</v>
      </c>
      <c r="L1376" t="s">
        <v>1738</v>
      </c>
      <c r="M1376" t="s">
        <v>1634</v>
      </c>
    </row>
    <row r="1377" spans="1:13" x14ac:dyDescent="0.25">
      <c r="A1377">
        <v>87528</v>
      </c>
      <c r="B1377" t="s">
        <v>5617</v>
      </c>
      <c r="C1377" t="s">
        <v>5618</v>
      </c>
      <c r="D1377" t="s">
        <v>1643</v>
      </c>
      <c r="E1377" t="s">
        <v>1273</v>
      </c>
      <c r="F1377" t="s">
        <v>2610</v>
      </c>
      <c r="G1377" t="s">
        <v>5619</v>
      </c>
      <c r="H1377">
        <v>6233765000</v>
      </c>
      <c r="J1377">
        <v>6233765080</v>
      </c>
      <c r="K1377" t="s">
        <v>5620</v>
      </c>
      <c r="L1377" t="s">
        <v>1647</v>
      </c>
      <c r="M1377" t="s">
        <v>1634</v>
      </c>
    </row>
    <row r="1378" spans="1:13" x14ac:dyDescent="0.25">
      <c r="A1378">
        <v>87528</v>
      </c>
      <c r="B1378" t="s">
        <v>5617</v>
      </c>
      <c r="C1378" t="s">
        <v>5618</v>
      </c>
      <c r="D1378" t="s">
        <v>1643</v>
      </c>
      <c r="E1378" t="s">
        <v>1273</v>
      </c>
      <c r="F1378" t="s">
        <v>5457</v>
      </c>
      <c r="G1378" t="s">
        <v>5621</v>
      </c>
      <c r="H1378">
        <v>6233765070</v>
      </c>
      <c r="K1378" t="s">
        <v>5622</v>
      </c>
      <c r="M1378" t="s">
        <v>1634</v>
      </c>
    </row>
    <row r="1379" spans="1:13" x14ac:dyDescent="0.25">
      <c r="A1379">
        <v>87528</v>
      </c>
      <c r="B1379" t="s">
        <v>5617</v>
      </c>
      <c r="C1379" t="s">
        <v>5618</v>
      </c>
      <c r="D1379" t="s">
        <v>1643</v>
      </c>
      <c r="E1379" t="s">
        <v>1273</v>
      </c>
      <c r="F1379" t="s">
        <v>2894</v>
      </c>
      <c r="G1379" t="s">
        <v>5623</v>
      </c>
      <c r="H1379">
        <v>6233765069</v>
      </c>
      <c r="K1379" t="s">
        <v>5624</v>
      </c>
      <c r="M1379" t="s">
        <v>1634</v>
      </c>
    </row>
    <row r="1380" spans="1:13" x14ac:dyDescent="0.25">
      <c r="A1380">
        <v>88399</v>
      </c>
      <c r="B1380" t="s">
        <v>5625</v>
      </c>
      <c r="C1380" t="s">
        <v>5626</v>
      </c>
      <c r="D1380" t="s">
        <v>1643</v>
      </c>
      <c r="E1380" t="s">
        <v>1273</v>
      </c>
      <c r="F1380" t="s">
        <v>2401</v>
      </c>
      <c r="G1380" t="s">
        <v>5627</v>
      </c>
      <c r="H1380">
        <v>6233765200</v>
      </c>
      <c r="K1380" t="s">
        <v>5628</v>
      </c>
      <c r="L1380" t="s">
        <v>1647</v>
      </c>
      <c r="M1380" t="s">
        <v>1634</v>
      </c>
    </row>
    <row r="1381" spans="1:13" x14ac:dyDescent="0.25">
      <c r="A1381">
        <v>88399</v>
      </c>
      <c r="B1381" t="s">
        <v>5625</v>
      </c>
      <c r="C1381" t="s">
        <v>5626</v>
      </c>
      <c r="D1381" t="s">
        <v>1643</v>
      </c>
      <c r="E1381" t="s">
        <v>1273</v>
      </c>
      <c r="F1381" t="s">
        <v>5091</v>
      </c>
      <c r="G1381" t="s">
        <v>3374</v>
      </c>
      <c r="H1381">
        <v>6233765200</v>
      </c>
      <c r="J1381">
        <v>6233765200</v>
      </c>
      <c r="K1381" t="s">
        <v>5629</v>
      </c>
      <c r="L1381" t="s">
        <v>1647</v>
      </c>
      <c r="M1381" t="s">
        <v>1634</v>
      </c>
    </row>
    <row r="1382" spans="1:13" x14ac:dyDescent="0.25">
      <c r="A1382">
        <v>88399</v>
      </c>
      <c r="B1382" t="s">
        <v>5625</v>
      </c>
      <c r="C1382" t="s">
        <v>5626</v>
      </c>
      <c r="D1382" t="s">
        <v>1643</v>
      </c>
      <c r="E1382" t="s">
        <v>1273</v>
      </c>
      <c r="F1382" t="s">
        <v>5630</v>
      </c>
      <c r="G1382" t="s">
        <v>5631</v>
      </c>
      <c r="H1382">
        <v>6233765200</v>
      </c>
      <c r="K1382" t="s">
        <v>5632</v>
      </c>
      <c r="M1382" t="s">
        <v>1634</v>
      </c>
    </row>
    <row r="1383" spans="1:13" x14ac:dyDescent="0.25">
      <c r="A1383">
        <v>89953</v>
      </c>
      <c r="B1383" t="s">
        <v>5633</v>
      </c>
      <c r="C1383" t="s">
        <v>5634</v>
      </c>
      <c r="D1383" t="s">
        <v>1643</v>
      </c>
      <c r="E1383" t="s">
        <v>1273</v>
      </c>
      <c r="F1383" t="s">
        <v>3253</v>
      </c>
      <c r="G1383" t="s">
        <v>2814</v>
      </c>
      <c r="K1383" t="s">
        <v>5635</v>
      </c>
      <c r="L1383" t="s">
        <v>1647</v>
      </c>
      <c r="M1383" t="s">
        <v>1634</v>
      </c>
    </row>
    <row r="1384" spans="1:13" x14ac:dyDescent="0.25">
      <c r="A1384">
        <v>89953</v>
      </c>
      <c r="B1384" t="s">
        <v>5633</v>
      </c>
      <c r="C1384" t="s">
        <v>5634</v>
      </c>
      <c r="D1384" t="s">
        <v>1643</v>
      </c>
      <c r="E1384" t="s">
        <v>1273</v>
      </c>
      <c r="F1384" t="s">
        <v>5636</v>
      </c>
      <c r="G1384" t="s">
        <v>5637</v>
      </c>
      <c r="H1384">
        <v>6234458204</v>
      </c>
      <c r="K1384" t="s">
        <v>5638</v>
      </c>
      <c r="L1384" t="s">
        <v>2096</v>
      </c>
      <c r="M1384" t="s">
        <v>1634</v>
      </c>
    </row>
    <row r="1385" spans="1:13" x14ac:dyDescent="0.25">
      <c r="A1385">
        <v>92907</v>
      </c>
      <c r="B1385" t="s">
        <v>5639</v>
      </c>
      <c r="C1385" t="s">
        <v>5640</v>
      </c>
      <c r="D1385" t="s">
        <v>1643</v>
      </c>
      <c r="E1385" t="s">
        <v>1273</v>
      </c>
      <c r="F1385" t="s">
        <v>3253</v>
      </c>
      <c r="G1385" t="s">
        <v>2814</v>
      </c>
      <c r="H1385">
        <v>6234558404</v>
      </c>
      <c r="K1385" t="s">
        <v>5635</v>
      </c>
      <c r="L1385" t="s">
        <v>1647</v>
      </c>
      <c r="M1385" t="s">
        <v>1634</v>
      </c>
    </row>
    <row r="1386" spans="1:13" x14ac:dyDescent="0.25">
      <c r="A1386">
        <v>92907</v>
      </c>
      <c r="B1386" t="s">
        <v>5639</v>
      </c>
      <c r="C1386" t="s">
        <v>5640</v>
      </c>
      <c r="D1386" t="s">
        <v>1643</v>
      </c>
      <c r="E1386" t="s">
        <v>1273</v>
      </c>
      <c r="F1386" t="s">
        <v>2556</v>
      </c>
      <c r="G1386" t="s">
        <v>5415</v>
      </c>
      <c r="H1386">
        <v>6234455020</v>
      </c>
      <c r="K1386" t="s">
        <v>5416</v>
      </c>
      <c r="M1386" t="s">
        <v>1640</v>
      </c>
    </row>
    <row r="1387" spans="1:13" x14ac:dyDescent="0.25">
      <c r="A1387">
        <v>1001159</v>
      </c>
      <c r="B1387" t="s">
        <v>5641</v>
      </c>
      <c r="C1387" t="s">
        <v>5642</v>
      </c>
      <c r="D1387" t="s">
        <v>1643</v>
      </c>
      <c r="E1387" t="s">
        <v>1273</v>
      </c>
    </row>
    <row r="1388" spans="1:13" x14ac:dyDescent="0.25">
      <c r="A1388">
        <v>5161</v>
      </c>
      <c r="B1388" t="s">
        <v>5643</v>
      </c>
      <c r="C1388" t="s">
        <v>5644</v>
      </c>
      <c r="D1388" t="s">
        <v>1643</v>
      </c>
      <c r="E1388" t="s">
        <v>1273</v>
      </c>
      <c r="F1388" t="s">
        <v>2610</v>
      </c>
      <c r="G1388" t="s">
        <v>5645</v>
      </c>
      <c r="H1388">
        <v>6024676700</v>
      </c>
      <c r="K1388" t="s">
        <v>5646</v>
      </c>
      <c r="M1388" t="s">
        <v>1634</v>
      </c>
    </row>
    <row r="1389" spans="1:13" x14ac:dyDescent="0.25">
      <c r="A1389">
        <v>5161</v>
      </c>
      <c r="B1389" t="s">
        <v>5643</v>
      </c>
      <c r="C1389" t="s">
        <v>5644</v>
      </c>
      <c r="D1389" t="s">
        <v>1643</v>
      </c>
      <c r="E1389" t="s">
        <v>1273</v>
      </c>
      <c r="F1389" t="s">
        <v>5647</v>
      </c>
      <c r="G1389" t="s">
        <v>5648</v>
      </c>
      <c r="H1389">
        <v>6024676700</v>
      </c>
      <c r="K1389" t="s">
        <v>5649</v>
      </c>
      <c r="M1389" t="s">
        <v>1634</v>
      </c>
    </row>
    <row r="1390" spans="1:13" x14ac:dyDescent="0.25">
      <c r="A1390">
        <v>5161</v>
      </c>
      <c r="B1390" t="s">
        <v>5643</v>
      </c>
      <c r="C1390" t="s">
        <v>5644</v>
      </c>
      <c r="D1390" t="s">
        <v>1643</v>
      </c>
      <c r="E1390" t="s">
        <v>1273</v>
      </c>
      <c r="F1390" t="s">
        <v>2965</v>
      </c>
      <c r="G1390" t="s">
        <v>5650</v>
      </c>
      <c r="H1390">
        <v>6024676701</v>
      </c>
      <c r="K1390" t="s">
        <v>5651</v>
      </c>
      <c r="M1390" t="s">
        <v>1634</v>
      </c>
    </row>
    <row r="1391" spans="1:13" x14ac:dyDescent="0.25">
      <c r="A1391">
        <v>5161</v>
      </c>
      <c r="B1391" t="s">
        <v>5643</v>
      </c>
      <c r="C1391" t="s">
        <v>5644</v>
      </c>
      <c r="D1391" t="s">
        <v>1643</v>
      </c>
      <c r="E1391" t="s">
        <v>1273</v>
      </c>
      <c r="F1391" t="s">
        <v>1750</v>
      </c>
      <c r="G1391" t="s">
        <v>5652</v>
      </c>
      <c r="L1391" t="s">
        <v>1647</v>
      </c>
      <c r="M1391" t="s">
        <v>1634</v>
      </c>
    </row>
    <row r="1392" spans="1:13" x14ac:dyDescent="0.25">
      <c r="A1392">
        <v>5161</v>
      </c>
      <c r="B1392" t="s">
        <v>5643</v>
      </c>
      <c r="C1392" t="s">
        <v>5644</v>
      </c>
      <c r="D1392" t="s">
        <v>1643</v>
      </c>
      <c r="E1392" t="s">
        <v>1273</v>
      </c>
      <c r="F1392" t="s">
        <v>1787</v>
      </c>
      <c r="G1392" t="s">
        <v>1788</v>
      </c>
      <c r="H1392">
        <v>6024676737</v>
      </c>
      <c r="K1392" t="s">
        <v>5653</v>
      </c>
      <c r="L1392" t="s">
        <v>1738</v>
      </c>
      <c r="M1392" t="s">
        <v>1640</v>
      </c>
    </row>
    <row r="1393" spans="1:13" x14ac:dyDescent="0.25">
      <c r="A1393">
        <v>5161</v>
      </c>
      <c r="B1393" t="s">
        <v>5643</v>
      </c>
      <c r="C1393" t="s">
        <v>5644</v>
      </c>
      <c r="D1393" t="s">
        <v>1643</v>
      </c>
      <c r="E1393" t="s">
        <v>1273</v>
      </c>
      <c r="F1393" t="s">
        <v>2788</v>
      </c>
      <c r="G1393" t="s">
        <v>5654</v>
      </c>
      <c r="H1393">
        <v>6024676736</v>
      </c>
      <c r="L1393" t="s">
        <v>1738</v>
      </c>
      <c r="M1393" t="s">
        <v>1640</v>
      </c>
    </row>
    <row r="1394" spans="1:13" x14ac:dyDescent="0.25">
      <c r="A1394">
        <v>5161</v>
      </c>
      <c r="B1394" t="s">
        <v>5643</v>
      </c>
      <c r="C1394" t="s">
        <v>5644</v>
      </c>
      <c r="D1394" t="s">
        <v>1643</v>
      </c>
      <c r="E1394" t="s">
        <v>1273</v>
      </c>
      <c r="F1394" t="s">
        <v>5655</v>
      </c>
      <c r="G1394" t="s">
        <v>5142</v>
      </c>
      <c r="H1394">
        <v>6024676700</v>
      </c>
      <c r="J1394">
        <v>6024676780</v>
      </c>
      <c r="K1394" t="s">
        <v>5656</v>
      </c>
      <c r="L1394" t="s">
        <v>1738</v>
      </c>
      <c r="M1394" t="s">
        <v>1640</v>
      </c>
    </row>
    <row r="1395" spans="1:13" x14ac:dyDescent="0.25">
      <c r="A1395">
        <v>5161</v>
      </c>
      <c r="B1395" t="s">
        <v>5643</v>
      </c>
      <c r="C1395" t="s">
        <v>5644</v>
      </c>
      <c r="D1395" t="s">
        <v>1643</v>
      </c>
      <c r="E1395" t="s">
        <v>1273</v>
      </c>
      <c r="F1395" t="s">
        <v>1935</v>
      </c>
      <c r="G1395" t="s">
        <v>5657</v>
      </c>
      <c r="K1395" t="s">
        <v>5658</v>
      </c>
      <c r="L1395" t="s">
        <v>1738</v>
      </c>
      <c r="M1395" t="s">
        <v>1640</v>
      </c>
    </row>
    <row r="1396" spans="1:13" x14ac:dyDescent="0.25">
      <c r="A1396">
        <v>5162</v>
      </c>
      <c r="B1396" t="s">
        <v>5659</v>
      </c>
      <c r="C1396" t="s">
        <v>5660</v>
      </c>
      <c r="D1396" t="s">
        <v>1643</v>
      </c>
      <c r="E1396" t="s">
        <v>1273</v>
      </c>
      <c r="F1396" t="s">
        <v>2222</v>
      </c>
      <c r="G1396" t="s">
        <v>4544</v>
      </c>
      <c r="H1396">
        <v>6234453004</v>
      </c>
      <c r="K1396" t="s">
        <v>5661</v>
      </c>
      <c r="M1396" t="s">
        <v>1634</v>
      </c>
    </row>
    <row r="1397" spans="1:13" x14ac:dyDescent="0.25">
      <c r="A1397">
        <v>5162</v>
      </c>
      <c r="B1397" t="s">
        <v>5659</v>
      </c>
      <c r="C1397" t="s">
        <v>5660</v>
      </c>
      <c r="D1397" t="s">
        <v>1643</v>
      </c>
      <c r="E1397" t="s">
        <v>1273</v>
      </c>
      <c r="F1397" t="s">
        <v>5662</v>
      </c>
      <c r="G1397" t="s">
        <v>5663</v>
      </c>
      <c r="K1397" t="s">
        <v>5664</v>
      </c>
      <c r="L1397" t="s">
        <v>1647</v>
      </c>
      <c r="M1397" t="s">
        <v>1634</v>
      </c>
    </row>
    <row r="1398" spans="1:13" x14ac:dyDescent="0.25">
      <c r="A1398">
        <v>5162</v>
      </c>
      <c r="B1398" t="s">
        <v>5659</v>
      </c>
      <c r="C1398" t="s">
        <v>5660</v>
      </c>
      <c r="D1398" t="s">
        <v>1643</v>
      </c>
      <c r="E1398" t="s">
        <v>1273</v>
      </c>
      <c r="F1398" t="s">
        <v>2851</v>
      </c>
      <c r="G1398" t="s">
        <v>5665</v>
      </c>
      <c r="M1398" t="s">
        <v>1640</v>
      </c>
    </row>
    <row r="1399" spans="1:13" x14ac:dyDescent="0.25">
      <c r="A1399">
        <v>5162</v>
      </c>
      <c r="B1399" t="s">
        <v>5659</v>
      </c>
      <c r="C1399" t="s">
        <v>5660</v>
      </c>
      <c r="D1399" t="s">
        <v>1643</v>
      </c>
      <c r="E1399" t="s">
        <v>1273</v>
      </c>
      <c r="F1399" t="s">
        <v>2376</v>
      </c>
      <c r="G1399" t="s">
        <v>2440</v>
      </c>
      <c r="L1399" t="s">
        <v>1738</v>
      </c>
      <c r="M1399" t="s">
        <v>1640</v>
      </c>
    </row>
    <row r="1400" spans="1:13" x14ac:dyDescent="0.25">
      <c r="A1400">
        <v>5163</v>
      </c>
      <c r="B1400" t="s">
        <v>5666</v>
      </c>
      <c r="C1400" t="s">
        <v>5667</v>
      </c>
      <c r="D1400" t="s">
        <v>1643</v>
      </c>
      <c r="E1400" t="s">
        <v>1273</v>
      </c>
      <c r="F1400" t="s">
        <v>2587</v>
      </c>
      <c r="G1400" t="s">
        <v>5668</v>
      </c>
      <c r="H1400">
        <v>6233763061</v>
      </c>
      <c r="K1400" t="s">
        <v>5669</v>
      </c>
      <c r="M1400" t="s">
        <v>1634</v>
      </c>
    </row>
    <row r="1401" spans="1:13" x14ac:dyDescent="0.25">
      <c r="A1401">
        <v>5163</v>
      </c>
      <c r="B1401" t="s">
        <v>5666</v>
      </c>
      <c r="C1401" t="s">
        <v>5667</v>
      </c>
      <c r="D1401" t="s">
        <v>1643</v>
      </c>
      <c r="E1401" t="s">
        <v>1273</v>
      </c>
      <c r="F1401" t="s">
        <v>5670</v>
      </c>
      <c r="G1401" t="s">
        <v>5671</v>
      </c>
      <c r="H1401">
        <v>6233763004</v>
      </c>
      <c r="K1401" t="s">
        <v>5672</v>
      </c>
      <c r="L1401" t="s">
        <v>1647</v>
      </c>
      <c r="M1401" t="s">
        <v>1634</v>
      </c>
    </row>
    <row r="1402" spans="1:13" x14ac:dyDescent="0.25">
      <c r="A1402">
        <v>5163</v>
      </c>
      <c r="B1402" t="s">
        <v>5666</v>
      </c>
      <c r="C1402" t="s">
        <v>5667</v>
      </c>
      <c r="D1402" t="s">
        <v>1643</v>
      </c>
      <c r="E1402" t="s">
        <v>1273</v>
      </c>
      <c r="F1402" t="s">
        <v>5515</v>
      </c>
      <c r="G1402" t="s">
        <v>5516</v>
      </c>
      <c r="L1402" t="s">
        <v>1738</v>
      </c>
      <c r="M1402" t="s">
        <v>1640</v>
      </c>
    </row>
    <row r="1403" spans="1:13" x14ac:dyDescent="0.25">
      <c r="A1403">
        <v>80317</v>
      </c>
      <c r="B1403" t="s">
        <v>5673</v>
      </c>
      <c r="C1403" t="s">
        <v>5674</v>
      </c>
      <c r="D1403" t="s">
        <v>1643</v>
      </c>
      <c r="E1403" t="s">
        <v>1273</v>
      </c>
      <c r="F1403" t="s">
        <v>2009</v>
      </c>
      <c r="G1403" t="s">
        <v>1918</v>
      </c>
      <c r="K1403" t="s">
        <v>5675</v>
      </c>
      <c r="L1403" t="s">
        <v>1647</v>
      </c>
      <c r="M1403" t="s">
        <v>1634</v>
      </c>
    </row>
    <row r="1404" spans="1:13" x14ac:dyDescent="0.25">
      <c r="A1404">
        <v>80317</v>
      </c>
      <c r="B1404" t="s">
        <v>5673</v>
      </c>
      <c r="C1404" t="s">
        <v>5674</v>
      </c>
      <c r="D1404" t="s">
        <v>1643</v>
      </c>
      <c r="E1404" t="s">
        <v>1273</v>
      </c>
      <c r="F1404" t="s">
        <v>3193</v>
      </c>
      <c r="G1404" t="s">
        <v>5676</v>
      </c>
      <c r="L1404" t="s">
        <v>1738</v>
      </c>
      <c r="M1404" t="s">
        <v>1640</v>
      </c>
    </row>
    <row r="1405" spans="1:13" x14ac:dyDescent="0.25">
      <c r="A1405">
        <v>85850</v>
      </c>
      <c r="B1405" t="s">
        <v>5677</v>
      </c>
      <c r="C1405" t="s">
        <v>5678</v>
      </c>
      <c r="D1405" t="s">
        <v>1643</v>
      </c>
      <c r="E1405" t="s">
        <v>1273</v>
      </c>
      <c r="F1405" t="s">
        <v>5679</v>
      </c>
      <c r="G1405" t="s">
        <v>5680</v>
      </c>
      <c r="H1405">
        <v>6234458600</v>
      </c>
      <c r="J1405">
        <v>6234458600</v>
      </c>
      <c r="K1405" t="s">
        <v>5681</v>
      </c>
      <c r="L1405" t="s">
        <v>1647</v>
      </c>
      <c r="M1405" t="s">
        <v>1634</v>
      </c>
    </row>
    <row r="1406" spans="1:13" x14ac:dyDescent="0.25">
      <c r="A1406">
        <v>85850</v>
      </c>
      <c r="B1406" t="s">
        <v>5677</v>
      </c>
      <c r="C1406" t="s">
        <v>5678</v>
      </c>
      <c r="D1406" t="s">
        <v>1643</v>
      </c>
      <c r="E1406" t="s">
        <v>1273</v>
      </c>
      <c r="F1406" t="s">
        <v>2261</v>
      </c>
      <c r="G1406" t="s">
        <v>5682</v>
      </c>
      <c r="L1406" t="s">
        <v>1738</v>
      </c>
      <c r="M1406" t="s">
        <v>1640</v>
      </c>
    </row>
    <row r="1407" spans="1:13" x14ac:dyDescent="0.25">
      <c r="A1407">
        <v>85850</v>
      </c>
      <c r="B1407" t="s">
        <v>5677</v>
      </c>
      <c r="C1407" t="s">
        <v>5678</v>
      </c>
      <c r="D1407" t="s">
        <v>1643</v>
      </c>
      <c r="E1407" t="s">
        <v>1273</v>
      </c>
      <c r="F1407" t="s">
        <v>3018</v>
      </c>
      <c r="G1407" t="s">
        <v>5579</v>
      </c>
      <c r="L1407" t="s">
        <v>1738</v>
      </c>
      <c r="M1407" t="s">
        <v>1640</v>
      </c>
    </row>
    <row r="1408" spans="1:13" x14ac:dyDescent="0.25">
      <c r="A1408">
        <v>1000324</v>
      </c>
      <c r="B1408" t="s">
        <v>5683</v>
      </c>
      <c r="C1408" t="s">
        <v>5684</v>
      </c>
      <c r="D1408" t="s">
        <v>1643</v>
      </c>
      <c r="E1408" t="s">
        <v>1273</v>
      </c>
    </row>
    <row r="1409" spans="1:13" x14ac:dyDescent="0.25">
      <c r="A1409">
        <v>79414</v>
      </c>
      <c r="B1409" t="s">
        <v>5685</v>
      </c>
      <c r="C1409" t="s">
        <v>5686</v>
      </c>
      <c r="D1409" t="s">
        <v>1643</v>
      </c>
      <c r="E1409" t="s">
        <v>1273</v>
      </c>
      <c r="F1409" t="s">
        <v>1707</v>
      </c>
      <c r="G1409" t="s">
        <v>5687</v>
      </c>
      <c r="K1409" t="s">
        <v>5688</v>
      </c>
      <c r="L1409" t="s">
        <v>5689</v>
      </c>
      <c r="M1409" t="s">
        <v>1634</v>
      </c>
    </row>
    <row r="1410" spans="1:13" x14ac:dyDescent="0.25">
      <c r="A1410">
        <v>79414</v>
      </c>
      <c r="B1410" t="s">
        <v>5685</v>
      </c>
      <c r="C1410" t="s">
        <v>5686</v>
      </c>
      <c r="D1410" t="s">
        <v>1643</v>
      </c>
      <c r="E1410" t="s">
        <v>1273</v>
      </c>
      <c r="F1410" t="s">
        <v>2556</v>
      </c>
      <c r="G1410" t="s">
        <v>5415</v>
      </c>
      <c r="H1410">
        <v>6234455084</v>
      </c>
      <c r="K1410" t="s">
        <v>5690</v>
      </c>
      <c r="L1410" t="s">
        <v>1640</v>
      </c>
      <c r="M1410" t="s">
        <v>1640</v>
      </c>
    </row>
    <row r="1411" spans="1:13" x14ac:dyDescent="0.25">
      <c r="A1411">
        <v>4247</v>
      </c>
      <c r="B1411" t="s">
        <v>5691</v>
      </c>
      <c r="C1411" t="s">
        <v>5692</v>
      </c>
      <c r="D1411" t="s">
        <v>1628</v>
      </c>
      <c r="E1411" t="s">
        <v>1273</v>
      </c>
      <c r="F1411" t="s">
        <v>5693</v>
      </c>
      <c r="G1411" t="s">
        <v>5694</v>
      </c>
      <c r="H1411">
        <v>4806645084</v>
      </c>
      <c r="K1411" t="s">
        <v>5695</v>
      </c>
      <c r="L1411" t="s">
        <v>5696</v>
      </c>
      <c r="M1411" t="s">
        <v>1634</v>
      </c>
    </row>
    <row r="1412" spans="1:13" x14ac:dyDescent="0.25">
      <c r="A1412">
        <v>4247</v>
      </c>
      <c r="B1412" t="s">
        <v>5691</v>
      </c>
      <c r="C1412" t="s">
        <v>5692</v>
      </c>
      <c r="D1412" t="s">
        <v>1628</v>
      </c>
      <c r="E1412" t="s">
        <v>1273</v>
      </c>
      <c r="F1412" t="s">
        <v>5697</v>
      </c>
      <c r="G1412" t="s">
        <v>3674</v>
      </c>
      <c r="M1412" t="s">
        <v>1640</v>
      </c>
    </row>
    <row r="1413" spans="1:13" x14ac:dyDescent="0.25">
      <c r="A1413">
        <v>4247</v>
      </c>
      <c r="B1413" t="s">
        <v>5691</v>
      </c>
      <c r="C1413" t="s">
        <v>5692</v>
      </c>
      <c r="D1413" t="s">
        <v>1628</v>
      </c>
      <c r="E1413" t="s">
        <v>1273</v>
      </c>
      <c r="F1413" t="s">
        <v>3533</v>
      </c>
      <c r="G1413" t="s">
        <v>5698</v>
      </c>
      <c r="H1413">
        <v>4806645083</v>
      </c>
      <c r="K1413" t="s">
        <v>5699</v>
      </c>
      <c r="M1413" t="s">
        <v>1765</v>
      </c>
    </row>
    <row r="1414" spans="1:13" x14ac:dyDescent="0.25">
      <c r="A1414">
        <v>90932</v>
      </c>
      <c r="B1414" t="s">
        <v>5700</v>
      </c>
      <c r="C1414" t="s">
        <v>5701</v>
      </c>
      <c r="D1414" t="s">
        <v>1643</v>
      </c>
      <c r="E1414" t="s">
        <v>1273</v>
      </c>
      <c r="F1414" t="s">
        <v>3660</v>
      </c>
      <c r="G1414" t="s">
        <v>4907</v>
      </c>
      <c r="H1414">
        <v>4806645510</v>
      </c>
      <c r="J1414">
        <v>4806645060</v>
      </c>
      <c r="K1414" t="s">
        <v>5702</v>
      </c>
      <c r="L1414" t="s">
        <v>1647</v>
      </c>
      <c r="M1414" t="s">
        <v>1634</v>
      </c>
    </row>
    <row r="1415" spans="1:13" x14ac:dyDescent="0.25">
      <c r="A1415">
        <v>90932</v>
      </c>
      <c r="B1415" t="s">
        <v>5700</v>
      </c>
      <c r="C1415" t="s">
        <v>5701</v>
      </c>
      <c r="D1415" t="s">
        <v>1643</v>
      </c>
      <c r="E1415" t="s">
        <v>1273</v>
      </c>
      <c r="F1415" t="s">
        <v>2587</v>
      </c>
      <c r="G1415" t="s">
        <v>1974</v>
      </c>
      <c r="H1415">
        <v>4806645060</v>
      </c>
      <c r="J1415">
        <v>4806645099</v>
      </c>
      <c r="K1415" t="s">
        <v>5703</v>
      </c>
      <c r="M1415" t="s">
        <v>1640</v>
      </c>
    </row>
    <row r="1416" spans="1:13" x14ac:dyDescent="0.25">
      <c r="A1416">
        <v>5165</v>
      </c>
      <c r="B1416" t="s">
        <v>5704</v>
      </c>
      <c r="C1416" t="s">
        <v>5705</v>
      </c>
      <c r="D1416" t="s">
        <v>1643</v>
      </c>
      <c r="E1416" t="s">
        <v>1273</v>
      </c>
      <c r="F1416" t="s">
        <v>2217</v>
      </c>
      <c r="G1416" t="s">
        <v>5706</v>
      </c>
      <c r="H1416">
        <v>4806645210</v>
      </c>
      <c r="K1416" t="s">
        <v>5707</v>
      </c>
      <c r="L1416" t="s">
        <v>1647</v>
      </c>
      <c r="M1416" t="s">
        <v>1634</v>
      </c>
    </row>
    <row r="1417" spans="1:13" x14ac:dyDescent="0.25">
      <c r="A1417">
        <v>5165</v>
      </c>
      <c r="B1417" t="s">
        <v>5704</v>
      </c>
      <c r="C1417" t="s">
        <v>5705</v>
      </c>
      <c r="D1417" t="s">
        <v>1643</v>
      </c>
      <c r="E1417" t="s">
        <v>1273</v>
      </c>
      <c r="F1417" t="s">
        <v>3040</v>
      </c>
      <c r="G1417" t="s">
        <v>2177</v>
      </c>
      <c r="H1417">
        <v>4806645212</v>
      </c>
      <c r="K1417" t="s">
        <v>5708</v>
      </c>
      <c r="L1417" t="s">
        <v>4430</v>
      </c>
      <c r="M1417" t="s">
        <v>1640</v>
      </c>
    </row>
    <row r="1418" spans="1:13" x14ac:dyDescent="0.25">
      <c r="A1418">
        <v>5166</v>
      </c>
      <c r="B1418" t="s">
        <v>5709</v>
      </c>
      <c r="C1418" t="s">
        <v>5710</v>
      </c>
      <c r="D1418" t="s">
        <v>1643</v>
      </c>
      <c r="E1418" t="s">
        <v>1273</v>
      </c>
      <c r="F1418" t="s">
        <v>5662</v>
      </c>
      <c r="G1418" t="s">
        <v>2290</v>
      </c>
      <c r="H1418">
        <v>4806645440</v>
      </c>
      <c r="J1418">
        <v>4806645499</v>
      </c>
      <c r="K1418" t="s">
        <v>5711</v>
      </c>
      <c r="L1418" t="s">
        <v>1647</v>
      </c>
      <c r="M1418" t="s">
        <v>1634</v>
      </c>
    </row>
    <row r="1419" spans="1:13" x14ac:dyDescent="0.25">
      <c r="A1419">
        <v>5167</v>
      </c>
      <c r="B1419" t="s">
        <v>5712</v>
      </c>
      <c r="C1419" t="s">
        <v>5713</v>
      </c>
      <c r="D1419" t="s">
        <v>1643</v>
      </c>
      <c r="E1419" t="s">
        <v>1273</v>
      </c>
    </row>
    <row r="1420" spans="1:13" x14ac:dyDescent="0.25">
      <c r="A1420">
        <v>4249</v>
      </c>
      <c r="B1420" t="s">
        <v>1487</v>
      </c>
      <c r="C1420" t="s">
        <v>5714</v>
      </c>
      <c r="D1420" t="s">
        <v>1628</v>
      </c>
      <c r="E1420" t="s">
        <v>1273</v>
      </c>
      <c r="F1420" t="s">
        <v>2253</v>
      </c>
      <c r="G1420" t="s">
        <v>5715</v>
      </c>
      <c r="K1420" t="s">
        <v>5716</v>
      </c>
      <c r="L1420" t="s">
        <v>1633</v>
      </c>
      <c r="M1420" t="s">
        <v>1634</v>
      </c>
    </row>
    <row r="1421" spans="1:13" x14ac:dyDescent="0.25">
      <c r="A1421">
        <v>4249</v>
      </c>
      <c r="B1421" t="s">
        <v>1487</v>
      </c>
      <c r="C1421" t="s">
        <v>5714</v>
      </c>
      <c r="D1421" t="s">
        <v>1628</v>
      </c>
      <c r="E1421" t="s">
        <v>1273</v>
      </c>
      <c r="F1421" t="s">
        <v>5717</v>
      </c>
      <c r="G1421" t="s">
        <v>2927</v>
      </c>
      <c r="I1421">
        <v>104</v>
      </c>
      <c r="J1421">
        <v>9286852433</v>
      </c>
      <c r="K1421" t="s">
        <v>5718</v>
      </c>
      <c r="L1421" t="s">
        <v>1640</v>
      </c>
      <c r="M1421" t="s">
        <v>1640</v>
      </c>
    </row>
    <row r="1422" spans="1:13" x14ac:dyDescent="0.25">
      <c r="A1422">
        <v>5187</v>
      </c>
      <c r="B1422" t="s">
        <v>1488</v>
      </c>
      <c r="C1422" t="s">
        <v>5719</v>
      </c>
      <c r="D1422" t="s">
        <v>1643</v>
      </c>
      <c r="E1422" t="s">
        <v>1273</v>
      </c>
      <c r="F1422" t="s">
        <v>2253</v>
      </c>
      <c r="G1422" t="s">
        <v>5715</v>
      </c>
      <c r="K1422" t="s">
        <v>5716</v>
      </c>
      <c r="M1422" t="s">
        <v>1634</v>
      </c>
    </row>
    <row r="1423" spans="1:13" x14ac:dyDescent="0.25">
      <c r="A1423">
        <v>91411</v>
      </c>
      <c r="B1423" t="s">
        <v>5720</v>
      </c>
      <c r="C1423" t="s">
        <v>5721</v>
      </c>
      <c r="D1423" t="s">
        <v>1643</v>
      </c>
      <c r="E1423" t="s">
        <v>1273</v>
      </c>
    </row>
    <row r="1424" spans="1:13" x14ac:dyDescent="0.25">
      <c r="A1424">
        <v>4250</v>
      </c>
      <c r="B1424" t="s">
        <v>5722</v>
      </c>
      <c r="C1424" t="s">
        <v>5723</v>
      </c>
      <c r="D1424" t="s">
        <v>1628</v>
      </c>
      <c r="E1424" t="s">
        <v>1273</v>
      </c>
      <c r="F1424" t="s">
        <v>4598</v>
      </c>
      <c r="G1424" t="s">
        <v>5724</v>
      </c>
      <c r="J1424">
        <v>9284542247</v>
      </c>
      <c r="K1424" t="s">
        <v>5725</v>
      </c>
      <c r="L1424" t="s">
        <v>1668</v>
      </c>
      <c r="M1424" t="s">
        <v>1634</v>
      </c>
    </row>
    <row r="1425" spans="1:13" x14ac:dyDescent="0.25">
      <c r="A1425">
        <v>4250</v>
      </c>
      <c r="B1425" t="s">
        <v>5722</v>
      </c>
      <c r="C1425" t="s">
        <v>5723</v>
      </c>
      <c r="D1425" t="s">
        <v>1628</v>
      </c>
      <c r="E1425" t="s">
        <v>1273</v>
      </c>
      <c r="F1425" t="s">
        <v>4972</v>
      </c>
      <c r="G1425" t="s">
        <v>5724</v>
      </c>
      <c r="J1425">
        <v>9284542247</v>
      </c>
      <c r="K1425" t="s">
        <v>5726</v>
      </c>
      <c r="L1425" t="s">
        <v>5727</v>
      </c>
      <c r="M1425" t="s">
        <v>1640</v>
      </c>
    </row>
    <row r="1426" spans="1:13" x14ac:dyDescent="0.25">
      <c r="A1426">
        <v>5188</v>
      </c>
      <c r="B1426" t="s">
        <v>5728</v>
      </c>
      <c r="C1426" t="s">
        <v>5729</v>
      </c>
      <c r="D1426" t="s">
        <v>1643</v>
      </c>
      <c r="E1426" t="s">
        <v>1273</v>
      </c>
      <c r="F1426" t="s">
        <v>4598</v>
      </c>
      <c r="G1426" t="s">
        <v>5724</v>
      </c>
      <c r="J1426">
        <v>9284542247</v>
      </c>
      <c r="K1426" t="s">
        <v>5725</v>
      </c>
      <c r="M1426" t="s">
        <v>1634</v>
      </c>
    </row>
    <row r="1427" spans="1:13" x14ac:dyDescent="0.25">
      <c r="A1427">
        <v>4251</v>
      </c>
      <c r="B1427" t="s">
        <v>5730</v>
      </c>
      <c r="C1427" t="s">
        <v>5731</v>
      </c>
      <c r="D1427" t="s">
        <v>1628</v>
      </c>
      <c r="E1427" t="s">
        <v>1273</v>
      </c>
      <c r="F1427" t="s">
        <v>1887</v>
      </c>
      <c r="G1427" t="s">
        <v>1840</v>
      </c>
      <c r="J1427">
        <v>6233889368</v>
      </c>
      <c r="K1427" t="s">
        <v>5732</v>
      </c>
      <c r="L1427" t="s">
        <v>5733</v>
      </c>
      <c r="M1427" t="s">
        <v>1634</v>
      </c>
    </row>
    <row r="1428" spans="1:13" x14ac:dyDescent="0.25">
      <c r="A1428">
        <v>4251</v>
      </c>
      <c r="B1428" t="s">
        <v>5730</v>
      </c>
      <c r="C1428" t="s">
        <v>5731</v>
      </c>
      <c r="D1428" t="s">
        <v>1628</v>
      </c>
      <c r="E1428" t="s">
        <v>1273</v>
      </c>
      <c r="F1428" t="s">
        <v>5734</v>
      </c>
      <c r="G1428" t="s">
        <v>5735</v>
      </c>
      <c r="H1428">
        <v>6235465102</v>
      </c>
      <c r="K1428" t="s">
        <v>5736</v>
      </c>
      <c r="L1428" t="s">
        <v>1668</v>
      </c>
      <c r="M1428" t="s">
        <v>1634</v>
      </c>
    </row>
    <row r="1429" spans="1:13" x14ac:dyDescent="0.25">
      <c r="A1429">
        <v>4251</v>
      </c>
      <c r="B1429" t="s">
        <v>5730</v>
      </c>
      <c r="C1429" t="s">
        <v>5731</v>
      </c>
      <c r="D1429" t="s">
        <v>1628</v>
      </c>
      <c r="E1429" t="s">
        <v>1273</v>
      </c>
      <c r="F1429" t="s">
        <v>5101</v>
      </c>
      <c r="G1429" t="s">
        <v>5102</v>
      </c>
      <c r="H1429" t="s">
        <v>5103</v>
      </c>
      <c r="K1429" t="s">
        <v>5104</v>
      </c>
      <c r="M1429" t="s">
        <v>1640</v>
      </c>
    </row>
    <row r="1430" spans="1:13" x14ac:dyDescent="0.25">
      <c r="A1430">
        <v>4251</v>
      </c>
      <c r="B1430" t="s">
        <v>5730</v>
      </c>
      <c r="C1430" t="s">
        <v>5731</v>
      </c>
      <c r="D1430" t="s">
        <v>1628</v>
      </c>
      <c r="E1430" t="s">
        <v>1273</v>
      </c>
      <c r="F1430" t="s">
        <v>1779</v>
      </c>
      <c r="G1430" t="s">
        <v>5737</v>
      </c>
      <c r="H1430">
        <v>6235465100</v>
      </c>
      <c r="K1430" t="s">
        <v>5738</v>
      </c>
      <c r="L1430" t="s">
        <v>1647</v>
      </c>
      <c r="M1430" t="s">
        <v>1765</v>
      </c>
    </row>
    <row r="1431" spans="1:13" x14ac:dyDescent="0.25">
      <c r="A1431">
        <v>5189</v>
      </c>
      <c r="B1431" t="s">
        <v>5739</v>
      </c>
      <c r="C1431" t="s">
        <v>5740</v>
      </c>
      <c r="D1431" t="s">
        <v>1643</v>
      </c>
      <c r="E1431" t="s">
        <v>1273</v>
      </c>
      <c r="F1431" t="s">
        <v>1887</v>
      </c>
      <c r="G1431" t="s">
        <v>1840</v>
      </c>
      <c r="K1431" t="s">
        <v>5741</v>
      </c>
      <c r="L1431" t="s">
        <v>1647</v>
      </c>
      <c r="M1431" t="s">
        <v>1634</v>
      </c>
    </row>
    <row r="1432" spans="1:13" x14ac:dyDescent="0.25">
      <c r="A1432">
        <v>5189</v>
      </c>
      <c r="B1432" t="s">
        <v>5739</v>
      </c>
      <c r="C1432" t="s">
        <v>5740</v>
      </c>
      <c r="D1432" t="s">
        <v>1643</v>
      </c>
      <c r="E1432" t="s">
        <v>1273</v>
      </c>
      <c r="F1432" t="s">
        <v>1775</v>
      </c>
      <c r="G1432" t="s">
        <v>5742</v>
      </c>
      <c r="H1432">
        <v>6235465100</v>
      </c>
      <c r="K1432" t="s">
        <v>5743</v>
      </c>
      <c r="L1432" t="s">
        <v>5744</v>
      </c>
      <c r="M1432" t="s">
        <v>1634</v>
      </c>
    </row>
    <row r="1433" spans="1:13" x14ac:dyDescent="0.25">
      <c r="A1433">
        <v>5189</v>
      </c>
      <c r="B1433" t="s">
        <v>5739</v>
      </c>
      <c r="C1433" t="s">
        <v>5740</v>
      </c>
      <c r="D1433" t="s">
        <v>1643</v>
      </c>
      <c r="E1433" t="s">
        <v>1273</v>
      </c>
      <c r="F1433" t="s">
        <v>2261</v>
      </c>
      <c r="G1433" t="s">
        <v>3224</v>
      </c>
      <c r="H1433">
        <v>6235465102</v>
      </c>
      <c r="K1433" t="s">
        <v>5745</v>
      </c>
      <c r="M1433" t="s">
        <v>1640</v>
      </c>
    </row>
    <row r="1434" spans="1:13" x14ac:dyDescent="0.25">
      <c r="A1434">
        <v>4253</v>
      </c>
      <c r="B1434" t="s">
        <v>5746</v>
      </c>
      <c r="C1434" t="s">
        <v>5747</v>
      </c>
      <c r="D1434" t="s">
        <v>1628</v>
      </c>
      <c r="E1434" t="s">
        <v>1273</v>
      </c>
      <c r="F1434" t="s">
        <v>3456</v>
      </c>
      <c r="G1434" t="s">
        <v>2262</v>
      </c>
      <c r="J1434">
        <v>5205689361</v>
      </c>
      <c r="K1434" t="s">
        <v>5748</v>
      </c>
      <c r="L1434" t="s">
        <v>3620</v>
      </c>
      <c r="M1434" t="s">
        <v>1634</v>
      </c>
    </row>
    <row r="1435" spans="1:13" x14ac:dyDescent="0.25">
      <c r="A1435">
        <v>4253</v>
      </c>
      <c r="B1435" t="s">
        <v>5746</v>
      </c>
      <c r="C1435" t="s">
        <v>5747</v>
      </c>
      <c r="D1435" t="s">
        <v>1628</v>
      </c>
      <c r="E1435" t="s">
        <v>1273</v>
      </c>
      <c r="F1435" t="s">
        <v>4427</v>
      </c>
      <c r="G1435" t="s">
        <v>5749</v>
      </c>
      <c r="K1435" t="s">
        <v>5750</v>
      </c>
      <c r="L1435" t="s">
        <v>5751</v>
      </c>
      <c r="M1435" t="s">
        <v>1634</v>
      </c>
    </row>
    <row r="1436" spans="1:13" x14ac:dyDescent="0.25">
      <c r="A1436">
        <v>4253</v>
      </c>
      <c r="B1436" t="s">
        <v>5746</v>
      </c>
      <c r="C1436" t="s">
        <v>5747</v>
      </c>
      <c r="D1436" t="s">
        <v>1628</v>
      </c>
      <c r="E1436" t="s">
        <v>1273</v>
      </c>
      <c r="F1436" t="s">
        <v>5752</v>
      </c>
      <c r="G1436" t="s">
        <v>5753</v>
      </c>
      <c r="H1436">
        <v>5205682280</v>
      </c>
      <c r="J1436">
        <v>5205689361</v>
      </c>
      <c r="K1436" t="s">
        <v>5754</v>
      </c>
      <c r="L1436" t="s">
        <v>1640</v>
      </c>
      <c r="M1436" t="s">
        <v>1640</v>
      </c>
    </row>
    <row r="1437" spans="1:13" x14ac:dyDescent="0.25">
      <c r="A1437">
        <v>4253</v>
      </c>
      <c r="B1437" t="s">
        <v>5746</v>
      </c>
      <c r="C1437" t="s">
        <v>5747</v>
      </c>
      <c r="D1437" t="s">
        <v>1628</v>
      </c>
      <c r="E1437" t="s">
        <v>1273</v>
      </c>
      <c r="F1437" t="s">
        <v>5755</v>
      </c>
      <c r="G1437" t="s">
        <v>5756</v>
      </c>
      <c r="K1437" t="s">
        <v>5757</v>
      </c>
      <c r="L1437" t="s">
        <v>1640</v>
      </c>
      <c r="M1437" t="s">
        <v>1640</v>
      </c>
    </row>
    <row r="1438" spans="1:13" x14ac:dyDescent="0.25">
      <c r="A1438">
        <v>4253</v>
      </c>
      <c r="B1438" t="s">
        <v>5746</v>
      </c>
      <c r="C1438" t="s">
        <v>5747</v>
      </c>
      <c r="D1438" t="s">
        <v>1628</v>
      </c>
      <c r="E1438" t="s">
        <v>1273</v>
      </c>
      <c r="F1438" t="s">
        <v>4427</v>
      </c>
      <c r="G1438" t="s">
        <v>5749</v>
      </c>
      <c r="K1438" t="s">
        <v>5750</v>
      </c>
      <c r="L1438" t="s">
        <v>5751</v>
      </c>
      <c r="M1438" t="s">
        <v>1640</v>
      </c>
    </row>
    <row r="1439" spans="1:13" x14ac:dyDescent="0.25">
      <c r="A1439">
        <v>4253</v>
      </c>
      <c r="B1439" t="s">
        <v>5746</v>
      </c>
      <c r="C1439" t="s">
        <v>5747</v>
      </c>
      <c r="D1439" t="s">
        <v>1628</v>
      </c>
      <c r="E1439" t="s">
        <v>1273</v>
      </c>
      <c r="F1439" t="s">
        <v>3013</v>
      </c>
      <c r="G1439" t="s">
        <v>5758</v>
      </c>
      <c r="H1439">
        <v>6025063958</v>
      </c>
      <c r="M1439" t="s">
        <v>1640</v>
      </c>
    </row>
    <row r="1440" spans="1:13" x14ac:dyDescent="0.25">
      <c r="A1440">
        <v>4253</v>
      </c>
      <c r="B1440" t="s">
        <v>5746</v>
      </c>
      <c r="C1440" t="s">
        <v>5747</v>
      </c>
      <c r="D1440" t="s">
        <v>1628</v>
      </c>
      <c r="E1440" t="s">
        <v>1273</v>
      </c>
      <c r="F1440" t="s">
        <v>4427</v>
      </c>
      <c r="G1440" t="s">
        <v>5749</v>
      </c>
      <c r="K1440" t="s">
        <v>5750</v>
      </c>
      <c r="L1440" t="s">
        <v>5751</v>
      </c>
      <c r="M1440" t="s">
        <v>1765</v>
      </c>
    </row>
    <row r="1441" spans="1:13" x14ac:dyDescent="0.25">
      <c r="A1441">
        <v>5191</v>
      </c>
      <c r="B1441" t="s">
        <v>5759</v>
      </c>
      <c r="C1441" t="s">
        <v>5760</v>
      </c>
      <c r="D1441" t="s">
        <v>1643</v>
      </c>
      <c r="E1441" t="s">
        <v>1273</v>
      </c>
      <c r="F1441" t="s">
        <v>3456</v>
      </c>
      <c r="G1441" t="s">
        <v>2262</v>
      </c>
      <c r="J1441">
        <v>5205689361</v>
      </c>
      <c r="K1441" t="s">
        <v>5748</v>
      </c>
      <c r="L1441" t="s">
        <v>1647</v>
      </c>
      <c r="M1441" t="s">
        <v>1634</v>
      </c>
    </row>
    <row r="1442" spans="1:13" x14ac:dyDescent="0.25">
      <c r="A1442">
        <v>4255</v>
      </c>
      <c r="B1442" t="s">
        <v>336</v>
      </c>
      <c r="C1442" t="s">
        <v>5761</v>
      </c>
      <c r="D1442" t="s">
        <v>1628</v>
      </c>
      <c r="E1442" t="s">
        <v>1273</v>
      </c>
      <c r="F1442" t="s">
        <v>4149</v>
      </c>
      <c r="G1442" t="s">
        <v>5762</v>
      </c>
      <c r="H1442">
        <v>9286832588</v>
      </c>
      <c r="K1442" t="s">
        <v>5763</v>
      </c>
      <c r="L1442" t="s">
        <v>5764</v>
      </c>
      <c r="M1442" t="s">
        <v>1634</v>
      </c>
    </row>
    <row r="1443" spans="1:13" x14ac:dyDescent="0.25">
      <c r="A1443">
        <v>4255</v>
      </c>
      <c r="B1443" t="s">
        <v>336</v>
      </c>
      <c r="C1443" t="s">
        <v>5761</v>
      </c>
      <c r="D1443" t="s">
        <v>1628</v>
      </c>
      <c r="E1443" t="s">
        <v>1273</v>
      </c>
      <c r="F1443" t="s">
        <v>5765</v>
      </c>
      <c r="G1443" t="s">
        <v>2506</v>
      </c>
      <c r="J1443">
        <v>6022528616</v>
      </c>
      <c r="K1443" t="s">
        <v>5766</v>
      </c>
      <c r="L1443" t="s">
        <v>5767</v>
      </c>
      <c r="M1443" t="s">
        <v>1640</v>
      </c>
    </row>
    <row r="1444" spans="1:13" x14ac:dyDescent="0.25">
      <c r="A1444">
        <v>5193</v>
      </c>
      <c r="B1444" t="s">
        <v>524</v>
      </c>
      <c r="C1444" t="s">
        <v>5768</v>
      </c>
      <c r="D1444" t="s">
        <v>1643</v>
      </c>
      <c r="E1444" t="s">
        <v>1273</v>
      </c>
      <c r="F1444" t="s">
        <v>4149</v>
      </c>
      <c r="G1444" t="s">
        <v>5762</v>
      </c>
      <c r="H1444">
        <v>9286832588</v>
      </c>
      <c r="K1444" t="s">
        <v>5763</v>
      </c>
      <c r="L1444" t="s">
        <v>1647</v>
      </c>
      <c r="M1444" t="s">
        <v>1634</v>
      </c>
    </row>
    <row r="1445" spans="1:13" x14ac:dyDescent="0.25">
      <c r="A1445">
        <v>4256</v>
      </c>
      <c r="B1445" t="s">
        <v>343</v>
      </c>
      <c r="C1445" t="s">
        <v>5769</v>
      </c>
      <c r="D1445" t="s">
        <v>1628</v>
      </c>
      <c r="E1445" t="s">
        <v>1273</v>
      </c>
      <c r="F1445" t="s">
        <v>3376</v>
      </c>
      <c r="G1445" t="s">
        <v>5437</v>
      </c>
      <c r="H1445">
        <v>6022572889</v>
      </c>
      <c r="K1445" t="s">
        <v>5770</v>
      </c>
      <c r="L1445" t="s">
        <v>5771</v>
      </c>
      <c r="M1445" t="s">
        <v>1634</v>
      </c>
    </row>
    <row r="1446" spans="1:13" x14ac:dyDescent="0.25">
      <c r="A1446">
        <v>4256</v>
      </c>
      <c r="B1446" t="s">
        <v>343</v>
      </c>
      <c r="C1446" t="s">
        <v>5769</v>
      </c>
      <c r="D1446" t="s">
        <v>1628</v>
      </c>
      <c r="E1446" t="s">
        <v>1273</v>
      </c>
      <c r="F1446" t="s">
        <v>4162</v>
      </c>
      <c r="G1446" t="s">
        <v>5772</v>
      </c>
      <c r="H1446">
        <v>6022572912</v>
      </c>
      <c r="K1446" t="s">
        <v>5773</v>
      </c>
      <c r="L1446" t="s">
        <v>1668</v>
      </c>
      <c r="M1446" t="s">
        <v>1634</v>
      </c>
    </row>
    <row r="1447" spans="1:13" x14ac:dyDescent="0.25">
      <c r="A1447">
        <v>4256</v>
      </c>
      <c r="B1447" t="s">
        <v>343</v>
      </c>
      <c r="C1447" t="s">
        <v>5769</v>
      </c>
      <c r="D1447" t="s">
        <v>1628</v>
      </c>
      <c r="E1447" t="s">
        <v>1273</v>
      </c>
      <c r="F1447" t="s">
        <v>3275</v>
      </c>
      <c r="G1447" t="s">
        <v>5774</v>
      </c>
      <c r="H1447">
        <v>6022573764</v>
      </c>
      <c r="K1447" t="s">
        <v>5775</v>
      </c>
      <c r="L1447" t="s">
        <v>5776</v>
      </c>
      <c r="M1447" t="s">
        <v>1634</v>
      </c>
    </row>
    <row r="1448" spans="1:13" x14ac:dyDescent="0.25">
      <c r="A1448">
        <v>4256</v>
      </c>
      <c r="B1448" t="s">
        <v>343</v>
      </c>
      <c r="C1448" t="s">
        <v>5769</v>
      </c>
      <c r="D1448" t="s">
        <v>1628</v>
      </c>
      <c r="E1448" t="s">
        <v>1273</v>
      </c>
      <c r="F1448" t="s">
        <v>3679</v>
      </c>
      <c r="G1448" t="s">
        <v>5777</v>
      </c>
      <c r="H1448">
        <v>6022572910</v>
      </c>
      <c r="K1448" t="s">
        <v>5778</v>
      </c>
      <c r="L1448" t="s">
        <v>5779</v>
      </c>
      <c r="M1448" t="s">
        <v>1640</v>
      </c>
    </row>
    <row r="1449" spans="1:13" x14ac:dyDescent="0.25">
      <c r="A1449">
        <v>4256</v>
      </c>
      <c r="B1449" t="s">
        <v>343</v>
      </c>
      <c r="C1449" t="s">
        <v>5769</v>
      </c>
      <c r="D1449" t="s">
        <v>1628</v>
      </c>
      <c r="E1449" t="s">
        <v>1273</v>
      </c>
      <c r="F1449" t="s">
        <v>4162</v>
      </c>
      <c r="G1449" t="s">
        <v>5772</v>
      </c>
      <c r="H1449">
        <v>6022572912</v>
      </c>
      <c r="K1449" t="s">
        <v>5773</v>
      </c>
      <c r="L1449" t="s">
        <v>1668</v>
      </c>
      <c r="M1449" t="s">
        <v>1640</v>
      </c>
    </row>
    <row r="1450" spans="1:13" x14ac:dyDescent="0.25">
      <c r="A1450">
        <v>4256</v>
      </c>
      <c r="B1450" t="s">
        <v>343</v>
      </c>
      <c r="C1450" t="s">
        <v>5769</v>
      </c>
      <c r="D1450" t="s">
        <v>1628</v>
      </c>
      <c r="E1450" t="s">
        <v>1273</v>
      </c>
      <c r="F1450" t="s">
        <v>5780</v>
      </c>
      <c r="G1450" t="s">
        <v>5781</v>
      </c>
      <c r="H1450">
        <v>6022573790</v>
      </c>
      <c r="K1450" t="s">
        <v>5782</v>
      </c>
      <c r="L1450" t="s">
        <v>5783</v>
      </c>
      <c r="M1450" t="s">
        <v>1640</v>
      </c>
    </row>
    <row r="1451" spans="1:13" x14ac:dyDescent="0.25">
      <c r="A1451">
        <v>4256</v>
      </c>
      <c r="B1451" t="s">
        <v>343</v>
      </c>
      <c r="C1451" t="s">
        <v>5769</v>
      </c>
      <c r="D1451" t="s">
        <v>1628</v>
      </c>
      <c r="E1451" t="s">
        <v>1273</v>
      </c>
      <c r="F1451" t="s">
        <v>3303</v>
      </c>
      <c r="G1451" t="s">
        <v>5784</v>
      </c>
      <c r="K1451" t="s">
        <v>5785</v>
      </c>
      <c r="L1451" t="s">
        <v>5786</v>
      </c>
      <c r="M1451" t="s">
        <v>1765</v>
      </c>
    </row>
    <row r="1452" spans="1:13" x14ac:dyDescent="0.25">
      <c r="A1452">
        <v>4256</v>
      </c>
      <c r="B1452" t="s">
        <v>343</v>
      </c>
      <c r="C1452" t="s">
        <v>5769</v>
      </c>
      <c r="D1452" t="s">
        <v>1628</v>
      </c>
      <c r="E1452" t="s">
        <v>1273</v>
      </c>
      <c r="F1452" t="s">
        <v>3376</v>
      </c>
      <c r="G1452" t="s">
        <v>5437</v>
      </c>
      <c r="H1452">
        <v>6022572889</v>
      </c>
      <c r="K1452" t="s">
        <v>5770</v>
      </c>
      <c r="L1452" t="s">
        <v>5771</v>
      </c>
      <c r="M1452" t="s">
        <v>1765</v>
      </c>
    </row>
    <row r="1453" spans="1:13" x14ac:dyDescent="0.25">
      <c r="A1453">
        <v>5195</v>
      </c>
      <c r="B1453" t="s">
        <v>716</v>
      </c>
      <c r="C1453" t="s">
        <v>5787</v>
      </c>
      <c r="D1453" t="s">
        <v>1643</v>
      </c>
      <c r="E1453" t="s">
        <v>1273</v>
      </c>
      <c r="F1453" t="s">
        <v>5788</v>
      </c>
      <c r="G1453" t="s">
        <v>5789</v>
      </c>
      <c r="H1453">
        <v>6022573830</v>
      </c>
      <c r="K1453" t="s">
        <v>5790</v>
      </c>
      <c r="L1453" t="s">
        <v>1647</v>
      </c>
      <c r="M1453" t="s">
        <v>1634</v>
      </c>
    </row>
    <row r="1454" spans="1:13" x14ac:dyDescent="0.25">
      <c r="A1454">
        <v>5196</v>
      </c>
      <c r="B1454" t="s">
        <v>1335</v>
      </c>
      <c r="C1454" t="s">
        <v>5791</v>
      </c>
      <c r="D1454" t="s">
        <v>1643</v>
      </c>
      <c r="E1454" t="s">
        <v>1273</v>
      </c>
      <c r="F1454" t="s">
        <v>2978</v>
      </c>
      <c r="G1454" t="s">
        <v>473</v>
      </c>
      <c r="H1454">
        <v>6022573835</v>
      </c>
      <c r="J1454">
        <v>6022576397</v>
      </c>
      <c r="K1454" t="s">
        <v>5792</v>
      </c>
      <c r="M1454" t="s">
        <v>1634</v>
      </c>
    </row>
    <row r="1455" spans="1:13" x14ac:dyDescent="0.25">
      <c r="A1455">
        <v>5197</v>
      </c>
      <c r="B1455" t="s">
        <v>638</v>
      </c>
      <c r="C1455" t="s">
        <v>5793</v>
      </c>
      <c r="D1455" t="s">
        <v>1643</v>
      </c>
      <c r="E1455" t="s">
        <v>1273</v>
      </c>
      <c r="F1455" t="s">
        <v>3239</v>
      </c>
      <c r="G1455" t="s">
        <v>5437</v>
      </c>
      <c r="H1455">
        <v>6022573837</v>
      </c>
      <c r="K1455" t="s">
        <v>5794</v>
      </c>
      <c r="L1455" t="s">
        <v>1647</v>
      </c>
      <c r="M1455" t="s">
        <v>1634</v>
      </c>
    </row>
    <row r="1456" spans="1:13" x14ac:dyDescent="0.25">
      <c r="A1456">
        <v>5198</v>
      </c>
      <c r="B1456" t="s">
        <v>671</v>
      </c>
      <c r="C1456" t="s">
        <v>5795</v>
      </c>
      <c r="D1456" t="s">
        <v>1643</v>
      </c>
      <c r="E1456" t="s">
        <v>1273</v>
      </c>
      <c r="F1456" t="s">
        <v>5796</v>
      </c>
      <c r="G1456" t="s">
        <v>5797</v>
      </c>
      <c r="H1456">
        <v>6022573867</v>
      </c>
      <c r="K1456" t="s">
        <v>5798</v>
      </c>
      <c r="L1456" t="s">
        <v>1721</v>
      </c>
      <c r="M1456" t="s">
        <v>1634</v>
      </c>
    </row>
    <row r="1457" spans="1:13" x14ac:dyDescent="0.25">
      <c r="A1457">
        <v>5199</v>
      </c>
      <c r="B1457" t="s">
        <v>656</v>
      </c>
      <c r="C1457" t="s">
        <v>5799</v>
      </c>
      <c r="D1457" t="s">
        <v>1643</v>
      </c>
      <c r="E1457" t="s">
        <v>1273</v>
      </c>
      <c r="F1457" t="s">
        <v>5800</v>
      </c>
      <c r="G1457" t="s">
        <v>5801</v>
      </c>
      <c r="H1457">
        <v>6022573908</v>
      </c>
      <c r="K1457" t="s">
        <v>5802</v>
      </c>
      <c r="L1457" t="s">
        <v>1721</v>
      </c>
      <c r="M1457" t="s">
        <v>1634</v>
      </c>
    </row>
    <row r="1458" spans="1:13" x14ac:dyDescent="0.25">
      <c r="A1458">
        <v>5200</v>
      </c>
      <c r="B1458" t="s">
        <v>660</v>
      </c>
      <c r="C1458" t="s">
        <v>5803</v>
      </c>
      <c r="D1458" t="s">
        <v>1643</v>
      </c>
      <c r="E1458" t="s">
        <v>1273</v>
      </c>
      <c r="F1458" t="s">
        <v>2699</v>
      </c>
      <c r="G1458" t="s">
        <v>5804</v>
      </c>
      <c r="H1458">
        <v>6025238711</v>
      </c>
      <c r="J1458">
        <v>6022574866</v>
      </c>
      <c r="K1458" t="s">
        <v>5805</v>
      </c>
      <c r="L1458" t="s">
        <v>1647</v>
      </c>
      <c r="M1458" t="s">
        <v>1634</v>
      </c>
    </row>
    <row r="1459" spans="1:13" x14ac:dyDescent="0.25">
      <c r="A1459">
        <v>5201</v>
      </c>
      <c r="B1459" t="s">
        <v>5806</v>
      </c>
      <c r="C1459" t="s">
        <v>5807</v>
      </c>
      <c r="D1459" t="s">
        <v>1643</v>
      </c>
      <c r="E1459" t="s">
        <v>1273</v>
      </c>
      <c r="F1459" t="s">
        <v>5808</v>
      </c>
      <c r="G1459" t="s">
        <v>2322</v>
      </c>
      <c r="H1459">
        <v>6022576280</v>
      </c>
      <c r="K1459" t="s">
        <v>5809</v>
      </c>
      <c r="L1459" t="s">
        <v>1721</v>
      </c>
      <c r="M1459" t="s">
        <v>1634</v>
      </c>
    </row>
    <row r="1460" spans="1:13" x14ac:dyDescent="0.25">
      <c r="A1460">
        <v>5203</v>
      </c>
      <c r="B1460" t="s">
        <v>1360</v>
      </c>
      <c r="C1460" t="s">
        <v>5810</v>
      </c>
      <c r="D1460" t="s">
        <v>1643</v>
      </c>
      <c r="E1460" t="s">
        <v>1273</v>
      </c>
    </row>
    <row r="1461" spans="1:13" x14ac:dyDescent="0.25">
      <c r="A1461">
        <v>5204</v>
      </c>
      <c r="B1461" t="s">
        <v>5811</v>
      </c>
      <c r="C1461" t="s">
        <v>5812</v>
      </c>
      <c r="D1461" t="s">
        <v>1643</v>
      </c>
      <c r="E1461" t="s">
        <v>1273</v>
      </c>
    </row>
    <row r="1462" spans="1:13" x14ac:dyDescent="0.25">
      <c r="A1462">
        <v>5205</v>
      </c>
      <c r="B1462" t="s">
        <v>5813</v>
      </c>
      <c r="C1462" t="s">
        <v>5814</v>
      </c>
      <c r="D1462" t="s">
        <v>1643</v>
      </c>
      <c r="E1462" t="s">
        <v>1273</v>
      </c>
    </row>
    <row r="1463" spans="1:13" x14ac:dyDescent="0.25">
      <c r="A1463">
        <v>5206</v>
      </c>
      <c r="B1463" t="s">
        <v>735</v>
      </c>
      <c r="C1463" t="s">
        <v>5815</v>
      </c>
      <c r="D1463" t="s">
        <v>1643</v>
      </c>
      <c r="E1463" t="s">
        <v>1273</v>
      </c>
      <c r="F1463" t="s">
        <v>5816</v>
      </c>
      <c r="G1463" t="s">
        <v>1943</v>
      </c>
      <c r="H1463">
        <v>6022573902</v>
      </c>
      <c r="K1463" t="s">
        <v>5817</v>
      </c>
      <c r="L1463" t="s">
        <v>1647</v>
      </c>
      <c r="M1463" t="s">
        <v>1634</v>
      </c>
    </row>
    <row r="1464" spans="1:13" x14ac:dyDescent="0.25">
      <c r="A1464">
        <v>5206</v>
      </c>
      <c r="B1464" t="s">
        <v>735</v>
      </c>
      <c r="C1464" t="s">
        <v>5815</v>
      </c>
      <c r="D1464" t="s">
        <v>1643</v>
      </c>
      <c r="E1464" t="s">
        <v>1273</v>
      </c>
      <c r="F1464" t="s">
        <v>2053</v>
      </c>
      <c r="G1464" t="s">
        <v>2506</v>
      </c>
      <c r="H1464">
        <v>6022573902</v>
      </c>
      <c r="K1464" t="s">
        <v>5818</v>
      </c>
      <c r="L1464" t="s">
        <v>2446</v>
      </c>
      <c r="M1464" t="s">
        <v>1640</v>
      </c>
    </row>
    <row r="1465" spans="1:13" x14ac:dyDescent="0.25">
      <c r="A1465">
        <v>5209</v>
      </c>
      <c r="B1465" t="s">
        <v>1501</v>
      </c>
      <c r="C1465" t="s">
        <v>5819</v>
      </c>
      <c r="D1465" t="s">
        <v>1643</v>
      </c>
      <c r="E1465" t="s">
        <v>1273</v>
      </c>
      <c r="F1465" t="s">
        <v>5820</v>
      </c>
      <c r="G1465" t="s">
        <v>5821</v>
      </c>
      <c r="H1465">
        <v>6022573925</v>
      </c>
      <c r="K1465" t="s">
        <v>5822</v>
      </c>
      <c r="L1465" t="s">
        <v>1647</v>
      </c>
      <c r="M1465" t="s">
        <v>1634</v>
      </c>
    </row>
    <row r="1466" spans="1:13" x14ac:dyDescent="0.25">
      <c r="A1466">
        <v>79616</v>
      </c>
      <c r="B1466" t="s">
        <v>5823</v>
      </c>
      <c r="C1466" t="s">
        <v>5824</v>
      </c>
      <c r="D1466" t="s">
        <v>1643</v>
      </c>
      <c r="E1466" t="s">
        <v>1273</v>
      </c>
      <c r="F1466" t="s">
        <v>1726</v>
      </c>
      <c r="G1466" t="s">
        <v>5825</v>
      </c>
      <c r="H1466">
        <v>6022573914</v>
      </c>
      <c r="K1466" t="s">
        <v>5826</v>
      </c>
      <c r="L1466" t="s">
        <v>1647</v>
      </c>
      <c r="M1466" t="s">
        <v>1634</v>
      </c>
    </row>
    <row r="1467" spans="1:13" x14ac:dyDescent="0.25">
      <c r="A1467">
        <v>4257</v>
      </c>
      <c r="B1467" t="s">
        <v>1522</v>
      </c>
      <c r="C1467" t="s">
        <v>5827</v>
      </c>
      <c r="D1467" t="s">
        <v>1628</v>
      </c>
      <c r="E1467" t="s">
        <v>1273</v>
      </c>
      <c r="F1467" t="s">
        <v>5828</v>
      </c>
      <c r="G1467" t="s">
        <v>5829</v>
      </c>
      <c r="H1467">
        <v>6024778916</v>
      </c>
      <c r="J1467">
        <v>6022728378</v>
      </c>
      <c r="K1467" t="s">
        <v>5830</v>
      </c>
      <c r="L1467" t="s">
        <v>1668</v>
      </c>
      <c r="M1467" t="s">
        <v>1634</v>
      </c>
    </row>
    <row r="1468" spans="1:13" x14ac:dyDescent="0.25">
      <c r="A1468">
        <v>4257</v>
      </c>
      <c r="B1468" t="s">
        <v>1522</v>
      </c>
      <c r="C1468" t="s">
        <v>5827</v>
      </c>
      <c r="D1468" t="s">
        <v>1628</v>
      </c>
      <c r="E1468" t="s">
        <v>1273</v>
      </c>
      <c r="F1468" t="s">
        <v>2361</v>
      </c>
      <c r="G1468" t="s">
        <v>5831</v>
      </c>
      <c r="H1468">
        <v>6024778900</v>
      </c>
      <c r="K1468" t="s">
        <v>5832</v>
      </c>
      <c r="L1468" t="s">
        <v>1647</v>
      </c>
      <c r="M1468" t="s">
        <v>1634</v>
      </c>
    </row>
    <row r="1469" spans="1:13" x14ac:dyDescent="0.25">
      <c r="A1469">
        <v>4257</v>
      </c>
      <c r="B1469" t="s">
        <v>1522</v>
      </c>
      <c r="C1469" t="s">
        <v>5827</v>
      </c>
      <c r="D1469" t="s">
        <v>1628</v>
      </c>
      <c r="E1469" t="s">
        <v>1273</v>
      </c>
      <c r="F1469" t="s">
        <v>2632</v>
      </c>
      <c r="G1469" t="s">
        <v>3399</v>
      </c>
      <c r="H1469">
        <v>6024778900</v>
      </c>
      <c r="I1469">
        <v>1120</v>
      </c>
      <c r="J1469">
        <v>6022728378</v>
      </c>
      <c r="K1469" t="s">
        <v>5833</v>
      </c>
      <c r="L1469" t="s">
        <v>1640</v>
      </c>
      <c r="M1469" t="s">
        <v>1640</v>
      </c>
    </row>
    <row r="1470" spans="1:13" x14ac:dyDescent="0.25">
      <c r="A1470">
        <v>4257</v>
      </c>
      <c r="B1470" t="s">
        <v>1522</v>
      </c>
      <c r="C1470" t="s">
        <v>5827</v>
      </c>
      <c r="D1470" t="s">
        <v>1628</v>
      </c>
      <c r="E1470" t="s">
        <v>1273</v>
      </c>
      <c r="F1470" t="s">
        <v>5834</v>
      </c>
      <c r="G1470" t="s">
        <v>2746</v>
      </c>
      <c r="H1470">
        <v>6233124029</v>
      </c>
      <c r="K1470" t="s">
        <v>5835</v>
      </c>
      <c r="L1470" t="s">
        <v>3157</v>
      </c>
      <c r="M1470" t="s">
        <v>1765</v>
      </c>
    </row>
    <row r="1471" spans="1:13" x14ac:dyDescent="0.25">
      <c r="A1471">
        <v>4257</v>
      </c>
      <c r="B1471" t="s">
        <v>1522</v>
      </c>
      <c r="C1471" t="s">
        <v>5827</v>
      </c>
      <c r="D1471" t="s">
        <v>1628</v>
      </c>
      <c r="E1471" t="s">
        <v>1273</v>
      </c>
      <c r="F1471" t="s">
        <v>3057</v>
      </c>
      <c r="G1471" t="s">
        <v>3502</v>
      </c>
      <c r="H1471">
        <v>6023304593</v>
      </c>
      <c r="J1471">
        <v>6022728378</v>
      </c>
      <c r="K1471" t="s">
        <v>5836</v>
      </c>
      <c r="L1471" t="s">
        <v>2091</v>
      </c>
      <c r="M1471" t="s">
        <v>1765</v>
      </c>
    </row>
    <row r="1472" spans="1:13" x14ac:dyDescent="0.25">
      <c r="A1472">
        <v>5210</v>
      </c>
      <c r="B1472" t="s">
        <v>5837</v>
      </c>
      <c r="C1472" t="s">
        <v>5838</v>
      </c>
      <c r="D1472" t="s">
        <v>1643</v>
      </c>
      <c r="E1472" t="s">
        <v>1273</v>
      </c>
      <c r="F1472" t="s">
        <v>2282</v>
      </c>
      <c r="G1472" t="s">
        <v>5839</v>
      </c>
      <c r="K1472" t="s">
        <v>5840</v>
      </c>
      <c r="L1472" t="s">
        <v>1946</v>
      </c>
      <c r="M1472" t="s">
        <v>1765</v>
      </c>
    </row>
    <row r="1473" spans="1:13" x14ac:dyDescent="0.25">
      <c r="A1473">
        <v>84660</v>
      </c>
      <c r="B1473" t="s">
        <v>1523</v>
      </c>
      <c r="C1473" t="s">
        <v>5841</v>
      </c>
      <c r="D1473" t="s">
        <v>1643</v>
      </c>
      <c r="E1473" t="s">
        <v>1273</v>
      </c>
      <c r="F1473" t="s">
        <v>5834</v>
      </c>
      <c r="G1473" t="s">
        <v>2746</v>
      </c>
      <c r="H1473">
        <v>6024778900</v>
      </c>
      <c r="I1473">
        <v>1117</v>
      </c>
      <c r="J1473">
        <v>6239365531</v>
      </c>
      <c r="K1473" t="s">
        <v>5835</v>
      </c>
      <c r="L1473" t="s">
        <v>3157</v>
      </c>
      <c r="M1473" t="s">
        <v>1634</v>
      </c>
    </row>
    <row r="1474" spans="1:13" x14ac:dyDescent="0.25">
      <c r="A1474">
        <v>84660</v>
      </c>
      <c r="B1474" t="s">
        <v>1523</v>
      </c>
      <c r="C1474" t="s">
        <v>5841</v>
      </c>
      <c r="D1474" t="s">
        <v>1643</v>
      </c>
      <c r="E1474" t="s">
        <v>1273</v>
      </c>
      <c r="F1474" t="s">
        <v>2361</v>
      </c>
      <c r="G1474" t="s">
        <v>5831</v>
      </c>
      <c r="H1474">
        <v>6024778900</v>
      </c>
      <c r="K1474" t="s">
        <v>5842</v>
      </c>
      <c r="L1474" t="s">
        <v>1647</v>
      </c>
      <c r="M1474" t="s">
        <v>1634</v>
      </c>
    </row>
    <row r="1475" spans="1:13" x14ac:dyDescent="0.25">
      <c r="A1475">
        <v>92961</v>
      </c>
      <c r="B1475" t="s">
        <v>5843</v>
      </c>
      <c r="C1475" t="s">
        <v>5844</v>
      </c>
      <c r="D1475" t="s">
        <v>1643</v>
      </c>
      <c r="E1475" t="s">
        <v>1273</v>
      </c>
      <c r="F1475" t="s">
        <v>2632</v>
      </c>
      <c r="G1475" t="s">
        <v>3399</v>
      </c>
      <c r="H1475">
        <v>6024778900</v>
      </c>
      <c r="K1475" t="s">
        <v>5833</v>
      </c>
      <c r="L1475" t="s">
        <v>1640</v>
      </c>
      <c r="M1475" t="s">
        <v>1634</v>
      </c>
    </row>
    <row r="1476" spans="1:13" x14ac:dyDescent="0.25">
      <c r="A1476">
        <v>92961</v>
      </c>
      <c r="B1476" t="s">
        <v>5843</v>
      </c>
      <c r="C1476" t="s">
        <v>5844</v>
      </c>
      <c r="D1476" t="s">
        <v>1643</v>
      </c>
      <c r="E1476" t="s">
        <v>1273</v>
      </c>
      <c r="F1476" t="s">
        <v>5834</v>
      </c>
      <c r="G1476" t="s">
        <v>2746</v>
      </c>
      <c r="H1476">
        <v>6233124029</v>
      </c>
      <c r="K1476" t="s">
        <v>5845</v>
      </c>
      <c r="M1476" t="s">
        <v>1634</v>
      </c>
    </row>
    <row r="1477" spans="1:13" x14ac:dyDescent="0.25">
      <c r="A1477">
        <v>92961</v>
      </c>
      <c r="B1477" t="s">
        <v>5843</v>
      </c>
      <c r="C1477" t="s">
        <v>5844</v>
      </c>
      <c r="D1477" t="s">
        <v>1643</v>
      </c>
      <c r="E1477" t="s">
        <v>1273</v>
      </c>
      <c r="F1477" t="s">
        <v>5846</v>
      </c>
      <c r="G1477" t="s">
        <v>5847</v>
      </c>
      <c r="H1477">
        <v>6024772780</v>
      </c>
      <c r="K1477" t="s">
        <v>5848</v>
      </c>
      <c r="M1477" t="s">
        <v>1634</v>
      </c>
    </row>
    <row r="1478" spans="1:13" x14ac:dyDescent="0.25">
      <c r="A1478">
        <v>1001510</v>
      </c>
      <c r="B1478" t="s">
        <v>5849</v>
      </c>
      <c r="C1478" t="s">
        <v>5850</v>
      </c>
      <c r="D1478" t="s">
        <v>1643</v>
      </c>
      <c r="E1478" t="s">
        <v>1273</v>
      </c>
    </row>
    <row r="1479" spans="1:13" x14ac:dyDescent="0.25">
      <c r="A1479">
        <v>4258</v>
      </c>
      <c r="B1479" t="s">
        <v>701</v>
      </c>
      <c r="C1479" t="s">
        <v>5851</v>
      </c>
      <c r="D1479" t="s">
        <v>1628</v>
      </c>
      <c r="E1479" t="s">
        <v>1273</v>
      </c>
      <c r="F1479" t="s">
        <v>2587</v>
      </c>
      <c r="G1479" t="s">
        <v>2290</v>
      </c>
      <c r="H1479">
        <v>4807307327</v>
      </c>
      <c r="J1479">
        <v>4807307433</v>
      </c>
      <c r="K1479" t="s">
        <v>5852</v>
      </c>
      <c r="L1479" t="s">
        <v>5853</v>
      </c>
      <c r="M1479" t="s">
        <v>1634</v>
      </c>
    </row>
    <row r="1480" spans="1:13" x14ac:dyDescent="0.25">
      <c r="A1480">
        <v>4258</v>
      </c>
      <c r="B1480" t="s">
        <v>701</v>
      </c>
      <c r="C1480" t="s">
        <v>5851</v>
      </c>
      <c r="D1480" t="s">
        <v>1628</v>
      </c>
      <c r="E1480" t="s">
        <v>1273</v>
      </c>
      <c r="F1480" t="s">
        <v>2355</v>
      </c>
      <c r="G1480" t="s">
        <v>5854</v>
      </c>
      <c r="H1480">
        <v>4807307305</v>
      </c>
      <c r="K1480" t="s">
        <v>5855</v>
      </c>
      <c r="L1480" t="s">
        <v>1668</v>
      </c>
      <c r="M1480" t="s">
        <v>1634</v>
      </c>
    </row>
    <row r="1481" spans="1:13" x14ac:dyDescent="0.25">
      <c r="A1481">
        <v>4258</v>
      </c>
      <c r="B1481" t="s">
        <v>701</v>
      </c>
      <c r="C1481" t="s">
        <v>5851</v>
      </c>
      <c r="D1481" t="s">
        <v>1628</v>
      </c>
      <c r="E1481" t="s">
        <v>1273</v>
      </c>
      <c r="F1481" t="s">
        <v>3013</v>
      </c>
      <c r="G1481" t="s">
        <v>5856</v>
      </c>
      <c r="H1481">
        <v>4807307124</v>
      </c>
      <c r="K1481" t="s">
        <v>5857</v>
      </c>
      <c r="L1481" t="s">
        <v>5858</v>
      </c>
      <c r="M1481" t="s">
        <v>1634</v>
      </c>
    </row>
    <row r="1482" spans="1:13" x14ac:dyDescent="0.25">
      <c r="A1482">
        <v>4258</v>
      </c>
      <c r="B1482" t="s">
        <v>701</v>
      </c>
      <c r="C1482" t="s">
        <v>5851</v>
      </c>
      <c r="D1482" t="s">
        <v>1628</v>
      </c>
      <c r="E1482" t="s">
        <v>1273</v>
      </c>
      <c r="F1482" t="s">
        <v>5859</v>
      </c>
      <c r="G1482" t="s">
        <v>5860</v>
      </c>
      <c r="H1482">
        <v>4807307102</v>
      </c>
      <c r="K1482" t="s">
        <v>5861</v>
      </c>
      <c r="M1482" t="s">
        <v>1634</v>
      </c>
    </row>
    <row r="1483" spans="1:13" x14ac:dyDescent="0.25">
      <c r="A1483">
        <v>4258</v>
      </c>
      <c r="B1483" t="s">
        <v>701</v>
      </c>
      <c r="C1483" t="s">
        <v>5851</v>
      </c>
      <c r="D1483" t="s">
        <v>1628</v>
      </c>
      <c r="E1483" t="s">
        <v>1273</v>
      </c>
      <c r="F1483" t="s">
        <v>1775</v>
      </c>
      <c r="G1483" t="s">
        <v>5862</v>
      </c>
      <c r="H1483">
        <v>4807307132</v>
      </c>
      <c r="K1483" t="s">
        <v>5863</v>
      </c>
      <c r="L1483" t="s">
        <v>5864</v>
      </c>
      <c r="M1483" t="s">
        <v>1634</v>
      </c>
    </row>
    <row r="1484" spans="1:13" x14ac:dyDescent="0.25">
      <c r="A1484">
        <v>4258</v>
      </c>
      <c r="B1484" t="s">
        <v>701</v>
      </c>
      <c r="C1484" t="s">
        <v>5851</v>
      </c>
      <c r="D1484" t="s">
        <v>1628</v>
      </c>
      <c r="E1484" t="s">
        <v>1273</v>
      </c>
      <c r="F1484" t="s">
        <v>2381</v>
      </c>
      <c r="G1484" t="s">
        <v>5865</v>
      </c>
      <c r="H1484">
        <v>4807307102</v>
      </c>
      <c r="K1484" t="s">
        <v>5866</v>
      </c>
      <c r="L1484" t="s">
        <v>5867</v>
      </c>
      <c r="M1484" t="s">
        <v>1634</v>
      </c>
    </row>
    <row r="1485" spans="1:13" x14ac:dyDescent="0.25">
      <c r="A1485">
        <v>4258</v>
      </c>
      <c r="B1485" t="s">
        <v>701</v>
      </c>
      <c r="C1485" t="s">
        <v>5851</v>
      </c>
      <c r="D1485" t="s">
        <v>1628</v>
      </c>
      <c r="E1485" t="s">
        <v>1273</v>
      </c>
      <c r="F1485" t="s">
        <v>1935</v>
      </c>
      <c r="G1485" t="s">
        <v>5868</v>
      </c>
      <c r="H1485">
        <v>4807307466</v>
      </c>
      <c r="K1485" t="s">
        <v>5869</v>
      </c>
      <c r="L1485" t="s">
        <v>5870</v>
      </c>
      <c r="M1485" t="s">
        <v>1634</v>
      </c>
    </row>
    <row r="1486" spans="1:13" x14ac:dyDescent="0.25">
      <c r="A1486">
        <v>4258</v>
      </c>
      <c r="B1486" t="s">
        <v>701</v>
      </c>
      <c r="C1486" t="s">
        <v>5851</v>
      </c>
      <c r="D1486" t="s">
        <v>1628</v>
      </c>
      <c r="E1486" t="s">
        <v>1273</v>
      </c>
      <c r="F1486" t="s">
        <v>4799</v>
      </c>
      <c r="G1486" t="s">
        <v>5871</v>
      </c>
      <c r="H1486">
        <v>4807307131</v>
      </c>
      <c r="J1486">
        <v>4807307420</v>
      </c>
      <c r="K1486" t="s">
        <v>5872</v>
      </c>
      <c r="L1486" t="s">
        <v>5873</v>
      </c>
      <c r="M1486" t="s">
        <v>1640</v>
      </c>
    </row>
    <row r="1487" spans="1:13" x14ac:dyDescent="0.25">
      <c r="A1487">
        <v>4258</v>
      </c>
      <c r="B1487" t="s">
        <v>701</v>
      </c>
      <c r="C1487" t="s">
        <v>5851</v>
      </c>
      <c r="D1487" t="s">
        <v>1628</v>
      </c>
      <c r="E1487" t="s">
        <v>1273</v>
      </c>
      <c r="F1487" t="s">
        <v>3024</v>
      </c>
      <c r="G1487" t="s">
        <v>1840</v>
      </c>
      <c r="H1487">
        <v>4807307131</v>
      </c>
      <c r="K1487" t="s">
        <v>5874</v>
      </c>
      <c r="L1487" t="s">
        <v>2368</v>
      </c>
      <c r="M1487" t="s">
        <v>1640</v>
      </c>
    </row>
    <row r="1488" spans="1:13" x14ac:dyDescent="0.25">
      <c r="A1488">
        <v>4258</v>
      </c>
      <c r="B1488" t="s">
        <v>701</v>
      </c>
      <c r="C1488" t="s">
        <v>5851</v>
      </c>
      <c r="D1488" t="s">
        <v>1628</v>
      </c>
      <c r="E1488" t="s">
        <v>1273</v>
      </c>
      <c r="F1488" t="s">
        <v>5875</v>
      </c>
      <c r="G1488" t="s">
        <v>5876</v>
      </c>
      <c r="H1488">
        <v>4807307162</v>
      </c>
      <c r="K1488" t="s">
        <v>5877</v>
      </c>
      <c r="L1488" t="s">
        <v>5878</v>
      </c>
      <c r="M1488" t="s">
        <v>1640</v>
      </c>
    </row>
    <row r="1489" spans="1:13" x14ac:dyDescent="0.25">
      <c r="A1489">
        <v>4258</v>
      </c>
      <c r="B1489" t="s">
        <v>701</v>
      </c>
      <c r="C1489" t="s">
        <v>5851</v>
      </c>
      <c r="D1489" t="s">
        <v>1628</v>
      </c>
      <c r="E1489" t="s">
        <v>1273</v>
      </c>
      <c r="F1489" t="s">
        <v>4879</v>
      </c>
      <c r="G1489" t="s">
        <v>5879</v>
      </c>
      <c r="K1489" t="s">
        <v>5880</v>
      </c>
      <c r="L1489" t="s">
        <v>1800</v>
      </c>
      <c r="M1489" t="s">
        <v>1765</v>
      </c>
    </row>
    <row r="1490" spans="1:13" x14ac:dyDescent="0.25">
      <c r="A1490">
        <v>5211</v>
      </c>
      <c r="B1490" t="s">
        <v>5881</v>
      </c>
      <c r="C1490" t="s">
        <v>5882</v>
      </c>
      <c r="D1490" t="s">
        <v>1643</v>
      </c>
      <c r="E1490" t="s">
        <v>1273</v>
      </c>
      <c r="F1490" t="s">
        <v>1914</v>
      </c>
      <c r="G1490" t="s">
        <v>5883</v>
      </c>
      <c r="K1490" t="s">
        <v>5884</v>
      </c>
      <c r="L1490" t="s">
        <v>1647</v>
      </c>
      <c r="M1490" t="s">
        <v>1634</v>
      </c>
    </row>
    <row r="1491" spans="1:13" x14ac:dyDescent="0.25">
      <c r="A1491">
        <v>5212</v>
      </c>
      <c r="B1491" t="s">
        <v>5885</v>
      </c>
      <c r="C1491" t="s">
        <v>5886</v>
      </c>
      <c r="D1491" t="s">
        <v>1643</v>
      </c>
      <c r="E1491" t="s">
        <v>1273</v>
      </c>
    </row>
    <row r="1492" spans="1:13" x14ac:dyDescent="0.25">
      <c r="A1492">
        <v>5213</v>
      </c>
      <c r="B1492" t="s">
        <v>5887</v>
      </c>
      <c r="C1492" t="s">
        <v>5888</v>
      </c>
      <c r="D1492" t="s">
        <v>1643</v>
      </c>
      <c r="E1492" t="s">
        <v>1273</v>
      </c>
    </row>
    <row r="1493" spans="1:13" x14ac:dyDescent="0.25">
      <c r="A1493">
        <v>5214</v>
      </c>
      <c r="B1493" t="s">
        <v>5889</v>
      </c>
      <c r="C1493" t="s">
        <v>5890</v>
      </c>
      <c r="D1493" t="s">
        <v>1643</v>
      </c>
      <c r="E1493" t="s">
        <v>1273</v>
      </c>
      <c r="F1493" t="s">
        <v>5891</v>
      </c>
      <c r="G1493" t="s">
        <v>5892</v>
      </c>
      <c r="L1493" t="s">
        <v>1647</v>
      </c>
      <c r="M1493" t="s">
        <v>1634</v>
      </c>
    </row>
    <row r="1494" spans="1:13" x14ac:dyDescent="0.25">
      <c r="A1494">
        <v>5215</v>
      </c>
      <c r="B1494" t="s">
        <v>1387</v>
      </c>
      <c r="C1494" t="s">
        <v>5893</v>
      </c>
      <c r="D1494" t="s">
        <v>1643</v>
      </c>
      <c r="E1494" t="s">
        <v>1273</v>
      </c>
    </row>
    <row r="1495" spans="1:13" x14ac:dyDescent="0.25">
      <c r="A1495">
        <v>5216</v>
      </c>
      <c r="B1495" t="s">
        <v>710</v>
      </c>
      <c r="C1495" t="s">
        <v>5894</v>
      </c>
      <c r="D1495" t="s">
        <v>1643</v>
      </c>
      <c r="E1495" t="s">
        <v>1273</v>
      </c>
      <c r="F1495" t="s">
        <v>5895</v>
      </c>
      <c r="G1495" t="s">
        <v>5896</v>
      </c>
      <c r="K1495" t="s">
        <v>5897</v>
      </c>
      <c r="M1495" t="s">
        <v>1634</v>
      </c>
    </row>
    <row r="1496" spans="1:13" x14ac:dyDescent="0.25">
      <c r="A1496">
        <v>5217</v>
      </c>
      <c r="B1496" t="s">
        <v>5898</v>
      </c>
      <c r="C1496" t="s">
        <v>5899</v>
      </c>
      <c r="D1496" t="s">
        <v>1643</v>
      </c>
      <c r="E1496" t="s">
        <v>1273</v>
      </c>
      <c r="F1496" t="s">
        <v>1732</v>
      </c>
      <c r="G1496" t="s">
        <v>5900</v>
      </c>
      <c r="K1496" t="s">
        <v>5901</v>
      </c>
      <c r="M1496" t="s">
        <v>1634</v>
      </c>
    </row>
    <row r="1497" spans="1:13" x14ac:dyDescent="0.25">
      <c r="A1497">
        <v>5219</v>
      </c>
      <c r="B1497" t="s">
        <v>5902</v>
      </c>
      <c r="C1497" t="s">
        <v>5903</v>
      </c>
      <c r="D1497" t="s">
        <v>1643</v>
      </c>
      <c r="E1497" t="s">
        <v>1273</v>
      </c>
    </row>
    <row r="1498" spans="1:13" x14ac:dyDescent="0.25">
      <c r="A1498">
        <v>5220</v>
      </c>
      <c r="B1498" t="s">
        <v>702</v>
      </c>
      <c r="C1498" t="s">
        <v>5904</v>
      </c>
      <c r="D1498" t="s">
        <v>1643</v>
      </c>
      <c r="E1498" t="s">
        <v>1273</v>
      </c>
    </row>
    <row r="1499" spans="1:13" x14ac:dyDescent="0.25">
      <c r="A1499">
        <v>5221</v>
      </c>
      <c r="B1499" t="s">
        <v>5905</v>
      </c>
      <c r="C1499" t="s">
        <v>5906</v>
      </c>
      <c r="D1499" t="s">
        <v>1643</v>
      </c>
      <c r="E1499" t="s">
        <v>1273</v>
      </c>
    </row>
    <row r="1500" spans="1:13" x14ac:dyDescent="0.25">
      <c r="A1500">
        <v>5222</v>
      </c>
      <c r="B1500" t="s">
        <v>5907</v>
      </c>
      <c r="C1500" t="s">
        <v>5908</v>
      </c>
      <c r="D1500" t="s">
        <v>1643</v>
      </c>
      <c r="E1500" t="s">
        <v>1273</v>
      </c>
      <c r="F1500" t="s">
        <v>3391</v>
      </c>
      <c r="G1500" t="s">
        <v>5909</v>
      </c>
      <c r="K1500" t="s">
        <v>5910</v>
      </c>
      <c r="L1500" t="s">
        <v>1647</v>
      </c>
      <c r="M1500" t="s">
        <v>1634</v>
      </c>
    </row>
    <row r="1501" spans="1:13" x14ac:dyDescent="0.25">
      <c r="A1501">
        <v>5224</v>
      </c>
      <c r="B1501" t="s">
        <v>5911</v>
      </c>
      <c r="C1501" t="s">
        <v>5912</v>
      </c>
      <c r="D1501" t="s">
        <v>1643</v>
      </c>
      <c r="E1501" t="s">
        <v>1273</v>
      </c>
    </row>
    <row r="1502" spans="1:13" x14ac:dyDescent="0.25">
      <c r="A1502">
        <v>5225</v>
      </c>
      <c r="B1502" t="s">
        <v>5913</v>
      </c>
      <c r="C1502" t="s">
        <v>5914</v>
      </c>
      <c r="D1502" t="s">
        <v>1643</v>
      </c>
      <c r="E1502" t="s">
        <v>1273</v>
      </c>
    </row>
    <row r="1503" spans="1:13" x14ac:dyDescent="0.25">
      <c r="A1503">
        <v>5226</v>
      </c>
      <c r="B1503" t="s">
        <v>5915</v>
      </c>
      <c r="C1503" t="s">
        <v>5916</v>
      </c>
      <c r="D1503" t="s">
        <v>1643</v>
      </c>
      <c r="E1503" t="s">
        <v>1273</v>
      </c>
    </row>
    <row r="1504" spans="1:13" x14ac:dyDescent="0.25">
      <c r="A1504">
        <v>5227</v>
      </c>
      <c r="B1504" t="s">
        <v>5917</v>
      </c>
      <c r="C1504" t="s">
        <v>5918</v>
      </c>
      <c r="D1504" t="s">
        <v>1643</v>
      </c>
      <c r="E1504" t="s">
        <v>1273</v>
      </c>
    </row>
    <row r="1505" spans="1:13" x14ac:dyDescent="0.25">
      <c r="A1505">
        <v>5228</v>
      </c>
      <c r="B1505" t="s">
        <v>5919</v>
      </c>
      <c r="C1505" t="s">
        <v>5920</v>
      </c>
      <c r="D1505" t="s">
        <v>1643</v>
      </c>
      <c r="E1505" t="s">
        <v>1273</v>
      </c>
      <c r="F1505" t="s">
        <v>2376</v>
      </c>
      <c r="G1505" t="s">
        <v>2250</v>
      </c>
      <c r="K1505" t="s">
        <v>5921</v>
      </c>
      <c r="L1505" t="s">
        <v>1647</v>
      </c>
      <c r="M1505" t="s">
        <v>1634</v>
      </c>
    </row>
    <row r="1506" spans="1:13" x14ac:dyDescent="0.25">
      <c r="A1506">
        <v>5230</v>
      </c>
      <c r="B1506" t="s">
        <v>1415</v>
      </c>
      <c r="C1506" t="s">
        <v>5922</v>
      </c>
      <c r="D1506" t="s">
        <v>1643</v>
      </c>
      <c r="E1506" t="s">
        <v>1273</v>
      </c>
      <c r="F1506" t="s">
        <v>5923</v>
      </c>
      <c r="G1506" t="s">
        <v>5924</v>
      </c>
      <c r="K1506" t="s">
        <v>5925</v>
      </c>
      <c r="L1506" t="s">
        <v>1647</v>
      </c>
      <c r="M1506" t="s">
        <v>1634</v>
      </c>
    </row>
    <row r="1507" spans="1:13" x14ac:dyDescent="0.25">
      <c r="A1507">
        <v>5231</v>
      </c>
      <c r="B1507" t="s">
        <v>5926</v>
      </c>
      <c r="C1507" t="s">
        <v>5927</v>
      </c>
      <c r="D1507" t="s">
        <v>1643</v>
      </c>
      <c r="E1507" t="s">
        <v>1273</v>
      </c>
    </row>
    <row r="1508" spans="1:13" x14ac:dyDescent="0.25">
      <c r="A1508">
        <v>5232</v>
      </c>
      <c r="B1508" t="s">
        <v>5928</v>
      </c>
      <c r="C1508" t="s">
        <v>5929</v>
      </c>
      <c r="D1508" t="s">
        <v>1643</v>
      </c>
      <c r="E1508" t="s">
        <v>1273</v>
      </c>
    </row>
    <row r="1509" spans="1:13" x14ac:dyDescent="0.25">
      <c r="A1509">
        <v>81057</v>
      </c>
      <c r="B1509" t="s">
        <v>5930</v>
      </c>
      <c r="C1509" t="s">
        <v>5931</v>
      </c>
      <c r="D1509" t="s">
        <v>1643</v>
      </c>
      <c r="E1509" t="s">
        <v>1273</v>
      </c>
      <c r="F1509" t="s">
        <v>5932</v>
      </c>
      <c r="G1509" t="s">
        <v>5933</v>
      </c>
      <c r="K1509" t="s">
        <v>5934</v>
      </c>
      <c r="L1509" t="s">
        <v>1647</v>
      </c>
      <c r="M1509" t="s">
        <v>1634</v>
      </c>
    </row>
    <row r="1510" spans="1:13" x14ac:dyDescent="0.25">
      <c r="A1510">
        <v>91913</v>
      </c>
      <c r="B1510" t="s">
        <v>5935</v>
      </c>
      <c r="C1510" t="s">
        <v>5936</v>
      </c>
      <c r="D1510" t="s">
        <v>1643</v>
      </c>
      <c r="E1510" t="s">
        <v>1273</v>
      </c>
    </row>
    <row r="1511" spans="1:13" x14ac:dyDescent="0.25">
      <c r="A1511">
        <v>5233</v>
      </c>
      <c r="B1511" t="s">
        <v>5937</v>
      </c>
      <c r="C1511" t="s">
        <v>5938</v>
      </c>
      <c r="D1511" t="s">
        <v>1643</v>
      </c>
      <c r="E1511" t="s">
        <v>1273</v>
      </c>
    </row>
    <row r="1512" spans="1:13" x14ac:dyDescent="0.25">
      <c r="A1512">
        <v>4259</v>
      </c>
      <c r="B1512" t="s">
        <v>316</v>
      </c>
      <c r="C1512" t="s">
        <v>5939</v>
      </c>
      <c r="D1512" t="s">
        <v>1628</v>
      </c>
      <c r="E1512" t="s">
        <v>1273</v>
      </c>
      <c r="F1512" t="s">
        <v>5940</v>
      </c>
      <c r="G1512" t="s">
        <v>5941</v>
      </c>
      <c r="H1512">
        <v>6024556700</v>
      </c>
      <c r="J1512">
        <v>6022781693</v>
      </c>
      <c r="K1512" t="s">
        <v>5942</v>
      </c>
      <c r="L1512" t="s">
        <v>1668</v>
      </c>
      <c r="M1512" t="s">
        <v>1634</v>
      </c>
    </row>
    <row r="1513" spans="1:13" x14ac:dyDescent="0.25">
      <c r="A1513">
        <v>4259</v>
      </c>
      <c r="B1513" t="s">
        <v>316</v>
      </c>
      <c r="C1513" t="s">
        <v>5939</v>
      </c>
      <c r="D1513" t="s">
        <v>1628</v>
      </c>
      <c r="E1513" t="s">
        <v>1273</v>
      </c>
      <c r="F1513" t="s">
        <v>1931</v>
      </c>
      <c r="G1513" t="s">
        <v>4087</v>
      </c>
      <c r="H1513">
        <v>6024556990</v>
      </c>
      <c r="K1513" t="s">
        <v>5943</v>
      </c>
      <c r="L1513" t="s">
        <v>5944</v>
      </c>
      <c r="M1513" t="s">
        <v>1634</v>
      </c>
    </row>
    <row r="1514" spans="1:13" x14ac:dyDescent="0.25">
      <c r="A1514">
        <v>4259</v>
      </c>
      <c r="B1514" t="s">
        <v>316</v>
      </c>
      <c r="C1514" t="s">
        <v>5939</v>
      </c>
      <c r="D1514" t="s">
        <v>1628</v>
      </c>
      <c r="E1514" t="s">
        <v>1273</v>
      </c>
      <c r="F1514" t="s">
        <v>2009</v>
      </c>
      <c r="G1514" t="s">
        <v>5945</v>
      </c>
      <c r="H1514">
        <v>6024556742</v>
      </c>
      <c r="I1514">
        <v>10742</v>
      </c>
      <c r="K1514" t="s">
        <v>5946</v>
      </c>
      <c r="L1514" t="s">
        <v>5947</v>
      </c>
      <c r="M1514" t="s">
        <v>1640</v>
      </c>
    </row>
    <row r="1515" spans="1:13" x14ac:dyDescent="0.25">
      <c r="A1515">
        <v>4259</v>
      </c>
      <c r="B1515" t="s">
        <v>316</v>
      </c>
      <c r="C1515" t="s">
        <v>5939</v>
      </c>
      <c r="D1515" t="s">
        <v>1628</v>
      </c>
      <c r="E1515" t="s">
        <v>1273</v>
      </c>
      <c r="F1515" t="s">
        <v>5948</v>
      </c>
      <c r="G1515" t="s">
        <v>5949</v>
      </c>
      <c r="K1515" t="s">
        <v>5950</v>
      </c>
      <c r="L1515" t="s">
        <v>5951</v>
      </c>
      <c r="M1515" t="s">
        <v>1765</v>
      </c>
    </row>
    <row r="1516" spans="1:13" x14ac:dyDescent="0.25">
      <c r="A1516">
        <v>5234</v>
      </c>
      <c r="B1516" t="s">
        <v>597</v>
      </c>
      <c r="C1516" t="s">
        <v>5952</v>
      </c>
      <c r="D1516" t="s">
        <v>1643</v>
      </c>
      <c r="E1516" t="s">
        <v>1273</v>
      </c>
      <c r="F1516" t="s">
        <v>5953</v>
      </c>
      <c r="G1516" t="s">
        <v>5954</v>
      </c>
      <c r="K1516" t="s">
        <v>5955</v>
      </c>
      <c r="L1516" t="s">
        <v>1647</v>
      </c>
      <c r="M1516" t="s">
        <v>1634</v>
      </c>
    </row>
    <row r="1517" spans="1:13" x14ac:dyDescent="0.25">
      <c r="A1517">
        <v>5234</v>
      </c>
      <c r="B1517" t="s">
        <v>597</v>
      </c>
      <c r="C1517" t="s">
        <v>5952</v>
      </c>
      <c r="D1517" t="s">
        <v>1643</v>
      </c>
      <c r="E1517" t="s">
        <v>1273</v>
      </c>
      <c r="F1517" t="s">
        <v>4350</v>
      </c>
      <c r="G1517" t="s">
        <v>5956</v>
      </c>
      <c r="H1517">
        <v>6024556800</v>
      </c>
      <c r="K1517" t="s">
        <v>5957</v>
      </c>
      <c r="L1517" t="s">
        <v>1647</v>
      </c>
      <c r="M1517" t="s">
        <v>1634</v>
      </c>
    </row>
    <row r="1518" spans="1:13" x14ac:dyDescent="0.25">
      <c r="A1518">
        <v>5234</v>
      </c>
      <c r="B1518" t="s">
        <v>597</v>
      </c>
      <c r="C1518" t="s">
        <v>5952</v>
      </c>
      <c r="D1518" t="s">
        <v>1643</v>
      </c>
      <c r="E1518" t="s">
        <v>1273</v>
      </c>
      <c r="F1518" t="s">
        <v>2756</v>
      </c>
      <c r="G1518" t="s">
        <v>3224</v>
      </c>
      <c r="M1518" t="s">
        <v>1765</v>
      </c>
    </row>
    <row r="1519" spans="1:13" x14ac:dyDescent="0.25">
      <c r="A1519">
        <v>5235</v>
      </c>
      <c r="B1519" t="s">
        <v>602</v>
      </c>
      <c r="C1519" t="s">
        <v>5958</v>
      </c>
      <c r="D1519" t="s">
        <v>1643</v>
      </c>
      <c r="E1519" t="s">
        <v>1273</v>
      </c>
      <c r="F1519" t="s">
        <v>4632</v>
      </c>
      <c r="G1519" t="s">
        <v>3060</v>
      </c>
      <c r="H1519">
        <v>6024423200</v>
      </c>
      <c r="J1519">
        <v>6024423299</v>
      </c>
      <c r="K1519" t="s">
        <v>5959</v>
      </c>
      <c r="M1519" t="s">
        <v>1634</v>
      </c>
    </row>
    <row r="1520" spans="1:13" x14ac:dyDescent="0.25">
      <c r="A1520">
        <v>5235</v>
      </c>
      <c r="B1520" t="s">
        <v>602</v>
      </c>
      <c r="C1520" t="s">
        <v>5958</v>
      </c>
      <c r="D1520" t="s">
        <v>1643</v>
      </c>
      <c r="E1520" t="s">
        <v>1273</v>
      </c>
      <c r="F1520" t="s">
        <v>2204</v>
      </c>
      <c r="G1520" t="s">
        <v>3341</v>
      </c>
      <c r="H1520">
        <v>6024423200</v>
      </c>
      <c r="K1520" t="s">
        <v>5960</v>
      </c>
      <c r="M1520" t="s">
        <v>1765</v>
      </c>
    </row>
    <row r="1521" spans="1:13" x14ac:dyDescent="0.25">
      <c r="A1521">
        <v>5236</v>
      </c>
      <c r="B1521" t="s">
        <v>601</v>
      </c>
      <c r="C1521" t="s">
        <v>5961</v>
      </c>
      <c r="D1521" t="s">
        <v>1643</v>
      </c>
      <c r="E1521" t="s">
        <v>1273</v>
      </c>
      <c r="F1521" t="s">
        <v>5962</v>
      </c>
      <c r="G1521" t="s">
        <v>5963</v>
      </c>
      <c r="H1521">
        <v>6024422300</v>
      </c>
      <c r="J1521">
        <v>6024422399</v>
      </c>
      <c r="K1521" t="s">
        <v>5964</v>
      </c>
      <c r="M1521" t="s">
        <v>1634</v>
      </c>
    </row>
    <row r="1522" spans="1:13" x14ac:dyDescent="0.25">
      <c r="A1522">
        <v>5236</v>
      </c>
      <c r="B1522" t="s">
        <v>601</v>
      </c>
      <c r="C1522" t="s">
        <v>5961</v>
      </c>
      <c r="D1522" t="s">
        <v>1643</v>
      </c>
      <c r="E1522" t="s">
        <v>1273</v>
      </c>
      <c r="F1522" t="s">
        <v>5965</v>
      </c>
      <c r="G1522" t="s">
        <v>3299</v>
      </c>
      <c r="K1522" t="s">
        <v>5966</v>
      </c>
      <c r="L1522" t="s">
        <v>1647</v>
      </c>
      <c r="M1522" t="s">
        <v>1634</v>
      </c>
    </row>
    <row r="1523" spans="1:13" x14ac:dyDescent="0.25">
      <c r="A1523">
        <v>5236</v>
      </c>
      <c r="B1523" t="s">
        <v>601</v>
      </c>
      <c r="C1523" t="s">
        <v>5961</v>
      </c>
      <c r="D1523" t="s">
        <v>1643</v>
      </c>
      <c r="E1523" t="s">
        <v>1273</v>
      </c>
      <c r="F1523" t="s">
        <v>5948</v>
      </c>
      <c r="G1523" t="s">
        <v>5949</v>
      </c>
      <c r="H1523">
        <v>6024423003</v>
      </c>
      <c r="J1523">
        <v>6024556830</v>
      </c>
      <c r="K1523" t="s">
        <v>5950</v>
      </c>
      <c r="L1523" t="s">
        <v>5967</v>
      </c>
      <c r="M1523" t="s">
        <v>1634</v>
      </c>
    </row>
    <row r="1524" spans="1:13" x14ac:dyDescent="0.25">
      <c r="A1524">
        <v>5236</v>
      </c>
      <c r="B1524" t="s">
        <v>601</v>
      </c>
      <c r="C1524" t="s">
        <v>5961</v>
      </c>
      <c r="D1524" t="s">
        <v>1643</v>
      </c>
      <c r="E1524" t="s">
        <v>1273</v>
      </c>
      <c r="F1524" t="s">
        <v>2009</v>
      </c>
      <c r="G1524" t="s">
        <v>5945</v>
      </c>
      <c r="H1524">
        <v>6024556700</v>
      </c>
      <c r="K1524" t="s">
        <v>5946</v>
      </c>
      <c r="L1524" t="s">
        <v>1640</v>
      </c>
      <c r="M1524" t="s">
        <v>1640</v>
      </c>
    </row>
    <row r="1525" spans="1:13" x14ac:dyDescent="0.25">
      <c r="A1525">
        <v>5236</v>
      </c>
      <c r="B1525" t="s">
        <v>601</v>
      </c>
      <c r="C1525" t="s">
        <v>5961</v>
      </c>
      <c r="D1525" t="s">
        <v>1643</v>
      </c>
      <c r="E1525" t="s">
        <v>1273</v>
      </c>
      <c r="F1525" t="s">
        <v>2156</v>
      </c>
      <c r="G1525" t="s">
        <v>5968</v>
      </c>
      <c r="H1525">
        <v>6024422300</v>
      </c>
      <c r="K1525" t="s">
        <v>5969</v>
      </c>
      <c r="M1525" t="s">
        <v>1765</v>
      </c>
    </row>
    <row r="1526" spans="1:13" x14ac:dyDescent="0.25">
      <c r="A1526">
        <v>5237</v>
      </c>
      <c r="B1526" t="s">
        <v>590</v>
      </c>
      <c r="C1526" t="s">
        <v>5970</v>
      </c>
      <c r="D1526" t="s">
        <v>1643</v>
      </c>
      <c r="E1526" t="s">
        <v>1273</v>
      </c>
      <c r="F1526" t="s">
        <v>4443</v>
      </c>
      <c r="G1526" t="s">
        <v>5971</v>
      </c>
      <c r="K1526" t="s">
        <v>5972</v>
      </c>
      <c r="L1526" t="s">
        <v>1647</v>
      </c>
      <c r="M1526" t="s">
        <v>1634</v>
      </c>
    </row>
    <row r="1527" spans="1:13" x14ac:dyDescent="0.25">
      <c r="A1527">
        <v>5237</v>
      </c>
      <c r="B1527" t="s">
        <v>590</v>
      </c>
      <c r="C1527" t="s">
        <v>5970</v>
      </c>
      <c r="D1527" t="s">
        <v>1643</v>
      </c>
      <c r="E1527" t="s">
        <v>1273</v>
      </c>
      <c r="F1527" t="s">
        <v>5973</v>
      </c>
      <c r="G1527" t="s">
        <v>5974</v>
      </c>
      <c r="K1527" t="s">
        <v>5975</v>
      </c>
      <c r="L1527" t="s">
        <v>1647</v>
      </c>
      <c r="M1527" t="s">
        <v>1634</v>
      </c>
    </row>
    <row r="1528" spans="1:13" x14ac:dyDescent="0.25">
      <c r="A1528">
        <v>5237</v>
      </c>
      <c r="B1528" t="s">
        <v>590</v>
      </c>
      <c r="C1528" t="s">
        <v>5970</v>
      </c>
      <c r="D1528" t="s">
        <v>1643</v>
      </c>
      <c r="E1528" t="s">
        <v>1273</v>
      </c>
      <c r="F1528" t="s">
        <v>5976</v>
      </c>
      <c r="G1528" t="s">
        <v>5977</v>
      </c>
      <c r="H1528">
        <v>6024422400</v>
      </c>
      <c r="K1528" t="s">
        <v>5978</v>
      </c>
      <c r="L1528" t="s">
        <v>1647</v>
      </c>
      <c r="M1528" t="s">
        <v>1634</v>
      </c>
    </row>
    <row r="1529" spans="1:13" x14ac:dyDescent="0.25">
      <c r="A1529">
        <v>5237</v>
      </c>
      <c r="B1529" t="s">
        <v>590</v>
      </c>
      <c r="C1529" t="s">
        <v>5970</v>
      </c>
      <c r="D1529" t="s">
        <v>1643</v>
      </c>
      <c r="E1529" t="s">
        <v>1273</v>
      </c>
      <c r="F1529" t="s">
        <v>5979</v>
      </c>
      <c r="G1529" t="s">
        <v>5980</v>
      </c>
      <c r="H1529">
        <v>6024422400</v>
      </c>
      <c r="K1529" t="s">
        <v>5981</v>
      </c>
      <c r="M1529" t="s">
        <v>1765</v>
      </c>
    </row>
    <row r="1530" spans="1:13" x14ac:dyDescent="0.25">
      <c r="A1530">
        <v>5237</v>
      </c>
      <c r="B1530" t="s">
        <v>590</v>
      </c>
      <c r="C1530" t="s">
        <v>5970</v>
      </c>
      <c r="D1530" t="s">
        <v>1643</v>
      </c>
      <c r="E1530" t="s">
        <v>1273</v>
      </c>
      <c r="F1530" t="s">
        <v>5982</v>
      </c>
      <c r="G1530" t="s">
        <v>5983</v>
      </c>
      <c r="H1530">
        <v>6024422400</v>
      </c>
      <c r="L1530" t="s">
        <v>5368</v>
      </c>
      <c r="M1530" t="s">
        <v>1765</v>
      </c>
    </row>
    <row r="1531" spans="1:13" x14ac:dyDescent="0.25">
      <c r="A1531">
        <v>5238</v>
      </c>
      <c r="B1531" t="s">
        <v>584</v>
      </c>
      <c r="C1531" t="s">
        <v>5984</v>
      </c>
      <c r="D1531" t="s">
        <v>1643</v>
      </c>
      <c r="E1531" t="s">
        <v>1273</v>
      </c>
      <c r="F1531" t="s">
        <v>5985</v>
      </c>
      <c r="G1531" t="s">
        <v>3182</v>
      </c>
      <c r="H1531">
        <v>6024422500</v>
      </c>
      <c r="K1531" t="s">
        <v>5986</v>
      </c>
      <c r="L1531" t="s">
        <v>1647</v>
      </c>
      <c r="M1531" t="s">
        <v>1634</v>
      </c>
    </row>
    <row r="1532" spans="1:13" x14ac:dyDescent="0.25">
      <c r="A1532">
        <v>5238</v>
      </c>
      <c r="B1532" t="s">
        <v>584</v>
      </c>
      <c r="C1532" t="s">
        <v>5984</v>
      </c>
      <c r="D1532" t="s">
        <v>1643</v>
      </c>
      <c r="E1532" t="s">
        <v>1273</v>
      </c>
      <c r="F1532" t="s">
        <v>5987</v>
      </c>
      <c r="G1532" t="s">
        <v>5988</v>
      </c>
      <c r="H1532">
        <v>6024422510</v>
      </c>
      <c r="K1532" t="s">
        <v>5989</v>
      </c>
      <c r="M1532" t="s">
        <v>1765</v>
      </c>
    </row>
    <row r="1533" spans="1:13" x14ac:dyDescent="0.25">
      <c r="A1533">
        <v>5239</v>
      </c>
      <c r="B1533" t="s">
        <v>5990</v>
      </c>
      <c r="C1533" t="s">
        <v>5991</v>
      </c>
      <c r="D1533" t="s">
        <v>1643</v>
      </c>
      <c r="E1533" t="s">
        <v>1273</v>
      </c>
      <c r="F1533" t="s">
        <v>5992</v>
      </c>
      <c r="G1533" t="s">
        <v>5993</v>
      </c>
      <c r="K1533" t="s">
        <v>5994</v>
      </c>
      <c r="L1533" t="s">
        <v>1647</v>
      </c>
      <c r="M1533" t="s">
        <v>1634</v>
      </c>
    </row>
    <row r="1534" spans="1:13" x14ac:dyDescent="0.25">
      <c r="A1534">
        <v>5239</v>
      </c>
      <c r="B1534" t="s">
        <v>5990</v>
      </c>
      <c r="C1534" t="s">
        <v>5991</v>
      </c>
      <c r="D1534" t="s">
        <v>1643</v>
      </c>
      <c r="E1534" t="s">
        <v>1273</v>
      </c>
      <c r="F1534" t="s">
        <v>5995</v>
      </c>
      <c r="G1534" t="s">
        <v>5996</v>
      </c>
      <c r="K1534" t="s">
        <v>5997</v>
      </c>
      <c r="M1534" t="s">
        <v>1634</v>
      </c>
    </row>
    <row r="1535" spans="1:13" x14ac:dyDescent="0.25">
      <c r="A1535">
        <v>5239</v>
      </c>
      <c r="B1535" t="s">
        <v>5990</v>
      </c>
      <c r="C1535" t="s">
        <v>5991</v>
      </c>
      <c r="D1535" t="s">
        <v>1643</v>
      </c>
      <c r="E1535" t="s">
        <v>1273</v>
      </c>
      <c r="F1535" t="s">
        <v>2699</v>
      </c>
      <c r="G1535" t="s">
        <v>5998</v>
      </c>
      <c r="H1535">
        <v>6024422600</v>
      </c>
      <c r="K1535" t="s">
        <v>5999</v>
      </c>
      <c r="L1535" t="s">
        <v>1647</v>
      </c>
      <c r="M1535" t="s">
        <v>1634</v>
      </c>
    </row>
    <row r="1536" spans="1:13" x14ac:dyDescent="0.25">
      <c r="A1536">
        <v>5240</v>
      </c>
      <c r="B1536" t="s">
        <v>1425</v>
      </c>
      <c r="C1536" t="s">
        <v>6000</v>
      </c>
      <c r="D1536" t="s">
        <v>1643</v>
      </c>
      <c r="E1536" t="s">
        <v>1273</v>
      </c>
    </row>
    <row r="1537" spans="1:13" x14ac:dyDescent="0.25">
      <c r="A1537">
        <v>5241</v>
      </c>
      <c r="B1537" t="s">
        <v>6001</v>
      </c>
      <c r="C1537" t="s">
        <v>6002</v>
      </c>
      <c r="D1537" t="s">
        <v>1643</v>
      </c>
      <c r="E1537" t="s">
        <v>1273</v>
      </c>
      <c r="F1537" t="s">
        <v>6003</v>
      </c>
      <c r="G1537" t="s">
        <v>6004</v>
      </c>
      <c r="H1537">
        <v>6022333321</v>
      </c>
      <c r="J1537">
        <v>6022332128</v>
      </c>
      <c r="K1537" t="s">
        <v>6005</v>
      </c>
      <c r="L1537" t="s">
        <v>1647</v>
      </c>
      <c r="M1537" t="s">
        <v>1634</v>
      </c>
    </row>
    <row r="1538" spans="1:13" x14ac:dyDescent="0.25">
      <c r="A1538">
        <v>5241</v>
      </c>
      <c r="B1538" t="s">
        <v>6001</v>
      </c>
      <c r="C1538" t="s">
        <v>6002</v>
      </c>
      <c r="D1538" t="s">
        <v>1643</v>
      </c>
      <c r="E1538" t="s">
        <v>1273</v>
      </c>
      <c r="F1538" t="s">
        <v>2539</v>
      </c>
      <c r="G1538" t="s">
        <v>6006</v>
      </c>
      <c r="H1538">
        <v>6022333321</v>
      </c>
      <c r="K1538" t="s">
        <v>6007</v>
      </c>
      <c r="M1538" t="s">
        <v>1765</v>
      </c>
    </row>
    <row r="1539" spans="1:13" x14ac:dyDescent="0.25">
      <c r="A1539">
        <v>5243</v>
      </c>
      <c r="B1539" t="s">
        <v>592</v>
      </c>
      <c r="C1539" t="s">
        <v>6008</v>
      </c>
      <c r="D1539" t="s">
        <v>1643</v>
      </c>
      <c r="E1539" t="s">
        <v>1273</v>
      </c>
      <c r="F1539" t="s">
        <v>6009</v>
      </c>
      <c r="G1539" t="s">
        <v>3060</v>
      </c>
      <c r="H1539">
        <v>5202905062</v>
      </c>
      <c r="K1539" t="s">
        <v>6010</v>
      </c>
      <c r="L1539" t="s">
        <v>1647</v>
      </c>
      <c r="M1539" t="s">
        <v>1634</v>
      </c>
    </row>
    <row r="1540" spans="1:13" x14ac:dyDescent="0.25">
      <c r="A1540">
        <v>5243</v>
      </c>
      <c r="B1540" t="s">
        <v>592</v>
      </c>
      <c r="C1540" t="s">
        <v>6008</v>
      </c>
      <c r="D1540" t="s">
        <v>1643</v>
      </c>
      <c r="E1540" t="s">
        <v>1273</v>
      </c>
      <c r="F1540" t="s">
        <v>3303</v>
      </c>
      <c r="G1540" t="s">
        <v>6011</v>
      </c>
      <c r="H1540">
        <v>6024556910</v>
      </c>
      <c r="M1540" t="s">
        <v>1765</v>
      </c>
    </row>
    <row r="1541" spans="1:13" x14ac:dyDescent="0.25">
      <c r="A1541">
        <v>78934</v>
      </c>
      <c r="B1541" t="s">
        <v>6012</v>
      </c>
      <c r="C1541" t="s">
        <v>6013</v>
      </c>
      <c r="D1541" t="s">
        <v>1643</v>
      </c>
      <c r="E1541" t="s">
        <v>1273</v>
      </c>
      <c r="F1541" t="s">
        <v>6014</v>
      </c>
      <c r="G1541" t="s">
        <v>6015</v>
      </c>
      <c r="K1541" t="s">
        <v>6016</v>
      </c>
      <c r="L1541" t="s">
        <v>1647</v>
      </c>
      <c r="M1541" t="s">
        <v>1634</v>
      </c>
    </row>
    <row r="1542" spans="1:13" x14ac:dyDescent="0.25">
      <c r="A1542">
        <v>78934</v>
      </c>
      <c r="B1542" t="s">
        <v>6012</v>
      </c>
      <c r="C1542" t="s">
        <v>6013</v>
      </c>
      <c r="D1542" t="s">
        <v>1643</v>
      </c>
      <c r="E1542" t="s">
        <v>1273</v>
      </c>
      <c r="F1542" t="s">
        <v>5948</v>
      </c>
      <c r="G1542" t="s">
        <v>5949</v>
      </c>
      <c r="H1542">
        <v>6024423003</v>
      </c>
      <c r="J1542">
        <v>6024556830</v>
      </c>
      <c r="K1542" t="s">
        <v>5950</v>
      </c>
      <c r="L1542" t="s">
        <v>5967</v>
      </c>
      <c r="M1542" t="s">
        <v>1634</v>
      </c>
    </row>
    <row r="1543" spans="1:13" x14ac:dyDescent="0.25">
      <c r="A1543">
        <v>78934</v>
      </c>
      <c r="B1543" t="s">
        <v>6012</v>
      </c>
      <c r="C1543" t="s">
        <v>6013</v>
      </c>
      <c r="D1543" t="s">
        <v>1643</v>
      </c>
      <c r="E1543" t="s">
        <v>1273</v>
      </c>
      <c r="F1543" t="s">
        <v>6017</v>
      </c>
      <c r="G1543" t="s">
        <v>6018</v>
      </c>
      <c r="K1543" t="s">
        <v>6019</v>
      </c>
      <c r="L1543" t="s">
        <v>1647</v>
      </c>
      <c r="M1543" t="s">
        <v>1634</v>
      </c>
    </row>
    <row r="1544" spans="1:13" x14ac:dyDescent="0.25">
      <c r="A1544">
        <v>78934</v>
      </c>
      <c r="B1544" t="s">
        <v>6012</v>
      </c>
      <c r="C1544" t="s">
        <v>6013</v>
      </c>
      <c r="D1544" t="s">
        <v>1643</v>
      </c>
      <c r="E1544" t="s">
        <v>1273</v>
      </c>
      <c r="F1544" t="s">
        <v>5846</v>
      </c>
      <c r="G1544" t="s">
        <v>5847</v>
      </c>
      <c r="K1544" t="s">
        <v>6020</v>
      </c>
      <c r="L1544" t="s">
        <v>1721</v>
      </c>
      <c r="M1544" t="s">
        <v>1634</v>
      </c>
    </row>
    <row r="1545" spans="1:13" x14ac:dyDescent="0.25">
      <c r="A1545">
        <v>78934</v>
      </c>
      <c r="B1545" t="s">
        <v>6012</v>
      </c>
      <c r="C1545" t="s">
        <v>6013</v>
      </c>
      <c r="D1545" t="s">
        <v>1643</v>
      </c>
      <c r="E1545" t="s">
        <v>1273</v>
      </c>
      <c r="F1545" t="s">
        <v>2009</v>
      </c>
      <c r="G1545" t="s">
        <v>5945</v>
      </c>
      <c r="H1545">
        <v>6024556700</v>
      </c>
      <c r="K1545" t="s">
        <v>5946</v>
      </c>
      <c r="L1545" t="s">
        <v>1640</v>
      </c>
      <c r="M1545" t="s">
        <v>1640</v>
      </c>
    </row>
    <row r="1546" spans="1:13" x14ac:dyDescent="0.25">
      <c r="A1546">
        <v>78934</v>
      </c>
      <c r="B1546" t="s">
        <v>6012</v>
      </c>
      <c r="C1546" t="s">
        <v>6013</v>
      </c>
      <c r="D1546" t="s">
        <v>1643</v>
      </c>
      <c r="E1546" t="s">
        <v>1273</v>
      </c>
      <c r="F1546" t="s">
        <v>6021</v>
      </c>
      <c r="G1546" t="s">
        <v>6022</v>
      </c>
      <c r="H1546">
        <v>6024422700</v>
      </c>
      <c r="K1546" t="s">
        <v>6023</v>
      </c>
      <c r="M1546" t="s">
        <v>1765</v>
      </c>
    </row>
    <row r="1547" spans="1:13" x14ac:dyDescent="0.25">
      <c r="A1547">
        <v>79821</v>
      </c>
      <c r="B1547" t="s">
        <v>6024</v>
      </c>
      <c r="C1547" t="s">
        <v>6025</v>
      </c>
      <c r="D1547" t="s">
        <v>1643</v>
      </c>
      <c r="E1547" t="s">
        <v>1273</v>
      </c>
      <c r="F1547" t="s">
        <v>2610</v>
      </c>
      <c r="G1547" t="s">
        <v>6026</v>
      </c>
      <c r="H1547">
        <v>6024423100</v>
      </c>
      <c r="K1547" t="s">
        <v>6027</v>
      </c>
      <c r="M1547" t="s">
        <v>1634</v>
      </c>
    </row>
    <row r="1548" spans="1:13" x14ac:dyDescent="0.25">
      <c r="A1548">
        <v>79821</v>
      </c>
      <c r="B1548" t="s">
        <v>6024</v>
      </c>
      <c r="C1548" t="s">
        <v>6025</v>
      </c>
      <c r="D1548" t="s">
        <v>1643</v>
      </c>
      <c r="E1548" t="s">
        <v>1273</v>
      </c>
      <c r="F1548" t="s">
        <v>6028</v>
      </c>
      <c r="G1548" t="s">
        <v>3299</v>
      </c>
      <c r="H1548">
        <v>6024423100</v>
      </c>
      <c r="J1548">
        <v>6024423199</v>
      </c>
      <c r="K1548" t="s">
        <v>6029</v>
      </c>
      <c r="L1548" t="s">
        <v>6030</v>
      </c>
      <c r="M1548" t="s">
        <v>1640</v>
      </c>
    </row>
    <row r="1549" spans="1:13" x14ac:dyDescent="0.25">
      <c r="A1549">
        <v>79821</v>
      </c>
      <c r="B1549" t="s">
        <v>6024</v>
      </c>
      <c r="C1549" t="s">
        <v>6025</v>
      </c>
      <c r="D1549" t="s">
        <v>1643</v>
      </c>
      <c r="E1549" t="s">
        <v>1273</v>
      </c>
      <c r="F1549" t="s">
        <v>5940</v>
      </c>
      <c r="G1549" t="s">
        <v>5941</v>
      </c>
      <c r="H1549">
        <v>6024556717</v>
      </c>
      <c r="K1549" t="s">
        <v>5942</v>
      </c>
      <c r="L1549" t="s">
        <v>2584</v>
      </c>
      <c r="M1549" t="s">
        <v>1640</v>
      </c>
    </row>
    <row r="1550" spans="1:13" x14ac:dyDescent="0.25">
      <c r="A1550">
        <v>90479</v>
      </c>
      <c r="B1550" t="s">
        <v>6031</v>
      </c>
      <c r="C1550" t="s">
        <v>6032</v>
      </c>
      <c r="D1550" t="s">
        <v>1643</v>
      </c>
      <c r="E1550" t="s">
        <v>1273</v>
      </c>
    </row>
    <row r="1551" spans="1:13" x14ac:dyDescent="0.25">
      <c r="A1551">
        <v>4260</v>
      </c>
      <c r="B1551" t="s">
        <v>611</v>
      </c>
      <c r="C1551" t="s">
        <v>6033</v>
      </c>
      <c r="D1551" t="s">
        <v>1628</v>
      </c>
      <c r="E1551" t="s">
        <v>1273</v>
      </c>
      <c r="F1551" t="s">
        <v>3303</v>
      </c>
      <c r="G1551" t="s">
        <v>6034</v>
      </c>
      <c r="H1551">
        <v>6023472602</v>
      </c>
      <c r="K1551" t="s">
        <v>6035</v>
      </c>
      <c r="L1551" t="s">
        <v>1668</v>
      </c>
      <c r="M1551" t="s">
        <v>1634</v>
      </c>
    </row>
    <row r="1552" spans="1:13" x14ac:dyDescent="0.25">
      <c r="A1552">
        <v>4260</v>
      </c>
      <c r="B1552" t="s">
        <v>611</v>
      </c>
      <c r="C1552" t="s">
        <v>6033</v>
      </c>
      <c r="D1552" t="s">
        <v>1628</v>
      </c>
      <c r="E1552" t="s">
        <v>1273</v>
      </c>
      <c r="F1552" t="s">
        <v>6036</v>
      </c>
      <c r="G1552" t="s">
        <v>1840</v>
      </c>
      <c r="H1552">
        <v>6023472615</v>
      </c>
      <c r="K1552" t="s">
        <v>6037</v>
      </c>
      <c r="L1552" t="s">
        <v>2358</v>
      </c>
      <c r="M1552" t="s">
        <v>1640</v>
      </c>
    </row>
    <row r="1553" spans="1:13" x14ac:dyDescent="0.25">
      <c r="A1553">
        <v>4260</v>
      </c>
      <c r="B1553" t="s">
        <v>611</v>
      </c>
      <c r="C1553" t="s">
        <v>6033</v>
      </c>
      <c r="D1553" t="s">
        <v>1628</v>
      </c>
      <c r="E1553" t="s">
        <v>1273</v>
      </c>
      <c r="F1553" t="s">
        <v>1707</v>
      </c>
      <c r="G1553" t="s">
        <v>2818</v>
      </c>
      <c r="H1553">
        <v>6023473506</v>
      </c>
      <c r="K1553" t="s">
        <v>6038</v>
      </c>
      <c r="L1553" t="s">
        <v>2358</v>
      </c>
      <c r="M1553" t="s">
        <v>1640</v>
      </c>
    </row>
    <row r="1554" spans="1:13" x14ac:dyDescent="0.25">
      <c r="A1554">
        <v>4260</v>
      </c>
      <c r="B1554" t="s">
        <v>611</v>
      </c>
      <c r="C1554" t="s">
        <v>6033</v>
      </c>
      <c r="D1554" t="s">
        <v>1628</v>
      </c>
      <c r="E1554" t="s">
        <v>1273</v>
      </c>
      <c r="F1554" t="s">
        <v>6039</v>
      </c>
      <c r="G1554" t="s">
        <v>6040</v>
      </c>
      <c r="H1554">
        <v>6023473524</v>
      </c>
      <c r="K1554" t="s">
        <v>6041</v>
      </c>
      <c r="L1554" t="s">
        <v>5131</v>
      </c>
      <c r="M1554" t="s">
        <v>1640</v>
      </c>
    </row>
    <row r="1555" spans="1:13" x14ac:dyDescent="0.25">
      <c r="A1555">
        <v>4260</v>
      </c>
      <c r="B1555" t="s">
        <v>611</v>
      </c>
      <c r="C1555" t="s">
        <v>6033</v>
      </c>
      <c r="D1555" t="s">
        <v>1628</v>
      </c>
      <c r="E1555" t="s">
        <v>1273</v>
      </c>
      <c r="F1555" t="s">
        <v>6042</v>
      </c>
      <c r="G1555" t="s">
        <v>6043</v>
      </c>
      <c r="H1555">
        <v>6023473522</v>
      </c>
      <c r="K1555" t="s">
        <v>6044</v>
      </c>
      <c r="L1555" t="s">
        <v>4466</v>
      </c>
      <c r="M1555" t="s">
        <v>1640</v>
      </c>
    </row>
    <row r="1556" spans="1:13" x14ac:dyDescent="0.25">
      <c r="A1556">
        <v>4260</v>
      </c>
      <c r="B1556" t="s">
        <v>611</v>
      </c>
      <c r="C1556" t="s">
        <v>6033</v>
      </c>
      <c r="D1556" t="s">
        <v>1628</v>
      </c>
      <c r="E1556" t="s">
        <v>1273</v>
      </c>
      <c r="F1556" t="s">
        <v>6045</v>
      </c>
      <c r="G1556" t="s">
        <v>2262</v>
      </c>
      <c r="H1556">
        <v>6023473522</v>
      </c>
      <c r="K1556" t="s">
        <v>6046</v>
      </c>
      <c r="L1556" t="s">
        <v>6047</v>
      </c>
      <c r="M1556" t="s">
        <v>1640</v>
      </c>
    </row>
    <row r="1557" spans="1:13" x14ac:dyDescent="0.25">
      <c r="A1557">
        <v>5244</v>
      </c>
      <c r="B1557" t="s">
        <v>6048</v>
      </c>
      <c r="C1557" t="s">
        <v>6049</v>
      </c>
      <c r="D1557" t="s">
        <v>1643</v>
      </c>
      <c r="E1557" t="s">
        <v>1273</v>
      </c>
      <c r="F1557" t="s">
        <v>2355</v>
      </c>
      <c r="G1557" t="s">
        <v>6050</v>
      </c>
      <c r="H1557">
        <v>6028965000</v>
      </c>
      <c r="J1557">
        <v>6028965020</v>
      </c>
      <c r="K1557" t="s">
        <v>6051</v>
      </c>
      <c r="L1557" t="s">
        <v>1647</v>
      </c>
      <c r="M1557" t="s">
        <v>1634</v>
      </c>
    </row>
    <row r="1558" spans="1:13" x14ac:dyDescent="0.25">
      <c r="A1558">
        <v>5245</v>
      </c>
      <c r="B1558" t="s">
        <v>1410</v>
      </c>
      <c r="C1558" t="s">
        <v>6052</v>
      </c>
      <c r="D1558" t="s">
        <v>1643</v>
      </c>
      <c r="E1558" t="s">
        <v>1273</v>
      </c>
      <c r="F1558" t="s">
        <v>5432</v>
      </c>
      <c r="G1558" t="s">
        <v>6053</v>
      </c>
      <c r="H1558">
        <v>6023472000</v>
      </c>
      <c r="J1558">
        <v>6023472020</v>
      </c>
      <c r="K1558" t="s">
        <v>6054</v>
      </c>
      <c r="L1558" t="s">
        <v>1647</v>
      </c>
      <c r="M1558" t="s">
        <v>1634</v>
      </c>
    </row>
    <row r="1559" spans="1:13" x14ac:dyDescent="0.25">
      <c r="A1559">
        <v>5246</v>
      </c>
      <c r="B1559" t="s">
        <v>6055</v>
      </c>
      <c r="C1559" t="s">
        <v>6056</v>
      </c>
      <c r="D1559" t="s">
        <v>1643</v>
      </c>
      <c r="E1559" t="s">
        <v>1273</v>
      </c>
      <c r="F1559" t="s">
        <v>3648</v>
      </c>
      <c r="G1559" t="s">
        <v>6057</v>
      </c>
      <c r="L1559" t="s">
        <v>1647</v>
      </c>
      <c r="M1559" t="s">
        <v>1634</v>
      </c>
    </row>
    <row r="1560" spans="1:13" x14ac:dyDescent="0.25">
      <c r="A1560">
        <v>5247</v>
      </c>
      <c r="B1560" t="s">
        <v>1329</v>
      </c>
      <c r="C1560" t="s">
        <v>6058</v>
      </c>
      <c r="D1560" t="s">
        <v>1643</v>
      </c>
      <c r="E1560" t="s">
        <v>1273</v>
      </c>
      <c r="F1560" t="s">
        <v>6059</v>
      </c>
      <c r="G1560" t="s">
        <v>6060</v>
      </c>
      <c r="H1560">
        <v>6023472100</v>
      </c>
      <c r="J1560">
        <v>6023472120</v>
      </c>
      <c r="K1560" t="s">
        <v>6061</v>
      </c>
      <c r="L1560" t="s">
        <v>1647</v>
      </c>
      <c r="M1560" t="s">
        <v>1634</v>
      </c>
    </row>
    <row r="1561" spans="1:13" x14ac:dyDescent="0.25">
      <c r="A1561">
        <v>5248</v>
      </c>
      <c r="B1561" t="s">
        <v>4688</v>
      </c>
      <c r="C1561" t="s">
        <v>6062</v>
      </c>
      <c r="D1561" t="s">
        <v>1643</v>
      </c>
      <c r="E1561" t="s">
        <v>1273</v>
      </c>
      <c r="F1561" t="s">
        <v>1832</v>
      </c>
      <c r="G1561" t="s">
        <v>6063</v>
      </c>
      <c r="H1561">
        <v>6028965300</v>
      </c>
      <c r="J1561">
        <v>6028965320</v>
      </c>
      <c r="K1561" t="s">
        <v>6064</v>
      </c>
      <c r="M1561" t="s">
        <v>1634</v>
      </c>
    </row>
    <row r="1562" spans="1:13" x14ac:dyDescent="0.25">
      <c r="A1562">
        <v>5249</v>
      </c>
      <c r="B1562" t="s">
        <v>6065</v>
      </c>
      <c r="C1562" t="s">
        <v>6066</v>
      </c>
      <c r="D1562" t="s">
        <v>1643</v>
      </c>
      <c r="E1562" t="s">
        <v>1273</v>
      </c>
      <c r="F1562" t="s">
        <v>2348</v>
      </c>
      <c r="G1562" t="s">
        <v>4068</v>
      </c>
      <c r="H1562">
        <v>6028965400</v>
      </c>
      <c r="J1562">
        <v>6028965420</v>
      </c>
      <c r="K1562" t="s">
        <v>6067</v>
      </c>
      <c r="M1562" t="s">
        <v>1634</v>
      </c>
    </row>
    <row r="1563" spans="1:13" x14ac:dyDescent="0.25">
      <c r="A1563">
        <v>5249</v>
      </c>
      <c r="B1563" t="s">
        <v>6065</v>
      </c>
      <c r="C1563" t="s">
        <v>6066</v>
      </c>
      <c r="D1563" t="s">
        <v>1643</v>
      </c>
      <c r="E1563" t="s">
        <v>1273</v>
      </c>
      <c r="F1563" t="s">
        <v>4172</v>
      </c>
      <c r="G1563" t="s">
        <v>6068</v>
      </c>
      <c r="H1563">
        <v>6028965400</v>
      </c>
      <c r="J1563">
        <v>6028965420</v>
      </c>
      <c r="K1563" t="s">
        <v>6069</v>
      </c>
      <c r="L1563" t="s">
        <v>1647</v>
      </c>
      <c r="M1563" t="s">
        <v>1634</v>
      </c>
    </row>
    <row r="1564" spans="1:13" x14ac:dyDescent="0.25">
      <c r="A1564">
        <v>5250</v>
      </c>
      <c r="B1564" t="s">
        <v>6070</v>
      </c>
      <c r="C1564" t="s">
        <v>6071</v>
      </c>
      <c r="D1564" t="s">
        <v>1643</v>
      </c>
      <c r="E1564" t="s">
        <v>1273</v>
      </c>
      <c r="F1564" t="s">
        <v>1723</v>
      </c>
      <c r="G1564" t="s">
        <v>2202</v>
      </c>
      <c r="H1564">
        <v>6028965500</v>
      </c>
      <c r="J1564">
        <v>6028965520</v>
      </c>
      <c r="K1564" t="s">
        <v>6072</v>
      </c>
      <c r="L1564" t="s">
        <v>1647</v>
      </c>
      <c r="M1564" t="s">
        <v>1634</v>
      </c>
    </row>
    <row r="1565" spans="1:13" x14ac:dyDescent="0.25">
      <c r="A1565">
        <v>5251</v>
      </c>
      <c r="B1565" t="s">
        <v>1337</v>
      </c>
      <c r="C1565" t="s">
        <v>6073</v>
      </c>
      <c r="D1565" t="s">
        <v>1643</v>
      </c>
      <c r="E1565" t="s">
        <v>1273</v>
      </c>
      <c r="F1565" t="s">
        <v>6074</v>
      </c>
      <c r="G1565" t="s">
        <v>6075</v>
      </c>
      <c r="H1565">
        <v>6023474000</v>
      </c>
      <c r="K1565" t="s">
        <v>6076</v>
      </c>
      <c r="L1565" t="s">
        <v>6077</v>
      </c>
      <c r="M1565" t="s">
        <v>1634</v>
      </c>
    </row>
    <row r="1566" spans="1:13" x14ac:dyDescent="0.25">
      <c r="A1566">
        <v>5251</v>
      </c>
      <c r="B1566" t="s">
        <v>1337</v>
      </c>
      <c r="C1566" t="s">
        <v>6073</v>
      </c>
      <c r="D1566" t="s">
        <v>1643</v>
      </c>
      <c r="E1566" t="s">
        <v>1273</v>
      </c>
      <c r="F1566" t="s">
        <v>6078</v>
      </c>
      <c r="G1566" t="s">
        <v>6079</v>
      </c>
      <c r="L1566" t="s">
        <v>1647</v>
      </c>
      <c r="M1566" t="s">
        <v>1634</v>
      </c>
    </row>
    <row r="1567" spans="1:13" x14ac:dyDescent="0.25">
      <c r="A1567">
        <v>5252</v>
      </c>
      <c r="B1567" t="s">
        <v>6080</v>
      </c>
      <c r="C1567" t="s">
        <v>6081</v>
      </c>
      <c r="D1567" t="s">
        <v>1643</v>
      </c>
      <c r="E1567" t="s">
        <v>1273</v>
      </c>
      <c r="F1567" t="s">
        <v>2222</v>
      </c>
      <c r="G1567" t="s">
        <v>6082</v>
      </c>
      <c r="H1567">
        <v>6028965600</v>
      </c>
      <c r="J1567">
        <v>6028965620</v>
      </c>
      <c r="K1567" t="s">
        <v>6083</v>
      </c>
      <c r="M1567" t="s">
        <v>1634</v>
      </c>
    </row>
    <row r="1568" spans="1:13" x14ac:dyDescent="0.25">
      <c r="A1568">
        <v>5252</v>
      </c>
      <c r="B1568" t="s">
        <v>6080</v>
      </c>
      <c r="C1568" t="s">
        <v>6081</v>
      </c>
      <c r="D1568" t="s">
        <v>1643</v>
      </c>
      <c r="E1568" t="s">
        <v>1273</v>
      </c>
      <c r="F1568" t="s">
        <v>6084</v>
      </c>
      <c r="G1568" t="s">
        <v>3911</v>
      </c>
      <c r="L1568" t="s">
        <v>1647</v>
      </c>
      <c r="M1568" t="s">
        <v>1634</v>
      </c>
    </row>
    <row r="1569" spans="1:13" x14ac:dyDescent="0.25">
      <c r="A1569">
        <v>5253</v>
      </c>
      <c r="B1569" t="s">
        <v>6085</v>
      </c>
      <c r="C1569" t="s">
        <v>6086</v>
      </c>
      <c r="D1569" t="s">
        <v>1643</v>
      </c>
      <c r="E1569" t="s">
        <v>1273</v>
      </c>
      <c r="F1569" t="s">
        <v>6087</v>
      </c>
      <c r="G1569" t="s">
        <v>6088</v>
      </c>
      <c r="H1569">
        <v>6028965700</v>
      </c>
      <c r="J1569">
        <v>6028965720</v>
      </c>
      <c r="K1569" t="s">
        <v>6089</v>
      </c>
      <c r="M1569" t="s">
        <v>1634</v>
      </c>
    </row>
    <row r="1570" spans="1:13" x14ac:dyDescent="0.25">
      <c r="A1570">
        <v>5253</v>
      </c>
      <c r="B1570" t="s">
        <v>6085</v>
      </c>
      <c r="C1570" t="s">
        <v>6086</v>
      </c>
      <c r="D1570" t="s">
        <v>1643</v>
      </c>
      <c r="E1570" t="s">
        <v>1273</v>
      </c>
      <c r="F1570" t="s">
        <v>4483</v>
      </c>
      <c r="G1570" t="s">
        <v>6090</v>
      </c>
      <c r="L1570" t="s">
        <v>1647</v>
      </c>
      <c r="M1570" t="s">
        <v>1634</v>
      </c>
    </row>
    <row r="1571" spans="1:13" x14ac:dyDescent="0.25">
      <c r="A1571">
        <v>5254</v>
      </c>
      <c r="B1571" t="s">
        <v>6091</v>
      </c>
      <c r="C1571" t="s">
        <v>6092</v>
      </c>
      <c r="D1571" t="s">
        <v>1643</v>
      </c>
      <c r="E1571" t="s">
        <v>1273</v>
      </c>
      <c r="F1571" t="s">
        <v>5828</v>
      </c>
      <c r="G1571" t="s">
        <v>6093</v>
      </c>
      <c r="H1571">
        <v>6028965800</v>
      </c>
      <c r="J1571">
        <v>6028965820</v>
      </c>
      <c r="K1571" t="s">
        <v>6094</v>
      </c>
      <c r="M1571" t="s">
        <v>1634</v>
      </c>
    </row>
    <row r="1572" spans="1:13" x14ac:dyDescent="0.25">
      <c r="A1572">
        <v>5254</v>
      </c>
      <c r="B1572" t="s">
        <v>6091</v>
      </c>
      <c r="C1572" t="s">
        <v>6092</v>
      </c>
      <c r="D1572" t="s">
        <v>1643</v>
      </c>
      <c r="E1572" t="s">
        <v>1273</v>
      </c>
      <c r="F1572" t="s">
        <v>3387</v>
      </c>
      <c r="G1572" t="s">
        <v>6095</v>
      </c>
      <c r="L1572" t="s">
        <v>1647</v>
      </c>
      <c r="M1572" t="s">
        <v>1634</v>
      </c>
    </row>
    <row r="1573" spans="1:13" x14ac:dyDescent="0.25">
      <c r="A1573">
        <v>5255</v>
      </c>
      <c r="B1573" t="s">
        <v>6096</v>
      </c>
      <c r="C1573" t="s">
        <v>6097</v>
      </c>
      <c r="D1573" t="s">
        <v>1643</v>
      </c>
      <c r="E1573" t="s">
        <v>1273</v>
      </c>
      <c r="F1573" t="s">
        <v>5091</v>
      </c>
      <c r="G1573" t="s">
        <v>6098</v>
      </c>
      <c r="H1573">
        <v>6028965900</v>
      </c>
      <c r="J1573">
        <v>6028965920</v>
      </c>
      <c r="K1573" t="s">
        <v>6099</v>
      </c>
      <c r="L1573" t="s">
        <v>1647</v>
      </c>
      <c r="M1573" t="s">
        <v>1634</v>
      </c>
    </row>
    <row r="1574" spans="1:13" x14ac:dyDescent="0.25">
      <c r="A1574">
        <v>5255</v>
      </c>
      <c r="B1574" t="s">
        <v>6096</v>
      </c>
      <c r="C1574" t="s">
        <v>6097</v>
      </c>
      <c r="D1574" t="s">
        <v>1643</v>
      </c>
      <c r="E1574" t="s">
        <v>1273</v>
      </c>
      <c r="F1574" t="s">
        <v>6100</v>
      </c>
      <c r="G1574" t="s">
        <v>6101</v>
      </c>
      <c r="H1574">
        <v>6023473001</v>
      </c>
      <c r="K1574" t="s">
        <v>6102</v>
      </c>
      <c r="L1574" t="s">
        <v>2446</v>
      </c>
      <c r="M1574" t="s">
        <v>1640</v>
      </c>
    </row>
    <row r="1575" spans="1:13" x14ac:dyDescent="0.25">
      <c r="A1575">
        <v>5256</v>
      </c>
      <c r="B1575" t="s">
        <v>6103</v>
      </c>
      <c r="C1575" t="s">
        <v>6104</v>
      </c>
      <c r="D1575" t="s">
        <v>1643</v>
      </c>
      <c r="E1575" t="s">
        <v>1273</v>
      </c>
      <c r="F1575" t="s">
        <v>6078</v>
      </c>
      <c r="G1575" t="s">
        <v>6079</v>
      </c>
      <c r="H1575">
        <v>6023472200</v>
      </c>
      <c r="J1575">
        <v>6023472220</v>
      </c>
      <c r="K1575" t="s">
        <v>6105</v>
      </c>
      <c r="M1575" t="s">
        <v>1634</v>
      </c>
    </row>
    <row r="1576" spans="1:13" x14ac:dyDescent="0.25">
      <c r="A1576">
        <v>5256</v>
      </c>
      <c r="B1576" t="s">
        <v>6103</v>
      </c>
      <c r="C1576" t="s">
        <v>6104</v>
      </c>
      <c r="D1576" t="s">
        <v>1643</v>
      </c>
      <c r="E1576" t="s">
        <v>1273</v>
      </c>
      <c r="F1576" t="s">
        <v>3387</v>
      </c>
      <c r="G1576" t="s">
        <v>6106</v>
      </c>
      <c r="L1576" t="s">
        <v>1647</v>
      </c>
      <c r="M1576" t="s">
        <v>1634</v>
      </c>
    </row>
    <row r="1577" spans="1:13" x14ac:dyDescent="0.25">
      <c r="A1577">
        <v>5257</v>
      </c>
      <c r="B1577" t="s">
        <v>612</v>
      </c>
      <c r="C1577" t="s">
        <v>6107</v>
      </c>
      <c r="D1577" t="s">
        <v>1643</v>
      </c>
      <c r="E1577" t="s">
        <v>1273</v>
      </c>
      <c r="F1577" t="s">
        <v>1969</v>
      </c>
      <c r="G1577" t="s">
        <v>2978</v>
      </c>
      <c r="H1577">
        <v>6023472300</v>
      </c>
      <c r="J1577">
        <v>6023472320</v>
      </c>
      <c r="K1577" t="s">
        <v>6108</v>
      </c>
      <c r="L1577" t="s">
        <v>1647</v>
      </c>
      <c r="M1577" t="s">
        <v>1634</v>
      </c>
    </row>
    <row r="1578" spans="1:13" x14ac:dyDescent="0.25">
      <c r="A1578">
        <v>5257</v>
      </c>
      <c r="B1578" t="s">
        <v>612</v>
      </c>
      <c r="C1578" t="s">
        <v>6107</v>
      </c>
      <c r="D1578" t="s">
        <v>1643</v>
      </c>
      <c r="E1578" t="s">
        <v>1273</v>
      </c>
      <c r="F1578" t="s">
        <v>4775</v>
      </c>
      <c r="G1578" t="s">
        <v>3985</v>
      </c>
      <c r="H1578">
        <v>6023472306</v>
      </c>
      <c r="J1578">
        <v>6023472320</v>
      </c>
      <c r="K1578" t="s">
        <v>6109</v>
      </c>
      <c r="M1578" t="s">
        <v>1634</v>
      </c>
    </row>
    <row r="1579" spans="1:13" x14ac:dyDescent="0.25">
      <c r="A1579">
        <v>5257</v>
      </c>
      <c r="B1579" t="s">
        <v>612</v>
      </c>
      <c r="C1579" t="s">
        <v>6107</v>
      </c>
      <c r="D1579" t="s">
        <v>1643</v>
      </c>
      <c r="E1579" t="s">
        <v>1273</v>
      </c>
      <c r="F1579" t="s">
        <v>6110</v>
      </c>
      <c r="G1579" t="s">
        <v>6111</v>
      </c>
      <c r="L1579" t="s">
        <v>1647</v>
      </c>
      <c r="M1579" t="s">
        <v>1634</v>
      </c>
    </row>
    <row r="1580" spans="1:13" x14ac:dyDescent="0.25">
      <c r="A1580">
        <v>5258</v>
      </c>
      <c r="B1580" t="s">
        <v>1274</v>
      </c>
      <c r="C1580" t="s">
        <v>6112</v>
      </c>
      <c r="D1580" t="s">
        <v>1643</v>
      </c>
      <c r="E1580" t="s">
        <v>1273</v>
      </c>
      <c r="F1580" t="s">
        <v>4632</v>
      </c>
      <c r="G1580" t="s">
        <v>6113</v>
      </c>
      <c r="H1580">
        <v>6028966000</v>
      </c>
      <c r="J1580">
        <v>6028966020</v>
      </c>
      <c r="K1580" t="s">
        <v>6114</v>
      </c>
      <c r="M1580" t="s">
        <v>1634</v>
      </c>
    </row>
    <row r="1581" spans="1:13" x14ac:dyDescent="0.25">
      <c r="A1581">
        <v>5258</v>
      </c>
      <c r="B1581" t="s">
        <v>1274</v>
      </c>
      <c r="C1581" t="s">
        <v>6112</v>
      </c>
      <c r="D1581" t="s">
        <v>1643</v>
      </c>
      <c r="E1581" t="s">
        <v>1273</v>
      </c>
      <c r="F1581" t="s">
        <v>2521</v>
      </c>
      <c r="G1581" t="s">
        <v>2571</v>
      </c>
      <c r="L1581" t="s">
        <v>1647</v>
      </c>
      <c r="M1581" t="s">
        <v>1634</v>
      </c>
    </row>
    <row r="1582" spans="1:13" x14ac:dyDescent="0.25">
      <c r="A1582">
        <v>5259</v>
      </c>
      <c r="B1582" t="s">
        <v>6115</v>
      </c>
      <c r="C1582" t="s">
        <v>6116</v>
      </c>
      <c r="D1582" t="s">
        <v>1643</v>
      </c>
      <c r="E1582" t="s">
        <v>1273</v>
      </c>
      <c r="F1582" t="s">
        <v>1670</v>
      </c>
      <c r="G1582" t="s">
        <v>5116</v>
      </c>
      <c r="L1582" t="s">
        <v>1647</v>
      </c>
      <c r="M1582" t="s">
        <v>1634</v>
      </c>
    </row>
    <row r="1583" spans="1:13" x14ac:dyDescent="0.25">
      <c r="A1583">
        <v>5260</v>
      </c>
      <c r="B1583" t="s">
        <v>547</v>
      </c>
      <c r="C1583" t="s">
        <v>6117</v>
      </c>
      <c r="D1583" t="s">
        <v>1643</v>
      </c>
      <c r="E1583" t="s">
        <v>1273</v>
      </c>
      <c r="F1583" t="s">
        <v>2745</v>
      </c>
      <c r="G1583" t="s">
        <v>6118</v>
      </c>
      <c r="H1583">
        <v>6023474100</v>
      </c>
      <c r="J1583">
        <v>6023474120</v>
      </c>
      <c r="K1583" t="s">
        <v>6119</v>
      </c>
      <c r="L1583" t="s">
        <v>1647</v>
      </c>
      <c r="M1583" t="s">
        <v>1634</v>
      </c>
    </row>
    <row r="1584" spans="1:13" x14ac:dyDescent="0.25">
      <c r="A1584">
        <v>5260</v>
      </c>
      <c r="B1584" t="s">
        <v>547</v>
      </c>
      <c r="C1584" t="s">
        <v>6117</v>
      </c>
      <c r="D1584" t="s">
        <v>1643</v>
      </c>
      <c r="E1584" t="s">
        <v>1273</v>
      </c>
      <c r="F1584" t="s">
        <v>6120</v>
      </c>
      <c r="G1584" t="s">
        <v>6121</v>
      </c>
      <c r="H1584">
        <v>6023474100</v>
      </c>
      <c r="J1584">
        <v>6023474120</v>
      </c>
      <c r="K1584" t="s">
        <v>6122</v>
      </c>
      <c r="M1584" t="s">
        <v>1634</v>
      </c>
    </row>
    <row r="1585" spans="1:13" x14ac:dyDescent="0.25">
      <c r="A1585">
        <v>5260</v>
      </c>
      <c r="B1585" t="s">
        <v>547</v>
      </c>
      <c r="C1585" t="s">
        <v>6117</v>
      </c>
      <c r="D1585" t="s">
        <v>1643</v>
      </c>
      <c r="E1585" t="s">
        <v>1273</v>
      </c>
      <c r="F1585" t="s">
        <v>1775</v>
      </c>
      <c r="G1585" t="s">
        <v>6123</v>
      </c>
      <c r="L1585" t="s">
        <v>1647</v>
      </c>
      <c r="M1585" t="s">
        <v>1634</v>
      </c>
    </row>
    <row r="1586" spans="1:13" x14ac:dyDescent="0.25">
      <c r="A1586">
        <v>5261</v>
      </c>
      <c r="B1586" t="s">
        <v>6124</v>
      </c>
      <c r="C1586" t="s">
        <v>6125</v>
      </c>
      <c r="D1586" t="s">
        <v>1643</v>
      </c>
      <c r="E1586" t="s">
        <v>1273</v>
      </c>
      <c r="F1586" t="s">
        <v>4172</v>
      </c>
      <c r="G1586" t="s">
        <v>6068</v>
      </c>
      <c r="H1586">
        <v>6023472400</v>
      </c>
      <c r="J1586">
        <v>6023472420</v>
      </c>
      <c r="K1586" t="s">
        <v>6069</v>
      </c>
      <c r="M1586" t="s">
        <v>1634</v>
      </c>
    </row>
    <row r="1587" spans="1:13" x14ac:dyDescent="0.25">
      <c r="A1587">
        <v>5261</v>
      </c>
      <c r="B1587" t="s">
        <v>6124</v>
      </c>
      <c r="C1587" t="s">
        <v>6125</v>
      </c>
      <c r="D1587" t="s">
        <v>1643</v>
      </c>
      <c r="E1587" t="s">
        <v>1273</v>
      </c>
      <c r="F1587" t="s">
        <v>2997</v>
      </c>
      <c r="G1587" t="s">
        <v>6126</v>
      </c>
      <c r="L1587" t="s">
        <v>1647</v>
      </c>
      <c r="M1587" t="s">
        <v>1634</v>
      </c>
    </row>
    <row r="1588" spans="1:13" x14ac:dyDescent="0.25">
      <c r="A1588">
        <v>5262</v>
      </c>
      <c r="B1588" t="s">
        <v>624</v>
      </c>
      <c r="C1588" t="s">
        <v>6127</v>
      </c>
      <c r="D1588" t="s">
        <v>1643</v>
      </c>
      <c r="E1588" t="s">
        <v>1273</v>
      </c>
      <c r="F1588" t="s">
        <v>6128</v>
      </c>
      <c r="G1588" t="s">
        <v>6129</v>
      </c>
      <c r="H1588">
        <v>6023472900</v>
      </c>
      <c r="J1588">
        <v>6023472920</v>
      </c>
      <c r="K1588" t="s">
        <v>6130</v>
      </c>
      <c r="L1588" t="s">
        <v>1647</v>
      </c>
      <c r="M1588" t="s">
        <v>1634</v>
      </c>
    </row>
    <row r="1589" spans="1:13" x14ac:dyDescent="0.25">
      <c r="A1589">
        <v>5262</v>
      </c>
      <c r="B1589" t="s">
        <v>624</v>
      </c>
      <c r="C1589" t="s">
        <v>6127</v>
      </c>
      <c r="D1589" t="s">
        <v>1643</v>
      </c>
      <c r="E1589" t="s">
        <v>1273</v>
      </c>
      <c r="F1589" t="s">
        <v>6131</v>
      </c>
      <c r="G1589" t="s">
        <v>6132</v>
      </c>
      <c r="H1589">
        <v>6023472901</v>
      </c>
      <c r="J1589">
        <v>6023472920</v>
      </c>
      <c r="K1589" t="s">
        <v>6133</v>
      </c>
      <c r="L1589" t="s">
        <v>1640</v>
      </c>
      <c r="M1589" t="s">
        <v>1640</v>
      </c>
    </row>
    <row r="1590" spans="1:13" x14ac:dyDescent="0.25">
      <c r="A1590">
        <v>5263</v>
      </c>
      <c r="B1590" t="s">
        <v>6134</v>
      </c>
      <c r="C1590" t="s">
        <v>6135</v>
      </c>
      <c r="D1590" t="s">
        <v>1643</v>
      </c>
      <c r="E1590" t="s">
        <v>1273</v>
      </c>
      <c r="F1590" t="s">
        <v>4468</v>
      </c>
      <c r="G1590" t="s">
        <v>6136</v>
      </c>
      <c r="H1590">
        <v>6023472500</v>
      </c>
      <c r="J1590">
        <v>6023472520</v>
      </c>
      <c r="K1590" t="s">
        <v>6137</v>
      </c>
      <c r="M1590" t="s">
        <v>1634</v>
      </c>
    </row>
    <row r="1591" spans="1:13" x14ac:dyDescent="0.25">
      <c r="A1591">
        <v>5264</v>
      </c>
      <c r="B1591" t="s">
        <v>1533</v>
      </c>
      <c r="C1591" t="s">
        <v>6138</v>
      </c>
      <c r="D1591" t="s">
        <v>1643</v>
      </c>
      <c r="E1591" t="s">
        <v>1273</v>
      </c>
      <c r="F1591" t="s">
        <v>2965</v>
      </c>
      <c r="G1591" t="s">
        <v>6139</v>
      </c>
      <c r="H1591">
        <v>6023473000</v>
      </c>
      <c r="J1591">
        <v>6023473020</v>
      </c>
      <c r="K1591" t="s">
        <v>6140</v>
      </c>
      <c r="M1591" t="s">
        <v>1634</v>
      </c>
    </row>
    <row r="1592" spans="1:13" x14ac:dyDescent="0.25">
      <c r="A1592">
        <v>5264</v>
      </c>
      <c r="B1592" t="s">
        <v>1533</v>
      </c>
      <c r="C1592" t="s">
        <v>6138</v>
      </c>
      <c r="D1592" t="s">
        <v>1643</v>
      </c>
      <c r="E1592" t="s">
        <v>1273</v>
      </c>
      <c r="F1592" t="s">
        <v>1848</v>
      </c>
      <c r="G1592" t="s">
        <v>6141</v>
      </c>
      <c r="L1592" t="s">
        <v>1647</v>
      </c>
      <c r="M1592" t="s">
        <v>1634</v>
      </c>
    </row>
    <row r="1593" spans="1:13" x14ac:dyDescent="0.25">
      <c r="A1593">
        <v>5265</v>
      </c>
      <c r="B1593" t="s">
        <v>1285</v>
      </c>
      <c r="C1593" t="s">
        <v>6142</v>
      </c>
      <c r="D1593" t="s">
        <v>1643</v>
      </c>
      <c r="E1593" t="s">
        <v>1273</v>
      </c>
      <c r="F1593" t="s">
        <v>2085</v>
      </c>
      <c r="G1593" t="s">
        <v>6143</v>
      </c>
      <c r="H1593">
        <v>6023473100</v>
      </c>
      <c r="J1593">
        <v>6023473120</v>
      </c>
      <c r="K1593" t="s">
        <v>6144</v>
      </c>
      <c r="M1593" t="s">
        <v>1634</v>
      </c>
    </row>
    <row r="1594" spans="1:13" x14ac:dyDescent="0.25">
      <c r="A1594">
        <v>5265</v>
      </c>
      <c r="B1594" t="s">
        <v>1285</v>
      </c>
      <c r="C1594" t="s">
        <v>6142</v>
      </c>
      <c r="D1594" t="s">
        <v>1643</v>
      </c>
      <c r="E1594" t="s">
        <v>1273</v>
      </c>
      <c r="F1594" t="s">
        <v>3018</v>
      </c>
      <c r="G1594" t="s">
        <v>6145</v>
      </c>
      <c r="L1594" t="s">
        <v>1647</v>
      </c>
      <c r="M1594" t="s">
        <v>1634</v>
      </c>
    </row>
    <row r="1595" spans="1:13" x14ac:dyDescent="0.25">
      <c r="A1595">
        <v>5266</v>
      </c>
      <c r="B1595" t="s">
        <v>621</v>
      </c>
      <c r="C1595" t="s">
        <v>6146</v>
      </c>
      <c r="D1595" t="s">
        <v>1643</v>
      </c>
      <c r="E1595" t="s">
        <v>1273</v>
      </c>
      <c r="F1595" t="s">
        <v>6147</v>
      </c>
      <c r="G1595" t="s">
        <v>6148</v>
      </c>
      <c r="H1595">
        <v>6023473200</v>
      </c>
      <c r="J1595">
        <v>6023473220</v>
      </c>
      <c r="K1595" t="s">
        <v>6149</v>
      </c>
      <c r="M1595" t="s">
        <v>1634</v>
      </c>
    </row>
    <row r="1596" spans="1:13" x14ac:dyDescent="0.25">
      <c r="A1596">
        <v>5266</v>
      </c>
      <c r="B1596" t="s">
        <v>621</v>
      </c>
      <c r="C1596" t="s">
        <v>6146</v>
      </c>
      <c r="D1596" t="s">
        <v>1643</v>
      </c>
      <c r="E1596" t="s">
        <v>1273</v>
      </c>
      <c r="F1596" t="s">
        <v>3760</v>
      </c>
      <c r="G1596" t="s">
        <v>6150</v>
      </c>
      <c r="L1596" t="s">
        <v>1647</v>
      </c>
      <c r="M1596" t="s">
        <v>1634</v>
      </c>
    </row>
    <row r="1597" spans="1:13" x14ac:dyDescent="0.25">
      <c r="A1597">
        <v>5267</v>
      </c>
      <c r="B1597" t="s">
        <v>6151</v>
      </c>
      <c r="C1597" t="s">
        <v>6152</v>
      </c>
      <c r="D1597" t="s">
        <v>1643</v>
      </c>
      <c r="E1597" t="s">
        <v>1273</v>
      </c>
      <c r="F1597" t="s">
        <v>1707</v>
      </c>
      <c r="G1597" t="s">
        <v>2705</v>
      </c>
      <c r="H1597">
        <v>6028966200</v>
      </c>
      <c r="J1597">
        <v>6028966220</v>
      </c>
      <c r="K1597" t="s">
        <v>6153</v>
      </c>
      <c r="L1597" t="s">
        <v>1647</v>
      </c>
      <c r="M1597" t="s">
        <v>1634</v>
      </c>
    </row>
    <row r="1598" spans="1:13" x14ac:dyDescent="0.25">
      <c r="A1598">
        <v>5268</v>
      </c>
      <c r="B1598" t="s">
        <v>1371</v>
      </c>
      <c r="C1598" t="s">
        <v>6154</v>
      </c>
      <c r="D1598" t="s">
        <v>1643</v>
      </c>
      <c r="E1598" t="s">
        <v>1273</v>
      </c>
      <c r="F1598" t="s">
        <v>3013</v>
      </c>
      <c r="G1598" t="s">
        <v>4765</v>
      </c>
      <c r="H1598">
        <v>6023474200</v>
      </c>
      <c r="J1598">
        <v>6023474220</v>
      </c>
      <c r="K1598" t="s">
        <v>6155</v>
      </c>
      <c r="L1598" t="s">
        <v>1647</v>
      </c>
      <c r="M1598" t="s">
        <v>1634</v>
      </c>
    </row>
    <row r="1599" spans="1:13" x14ac:dyDescent="0.25">
      <c r="A1599">
        <v>5269</v>
      </c>
      <c r="B1599" t="s">
        <v>6156</v>
      </c>
      <c r="C1599" t="s">
        <v>6157</v>
      </c>
      <c r="D1599" t="s">
        <v>1643</v>
      </c>
      <c r="E1599" t="s">
        <v>1273</v>
      </c>
      <c r="F1599" t="s">
        <v>2222</v>
      </c>
      <c r="G1599" t="s">
        <v>3791</v>
      </c>
      <c r="H1599">
        <v>6028966400</v>
      </c>
      <c r="J1599">
        <v>6028966420</v>
      </c>
      <c r="K1599" t="s">
        <v>6158</v>
      </c>
      <c r="M1599" t="s">
        <v>1634</v>
      </c>
    </row>
    <row r="1600" spans="1:13" x14ac:dyDescent="0.25">
      <c r="A1600">
        <v>5269</v>
      </c>
      <c r="B1600" t="s">
        <v>6156</v>
      </c>
      <c r="C1600" t="s">
        <v>6157</v>
      </c>
      <c r="D1600" t="s">
        <v>1643</v>
      </c>
      <c r="E1600" t="s">
        <v>1273</v>
      </c>
      <c r="F1600" t="s">
        <v>6159</v>
      </c>
      <c r="G1600" t="s">
        <v>6160</v>
      </c>
      <c r="L1600" t="s">
        <v>1647</v>
      </c>
      <c r="M1600" t="s">
        <v>1634</v>
      </c>
    </row>
    <row r="1601" spans="1:13" x14ac:dyDescent="0.25">
      <c r="A1601">
        <v>5270</v>
      </c>
      <c r="B1601" t="s">
        <v>6161</v>
      </c>
      <c r="C1601" t="s">
        <v>6162</v>
      </c>
      <c r="D1601" t="s">
        <v>1643</v>
      </c>
      <c r="E1601" t="s">
        <v>1273</v>
      </c>
      <c r="F1601" t="s">
        <v>6163</v>
      </c>
      <c r="G1601" t="s">
        <v>6164</v>
      </c>
      <c r="H1601">
        <v>6028966500</v>
      </c>
      <c r="J1601">
        <v>6028966520</v>
      </c>
      <c r="K1601" t="s">
        <v>6165</v>
      </c>
      <c r="L1601" t="s">
        <v>1647</v>
      </c>
      <c r="M1601" t="s">
        <v>1634</v>
      </c>
    </row>
    <row r="1602" spans="1:13" x14ac:dyDescent="0.25">
      <c r="A1602">
        <v>5271</v>
      </c>
      <c r="B1602" t="s">
        <v>1352</v>
      </c>
      <c r="C1602" t="s">
        <v>6166</v>
      </c>
      <c r="D1602" t="s">
        <v>1643</v>
      </c>
      <c r="E1602" t="s">
        <v>1273</v>
      </c>
      <c r="F1602" t="s">
        <v>1935</v>
      </c>
      <c r="G1602" t="s">
        <v>6167</v>
      </c>
      <c r="H1602">
        <v>6023474300</v>
      </c>
      <c r="J1602">
        <v>6023474320</v>
      </c>
      <c r="K1602" t="s">
        <v>6168</v>
      </c>
      <c r="L1602" t="s">
        <v>1647</v>
      </c>
      <c r="M1602" t="s">
        <v>1634</v>
      </c>
    </row>
    <row r="1603" spans="1:13" x14ac:dyDescent="0.25">
      <c r="A1603">
        <v>5271</v>
      </c>
      <c r="B1603" t="s">
        <v>1352</v>
      </c>
      <c r="C1603" t="s">
        <v>6166</v>
      </c>
      <c r="D1603" t="s">
        <v>1643</v>
      </c>
      <c r="E1603" t="s">
        <v>1273</v>
      </c>
      <c r="F1603" t="s">
        <v>3040</v>
      </c>
      <c r="G1603" t="s">
        <v>6169</v>
      </c>
      <c r="H1603">
        <v>6023474300</v>
      </c>
      <c r="K1603" t="s">
        <v>6170</v>
      </c>
      <c r="L1603" t="s">
        <v>6077</v>
      </c>
      <c r="M1603" t="s">
        <v>1634</v>
      </c>
    </row>
    <row r="1604" spans="1:13" x14ac:dyDescent="0.25">
      <c r="A1604">
        <v>5272</v>
      </c>
      <c r="B1604" t="s">
        <v>6171</v>
      </c>
      <c r="C1604" t="s">
        <v>6172</v>
      </c>
      <c r="D1604" t="s">
        <v>1643</v>
      </c>
      <c r="E1604" t="s">
        <v>1273</v>
      </c>
      <c r="F1604" t="s">
        <v>6173</v>
      </c>
      <c r="G1604" t="s">
        <v>6174</v>
      </c>
      <c r="H1604">
        <v>6023473300</v>
      </c>
      <c r="J1604">
        <v>6023473320</v>
      </c>
      <c r="K1604" t="s">
        <v>6175</v>
      </c>
      <c r="L1604" t="s">
        <v>1647</v>
      </c>
      <c r="M1604" t="s">
        <v>1634</v>
      </c>
    </row>
    <row r="1605" spans="1:13" x14ac:dyDescent="0.25">
      <c r="A1605">
        <v>5273</v>
      </c>
      <c r="B1605" t="s">
        <v>6176</v>
      </c>
      <c r="C1605" t="s">
        <v>6177</v>
      </c>
      <c r="D1605" t="s">
        <v>1643</v>
      </c>
      <c r="E1605" t="s">
        <v>1273</v>
      </c>
      <c r="F1605" t="s">
        <v>1969</v>
      </c>
      <c r="G1605" t="s">
        <v>2978</v>
      </c>
      <c r="L1605" t="s">
        <v>1647</v>
      </c>
      <c r="M1605" t="s">
        <v>1634</v>
      </c>
    </row>
    <row r="1606" spans="1:13" x14ac:dyDescent="0.25">
      <c r="A1606">
        <v>5274</v>
      </c>
      <c r="B1606" t="s">
        <v>6178</v>
      </c>
      <c r="C1606" t="s">
        <v>6179</v>
      </c>
      <c r="D1606" t="s">
        <v>1643</v>
      </c>
      <c r="E1606" t="s">
        <v>1273</v>
      </c>
      <c r="F1606" t="s">
        <v>5611</v>
      </c>
      <c r="G1606" t="s">
        <v>6180</v>
      </c>
      <c r="H1606">
        <v>6028966300</v>
      </c>
      <c r="J1606">
        <v>6028966320</v>
      </c>
      <c r="K1606" t="s">
        <v>6181</v>
      </c>
      <c r="L1606" t="s">
        <v>1647</v>
      </c>
      <c r="M1606" t="s">
        <v>1634</v>
      </c>
    </row>
    <row r="1607" spans="1:13" x14ac:dyDescent="0.25">
      <c r="A1607">
        <v>5275</v>
      </c>
      <c r="B1607" t="s">
        <v>695</v>
      </c>
      <c r="C1607" t="s">
        <v>6182</v>
      </c>
      <c r="D1607" t="s">
        <v>1643</v>
      </c>
      <c r="E1607" t="s">
        <v>1273</v>
      </c>
      <c r="F1607" t="s">
        <v>3462</v>
      </c>
      <c r="G1607" t="s">
        <v>6183</v>
      </c>
      <c r="L1607" t="s">
        <v>1647</v>
      </c>
      <c r="M1607" t="s">
        <v>1634</v>
      </c>
    </row>
    <row r="1608" spans="1:13" x14ac:dyDescent="0.25">
      <c r="A1608">
        <v>5275</v>
      </c>
      <c r="B1608" t="s">
        <v>695</v>
      </c>
      <c r="C1608" t="s">
        <v>6182</v>
      </c>
      <c r="D1608" t="s">
        <v>1643</v>
      </c>
      <c r="E1608" t="s">
        <v>1273</v>
      </c>
      <c r="F1608" t="s">
        <v>6078</v>
      </c>
      <c r="G1608" t="s">
        <v>6184</v>
      </c>
      <c r="H1608">
        <v>6023473401</v>
      </c>
      <c r="J1608">
        <v>6023473420</v>
      </c>
      <c r="K1608" t="s">
        <v>6185</v>
      </c>
      <c r="M1608" t="s">
        <v>1640</v>
      </c>
    </row>
    <row r="1609" spans="1:13" x14ac:dyDescent="0.25">
      <c r="A1609">
        <v>4261</v>
      </c>
      <c r="B1609" t="s">
        <v>1127</v>
      </c>
      <c r="C1609" t="s">
        <v>6186</v>
      </c>
      <c r="D1609" t="s">
        <v>1628</v>
      </c>
      <c r="E1609" t="s">
        <v>1273</v>
      </c>
      <c r="F1609" t="s">
        <v>6187</v>
      </c>
      <c r="G1609" t="s">
        <v>5847</v>
      </c>
      <c r="H1609">
        <v>6026812207</v>
      </c>
      <c r="J1609">
        <v>6022757517</v>
      </c>
      <c r="K1609" t="s">
        <v>6188</v>
      </c>
      <c r="L1609" t="s">
        <v>1668</v>
      </c>
      <c r="M1609" t="s">
        <v>1634</v>
      </c>
    </row>
    <row r="1610" spans="1:13" x14ac:dyDescent="0.25">
      <c r="A1610">
        <v>4261</v>
      </c>
      <c r="B1610" t="s">
        <v>1127</v>
      </c>
      <c r="C1610" t="s">
        <v>6186</v>
      </c>
      <c r="D1610" t="s">
        <v>1628</v>
      </c>
      <c r="E1610" t="s">
        <v>1273</v>
      </c>
      <c r="F1610" t="s">
        <v>4167</v>
      </c>
      <c r="G1610" t="s">
        <v>6189</v>
      </c>
      <c r="H1610">
        <v>6026812203</v>
      </c>
      <c r="I1610">
        <v>2003</v>
      </c>
      <c r="K1610" t="s">
        <v>6190</v>
      </c>
      <c r="L1610" t="s">
        <v>2621</v>
      </c>
      <c r="M1610" t="s">
        <v>1634</v>
      </c>
    </row>
    <row r="1611" spans="1:13" x14ac:dyDescent="0.25">
      <c r="A1611">
        <v>4261</v>
      </c>
      <c r="B1611" t="s">
        <v>1127</v>
      </c>
      <c r="C1611" t="s">
        <v>6186</v>
      </c>
      <c r="D1611" t="s">
        <v>1628</v>
      </c>
      <c r="E1611" t="s">
        <v>1273</v>
      </c>
      <c r="F1611" t="s">
        <v>4217</v>
      </c>
      <c r="G1611" t="s">
        <v>6191</v>
      </c>
      <c r="K1611" t="s">
        <v>6192</v>
      </c>
      <c r="M1611" t="s">
        <v>1640</v>
      </c>
    </row>
    <row r="1612" spans="1:13" x14ac:dyDescent="0.25">
      <c r="A1612">
        <v>4261</v>
      </c>
      <c r="B1612" t="s">
        <v>1127</v>
      </c>
      <c r="C1612" t="s">
        <v>6186</v>
      </c>
      <c r="D1612" t="s">
        <v>1628</v>
      </c>
      <c r="E1612" t="s">
        <v>1273</v>
      </c>
      <c r="F1612" t="s">
        <v>6193</v>
      </c>
      <c r="G1612" t="s">
        <v>2794</v>
      </c>
      <c r="K1612" t="s">
        <v>6194</v>
      </c>
      <c r="L1612" t="s">
        <v>6195</v>
      </c>
      <c r="M1612" t="s">
        <v>1765</v>
      </c>
    </row>
    <row r="1613" spans="1:13" x14ac:dyDescent="0.25">
      <c r="A1613">
        <v>5276</v>
      </c>
      <c r="B1613" t="s">
        <v>1343</v>
      </c>
      <c r="C1613" t="s">
        <v>6196</v>
      </c>
      <c r="D1613" t="s">
        <v>1643</v>
      </c>
      <c r="E1613" t="s">
        <v>1273</v>
      </c>
      <c r="F1613" t="s">
        <v>3040</v>
      </c>
      <c r="G1613" t="s">
        <v>6197</v>
      </c>
      <c r="H1613">
        <v>6026832400</v>
      </c>
      <c r="J1613">
        <v>6022758677</v>
      </c>
      <c r="K1613" t="s">
        <v>6198</v>
      </c>
      <c r="M1613" t="s">
        <v>1634</v>
      </c>
    </row>
    <row r="1614" spans="1:13" x14ac:dyDescent="0.25">
      <c r="A1614">
        <v>5277</v>
      </c>
      <c r="B1614" t="s">
        <v>1405</v>
      </c>
      <c r="C1614" t="s">
        <v>6199</v>
      </c>
      <c r="D1614" t="s">
        <v>1643</v>
      </c>
      <c r="E1614" t="s">
        <v>1273</v>
      </c>
      <c r="F1614" t="s">
        <v>5992</v>
      </c>
      <c r="G1614" t="s">
        <v>6200</v>
      </c>
      <c r="H1614">
        <v>6026832500</v>
      </c>
      <c r="J1614">
        <v>6022310567</v>
      </c>
      <c r="K1614" t="s">
        <v>6201</v>
      </c>
      <c r="M1614" t="s">
        <v>1634</v>
      </c>
    </row>
    <row r="1615" spans="1:13" x14ac:dyDescent="0.25">
      <c r="A1615">
        <v>4262</v>
      </c>
      <c r="B1615" t="s">
        <v>628</v>
      </c>
      <c r="C1615" t="s">
        <v>6202</v>
      </c>
      <c r="D1615" t="s">
        <v>1628</v>
      </c>
      <c r="E1615" t="s">
        <v>1273</v>
      </c>
      <c r="F1615" t="s">
        <v>4167</v>
      </c>
      <c r="G1615" t="s">
        <v>6203</v>
      </c>
      <c r="H1615">
        <v>6027072014</v>
      </c>
      <c r="K1615" t="s">
        <v>6204</v>
      </c>
      <c r="L1615" t="s">
        <v>6205</v>
      </c>
      <c r="M1615" t="s">
        <v>1634</v>
      </c>
    </row>
    <row r="1616" spans="1:13" x14ac:dyDescent="0.25">
      <c r="A1616">
        <v>4262</v>
      </c>
      <c r="B1616" t="s">
        <v>628</v>
      </c>
      <c r="C1616" t="s">
        <v>6202</v>
      </c>
      <c r="D1616" t="s">
        <v>1628</v>
      </c>
      <c r="E1616" t="s">
        <v>1273</v>
      </c>
      <c r="F1616" t="s">
        <v>5432</v>
      </c>
      <c r="G1616" t="s">
        <v>6206</v>
      </c>
      <c r="H1616">
        <v>6027072600</v>
      </c>
      <c r="K1616" t="s">
        <v>6207</v>
      </c>
      <c r="L1616" t="s">
        <v>6208</v>
      </c>
      <c r="M1616" t="s">
        <v>1634</v>
      </c>
    </row>
    <row r="1617" spans="1:13" x14ac:dyDescent="0.25">
      <c r="A1617">
        <v>4262</v>
      </c>
      <c r="B1617" t="s">
        <v>628</v>
      </c>
      <c r="C1617" t="s">
        <v>6202</v>
      </c>
      <c r="D1617" t="s">
        <v>1628</v>
      </c>
      <c r="E1617" t="s">
        <v>1273</v>
      </c>
      <c r="F1617" t="s">
        <v>1780</v>
      </c>
      <c r="G1617" t="s">
        <v>6209</v>
      </c>
      <c r="H1617">
        <v>6027072028</v>
      </c>
      <c r="J1617">
        <v>6027072040</v>
      </c>
      <c r="K1617" t="s">
        <v>6210</v>
      </c>
      <c r="L1617" t="s">
        <v>6211</v>
      </c>
      <c r="M1617" t="s">
        <v>1634</v>
      </c>
    </row>
    <row r="1618" spans="1:13" x14ac:dyDescent="0.25">
      <c r="A1618">
        <v>5278</v>
      </c>
      <c r="B1618" t="s">
        <v>6212</v>
      </c>
      <c r="C1618" t="s">
        <v>6213</v>
      </c>
      <c r="D1618" t="s">
        <v>1643</v>
      </c>
      <c r="E1618" t="s">
        <v>1273</v>
      </c>
      <c r="F1618" t="s">
        <v>1661</v>
      </c>
      <c r="G1618" t="s">
        <v>6214</v>
      </c>
      <c r="H1618">
        <v>6027072210</v>
      </c>
      <c r="K1618" t="s">
        <v>6215</v>
      </c>
      <c r="L1618" t="s">
        <v>1647</v>
      </c>
      <c r="M1618" t="s">
        <v>1634</v>
      </c>
    </row>
    <row r="1619" spans="1:13" x14ac:dyDescent="0.25">
      <c r="A1619">
        <v>5279</v>
      </c>
      <c r="B1619" t="s">
        <v>6216</v>
      </c>
      <c r="C1619" t="s">
        <v>6217</v>
      </c>
      <c r="D1619" t="s">
        <v>1643</v>
      </c>
      <c r="E1619" t="s">
        <v>1273</v>
      </c>
    </row>
    <row r="1620" spans="1:13" x14ac:dyDescent="0.25">
      <c r="A1620">
        <v>5280</v>
      </c>
      <c r="B1620" t="s">
        <v>631</v>
      </c>
      <c r="C1620" t="s">
        <v>6218</v>
      </c>
      <c r="D1620" t="s">
        <v>1643</v>
      </c>
      <c r="E1620" t="s">
        <v>1273</v>
      </c>
      <c r="F1620" t="s">
        <v>6219</v>
      </c>
      <c r="G1620" t="s">
        <v>6220</v>
      </c>
      <c r="H1620">
        <v>6027072400</v>
      </c>
      <c r="J1620">
        <v>6027072440</v>
      </c>
      <c r="K1620" t="s">
        <v>6221</v>
      </c>
      <c r="M1620" t="s">
        <v>1634</v>
      </c>
    </row>
    <row r="1621" spans="1:13" x14ac:dyDescent="0.25">
      <c r="A1621">
        <v>6021</v>
      </c>
      <c r="B1621" t="s">
        <v>6222</v>
      </c>
      <c r="C1621" t="s">
        <v>6223</v>
      </c>
      <c r="D1621" t="s">
        <v>1643</v>
      </c>
      <c r="E1621" t="s">
        <v>1273</v>
      </c>
      <c r="F1621" t="s">
        <v>1973</v>
      </c>
      <c r="G1621" t="s">
        <v>6224</v>
      </c>
      <c r="H1621">
        <v>6027072013</v>
      </c>
      <c r="J1621">
        <v>6027072040</v>
      </c>
      <c r="K1621" t="s">
        <v>6225</v>
      </c>
      <c r="L1621" t="s">
        <v>6226</v>
      </c>
      <c r="M1621" t="s">
        <v>1634</v>
      </c>
    </row>
    <row r="1622" spans="1:13" x14ac:dyDescent="0.25">
      <c r="A1622">
        <v>5281</v>
      </c>
      <c r="B1622" t="s">
        <v>629</v>
      </c>
      <c r="C1622" t="s">
        <v>6227</v>
      </c>
      <c r="D1622" t="s">
        <v>1643</v>
      </c>
      <c r="E1622" t="s">
        <v>1273</v>
      </c>
      <c r="F1622" t="s">
        <v>2085</v>
      </c>
      <c r="G1622" t="s">
        <v>6228</v>
      </c>
      <c r="H1622">
        <v>6027072610</v>
      </c>
      <c r="J1622">
        <v>6027072640</v>
      </c>
      <c r="K1622" t="s">
        <v>6229</v>
      </c>
      <c r="M1622" t="s">
        <v>1634</v>
      </c>
    </row>
    <row r="1623" spans="1:13" x14ac:dyDescent="0.25">
      <c r="A1623">
        <v>5281</v>
      </c>
      <c r="B1623" t="s">
        <v>629</v>
      </c>
      <c r="C1623" t="s">
        <v>6227</v>
      </c>
      <c r="D1623" t="s">
        <v>1643</v>
      </c>
      <c r="E1623" t="s">
        <v>1273</v>
      </c>
      <c r="F1623" t="s">
        <v>3105</v>
      </c>
      <c r="G1623" t="s">
        <v>6230</v>
      </c>
      <c r="H1623">
        <v>6027072610</v>
      </c>
      <c r="K1623" t="s">
        <v>6231</v>
      </c>
      <c r="L1623" t="s">
        <v>1647</v>
      </c>
      <c r="M1623" t="s">
        <v>1634</v>
      </c>
    </row>
    <row r="1624" spans="1:13" x14ac:dyDescent="0.25">
      <c r="A1624">
        <v>5282</v>
      </c>
      <c r="B1624" t="s">
        <v>1345</v>
      </c>
      <c r="C1624" t="s">
        <v>6232</v>
      </c>
      <c r="D1624" t="s">
        <v>1643</v>
      </c>
      <c r="E1624" t="s">
        <v>1273</v>
      </c>
      <c r="F1624" t="s">
        <v>6233</v>
      </c>
      <c r="G1624" t="s">
        <v>6234</v>
      </c>
      <c r="H1624">
        <v>6027072710</v>
      </c>
      <c r="K1624" t="s">
        <v>6235</v>
      </c>
      <c r="L1624" t="s">
        <v>1647</v>
      </c>
      <c r="M1624" t="s">
        <v>1634</v>
      </c>
    </row>
    <row r="1625" spans="1:13" x14ac:dyDescent="0.25">
      <c r="A1625">
        <v>4263</v>
      </c>
      <c r="B1625" t="s">
        <v>346</v>
      </c>
      <c r="C1625" t="s">
        <v>6236</v>
      </c>
      <c r="D1625" t="s">
        <v>1628</v>
      </c>
      <c r="E1625" t="s">
        <v>1273</v>
      </c>
      <c r="F1625" t="s">
        <v>1732</v>
      </c>
      <c r="G1625" t="s">
        <v>5601</v>
      </c>
      <c r="K1625" t="s">
        <v>6237</v>
      </c>
      <c r="L1625" t="s">
        <v>1633</v>
      </c>
      <c r="M1625" t="s">
        <v>1634</v>
      </c>
    </row>
    <row r="1626" spans="1:13" x14ac:dyDescent="0.25">
      <c r="A1626">
        <v>4263</v>
      </c>
      <c r="B1626" t="s">
        <v>346</v>
      </c>
      <c r="C1626" t="s">
        <v>6236</v>
      </c>
      <c r="D1626" t="s">
        <v>1628</v>
      </c>
      <c r="E1626" t="s">
        <v>1273</v>
      </c>
      <c r="F1626" t="s">
        <v>3003</v>
      </c>
      <c r="G1626" t="s">
        <v>1762</v>
      </c>
      <c r="K1626" t="s">
        <v>6238</v>
      </c>
      <c r="L1626" t="s">
        <v>2613</v>
      </c>
      <c r="M1626" t="s">
        <v>1634</v>
      </c>
    </row>
    <row r="1627" spans="1:13" x14ac:dyDescent="0.25">
      <c r="A1627">
        <v>4263</v>
      </c>
      <c r="B1627" t="s">
        <v>346</v>
      </c>
      <c r="C1627" t="s">
        <v>6236</v>
      </c>
      <c r="D1627" t="s">
        <v>1628</v>
      </c>
      <c r="E1627" t="s">
        <v>1273</v>
      </c>
      <c r="F1627" t="s">
        <v>2521</v>
      </c>
      <c r="G1627" t="s">
        <v>6239</v>
      </c>
      <c r="K1627" t="s">
        <v>6240</v>
      </c>
      <c r="L1627" t="s">
        <v>2613</v>
      </c>
      <c r="M1627" t="s">
        <v>1634</v>
      </c>
    </row>
    <row r="1628" spans="1:13" x14ac:dyDescent="0.25">
      <c r="A1628">
        <v>4263</v>
      </c>
      <c r="B1628" t="s">
        <v>346</v>
      </c>
      <c r="C1628" t="s">
        <v>6236</v>
      </c>
      <c r="D1628" t="s">
        <v>1628</v>
      </c>
      <c r="E1628" t="s">
        <v>1273</v>
      </c>
      <c r="F1628" t="s">
        <v>1692</v>
      </c>
      <c r="G1628" t="s">
        <v>6241</v>
      </c>
      <c r="H1628">
        <v>6023816000</v>
      </c>
      <c r="I1628">
        <v>40253</v>
      </c>
      <c r="K1628" t="s">
        <v>6242</v>
      </c>
      <c r="L1628" t="s">
        <v>6243</v>
      </c>
      <c r="M1628" t="s">
        <v>1634</v>
      </c>
    </row>
    <row r="1629" spans="1:13" x14ac:dyDescent="0.25">
      <c r="A1629">
        <v>4263</v>
      </c>
      <c r="B1629" t="s">
        <v>346</v>
      </c>
      <c r="C1629" t="s">
        <v>6236</v>
      </c>
      <c r="D1629" t="s">
        <v>1628</v>
      </c>
      <c r="E1629" t="s">
        <v>1273</v>
      </c>
      <c r="F1629" t="s">
        <v>2321</v>
      </c>
      <c r="G1629" t="s">
        <v>6244</v>
      </c>
      <c r="H1629">
        <v>6023816000</v>
      </c>
      <c r="K1629" t="s">
        <v>6245</v>
      </c>
      <c r="L1629" t="s">
        <v>1647</v>
      </c>
      <c r="M1629" t="s">
        <v>1634</v>
      </c>
    </row>
    <row r="1630" spans="1:13" x14ac:dyDescent="0.25">
      <c r="A1630">
        <v>4263</v>
      </c>
      <c r="B1630" t="s">
        <v>346</v>
      </c>
      <c r="C1630" t="s">
        <v>6236</v>
      </c>
      <c r="D1630" t="s">
        <v>1628</v>
      </c>
      <c r="E1630" t="s">
        <v>1273</v>
      </c>
      <c r="F1630" t="s">
        <v>6246</v>
      </c>
      <c r="G1630" t="s">
        <v>6247</v>
      </c>
      <c r="H1630">
        <v>6023816000</v>
      </c>
      <c r="J1630">
        <v>6023816019</v>
      </c>
      <c r="K1630" t="s">
        <v>6248</v>
      </c>
      <c r="L1630" t="s">
        <v>6249</v>
      </c>
      <c r="M1630" t="s">
        <v>1640</v>
      </c>
    </row>
    <row r="1631" spans="1:13" x14ac:dyDescent="0.25">
      <c r="A1631">
        <v>4263</v>
      </c>
      <c r="B1631" t="s">
        <v>346</v>
      </c>
      <c r="C1631" t="s">
        <v>6236</v>
      </c>
      <c r="D1631" t="s">
        <v>1628</v>
      </c>
      <c r="E1631" t="s">
        <v>1273</v>
      </c>
      <c r="F1631" t="s">
        <v>4350</v>
      </c>
      <c r="G1631" t="s">
        <v>6250</v>
      </c>
      <c r="H1631">
        <v>6023816000</v>
      </c>
      <c r="K1631" t="s">
        <v>6251</v>
      </c>
      <c r="L1631" t="s">
        <v>2404</v>
      </c>
      <c r="M1631" t="s">
        <v>1765</v>
      </c>
    </row>
    <row r="1632" spans="1:13" x14ac:dyDescent="0.25">
      <c r="A1632">
        <v>4263</v>
      </c>
      <c r="B1632" t="s">
        <v>346</v>
      </c>
      <c r="C1632" t="s">
        <v>6236</v>
      </c>
      <c r="D1632" t="s">
        <v>1628</v>
      </c>
      <c r="E1632" t="s">
        <v>1273</v>
      </c>
      <c r="F1632" t="s">
        <v>1779</v>
      </c>
      <c r="G1632" t="s">
        <v>6252</v>
      </c>
      <c r="K1632" t="s">
        <v>6253</v>
      </c>
      <c r="M1632" t="s">
        <v>1765</v>
      </c>
    </row>
    <row r="1633" spans="1:13" x14ac:dyDescent="0.25">
      <c r="A1633">
        <v>79286</v>
      </c>
      <c r="B1633" t="s">
        <v>6254</v>
      </c>
      <c r="C1633" t="s">
        <v>6255</v>
      </c>
      <c r="D1633" t="s">
        <v>1643</v>
      </c>
      <c r="E1633" t="s">
        <v>1273</v>
      </c>
      <c r="F1633" t="s">
        <v>2607</v>
      </c>
      <c r="G1633" t="s">
        <v>6256</v>
      </c>
      <c r="H1633">
        <v>6023814660</v>
      </c>
      <c r="J1633">
        <v>6023817269</v>
      </c>
      <c r="K1633" t="s">
        <v>6257</v>
      </c>
      <c r="M1633" t="s">
        <v>1634</v>
      </c>
    </row>
    <row r="1634" spans="1:13" x14ac:dyDescent="0.25">
      <c r="A1634">
        <v>5283</v>
      </c>
      <c r="B1634" t="s">
        <v>6258</v>
      </c>
      <c r="C1634" t="s">
        <v>6259</v>
      </c>
      <c r="D1634" t="s">
        <v>1643</v>
      </c>
      <c r="E1634" t="s">
        <v>1273</v>
      </c>
      <c r="F1634" t="s">
        <v>6260</v>
      </c>
      <c r="G1634" t="s">
        <v>6261</v>
      </c>
      <c r="H1634">
        <v>6023816060</v>
      </c>
      <c r="J1634">
        <v>6023816047</v>
      </c>
      <c r="K1634" t="s">
        <v>6262</v>
      </c>
      <c r="M1634" t="s">
        <v>1634</v>
      </c>
    </row>
    <row r="1635" spans="1:13" x14ac:dyDescent="0.25">
      <c r="A1635">
        <v>5283</v>
      </c>
      <c r="B1635" t="s">
        <v>6258</v>
      </c>
      <c r="C1635" t="s">
        <v>6259</v>
      </c>
      <c r="D1635" t="s">
        <v>1643</v>
      </c>
      <c r="E1635" t="s">
        <v>1273</v>
      </c>
      <c r="F1635" t="s">
        <v>1723</v>
      </c>
      <c r="G1635" t="s">
        <v>6263</v>
      </c>
      <c r="K1635" t="s">
        <v>6264</v>
      </c>
      <c r="L1635" t="s">
        <v>1647</v>
      </c>
      <c r="M1635" t="s">
        <v>1634</v>
      </c>
    </row>
    <row r="1636" spans="1:13" x14ac:dyDescent="0.25">
      <c r="A1636">
        <v>5283</v>
      </c>
      <c r="B1636" t="s">
        <v>6258</v>
      </c>
      <c r="C1636" t="s">
        <v>6259</v>
      </c>
      <c r="D1636" t="s">
        <v>1643</v>
      </c>
      <c r="E1636" t="s">
        <v>1273</v>
      </c>
      <c r="F1636" t="s">
        <v>6265</v>
      </c>
      <c r="G1636" t="s">
        <v>6098</v>
      </c>
      <c r="H1636">
        <v>6023814665</v>
      </c>
      <c r="J1636">
        <v>6023814662</v>
      </c>
      <c r="K1636" t="s">
        <v>6266</v>
      </c>
      <c r="L1636" t="s">
        <v>1647</v>
      </c>
      <c r="M1636" t="s">
        <v>1634</v>
      </c>
    </row>
    <row r="1637" spans="1:13" x14ac:dyDescent="0.25">
      <c r="A1637">
        <v>5283</v>
      </c>
      <c r="B1637" t="s">
        <v>6258</v>
      </c>
      <c r="C1637" t="s">
        <v>6259</v>
      </c>
      <c r="D1637" t="s">
        <v>1643</v>
      </c>
      <c r="E1637" t="s">
        <v>1273</v>
      </c>
      <c r="F1637" t="s">
        <v>2632</v>
      </c>
      <c r="G1637" t="s">
        <v>6267</v>
      </c>
      <c r="K1637" t="s">
        <v>6268</v>
      </c>
      <c r="M1637" t="s">
        <v>1634</v>
      </c>
    </row>
    <row r="1638" spans="1:13" x14ac:dyDescent="0.25">
      <c r="A1638">
        <v>5283</v>
      </c>
      <c r="B1638" t="s">
        <v>6258</v>
      </c>
      <c r="C1638" t="s">
        <v>6259</v>
      </c>
      <c r="D1638" t="s">
        <v>1643</v>
      </c>
      <c r="E1638" t="s">
        <v>1273</v>
      </c>
      <c r="F1638" t="s">
        <v>6269</v>
      </c>
      <c r="G1638" t="s">
        <v>6270</v>
      </c>
      <c r="H1638">
        <v>6023816000</v>
      </c>
      <c r="J1638">
        <v>6023816047</v>
      </c>
      <c r="K1638" t="s">
        <v>6271</v>
      </c>
      <c r="L1638" t="s">
        <v>1738</v>
      </c>
      <c r="M1638" t="s">
        <v>1640</v>
      </c>
    </row>
    <row r="1639" spans="1:13" x14ac:dyDescent="0.25">
      <c r="A1639">
        <v>6023</v>
      </c>
      <c r="B1639" t="s">
        <v>677</v>
      </c>
      <c r="C1639" t="s">
        <v>6272</v>
      </c>
      <c r="D1639" t="s">
        <v>1643</v>
      </c>
      <c r="E1639" t="s">
        <v>1273</v>
      </c>
      <c r="F1639" t="s">
        <v>3462</v>
      </c>
      <c r="G1639" t="s">
        <v>6273</v>
      </c>
      <c r="H1639">
        <v>6023816000</v>
      </c>
      <c r="J1639">
        <v>6023814662</v>
      </c>
      <c r="K1639" t="s">
        <v>6274</v>
      </c>
      <c r="L1639" t="s">
        <v>1647</v>
      </c>
      <c r="M1639" t="s">
        <v>1634</v>
      </c>
    </row>
    <row r="1640" spans="1:13" x14ac:dyDescent="0.25">
      <c r="A1640">
        <v>6023</v>
      </c>
      <c r="B1640" t="s">
        <v>677</v>
      </c>
      <c r="C1640" t="s">
        <v>6272</v>
      </c>
      <c r="D1640" t="s">
        <v>1643</v>
      </c>
      <c r="E1640" t="s">
        <v>1273</v>
      </c>
      <c r="F1640" t="s">
        <v>6265</v>
      </c>
      <c r="G1640" t="s">
        <v>6098</v>
      </c>
      <c r="H1640">
        <v>6023814665</v>
      </c>
      <c r="J1640">
        <v>6023814662</v>
      </c>
      <c r="K1640" t="s">
        <v>6266</v>
      </c>
      <c r="L1640" t="s">
        <v>1721</v>
      </c>
      <c r="M1640" t="s">
        <v>1634</v>
      </c>
    </row>
    <row r="1641" spans="1:13" x14ac:dyDescent="0.25">
      <c r="A1641">
        <v>6023</v>
      </c>
      <c r="B1641" t="s">
        <v>677</v>
      </c>
      <c r="C1641" t="s">
        <v>6272</v>
      </c>
      <c r="D1641" t="s">
        <v>1643</v>
      </c>
      <c r="E1641" t="s">
        <v>1273</v>
      </c>
      <c r="F1641" t="s">
        <v>6269</v>
      </c>
      <c r="G1641" t="s">
        <v>6270</v>
      </c>
      <c r="H1641">
        <v>6023816060</v>
      </c>
      <c r="J1641">
        <v>6023816047</v>
      </c>
      <c r="K1641" t="s">
        <v>6275</v>
      </c>
      <c r="L1641" t="s">
        <v>1647</v>
      </c>
      <c r="M1641" t="s">
        <v>1634</v>
      </c>
    </row>
    <row r="1642" spans="1:13" x14ac:dyDescent="0.25">
      <c r="A1642">
        <v>6023</v>
      </c>
      <c r="B1642" t="s">
        <v>677</v>
      </c>
      <c r="C1642" t="s">
        <v>6272</v>
      </c>
      <c r="D1642" t="s">
        <v>1643</v>
      </c>
      <c r="E1642" t="s">
        <v>1273</v>
      </c>
      <c r="F1642" t="s">
        <v>4617</v>
      </c>
      <c r="G1642" t="s">
        <v>6276</v>
      </c>
      <c r="K1642" t="s">
        <v>6277</v>
      </c>
      <c r="M1642" t="s">
        <v>1634</v>
      </c>
    </row>
    <row r="1643" spans="1:13" x14ac:dyDescent="0.25">
      <c r="A1643">
        <v>6023</v>
      </c>
      <c r="B1643" t="s">
        <v>677</v>
      </c>
      <c r="C1643" t="s">
        <v>6272</v>
      </c>
      <c r="D1643" t="s">
        <v>1643</v>
      </c>
      <c r="E1643" t="s">
        <v>1273</v>
      </c>
      <c r="F1643" t="s">
        <v>1779</v>
      </c>
      <c r="G1643" t="s">
        <v>6278</v>
      </c>
      <c r="K1643" t="s">
        <v>6279</v>
      </c>
      <c r="M1643" t="s">
        <v>1634</v>
      </c>
    </row>
    <row r="1644" spans="1:13" x14ac:dyDescent="0.25">
      <c r="A1644">
        <v>5284</v>
      </c>
      <c r="B1644" t="s">
        <v>675</v>
      </c>
      <c r="C1644" t="s">
        <v>6280</v>
      </c>
      <c r="D1644" t="s">
        <v>1643</v>
      </c>
      <c r="E1644" t="s">
        <v>1273</v>
      </c>
      <c r="F1644" t="s">
        <v>3462</v>
      </c>
      <c r="G1644" t="s">
        <v>6273</v>
      </c>
      <c r="H1644">
        <v>6023816180</v>
      </c>
      <c r="J1644">
        <v>6023816192</v>
      </c>
      <c r="K1644" t="s">
        <v>6281</v>
      </c>
      <c r="L1644" t="s">
        <v>1647</v>
      </c>
      <c r="M1644" t="s">
        <v>1634</v>
      </c>
    </row>
    <row r="1645" spans="1:13" x14ac:dyDescent="0.25">
      <c r="A1645">
        <v>5284</v>
      </c>
      <c r="B1645" t="s">
        <v>675</v>
      </c>
      <c r="C1645" t="s">
        <v>6280</v>
      </c>
      <c r="D1645" t="s">
        <v>1643</v>
      </c>
      <c r="E1645" t="s">
        <v>1273</v>
      </c>
      <c r="F1645" t="s">
        <v>2253</v>
      </c>
      <c r="G1645" t="s">
        <v>2746</v>
      </c>
      <c r="H1645">
        <v>6023816180</v>
      </c>
      <c r="J1645">
        <v>6023816192</v>
      </c>
      <c r="K1645" t="s">
        <v>6282</v>
      </c>
      <c r="L1645" t="s">
        <v>1647</v>
      </c>
      <c r="M1645" t="s">
        <v>1634</v>
      </c>
    </row>
    <row r="1646" spans="1:13" x14ac:dyDescent="0.25">
      <c r="A1646">
        <v>5284</v>
      </c>
      <c r="B1646" t="s">
        <v>675</v>
      </c>
      <c r="C1646" t="s">
        <v>6280</v>
      </c>
      <c r="D1646" t="s">
        <v>1643</v>
      </c>
      <c r="E1646" t="s">
        <v>1273</v>
      </c>
      <c r="F1646" t="s">
        <v>6283</v>
      </c>
      <c r="G1646" t="s">
        <v>6284</v>
      </c>
      <c r="H1646">
        <v>6023816180</v>
      </c>
      <c r="K1646" t="s">
        <v>6285</v>
      </c>
      <c r="M1646" t="s">
        <v>1634</v>
      </c>
    </row>
    <row r="1647" spans="1:13" x14ac:dyDescent="0.25">
      <c r="A1647">
        <v>5284</v>
      </c>
      <c r="B1647" t="s">
        <v>675</v>
      </c>
      <c r="C1647" t="s">
        <v>6280</v>
      </c>
      <c r="D1647" t="s">
        <v>1643</v>
      </c>
      <c r="E1647" t="s">
        <v>1273</v>
      </c>
      <c r="F1647" t="s">
        <v>5583</v>
      </c>
      <c r="G1647" t="s">
        <v>2054</v>
      </c>
      <c r="H1647">
        <v>6023816140</v>
      </c>
      <c r="J1647">
        <v>6023816192</v>
      </c>
      <c r="K1647" t="s">
        <v>6286</v>
      </c>
      <c r="L1647" t="s">
        <v>1738</v>
      </c>
      <c r="M1647" t="s">
        <v>1640</v>
      </c>
    </row>
    <row r="1648" spans="1:13" x14ac:dyDescent="0.25">
      <c r="A1648">
        <v>5285</v>
      </c>
      <c r="B1648" t="s">
        <v>666</v>
      </c>
      <c r="C1648" t="s">
        <v>6287</v>
      </c>
      <c r="D1648" t="s">
        <v>1643</v>
      </c>
      <c r="E1648" t="s">
        <v>1273</v>
      </c>
      <c r="F1648" t="s">
        <v>6288</v>
      </c>
      <c r="G1648" t="s">
        <v>5222</v>
      </c>
      <c r="H1648">
        <v>6023816080</v>
      </c>
      <c r="J1648">
        <v>6023816094</v>
      </c>
      <c r="K1648" t="s">
        <v>6289</v>
      </c>
      <c r="L1648" t="s">
        <v>1738</v>
      </c>
      <c r="M1648" t="s">
        <v>1634</v>
      </c>
    </row>
    <row r="1649" spans="1:13" x14ac:dyDescent="0.25">
      <c r="A1649">
        <v>5286</v>
      </c>
      <c r="B1649" t="s">
        <v>673</v>
      </c>
      <c r="C1649" t="s">
        <v>6290</v>
      </c>
      <c r="D1649" t="s">
        <v>1643</v>
      </c>
      <c r="E1649" t="s">
        <v>1273</v>
      </c>
      <c r="F1649" t="s">
        <v>3024</v>
      </c>
      <c r="G1649" t="s">
        <v>6291</v>
      </c>
      <c r="H1649">
        <v>6023816120</v>
      </c>
      <c r="K1649" t="s">
        <v>6292</v>
      </c>
      <c r="L1649" t="s">
        <v>1647</v>
      </c>
      <c r="M1649" t="s">
        <v>1634</v>
      </c>
    </row>
    <row r="1650" spans="1:13" x14ac:dyDescent="0.25">
      <c r="A1650">
        <v>5286</v>
      </c>
      <c r="B1650" t="s">
        <v>673</v>
      </c>
      <c r="C1650" t="s">
        <v>6290</v>
      </c>
      <c r="D1650" t="s">
        <v>1643</v>
      </c>
      <c r="E1650" t="s">
        <v>1273</v>
      </c>
      <c r="F1650" t="s">
        <v>2401</v>
      </c>
      <c r="G1650" t="s">
        <v>6293</v>
      </c>
      <c r="H1650">
        <v>6023816120</v>
      </c>
      <c r="K1650" t="s">
        <v>6294</v>
      </c>
      <c r="L1650" t="s">
        <v>1647</v>
      </c>
      <c r="M1650" t="s">
        <v>1634</v>
      </c>
    </row>
    <row r="1651" spans="1:13" x14ac:dyDescent="0.25">
      <c r="A1651">
        <v>5286</v>
      </c>
      <c r="B1651" t="s">
        <v>673</v>
      </c>
      <c r="C1651" t="s">
        <v>6290</v>
      </c>
      <c r="D1651" t="s">
        <v>1643</v>
      </c>
      <c r="E1651" t="s">
        <v>1273</v>
      </c>
      <c r="F1651" t="s">
        <v>6295</v>
      </c>
      <c r="G1651" t="s">
        <v>6296</v>
      </c>
      <c r="H1651">
        <v>6023816060</v>
      </c>
      <c r="K1651" t="s">
        <v>6297</v>
      </c>
      <c r="L1651" t="s">
        <v>1647</v>
      </c>
      <c r="M1651" t="s">
        <v>1634</v>
      </c>
    </row>
    <row r="1652" spans="1:13" x14ac:dyDescent="0.25">
      <c r="A1652">
        <v>5287</v>
      </c>
      <c r="B1652" t="s">
        <v>680</v>
      </c>
      <c r="C1652" t="s">
        <v>6298</v>
      </c>
      <c r="D1652" t="s">
        <v>1643</v>
      </c>
      <c r="E1652" t="s">
        <v>1273</v>
      </c>
      <c r="F1652" t="s">
        <v>2222</v>
      </c>
      <c r="G1652" t="s">
        <v>6299</v>
      </c>
      <c r="H1652">
        <v>6023816140</v>
      </c>
      <c r="J1652">
        <v>6023816159</v>
      </c>
      <c r="K1652" t="s">
        <v>6300</v>
      </c>
      <c r="L1652" t="s">
        <v>1647</v>
      </c>
      <c r="M1652" t="s">
        <v>1634</v>
      </c>
    </row>
    <row r="1653" spans="1:13" x14ac:dyDescent="0.25">
      <c r="A1653">
        <v>5287</v>
      </c>
      <c r="B1653" t="s">
        <v>680</v>
      </c>
      <c r="C1653" t="s">
        <v>6298</v>
      </c>
      <c r="D1653" t="s">
        <v>1643</v>
      </c>
      <c r="E1653" t="s">
        <v>1273</v>
      </c>
      <c r="F1653" t="s">
        <v>2189</v>
      </c>
      <c r="G1653" t="s">
        <v>6301</v>
      </c>
      <c r="H1653">
        <v>6023816120</v>
      </c>
      <c r="J1653">
        <v>6023816159</v>
      </c>
      <c r="K1653" t="s">
        <v>6302</v>
      </c>
      <c r="L1653" t="s">
        <v>1738</v>
      </c>
      <c r="M1653" t="s">
        <v>1640</v>
      </c>
    </row>
    <row r="1654" spans="1:13" x14ac:dyDescent="0.25">
      <c r="A1654">
        <v>5288</v>
      </c>
      <c r="B1654" t="s">
        <v>683</v>
      </c>
      <c r="C1654" t="s">
        <v>6303</v>
      </c>
      <c r="D1654" t="s">
        <v>1643</v>
      </c>
      <c r="E1654" t="s">
        <v>1273</v>
      </c>
      <c r="F1654" t="s">
        <v>2082</v>
      </c>
      <c r="G1654" t="s">
        <v>6167</v>
      </c>
      <c r="H1654">
        <v>6023816100</v>
      </c>
      <c r="J1654">
        <v>6023816118</v>
      </c>
      <c r="K1654" t="s">
        <v>6304</v>
      </c>
      <c r="L1654" t="s">
        <v>1647</v>
      </c>
      <c r="M1654" t="s">
        <v>1634</v>
      </c>
    </row>
    <row r="1655" spans="1:13" x14ac:dyDescent="0.25">
      <c r="A1655">
        <v>5289</v>
      </c>
      <c r="B1655" t="s">
        <v>6305</v>
      </c>
      <c r="C1655" t="s">
        <v>6306</v>
      </c>
      <c r="D1655" t="s">
        <v>1643</v>
      </c>
      <c r="E1655" t="s">
        <v>1273</v>
      </c>
    </row>
    <row r="1656" spans="1:13" x14ac:dyDescent="0.25">
      <c r="A1656">
        <v>79285</v>
      </c>
      <c r="B1656" t="s">
        <v>842</v>
      </c>
      <c r="C1656" t="s">
        <v>6307</v>
      </c>
      <c r="D1656" t="s">
        <v>1643</v>
      </c>
      <c r="E1656" t="s">
        <v>1273</v>
      </c>
      <c r="F1656" t="s">
        <v>6101</v>
      </c>
      <c r="G1656" t="s">
        <v>6308</v>
      </c>
      <c r="H1656">
        <v>6023814670</v>
      </c>
      <c r="J1656">
        <v>6023814668</v>
      </c>
      <c r="K1656" t="s">
        <v>6309</v>
      </c>
      <c r="M1656" t="s">
        <v>1634</v>
      </c>
    </row>
    <row r="1657" spans="1:13" x14ac:dyDescent="0.25">
      <c r="A1657">
        <v>79285</v>
      </c>
      <c r="B1657" t="s">
        <v>842</v>
      </c>
      <c r="C1657" t="s">
        <v>6307</v>
      </c>
      <c r="D1657" t="s">
        <v>1643</v>
      </c>
      <c r="E1657" t="s">
        <v>1273</v>
      </c>
      <c r="F1657" t="s">
        <v>2376</v>
      </c>
      <c r="G1657" t="s">
        <v>6310</v>
      </c>
      <c r="H1657">
        <v>6023814670</v>
      </c>
      <c r="J1657">
        <v>6023814668</v>
      </c>
      <c r="K1657" t="s">
        <v>6311</v>
      </c>
      <c r="L1657" t="s">
        <v>1647</v>
      </c>
      <c r="M1657" t="s">
        <v>1634</v>
      </c>
    </row>
    <row r="1658" spans="1:13" x14ac:dyDescent="0.25">
      <c r="A1658">
        <v>79285</v>
      </c>
      <c r="B1658" t="s">
        <v>842</v>
      </c>
      <c r="C1658" t="s">
        <v>6307</v>
      </c>
      <c r="D1658" t="s">
        <v>1643</v>
      </c>
      <c r="E1658" t="s">
        <v>1273</v>
      </c>
      <c r="F1658" t="s">
        <v>6312</v>
      </c>
      <c r="G1658" t="s">
        <v>6313</v>
      </c>
      <c r="K1658" t="s">
        <v>6314</v>
      </c>
      <c r="M1658" t="s">
        <v>1634</v>
      </c>
    </row>
    <row r="1659" spans="1:13" x14ac:dyDescent="0.25">
      <c r="A1659">
        <v>79285</v>
      </c>
      <c r="B1659" t="s">
        <v>842</v>
      </c>
      <c r="C1659" t="s">
        <v>6307</v>
      </c>
      <c r="D1659" t="s">
        <v>1643</v>
      </c>
      <c r="E1659" t="s">
        <v>1273</v>
      </c>
      <c r="F1659" t="s">
        <v>6288</v>
      </c>
      <c r="G1659" t="s">
        <v>5222</v>
      </c>
      <c r="K1659" t="s">
        <v>6289</v>
      </c>
      <c r="L1659" t="s">
        <v>1647</v>
      </c>
      <c r="M1659" t="s">
        <v>1634</v>
      </c>
    </row>
    <row r="1660" spans="1:13" x14ac:dyDescent="0.25">
      <c r="A1660">
        <v>4264</v>
      </c>
      <c r="B1660" t="s">
        <v>1281</v>
      </c>
      <c r="C1660" t="s">
        <v>6315</v>
      </c>
      <c r="D1660" t="s">
        <v>1628</v>
      </c>
      <c r="E1660" t="s">
        <v>1273</v>
      </c>
      <c r="F1660" t="s">
        <v>6316</v>
      </c>
      <c r="G1660" t="s">
        <v>6317</v>
      </c>
      <c r="H1660">
        <v>6235333930</v>
      </c>
      <c r="K1660" t="s">
        <v>6318</v>
      </c>
      <c r="M1660" t="s">
        <v>1634</v>
      </c>
    </row>
    <row r="1661" spans="1:13" x14ac:dyDescent="0.25">
      <c r="A1661">
        <v>4264</v>
      </c>
      <c r="B1661" t="s">
        <v>1281</v>
      </c>
      <c r="C1661" t="s">
        <v>6315</v>
      </c>
      <c r="D1661" t="s">
        <v>1628</v>
      </c>
      <c r="E1661" t="s">
        <v>1273</v>
      </c>
      <c r="F1661" t="s">
        <v>1723</v>
      </c>
      <c r="G1661" t="s">
        <v>6319</v>
      </c>
      <c r="H1661">
        <v>6235333930</v>
      </c>
      <c r="J1661">
        <v>6235333934</v>
      </c>
      <c r="K1661" t="s">
        <v>6320</v>
      </c>
      <c r="L1661" t="s">
        <v>6321</v>
      </c>
      <c r="M1661" t="s">
        <v>1640</v>
      </c>
    </row>
    <row r="1662" spans="1:13" x14ac:dyDescent="0.25">
      <c r="A1662">
        <v>4264</v>
      </c>
      <c r="B1662" t="s">
        <v>1281</v>
      </c>
      <c r="C1662" t="s">
        <v>6315</v>
      </c>
      <c r="D1662" t="s">
        <v>1628</v>
      </c>
      <c r="E1662" t="s">
        <v>1273</v>
      </c>
      <c r="F1662" t="s">
        <v>6316</v>
      </c>
      <c r="G1662" t="s">
        <v>6317</v>
      </c>
      <c r="H1662">
        <v>6235333930</v>
      </c>
      <c r="K1662" t="s">
        <v>6318</v>
      </c>
      <c r="M1662" t="s">
        <v>1640</v>
      </c>
    </row>
    <row r="1663" spans="1:13" x14ac:dyDescent="0.25">
      <c r="A1663">
        <v>4264</v>
      </c>
      <c r="B1663" t="s">
        <v>1281</v>
      </c>
      <c r="C1663" t="s">
        <v>6315</v>
      </c>
      <c r="D1663" t="s">
        <v>1628</v>
      </c>
      <c r="E1663" t="s">
        <v>1273</v>
      </c>
      <c r="F1663" t="s">
        <v>4486</v>
      </c>
      <c r="G1663" t="s">
        <v>6322</v>
      </c>
      <c r="H1663">
        <v>6235333917</v>
      </c>
      <c r="K1663" t="s">
        <v>6323</v>
      </c>
      <c r="M1663" t="s">
        <v>1765</v>
      </c>
    </row>
    <row r="1664" spans="1:13" x14ac:dyDescent="0.25">
      <c r="A1664">
        <v>4264</v>
      </c>
      <c r="B1664" t="s">
        <v>1281</v>
      </c>
      <c r="C1664" t="s">
        <v>6315</v>
      </c>
      <c r="D1664" t="s">
        <v>1628</v>
      </c>
      <c r="E1664" t="s">
        <v>1273</v>
      </c>
      <c r="F1664" t="s">
        <v>2261</v>
      </c>
      <c r="G1664" t="s">
        <v>6324</v>
      </c>
      <c r="K1664" t="s">
        <v>6325</v>
      </c>
      <c r="M1664" t="s">
        <v>1765</v>
      </c>
    </row>
    <row r="1665" spans="1:13" x14ac:dyDescent="0.25">
      <c r="A1665">
        <v>4264</v>
      </c>
      <c r="B1665" t="s">
        <v>1281</v>
      </c>
      <c r="C1665" t="s">
        <v>6315</v>
      </c>
      <c r="D1665" t="s">
        <v>1628</v>
      </c>
      <c r="E1665" t="s">
        <v>1273</v>
      </c>
      <c r="F1665" t="s">
        <v>2876</v>
      </c>
      <c r="G1665" t="s">
        <v>6326</v>
      </c>
      <c r="K1665" t="s">
        <v>6327</v>
      </c>
      <c r="L1665" t="s">
        <v>6328</v>
      </c>
      <c r="M1665" t="s">
        <v>1765</v>
      </c>
    </row>
    <row r="1666" spans="1:13" x14ac:dyDescent="0.25">
      <c r="A1666">
        <v>6240</v>
      </c>
      <c r="B1666" t="s">
        <v>6329</v>
      </c>
      <c r="C1666" t="s">
        <v>6330</v>
      </c>
      <c r="D1666" t="s">
        <v>1643</v>
      </c>
      <c r="E1666" t="s">
        <v>1273</v>
      </c>
    </row>
    <row r="1667" spans="1:13" x14ac:dyDescent="0.25">
      <c r="A1667">
        <v>10869</v>
      </c>
      <c r="B1667" t="s">
        <v>502</v>
      </c>
      <c r="C1667" t="s">
        <v>6331</v>
      </c>
      <c r="D1667" t="s">
        <v>1643</v>
      </c>
      <c r="E1667" t="s">
        <v>1273</v>
      </c>
    </row>
    <row r="1668" spans="1:13" x14ac:dyDescent="0.25">
      <c r="A1668">
        <v>79402</v>
      </c>
      <c r="B1668" t="s">
        <v>1357</v>
      </c>
      <c r="C1668" t="s">
        <v>6332</v>
      </c>
      <c r="D1668" t="s">
        <v>1643</v>
      </c>
      <c r="E1668" t="s">
        <v>1273</v>
      </c>
      <c r="F1668" t="s">
        <v>1787</v>
      </c>
      <c r="G1668" t="s">
        <v>6333</v>
      </c>
      <c r="K1668" t="s">
        <v>6334</v>
      </c>
      <c r="L1668" t="s">
        <v>6335</v>
      </c>
      <c r="M1668" t="s">
        <v>1634</v>
      </c>
    </row>
    <row r="1669" spans="1:13" x14ac:dyDescent="0.25">
      <c r="A1669">
        <v>79402</v>
      </c>
      <c r="B1669" t="s">
        <v>1357</v>
      </c>
      <c r="C1669" t="s">
        <v>6332</v>
      </c>
      <c r="D1669" t="s">
        <v>1643</v>
      </c>
      <c r="E1669" t="s">
        <v>1273</v>
      </c>
      <c r="F1669" t="s">
        <v>2307</v>
      </c>
      <c r="G1669" t="s">
        <v>6336</v>
      </c>
      <c r="H1669">
        <v>6235333970</v>
      </c>
      <c r="J1669">
        <v>6239075271</v>
      </c>
      <c r="K1669" t="s">
        <v>6337</v>
      </c>
      <c r="L1669" t="s">
        <v>1647</v>
      </c>
      <c r="M1669" t="s">
        <v>1634</v>
      </c>
    </row>
    <row r="1670" spans="1:13" x14ac:dyDescent="0.25">
      <c r="A1670">
        <v>87526</v>
      </c>
      <c r="B1670" t="s">
        <v>5112</v>
      </c>
      <c r="C1670" t="s">
        <v>6338</v>
      </c>
      <c r="D1670" t="s">
        <v>1643</v>
      </c>
      <c r="E1670" t="s">
        <v>1273</v>
      </c>
    </row>
    <row r="1671" spans="1:13" x14ac:dyDescent="0.25">
      <c r="A1671">
        <v>4265</v>
      </c>
      <c r="B1671" t="s">
        <v>322</v>
      </c>
      <c r="C1671" t="s">
        <v>6339</v>
      </c>
      <c r="D1671" t="s">
        <v>1628</v>
      </c>
      <c r="E1671" t="s">
        <v>1273</v>
      </c>
      <c r="F1671" t="s">
        <v>3570</v>
      </c>
      <c r="G1671" t="s">
        <v>6006</v>
      </c>
      <c r="H1671">
        <v>6023535002</v>
      </c>
      <c r="K1671" t="s">
        <v>6340</v>
      </c>
      <c r="L1671" t="s">
        <v>6341</v>
      </c>
      <c r="M1671" t="s">
        <v>1634</v>
      </c>
    </row>
    <row r="1672" spans="1:13" x14ac:dyDescent="0.25">
      <c r="A1672">
        <v>4265</v>
      </c>
      <c r="B1672" t="s">
        <v>322</v>
      </c>
      <c r="C1672" t="s">
        <v>6339</v>
      </c>
      <c r="D1672" t="s">
        <v>1628</v>
      </c>
      <c r="E1672" t="s">
        <v>1273</v>
      </c>
      <c r="F1672" t="s">
        <v>6342</v>
      </c>
      <c r="G1672" t="s">
        <v>6343</v>
      </c>
      <c r="H1672">
        <v>6023535002</v>
      </c>
      <c r="K1672" t="s">
        <v>6344</v>
      </c>
      <c r="L1672" t="s">
        <v>1668</v>
      </c>
      <c r="M1672" t="s">
        <v>1634</v>
      </c>
    </row>
    <row r="1673" spans="1:13" x14ac:dyDescent="0.25">
      <c r="A1673">
        <v>4265</v>
      </c>
      <c r="B1673" t="s">
        <v>322</v>
      </c>
      <c r="C1673" t="s">
        <v>6339</v>
      </c>
      <c r="D1673" t="s">
        <v>1628</v>
      </c>
      <c r="E1673" t="s">
        <v>1273</v>
      </c>
      <c r="F1673" t="s">
        <v>6345</v>
      </c>
      <c r="G1673" t="s">
        <v>2310</v>
      </c>
      <c r="H1673">
        <v>6023535083</v>
      </c>
      <c r="K1673" t="s">
        <v>6346</v>
      </c>
      <c r="L1673" t="s">
        <v>6347</v>
      </c>
      <c r="M1673" t="s">
        <v>1634</v>
      </c>
    </row>
    <row r="1674" spans="1:13" x14ac:dyDescent="0.25">
      <c r="A1674">
        <v>4265</v>
      </c>
      <c r="B1674" t="s">
        <v>322</v>
      </c>
      <c r="C1674" t="s">
        <v>6339</v>
      </c>
      <c r="D1674" t="s">
        <v>1628</v>
      </c>
      <c r="E1674" t="s">
        <v>1273</v>
      </c>
      <c r="F1674" t="s">
        <v>2610</v>
      </c>
      <c r="G1674" t="s">
        <v>6348</v>
      </c>
      <c r="H1674">
        <v>6023535058</v>
      </c>
      <c r="K1674" t="s">
        <v>6349</v>
      </c>
      <c r="L1674" t="s">
        <v>2358</v>
      </c>
      <c r="M1674" t="s">
        <v>1640</v>
      </c>
    </row>
    <row r="1675" spans="1:13" x14ac:dyDescent="0.25">
      <c r="A1675">
        <v>4265</v>
      </c>
      <c r="B1675" t="s">
        <v>322</v>
      </c>
      <c r="C1675" t="s">
        <v>6339</v>
      </c>
      <c r="D1675" t="s">
        <v>1628</v>
      </c>
      <c r="E1675" t="s">
        <v>1273</v>
      </c>
      <c r="F1675" t="s">
        <v>6350</v>
      </c>
      <c r="G1675" t="s">
        <v>6351</v>
      </c>
      <c r="H1675">
        <v>6023535050</v>
      </c>
      <c r="K1675" t="s">
        <v>6352</v>
      </c>
      <c r="L1675" t="s">
        <v>1800</v>
      </c>
      <c r="M1675" t="s">
        <v>1765</v>
      </c>
    </row>
    <row r="1676" spans="1:13" x14ac:dyDescent="0.25">
      <c r="A1676">
        <v>4265</v>
      </c>
      <c r="B1676" t="s">
        <v>322</v>
      </c>
      <c r="C1676" t="s">
        <v>6339</v>
      </c>
      <c r="D1676" t="s">
        <v>1628</v>
      </c>
      <c r="E1676" t="s">
        <v>1273</v>
      </c>
      <c r="F1676" t="s">
        <v>2307</v>
      </c>
      <c r="G1676" t="s">
        <v>6353</v>
      </c>
      <c r="H1676">
        <v>6023535017</v>
      </c>
      <c r="K1676" t="s">
        <v>6354</v>
      </c>
      <c r="L1676" t="s">
        <v>6355</v>
      </c>
      <c r="M1676" t="s">
        <v>1765</v>
      </c>
    </row>
    <row r="1677" spans="1:13" x14ac:dyDescent="0.25">
      <c r="A1677">
        <v>5290</v>
      </c>
      <c r="B1677" t="s">
        <v>609</v>
      </c>
      <c r="C1677" t="s">
        <v>6356</v>
      </c>
      <c r="D1677" t="s">
        <v>1643</v>
      </c>
      <c r="E1677" t="s">
        <v>1273</v>
      </c>
    </row>
    <row r="1678" spans="1:13" x14ac:dyDescent="0.25">
      <c r="A1678">
        <v>5291</v>
      </c>
      <c r="B1678" t="s">
        <v>6357</v>
      </c>
      <c r="C1678" t="s">
        <v>6358</v>
      </c>
      <c r="D1678" t="s">
        <v>1643</v>
      </c>
      <c r="E1678" t="s">
        <v>1273</v>
      </c>
      <c r="F1678" t="s">
        <v>2632</v>
      </c>
      <c r="G1678" t="s">
        <v>6359</v>
      </c>
      <c r="H1678">
        <v>6023535445</v>
      </c>
      <c r="K1678" t="s">
        <v>6360</v>
      </c>
      <c r="M1678" t="s">
        <v>1634</v>
      </c>
    </row>
    <row r="1679" spans="1:13" x14ac:dyDescent="0.25">
      <c r="A1679">
        <v>5292</v>
      </c>
      <c r="B1679" t="s">
        <v>1461</v>
      </c>
      <c r="C1679" t="s">
        <v>6361</v>
      </c>
      <c r="D1679" t="s">
        <v>1643</v>
      </c>
      <c r="E1679" t="s">
        <v>1273</v>
      </c>
      <c r="F1679" t="s">
        <v>6362</v>
      </c>
      <c r="G1679" t="s">
        <v>6363</v>
      </c>
      <c r="K1679" t="s">
        <v>6364</v>
      </c>
      <c r="M1679" t="s">
        <v>1634</v>
      </c>
    </row>
    <row r="1680" spans="1:13" x14ac:dyDescent="0.25">
      <c r="A1680">
        <v>5292</v>
      </c>
      <c r="B1680" t="s">
        <v>1461</v>
      </c>
      <c r="C1680" t="s">
        <v>6361</v>
      </c>
      <c r="D1680" t="s">
        <v>1643</v>
      </c>
      <c r="E1680" t="s">
        <v>1273</v>
      </c>
      <c r="F1680" t="s">
        <v>6365</v>
      </c>
      <c r="G1680" t="s">
        <v>6366</v>
      </c>
      <c r="K1680" t="s">
        <v>6367</v>
      </c>
      <c r="M1680" t="s">
        <v>1634</v>
      </c>
    </row>
    <row r="1681" spans="1:13" x14ac:dyDescent="0.25">
      <c r="A1681">
        <v>4266</v>
      </c>
      <c r="B1681" t="s">
        <v>6368</v>
      </c>
      <c r="C1681" t="s">
        <v>6369</v>
      </c>
      <c r="D1681" t="s">
        <v>1628</v>
      </c>
      <c r="E1681" t="s">
        <v>1273</v>
      </c>
      <c r="F1681" t="s">
        <v>1779</v>
      </c>
      <c r="G1681" t="s">
        <v>1936</v>
      </c>
      <c r="H1681">
        <v>6233272810</v>
      </c>
      <c r="K1681" t="s">
        <v>6370</v>
      </c>
      <c r="L1681" t="s">
        <v>6371</v>
      </c>
      <c r="M1681" t="s">
        <v>1634</v>
      </c>
    </row>
    <row r="1682" spans="1:13" x14ac:dyDescent="0.25">
      <c r="A1682">
        <v>4266</v>
      </c>
      <c r="B1682" t="s">
        <v>6368</v>
      </c>
      <c r="C1682" t="s">
        <v>6369</v>
      </c>
      <c r="D1682" t="s">
        <v>1628</v>
      </c>
      <c r="E1682" t="s">
        <v>1273</v>
      </c>
      <c r="F1682" t="s">
        <v>6372</v>
      </c>
      <c r="G1682" t="s">
        <v>6373</v>
      </c>
      <c r="L1682" t="s">
        <v>1738</v>
      </c>
      <c r="M1682" t="s">
        <v>1634</v>
      </c>
    </row>
    <row r="1683" spans="1:13" x14ac:dyDescent="0.25">
      <c r="A1683">
        <v>4266</v>
      </c>
      <c r="B1683" t="s">
        <v>6368</v>
      </c>
      <c r="C1683" t="s">
        <v>6369</v>
      </c>
      <c r="D1683" t="s">
        <v>1628</v>
      </c>
      <c r="E1683" t="s">
        <v>1273</v>
      </c>
      <c r="F1683" t="s">
        <v>1787</v>
      </c>
      <c r="G1683" t="s">
        <v>3399</v>
      </c>
      <c r="H1683">
        <v>6234746682</v>
      </c>
      <c r="K1683" t="s">
        <v>6374</v>
      </c>
      <c r="L1683" t="s">
        <v>6375</v>
      </c>
      <c r="M1683" t="s">
        <v>1634</v>
      </c>
    </row>
    <row r="1684" spans="1:13" x14ac:dyDescent="0.25">
      <c r="A1684">
        <v>4266</v>
      </c>
      <c r="B1684" t="s">
        <v>6368</v>
      </c>
      <c r="C1684" t="s">
        <v>6369</v>
      </c>
      <c r="D1684" t="s">
        <v>1628</v>
      </c>
      <c r="E1684" t="s">
        <v>1273</v>
      </c>
      <c r="F1684" t="s">
        <v>2886</v>
      </c>
      <c r="G1684" t="s">
        <v>6376</v>
      </c>
      <c r="K1684" t="s">
        <v>6377</v>
      </c>
      <c r="L1684" t="s">
        <v>2358</v>
      </c>
      <c r="M1684" t="s">
        <v>1640</v>
      </c>
    </row>
    <row r="1685" spans="1:13" x14ac:dyDescent="0.25">
      <c r="A1685">
        <v>5294</v>
      </c>
      <c r="B1685" t="s">
        <v>1516</v>
      </c>
      <c r="C1685" t="s">
        <v>6378</v>
      </c>
      <c r="D1685" t="s">
        <v>1643</v>
      </c>
      <c r="E1685" t="s">
        <v>1273</v>
      </c>
      <c r="F1685" t="s">
        <v>1779</v>
      </c>
      <c r="G1685" t="s">
        <v>1936</v>
      </c>
      <c r="H1685">
        <v>6233272810</v>
      </c>
      <c r="K1685" t="s">
        <v>6370</v>
      </c>
      <c r="L1685" t="s">
        <v>1647</v>
      </c>
      <c r="M1685" t="s">
        <v>1634</v>
      </c>
    </row>
    <row r="1686" spans="1:13" x14ac:dyDescent="0.25">
      <c r="A1686">
        <v>5294</v>
      </c>
      <c r="B1686" t="s">
        <v>1516</v>
      </c>
      <c r="C1686" t="s">
        <v>6378</v>
      </c>
      <c r="D1686" t="s">
        <v>1643</v>
      </c>
      <c r="E1686" t="s">
        <v>1273</v>
      </c>
      <c r="F1686" t="s">
        <v>3945</v>
      </c>
      <c r="G1686" t="s">
        <v>6379</v>
      </c>
      <c r="H1686">
        <v>6233272810</v>
      </c>
      <c r="K1686" t="s">
        <v>6380</v>
      </c>
      <c r="M1686" t="s">
        <v>1634</v>
      </c>
    </row>
    <row r="1687" spans="1:13" x14ac:dyDescent="0.25">
      <c r="A1687">
        <v>5295</v>
      </c>
      <c r="B1687" t="s">
        <v>6381</v>
      </c>
      <c r="C1687" t="s">
        <v>6382</v>
      </c>
      <c r="D1687" t="s">
        <v>1643</v>
      </c>
      <c r="E1687" t="s">
        <v>1273</v>
      </c>
      <c r="F1687" t="s">
        <v>3253</v>
      </c>
      <c r="G1687" t="s">
        <v>6383</v>
      </c>
      <c r="H1687">
        <v>6233272820</v>
      </c>
      <c r="K1687" t="s">
        <v>6384</v>
      </c>
      <c r="L1687" t="s">
        <v>1647</v>
      </c>
      <c r="M1687" t="s">
        <v>1634</v>
      </c>
    </row>
    <row r="1688" spans="1:13" x14ac:dyDescent="0.25">
      <c r="A1688">
        <v>79652</v>
      </c>
      <c r="B1688" t="s">
        <v>6385</v>
      </c>
      <c r="C1688" t="s">
        <v>6386</v>
      </c>
      <c r="D1688" t="s">
        <v>1643</v>
      </c>
      <c r="E1688" t="s">
        <v>1273</v>
      </c>
      <c r="F1688" t="s">
        <v>2344</v>
      </c>
      <c r="G1688" t="s">
        <v>6387</v>
      </c>
      <c r="H1688">
        <v>6233272830</v>
      </c>
      <c r="K1688" t="s">
        <v>6388</v>
      </c>
      <c r="L1688" t="s">
        <v>1647</v>
      </c>
      <c r="M1688" t="s">
        <v>1634</v>
      </c>
    </row>
    <row r="1689" spans="1:13" x14ac:dyDescent="0.25">
      <c r="A1689">
        <v>79846</v>
      </c>
      <c r="B1689" t="s">
        <v>6389</v>
      </c>
      <c r="C1689" t="s">
        <v>6390</v>
      </c>
      <c r="D1689" t="s">
        <v>1643</v>
      </c>
      <c r="E1689" t="s">
        <v>1273</v>
      </c>
      <c r="F1689" t="s">
        <v>5079</v>
      </c>
      <c r="G1689" t="s">
        <v>6391</v>
      </c>
      <c r="H1689">
        <v>6233272840</v>
      </c>
      <c r="K1689" t="s">
        <v>6392</v>
      </c>
      <c r="L1689" t="s">
        <v>1647</v>
      </c>
      <c r="M1689" t="s">
        <v>1634</v>
      </c>
    </row>
    <row r="1690" spans="1:13" x14ac:dyDescent="0.25">
      <c r="A1690">
        <v>87475</v>
      </c>
      <c r="B1690" t="s">
        <v>6393</v>
      </c>
      <c r="C1690" t="s">
        <v>6394</v>
      </c>
      <c r="D1690" t="s">
        <v>1643</v>
      </c>
      <c r="E1690" t="s">
        <v>1273</v>
      </c>
      <c r="F1690" t="s">
        <v>3040</v>
      </c>
      <c r="G1690" t="s">
        <v>6395</v>
      </c>
      <c r="K1690" t="s">
        <v>6396</v>
      </c>
      <c r="L1690" t="s">
        <v>1647</v>
      </c>
      <c r="M1690" t="s">
        <v>1634</v>
      </c>
    </row>
    <row r="1691" spans="1:13" x14ac:dyDescent="0.25">
      <c r="A1691">
        <v>87475</v>
      </c>
      <c r="B1691" t="s">
        <v>6393</v>
      </c>
      <c r="C1691" t="s">
        <v>6394</v>
      </c>
      <c r="D1691" t="s">
        <v>1643</v>
      </c>
      <c r="E1691" t="s">
        <v>1273</v>
      </c>
      <c r="F1691" t="s">
        <v>4008</v>
      </c>
      <c r="G1691" t="s">
        <v>6397</v>
      </c>
      <c r="K1691" t="s">
        <v>6398</v>
      </c>
      <c r="M1691" t="s">
        <v>1634</v>
      </c>
    </row>
    <row r="1692" spans="1:13" x14ac:dyDescent="0.25">
      <c r="A1692">
        <v>92706</v>
      </c>
      <c r="B1692" t="s">
        <v>6399</v>
      </c>
      <c r="C1692" t="s">
        <v>6400</v>
      </c>
      <c r="D1692" t="s">
        <v>1643</v>
      </c>
      <c r="E1692" t="s">
        <v>1273</v>
      </c>
      <c r="F1692" t="s">
        <v>2886</v>
      </c>
      <c r="G1692" t="s">
        <v>6376</v>
      </c>
      <c r="J1692">
        <v>6234746629</v>
      </c>
      <c r="K1692" t="s">
        <v>6377</v>
      </c>
      <c r="L1692" t="s">
        <v>2358</v>
      </c>
      <c r="M1692" t="s">
        <v>1634</v>
      </c>
    </row>
    <row r="1693" spans="1:13" x14ac:dyDescent="0.25">
      <c r="A1693">
        <v>1001165</v>
      </c>
      <c r="B1693" t="s">
        <v>6401</v>
      </c>
      <c r="C1693" t="s">
        <v>6402</v>
      </c>
      <c r="D1693" t="s">
        <v>1643</v>
      </c>
      <c r="E1693" t="s">
        <v>1273</v>
      </c>
      <c r="F1693" t="s">
        <v>2886</v>
      </c>
      <c r="G1693" t="s">
        <v>6376</v>
      </c>
      <c r="H1693">
        <v>6234746613</v>
      </c>
      <c r="J1693">
        <v>6234746629</v>
      </c>
      <c r="K1693" t="s">
        <v>6403</v>
      </c>
      <c r="L1693" t="s">
        <v>6404</v>
      </c>
      <c r="M1693" t="s">
        <v>1634</v>
      </c>
    </row>
    <row r="1694" spans="1:13" x14ac:dyDescent="0.25">
      <c r="A1694">
        <v>4267</v>
      </c>
      <c r="B1694" t="s">
        <v>6405</v>
      </c>
      <c r="C1694" t="s">
        <v>6406</v>
      </c>
      <c r="D1694" t="s">
        <v>1628</v>
      </c>
      <c r="E1694" t="s">
        <v>1273</v>
      </c>
      <c r="F1694" t="s">
        <v>1929</v>
      </c>
      <c r="G1694" t="s">
        <v>6407</v>
      </c>
      <c r="H1694">
        <v>4807834123</v>
      </c>
      <c r="K1694" t="s">
        <v>6408</v>
      </c>
      <c r="L1694" t="s">
        <v>6409</v>
      </c>
      <c r="M1694" t="s">
        <v>1634</v>
      </c>
    </row>
    <row r="1695" spans="1:13" x14ac:dyDescent="0.25">
      <c r="A1695">
        <v>4267</v>
      </c>
      <c r="B1695" t="s">
        <v>6405</v>
      </c>
      <c r="C1695" t="s">
        <v>6406</v>
      </c>
      <c r="D1695" t="s">
        <v>1628</v>
      </c>
      <c r="E1695" t="s">
        <v>1273</v>
      </c>
      <c r="F1695" t="s">
        <v>2156</v>
      </c>
      <c r="G1695" t="s">
        <v>6410</v>
      </c>
      <c r="H1695">
        <v>4805411125</v>
      </c>
      <c r="K1695" t="s">
        <v>6411</v>
      </c>
      <c r="L1695" t="s">
        <v>1668</v>
      </c>
      <c r="M1695" t="s">
        <v>1634</v>
      </c>
    </row>
    <row r="1696" spans="1:13" x14ac:dyDescent="0.25">
      <c r="A1696">
        <v>4267</v>
      </c>
      <c r="B1696" t="s">
        <v>6405</v>
      </c>
      <c r="C1696" t="s">
        <v>6406</v>
      </c>
      <c r="D1696" t="s">
        <v>1628</v>
      </c>
      <c r="E1696" t="s">
        <v>1273</v>
      </c>
      <c r="F1696" t="s">
        <v>6412</v>
      </c>
      <c r="G1696" t="s">
        <v>6413</v>
      </c>
      <c r="L1696" t="s">
        <v>6414</v>
      </c>
      <c r="M1696" t="s">
        <v>1634</v>
      </c>
    </row>
    <row r="1697" spans="1:13" x14ac:dyDescent="0.25">
      <c r="A1697">
        <v>4267</v>
      </c>
      <c r="B1697" t="s">
        <v>6405</v>
      </c>
      <c r="C1697" t="s">
        <v>6406</v>
      </c>
      <c r="D1697" t="s">
        <v>1628</v>
      </c>
      <c r="E1697" t="s">
        <v>1273</v>
      </c>
      <c r="F1697" t="s">
        <v>3623</v>
      </c>
      <c r="G1697" t="s">
        <v>6415</v>
      </c>
      <c r="H1697">
        <v>4805411357</v>
      </c>
      <c r="J1697">
        <v>4805411841</v>
      </c>
      <c r="K1697" t="s">
        <v>6416</v>
      </c>
      <c r="L1697" t="s">
        <v>5767</v>
      </c>
      <c r="M1697" t="s">
        <v>1640</v>
      </c>
    </row>
    <row r="1698" spans="1:13" x14ac:dyDescent="0.25">
      <c r="A1698">
        <v>4267</v>
      </c>
      <c r="B1698" t="s">
        <v>6405</v>
      </c>
      <c r="C1698" t="s">
        <v>6406</v>
      </c>
      <c r="D1698" t="s">
        <v>1628</v>
      </c>
      <c r="E1698" t="s">
        <v>1273</v>
      </c>
      <c r="F1698" t="s">
        <v>3193</v>
      </c>
      <c r="G1698" t="s">
        <v>6417</v>
      </c>
      <c r="H1698">
        <v>4805411370</v>
      </c>
      <c r="K1698" t="s">
        <v>6418</v>
      </c>
      <c r="L1698" t="s">
        <v>3210</v>
      </c>
      <c r="M1698" t="s">
        <v>1640</v>
      </c>
    </row>
    <row r="1699" spans="1:13" x14ac:dyDescent="0.25">
      <c r="A1699">
        <v>4267</v>
      </c>
      <c r="B1699" t="s">
        <v>6405</v>
      </c>
      <c r="C1699" t="s">
        <v>6406</v>
      </c>
      <c r="D1699" t="s">
        <v>1628</v>
      </c>
      <c r="E1699" t="s">
        <v>1273</v>
      </c>
      <c r="F1699" t="s">
        <v>4140</v>
      </c>
      <c r="G1699" t="s">
        <v>6419</v>
      </c>
      <c r="H1699">
        <v>4805411240</v>
      </c>
      <c r="K1699" t="s">
        <v>6420</v>
      </c>
      <c r="M1699" t="s">
        <v>1765</v>
      </c>
    </row>
    <row r="1700" spans="1:13" x14ac:dyDescent="0.25">
      <c r="A1700">
        <v>4267</v>
      </c>
      <c r="B1700" t="s">
        <v>6405</v>
      </c>
      <c r="C1700" t="s">
        <v>6406</v>
      </c>
      <c r="D1700" t="s">
        <v>1628</v>
      </c>
      <c r="E1700" t="s">
        <v>1273</v>
      </c>
      <c r="F1700" t="s">
        <v>1779</v>
      </c>
      <c r="G1700" t="s">
        <v>6421</v>
      </c>
      <c r="H1700">
        <v>4805411234</v>
      </c>
      <c r="K1700" t="s">
        <v>6422</v>
      </c>
      <c r="M1700" t="s">
        <v>1765</v>
      </c>
    </row>
    <row r="1701" spans="1:13" x14ac:dyDescent="0.25">
      <c r="A1701">
        <v>5296</v>
      </c>
      <c r="B1701" t="s">
        <v>6423</v>
      </c>
      <c r="C1701" t="s">
        <v>6424</v>
      </c>
      <c r="D1701" t="s">
        <v>1643</v>
      </c>
      <c r="E1701" t="s">
        <v>1273</v>
      </c>
    </row>
    <row r="1702" spans="1:13" x14ac:dyDescent="0.25">
      <c r="A1702">
        <v>5297</v>
      </c>
      <c r="B1702" t="s">
        <v>6425</v>
      </c>
      <c r="C1702" t="s">
        <v>6426</v>
      </c>
      <c r="D1702" t="s">
        <v>1643</v>
      </c>
      <c r="E1702" t="s">
        <v>1273</v>
      </c>
    </row>
    <row r="1703" spans="1:13" x14ac:dyDescent="0.25">
      <c r="A1703">
        <v>5298</v>
      </c>
      <c r="B1703" t="s">
        <v>6427</v>
      </c>
      <c r="C1703" t="s">
        <v>6428</v>
      </c>
      <c r="D1703" t="s">
        <v>1643</v>
      </c>
      <c r="E1703" t="s">
        <v>1273</v>
      </c>
    </row>
    <row r="1704" spans="1:13" x14ac:dyDescent="0.25">
      <c r="A1704">
        <v>5299</v>
      </c>
      <c r="B1704" t="s">
        <v>6429</v>
      </c>
      <c r="C1704" t="s">
        <v>6430</v>
      </c>
      <c r="D1704" t="s">
        <v>1643</v>
      </c>
      <c r="E1704" t="s">
        <v>1273</v>
      </c>
    </row>
    <row r="1705" spans="1:13" x14ac:dyDescent="0.25">
      <c r="A1705">
        <v>5300</v>
      </c>
      <c r="B1705" t="s">
        <v>6431</v>
      </c>
      <c r="C1705" t="s">
        <v>6432</v>
      </c>
      <c r="D1705" t="s">
        <v>1643</v>
      </c>
      <c r="E1705" t="s">
        <v>1273</v>
      </c>
      <c r="F1705" t="s">
        <v>2249</v>
      </c>
      <c r="G1705" t="s">
        <v>2926</v>
      </c>
      <c r="H1705">
        <v>4805416800</v>
      </c>
      <c r="M1705" t="s">
        <v>1640</v>
      </c>
    </row>
    <row r="1706" spans="1:13" x14ac:dyDescent="0.25">
      <c r="A1706">
        <v>5301</v>
      </c>
      <c r="B1706" t="s">
        <v>6433</v>
      </c>
      <c r="C1706" t="s">
        <v>6434</v>
      </c>
      <c r="D1706" t="s">
        <v>1643</v>
      </c>
      <c r="E1706" t="s">
        <v>1273</v>
      </c>
    </row>
    <row r="1707" spans="1:13" x14ac:dyDescent="0.25">
      <c r="A1707">
        <v>5302</v>
      </c>
      <c r="B1707" t="s">
        <v>6435</v>
      </c>
      <c r="C1707" t="s">
        <v>6436</v>
      </c>
      <c r="D1707" t="s">
        <v>1643</v>
      </c>
      <c r="E1707" t="s">
        <v>1273</v>
      </c>
      <c r="F1707" t="s">
        <v>2587</v>
      </c>
      <c r="G1707" t="s">
        <v>3211</v>
      </c>
      <c r="H1707">
        <v>4805415600</v>
      </c>
      <c r="K1707" t="s">
        <v>6437</v>
      </c>
      <c r="L1707" t="s">
        <v>1647</v>
      </c>
      <c r="M1707" t="s">
        <v>1634</v>
      </c>
    </row>
    <row r="1708" spans="1:13" x14ac:dyDescent="0.25">
      <c r="A1708">
        <v>5303</v>
      </c>
      <c r="B1708" t="s">
        <v>6438</v>
      </c>
      <c r="C1708" t="s">
        <v>6439</v>
      </c>
      <c r="D1708" t="s">
        <v>1643</v>
      </c>
      <c r="E1708" t="s">
        <v>1273</v>
      </c>
      <c r="F1708" t="s">
        <v>5828</v>
      </c>
      <c r="G1708" t="s">
        <v>2287</v>
      </c>
      <c r="H1708">
        <v>4805411370</v>
      </c>
      <c r="K1708" t="s">
        <v>6440</v>
      </c>
      <c r="L1708" t="s">
        <v>1647</v>
      </c>
      <c r="M1708" t="s">
        <v>1640</v>
      </c>
    </row>
    <row r="1709" spans="1:13" x14ac:dyDescent="0.25">
      <c r="A1709">
        <v>5304</v>
      </c>
      <c r="B1709" t="s">
        <v>6441</v>
      </c>
      <c r="C1709" t="s">
        <v>6442</v>
      </c>
      <c r="D1709" t="s">
        <v>1643</v>
      </c>
      <c r="E1709" t="s">
        <v>1273</v>
      </c>
      <c r="F1709" t="s">
        <v>3193</v>
      </c>
      <c r="G1709" t="s">
        <v>3211</v>
      </c>
      <c r="H1709">
        <v>4805413450</v>
      </c>
      <c r="J1709">
        <v>4807835766</v>
      </c>
      <c r="K1709" t="s">
        <v>6443</v>
      </c>
      <c r="L1709" t="s">
        <v>1647</v>
      </c>
      <c r="M1709" t="s">
        <v>1634</v>
      </c>
    </row>
    <row r="1710" spans="1:13" x14ac:dyDescent="0.25">
      <c r="A1710">
        <v>5305</v>
      </c>
      <c r="B1710" t="s">
        <v>6444</v>
      </c>
      <c r="C1710" t="s">
        <v>6445</v>
      </c>
      <c r="D1710" t="s">
        <v>1643</v>
      </c>
      <c r="E1710" t="s">
        <v>1273</v>
      </c>
      <c r="F1710" t="s">
        <v>6446</v>
      </c>
      <c r="G1710" t="s">
        <v>6447</v>
      </c>
      <c r="H1710">
        <v>4805414600</v>
      </c>
      <c r="K1710" t="s">
        <v>6448</v>
      </c>
      <c r="L1710" t="s">
        <v>1647</v>
      </c>
      <c r="M1710" t="s">
        <v>1634</v>
      </c>
    </row>
    <row r="1711" spans="1:13" x14ac:dyDescent="0.25">
      <c r="A1711">
        <v>5306</v>
      </c>
      <c r="B1711" t="s">
        <v>6449</v>
      </c>
      <c r="C1711" t="s">
        <v>6450</v>
      </c>
      <c r="D1711" t="s">
        <v>1643</v>
      </c>
      <c r="E1711" t="s">
        <v>1273</v>
      </c>
    </row>
    <row r="1712" spans="1:13" x14ac:dyDescent="0.25">
      <c r="A1712">
        <v>5307</v>
      </c>
      <c r="B1712" t="s">
        <v>6451</v>
      </c>
      <c r="C1712" t="s">
        <v>6452</v>
      </c>
      <c r="D1712" t="s">
        <v>1643</v>
      </c>
      <c r="E1712" t="s">
        <v>1273</v>
      </c>
      <c r="F1712" t="s">
        <v>2066</v>
      </c>
      <c r="G1712" t="s">
        <v>4506</v>
      </c>
      <c r="H1712">
        <v>4805415050</v>
      </c>
      <c r="J1712">
        <v>4809611745</v>
      </c>
      <c r="K1712" t="s">
        <v>6453</v>
      </c>
      <c r="L1712" t="s">
        <v>1647</v>
      </c>
      <c r="M1712" t="s">
        <v>1634</v>
      </c>
    </row>
    <row r="1713" spans="1:13" x14ac:dyDescent="0.25">
      <c r="A1713">
        <v>5308</v>
      </c>
      <c r="B1713" t="s">
        <v>6454</v>
      </c>
      <c r="C1713" t="s">
        <v>6455</v>
      </c>
      <c r="D1713" t="s">
        <v>1643</v>
      </c>
      <c r="E1713" t="s">
        <v>1273</v>
      </c>
      <c r="F1713" t="s">
        <v>2886</v>
      </c>
      <c r="G1713" t="s">
        <v>6456</v>
      </c>
      <c r="H1713">
        <v>4805412600</v>
      </c>
      <c r="K1713" t="s">
        <v>6457</v>
      </c>
      <c r="L1713" t="s">
        <v>1647</v>
      </c>
      <c r="M1713" t="s">
        <v>1634</v>
      </c>
    </row>
    <row r="1714" spans="1:13" x14ac:dyDescent="0.25">
      <c r="A1714">
        <v>5309</v>
      </c>
      <c r="B1714" t="s">
        <v>6458</v>
      </c>
      <c r="C1714" t="s">
        <v>6459</v>
      </c>
      <c r="D1714" t="s">
        <v>1643</v>
      </c>
      <c r="E1714" t="s">
        <v>1273</v>
      </c>
      <c r="F1714" t="s">
        <v>6460</v>
      </c>
      <c r="G1714" t="s">
        <v>6461</v>
      </c>
      <c r="H1714">
        <v>4805415400</v>
      </c>
      <c r="J1714">
        <v>4805415410</v>
      </c>
      <c r="K1714" t="s">
        <v>6462</v>
      </c>
      <c r="L1714" t="s">
        <v>1647</v>
      </c>
      <c r="M1714" t="s">
        <v>1634</v>
      </c>
    </row>
    <row r="1715" spans="1:13" x14ac:dyDescent="0.25">
      <c r="A1715">
        <v>5310</v>
      </c>
      <c r="B1715" t="s">
        <v>6463</v>
      </c>
      <c r="C1715" t="s">
        <v>6464</v>
      </c>
      <c r="D1715" t="s">
        <v>1643</v>
      </c>
      <c r="E1715" t="s">
        <v>1273</v>
      </c>
      <c r="F1715" t="s">
        <v>1675</v>
      </c>
      <c r="G1715" t="s">
        <v>6465</v>
      </c>
      <c r="H1715">
        <v>4805413800</v>
      </c>
      <c r="L1715" t="s">
        <v>1647</v>
      </c>
      <c r="M1715" t="s">
        <v>1634</v>
      </c>
    </row>
    <row r="1716" spans="1:13" x14ac:dyDescent="0.25">
      <c r="A1716">
        <v>5311</v>
      </c>
      <c r="B1716" t="s">
        <v>6466</v>
      </c>
      <c r="C1716" t="s">
        <v>6467</v>
      </c>
      <c r="D1716" t="s">
        <v>1643</v>
      </c>
      <c r="E1716" t="s">
        <v>1273</v>
      </c>
      <c r="F1716" t="s">
        <v>2273</v>
      </c>
      <c r="G1716" t="s">
        <v>6468</v>
      </c>
      <c r="H1716">
        <v>4805413200</v>
      </c>
      <c r="K1716" t="s">
        <v>6469</v>
      </c>
      <c r="L1716" t="s">
        <v>1647</v>
      </c>
      <c r="M1716" t="s">
        <v>1634</v>
      </c>
    </row>
    <row r="1717" spans="1:13" x14ac:dyDescent="0.25">
      <c r="A1717">
        <v>5312</v>
      </c>
      <c r="B1717" t="s">
        <v>6470</v>
      </c>
      <c r="C1717" t="s">
        <v>6471</v>
      </c>
      <c r="D1717" t="s">
        <v>1643</v>
      </c>
      <c r="E1717" t="s">
        <v>1273</v>
      </c>
    </row>
    <row r="1718" spans="1:13" x14ac:dyDescent="0.25">
      <c r="A1718">
        <v>5313</v>
      </c>
      <c r="B1718" t="s">
        <v>6472</v>
      </c>
      <c r="C1718" t="s">
        <v>6473</v>
      </c>
      <c r="D1718" t="s">
        <v>1643</v>
      </c>
      <c r="E1718" t="s">
        <v>1273</v>
      </c>
    </row>
    <row r="1719" spans="1:13" x14ac:dyDescent="0.25">
      <c r="A1719">
        <v>5314</v>
      </c>
      <c r="B1719" t="s">
        <v>6474</v>
      </c>
      <c r="C1719" t="s">
        <v>6475</v>
      </c>
      <c r="D1719" t="s">
        <v>1643</v>
      </c>
      <c r="E1719" t="s">
        <v>1273</v>
      </c>
      <c r="F1719" t="s">
        <v>2099</v>
      </c>
      <c r="G1719" t="s">
        <v>6476</v>
      </c>
      <c r="H1719">
        <v>4805414250</v>
      </c>
      <c r="J1719">
        <v>4805414210</v>
      </c>
      <c r="K1719" t="s">
        <v>6477</v>
      </c>
      <c r="L1719" t="s">
        <v>1647</v>
      </c>
      <c r="M1719" t="s">
        <v>1634</v>
      </c>
    </row>
    <row r="1720" spans="1:13" x14ac:dyDescent="0.25">
      <c r="A1720">
        <v>5315</v>
      </c>
      <c r="B1720" t="s">
        <v>6478</v>
      </c>
      <c r="C1720" t="s">
        <v>6479</v>
      </c>
      <c r="D1720" t="s">
        <v>1643</v>
      </c>
      <c r="E1720" t="s">
        <v>1273</v>
      </c>
      <c r="F1720" t="s">
        <v>1917</v>
      </c>
      <c r="G1720" t="s">
        <v>4321</v>
      </c>
      <c r="H1720">
        <v>4805412850</v>
      </c>
      <c r="J1720">
        <v>4807596656</v>
      </c>
      <c r="K1720" t="s">
        <v>6480</v>
      </c>
      <c r="L1720" t="s">
        <v>1647</v>
      </c>
      <c r="M1720" t="s">
        <v>1634</v>
      </c>
    </row>
    <row r="1721" spans="1:13" x14ac:dyDescent="0.25">
      <c r="A1721">
        <v>5316</v>
      </c>
      <c r="B1721" t="s">
        <v>6481</v>
      </c>
      <c r="C1721" t="s">
        <v>6482</v>
      </c>
      <c r="D1721" t="s">
        <v>1643</v>
      </c>
      <c r="E1721" t="s">
        <v>1273</v>
      </c>
      <c r="F1721" t="s">
        <v>1929</v>
      </c>
      <c r="G1721" t="s">
        <v>6483</v>
      </c>
      <c r="H1721">
        <v>4807832300</v>
      </c>
      <c r="J1721">
        <v>4809405796</v>
      </c>
      <c r="K1721" t="s">
        <v>6484</v>
      </c>
      <c r="L1721" t="s">
        <v>1647</v>
      </c>
      <c r="M1721" t="s">
        <v>1634</v>
      </c>
    </row>
    <row r="1722" spans="1:13" x14ac:dyDescent="0.25">
      <c r="A1722">
        <v>5317</v>
      </c>
      <c r="B1722" t="s">
        <v>6485</v>
      </c>
      <c r="C1722" t="s">
        <v>6486</v>
      </c>
      <c r="D1722" t="s">
        <v>1643</v>
      </c>
      <c r="E1722" t="s">
        <v>1273</v>
      </c>
      <c r="F1722" t="s">
        <v>3801</v>
      </c>
      <c r="G1722" t="s">
        <v>6487</v>
      </c>
      <c r="H1722">
        <v>4805412200</v>
      </c>
      <c r="K1722" t="s">
        <v>6488</v>
      </c>
      <c r="L1722" t="s">
        <v>1647</v>
      </c>
      <c r="M1722" t="s">
        <v>1634</v>
      </c>
    </row>
    <row r="1723" spans="1:13" x14ac:dyDescent="0.25">
      <c r="A1723">
        <v>78923</v>
      </c>
      <c r="B1723" t="s">
        <v>6489</v>
      </c>
      <c r="C1723" t="s">
        <v>6490</v>
      </c>
      <c r="D1723" t="s">
        <v>1643</v>
      </c>
      <c r="E1723" t="s">
        <v>1273</v>
      </c>
      <c r="F1723" t="s">
        <v>1775</v>
      </c>
      <c r="G1723" t="s">
        <v>6491</v>
      </c>
      <c r="H1723">
        <v>4805413000</v>
      </c>
      <c r="L1723" t="s">
        <v>1647</v>
      </c>
      <c r="M1723" t="s">
        <v>1634</v>
      </c>
    </row>
    <row r="1724" spans="1:13" x14ac:dyDescent="0.25">
      <c r="A1724">
        <v>5318</v>
      </c>
      <c r="B1724" t="s">
        <v>6492</v>
      </c>
      <c r="C1724" t="s">
        <v>6493</v>
      </c>
      <c r="D1724" t="s">
        <v>1643</v>
      </c>
      <c r="E1724" t="s">
        <v>1273</v>
      </c>
      <c r="F1724" t="s">
        <v>2499</v>
      </c>
      <c r="G1724" t="s">
        <v>6494</v>
      </c>
      <c r="H1724">
        <v>4805413600</v>
      </c>
      <c r="J1724">
        <v>4805920761</v>
      </c>
      <c r="K1724" t="s">
        <v>6495</v>
      </c>
      <c r="L1724" t="s">
        <v>1647</v>
      </c>
      <c r="M1724" t="s">
        <v>1634</v>
      </c>
    </row>
    <row r="1725" spans="1:13" x14ac:dyDescent="0.25">
      <c r="A1725">
        <v>79143</v>
      </c>
      <c r="B1725" t="s">
        <v>6496</v>
      </c>
      <c r="C1725" t="s">
        <v>6497</v>
      </c>
      <c r="D1725" t="s">
        <v>1643</v>
      </c>
      <c r="E1725" t="s">
        <v>1273</v>
      </c>
      <c r="F1725" t="s">
        <v>6498</v>
      </c>
      <c r="G1725" t="s">
        <v>6256</v>
      </c>
      <c r="H1725">
        <v>4805414000</v>
      </c>
      <c r="K1725" t="s">
        <v>6440</v>
      </c>
      <c r="L1725" t="s">
        <v>1647</v>
      </c>
      <c r="M1725" t="s">
        <v>1640</v>
      </c>
    </row>
    <row r="1726" spans="1:13" x14ac:dyDescent="0.25">
      <c r="A1726">
        <v>1001168</v>
      </c>
      <c r="B1726" t="s">
        <v>6499</v>
      </c>
      <c r="C1726" t="s">
        <v>6500</v>
      </c>
      <c r="D1726" t="s">
        <v>1643</v>
      </c>
      <c r="E1726" t="s">
        <v>1273</v>
      </c>
    </row>
    <row r="1727" spans="1:13" x14ac:dyDescent="0.25">
      <c r="A1727">
        <v>4268</v>
      </c>
      <c r="B1727" t="s">
        <v>688</v>
      </c>
      <c r="C1727" t="s">
        <v>6501</v>
      </c>
      <c r="D1727" t="s">
        <v>1628</v>
      </c>
      <c r="E1727" t="s">
        <v>1273</v>
      </c>
      <c r="F1727" t="s">
        <v>6502</v>
      </c>
      <c r="G1727" t="s">
        <v>2440</v>
      </c>
      <c r="H1727">
        <v>6026296461</v>
      </c>
      <c r="J1727">
        <v>6026296470</v>
      </c>
      <c r="K1727" t="s">
        <v>6503</v>
      </c>
      <c r="L1727" t="s">
        <v>6504</v>
      </c>
      <c r="M1727" t="s">
        <v>1634</v>
      </c>
    </row>
    <row r="1728" spans="1:13" x14ac:dyDescent="0.25">
      <c r="A1728">
        <v>4268</v>
      </c>
      <c r="B1728" t="s">
        <v>688</v>
      </c>
      <c r="C1728" t="s">
        <v>6501</v>
      </c>
      <c r="D1728" t="s">
        <v>1628</v>
      </c>
      <c r="E1728" t="s">
        <v>1273</v>
      </c>
      <c r="F1728" t="s">
        <v>1761</v>
      </c>
      <c r="G1728" t="s">
        <v>6505</v>
      </c>
      <c r="H1728">
        <v>6026296467</v>
      </c>
      <c r="K1728" t="s">
        <v>6506</v>
      </c>
      <c r="L1728" t="s">
        <v>1640</v>
      </c>
      <c r="M1728" t="s">
        <v>1634</v>
      </c>
    </row>
    <row r="1729" spans="1:13" x14ac:dyDescent="0.25">
      <c r="A1729">
        <v>4268</v>
      </c>
      <c r="B1729" t="s">
        <v>688</v>
      </c>
      <c r="C1729" t="s">
        <v>6501</v>
      </c>
      <c r="D1729" t="s">
        <v>1628</v>
      </c>
      <c r="E1729" t="s">
        <v>1273</v>
      </c>
      <c r="F1729" t="s">
        <v>1761</v>
      </c>
      <c r="G1729" t="s">
        <v>6505</v>
      </c>
      <c r="H1729">
        <v>6026296467</v>
      </c>
      <c r="K1729" t="s">
        <v>6506</v>
      </c>
      <c r="L1729" t="s">
        <v>1640</v>
      </c>
      <c r="M1729" t="s">
        <v>1640</v>
      </c>
    </row>
    <row r="1730" spans="1:13" x14ac:dyDescent="0.25">
      <c r="A1730">
        <v>4268</v>
      </c>
      <c r="B1730" t="s">
        <v>688</v>
      </c>
      <c r="C1730" t="s">
        <v>6501</v>
      </c>
      <c r="D1730" t="s">
        <v>1628</v>
      </c>
      <c r="E1730" t="s">
        <v>1273</v>
      </c>
      <c r="F1730" t="s">
        <v>6507</v>
      </c>
      <c r="G1730" t="s">
        <v>6508</v>
      </c>
      <c r="H1730">
        <v>6026296460</v>
      </c>
      <c r="K1730" t="s">
        <v>6509</v>
      </c>
      <c r="L1730" t="s">
        <v>6510</v>
      </c>
      <c r="M1730" t="s">
        <v>1640</v>
      </c>
    </row>
    <row r="1731" spans="1:13" x14ac:dyDescent="0.25">
      <c r="A1731">
        <v>4268</v>
      </c>
      <c r="B1731" t="s">
        <v>688</v>
      </c>
      <c r="C1731" t="s">
        <v>6501</v>
      </c>
      <c r="D1731" t="s">
        <v>1628</v>
      </c>
      <c r="E1731" t="s">
        <v>1273</v>
      </c>
      <c r="F1731" t="s">
        <v>4858</v>
      </c>
      <c r="G1731" t="s">
        <v>6511</v>
      </c>
      <c r="K1731" t="s">
        <v>6512</v>
      </c>
      <c r="L1731" t="s">
        <v>4277</v>
      </c>
      <c r="M1731" t="s">
        <v>1765</v>
      </c>
    </row>
    <row r="1732" spans="1:13" x14ac:dyDescent="0.25">
      <c r="A1732">
        <v>5319</v>
      </c>
      <c r="B1732" t="s">
        <v>6513</v>
      </c>
      <c r="C1732" t="s">
        <v>6514</v>
      </c>
      <c r="D1732" t="s">
        <v>1643</v>
      </c>
      <c r="E1732" t="s">
        <v>1273</v>
      </c>
      <c r="F1732" t="s">
        <v>1775</v>
      </c>
      <c r="G1732" t="s">
        <v>6515</v>
      </c>
      <c r="H1732">
        <v>6026296500</v>
      </c>
      <c r="J1732">
        <v>6026296504</v>
      </c>
      <c r="K1732" t="s">
        <v>6516</v>
      </c>
      <c r="L1732" t="s">
        <v>1647</v>
      </c>
      <c r="M1732" t="s">
        <v>1634</v>
      </c>
    </row>
    <row r="1733" spans="1:13" x14ac:dyDescent="0.25">
      <c r="A1733">
        <v>5320</v>
      </c>
      <c r="B1733" t="s">
        <v>689</v>
      </c>
      <c r="C1733" t="s">
        <v>6517</v>
      </c>
      <c r="D1733" t="s">
        <v>1643</v>
      </c>
      <c r="E1733" t="s">
        <v>1273</v>
      </c>
      <c r="F1733" t="s">
        <v>6518</v>
      </c>
      <c r="G1733" t="s">
        <v>6519</v>
      </c>
      <c r="H1733">
        <v>6026296605</v>
      </c>
      <c r="J1733">
        <v>6026296604</v>
      </c>
      <c r="K1733" t="s">
        <v>6520</v>
      </c>
      <c r="L1733" t="s">
        <v>1647</v>
      </c>
      <c r="M1733" t="s">
        <v>1634</v>
      </c>
    </row>
    <row r="1734" spans="1:13" x14ac:dyDescent="0.25">
      <c r="A1734">
        <v>5320</v>
      </c>
      <c r="B1734" t="s">
        <v>689</v>
      </c>
      <c r="C1734" t="s">
        <v>6517</v>
      </c>
      <c r="D1734" t="s">
        <v>1643</v>
      </c>
      <c r="E1734" t="s">
        <v>1273</v>
      </c>
      <c r="F1734" t="s">
        <v>1943</v>
      </c>
      <c r="G1734" t="s">
        <v>2537</v>
      </c>
      <c r="H1734">
        <v>6026296653</v>
      </c>
      <c r="K1734" t="s">
        <v>6521</v>
      </c>
      <c r="M1734" t="s">
        <v>1634</v>
      </c>
    </row>
    <row r="1735" spans="1:13" x14ac:dyDescent="0.25">
      <c r="A1735">
        <v>5321</v>
      </c>
      <c r="B1735" t="s">
        <v>6522</v>
      </c>
      <c r="C1735" t="s">
        <v>6523</v>
      </c>
      <c r="D1735" t="s">
        <v>1643</v>
      </c>
      <c r="E1735" t="s">
        <v>1273</v>
      </c>
      <c r="F1735" t="s">
        <v>2085</v>
      </c>
      <c r="G1735" t="s">
        <v>1976</v>
      </c>
      <c r="H1735">
        <v>6026296700</v>
      </c>
      <c r="J1735">
        <v>6026296704</v>
      </c>
      <c r="K1735" t="s">
        <v>6524</v>
      </c>
      <c r="L1735" t="s">
        <v>1647</v>
      </c>
      <c r="M1735" t="s">
        <v>1634</v>
      </c>
    </row>
    <row r="1736" spans="1:13" x14ac:dyDescent="0.25">
      <c r="A1736">
        <v>5321</v>
      </c>
      <c r="B1736" t="s">
        <v>6522</v>
      </c>
      <c r="C1736" t="s">
        <v>6523</v>
      </c>
      <c r="D1736" t="s">
        <v>1643</v>
      </c>
      <c r="E1736" t="s">
        <v>1273</v>
      </c>
      <c r="F1736" t="s">
        <v>6525</v>
      </c>
      <c r="G1736" t="s">
        <v>6526</v>
      </c>
      <c r="K1736" t="s">
        <v>6521</v>
      </c>
      <c r="M1736" t="s">
        <v>1634</v>
      </c>
    </row>
    <row r="1737" spans="1:13" x14ac:dyDescent="0.25">
      <c r="A1737">
        <v>81141</v>
      </c>
      <c r="B1737" t="s">
        <v>693</v>
      </c>
      <c r="C1737" t="s">
        <v>6527</v>
      </c>
      <c r="D1737" t="s">
        <v>1643</v>
      </c>
      <c r="E1737" t="s">
        <v>1273</v>
      </c>
      <c r="F1737" t="s">
        <v>2756</v>
      </c>
      <c r="G1737" t="s">
        <v>6528</v>
      </c>
      <c r="H1737">
        <v>6026296900</v>
      </c>
      <c r="J1737">
        <v>6026296904</v>
      </c>
      <c r="K1737" t="s">
        <v>6529</v>
      </c>
      <c r="L1737" t="s">
        <v>1647</v>
      </c>
      <c r="M1737" t="s">
        <v>1634</v>
      </c>
    </row>
    <row r="1738" spans="1:13" x14ac:dyDescent="0.25">
      <c r="A1738">
        <v>92301</v>
      </c>
      <c r="B1738" t="s">
        <v>6530</v>
      </c>
      <c r="C1738" t="s">
        <v>6531</v>
      </c>
      <c r="D1738" t="s">
        <v>1643</v>
      </c>
      <c r="E1738" t="s">
        <v>1273</v>
      </c>
      <c r="F1738" t="s">
        <v>3387</v>
      </c>
      <c r="G1738" t="s">
        <v>5292</v>
      </c>
      <c r="H1738">
        <v>6026296460</v>
      </c>
      <c r="K1738" t="s">
        <v>6532</v>
      </c>
      <c r="L1738" t="s">
        <v>3210</v>
      </c>
      <c r="M1738" t="s">
        <v>1634</v>
      </c>
    </row>
    <row r="1739" spans="1:13" x14ac:dyDescent="0.25">
      <c r="A1739">
        <v>4269</v>
      </c>
      <c r="B1739" t="s">
        <v>535</v>
      </c>
      <c r="C1739" t="s">
        <v>6533</v>
      </c>
      <c r="D1739" t="s">
        <v>1628</v>
      </c>
      <c r="E1739" t="s">
        <v>1273</v>
      </c>
      <c r="F1739" t="s">
        <v>4227</v>
      </c>
      <c r="G1739" t="s">
        <v>6534</v>
      </c>
      <c r="H1739">
        <v>6239253430</v>
      </c>
      <c r="K1739" t="s">
        <v>6535</v>
      </c>
      <c r="L1739" t="s">
        <v>1668</v>
      </c>
      <c r="M1739" t="s">
        <v>1634</v>
      </c>
    </row>
    <row r="1740" spans="1:13" x14ac:dyDescent="0.25">
      <c r="A1740">
        <v>4269</v>
      </c>
      <c r="B1740" t="s">
        <v>535</v>
      </c>
      <c r="C1740" t="s">
        <v>6533</v>
      </c>
      <c r="D1740" t="s">
        <v>1628</v>
      </c>
      <c r="E1740" t="s">
        <v>1273</v>
      </c>
      <c r="F1740" t="s">
        <v>6536</v>
      </c>
      <c r="G1740" t="s">
        <v>6537</v>
      </c>
      <c r="K1740" t="s">
        <v>6538</v>
      </c>
      <c r="L1740" t="s">
        <v>2368</v>
      </c>
      <c r="M1740" t="s">
        <v>1640</v>
      </c>
    </row>
    <row r="1741" spans="1:13" x14ac:dyDescent="0.25">
      <c r="A1741">
        <v>81110</v>
      </c>
      <c r="B1741" t="s">
        <v>6539</v>
      </c>
      <c r="C1741" t="s">
        <v>6540</v>
      </c>
      <c r="D1741" t="s">
        <v>1643</v>
      </c>
      <c r="E1741" t="s">
        <v>1273</v>
      </c>
      <c r="F1741" t="s">
        <v>5796</v>
      </c>
      <c r="G1741" t="s">
        <v>6541</v>
      </c>
      <c r="H1741">
        <v>6236966936</v>
      </c>
      <c r="J1741">
        <v>6233866063</v>
      </c>
      <c r="K1741" t="s">
        <v>6542</v>
      </c>
      <c r="L1741" t="s">
        <v>1647</v>
      </c>
      <c r="M1741" t="s">
        <v>1634</v>
      </c>
    </row>
    <row r="1742" spans="1:13" x14ac:dyDescent="0.25">
      <c r="A1742">
        <v>88398</v>
      </c>
      <c r="B1742" t="s">
        <v>1492</v>
      </c>
      <c r="C1742" t="s">
        <v>6543</v>
      </c>
      <c r="D1742" t="s">
        <v>1643</v>
      </c>
      <c r="E1742" t="s">
        <v>1273</v>
      </c>
      <c r="F1742" t="s">
        <v>4483</v>
      </c>
      <c r="G1742" t="s">
        <v>6544</v>
      </c>
      <c r="K1742" t="s">
        <v>6545</v>
      </c>
      <c r="L1742" t="s">
        <v>1647</v>
      </c>
      <c r="M1742" t="s">
        <v>1634</v>
      </c>
    </row>
    <row r="1743" spans="1:13" x14ac:dyDescent="0.25">
      <c r="A1743">
        <v>89572</v>
      </c>
      <c r="B1743" t="s">
        <v>1531</v>
      </c>
      <c r="C1743" t="s">
        <v>6546</v>
      </c>
      <c r="D1743" t="s">
        <v>1643</v>
      </c>
      <c r="E1743" t="s">
        <v>1273</v>
      </c>
      <c r="F1743" t="s">
        <v>5752</v>
      </c>
      <c r="G1743" t="s">
        <v>6547</v>
      </c>
      <c r="K1743" t="s">
        <v>6548</v>
      </c>
      <c r="M1743" t="s">
        <v>1634</v>
      </c>
    </row>
    <row r="1744" spans="1:13" x14ac:dyDescent="0.25">
      <c r="A1744">
        <v>89572</v>
      </c>
      <c r="B1744" t="s">
        <v>1531</v>
      </c>
      <c r="C1744" t="s">
        <v>6546</v>
      </c>
      <c r="D1744" t="s">
        <v>1643</v>
      </c>
      <c r="E1744" t="s">
        <v>1273</v>
      </c>
      <c r="F1744" t="s">
        <v>3013</v>
      </c>
      <c r="G1744" t="s">
        <v>4008</v>
      </c>
      <c r="K1744" t="s">
        <v>6549</v>
      </c>
      <c r="L1744" t="s">
        <v>1647</v>
      </c>
      <c r="M1744" t="s">
        <v>1634</v>
      </c>
    </row>
    <row r="1745" spans="1:13" x14ac:dyDescent="0.25">
      <c r="A1745">
        <v>89572</v>
      </c>
      <c r="B1745" t="s">
        <v>1531</v>
      </c>
      <c r="C1745" t="s">
        <v>6546</v>
      </c>
      <c r="D1745" t="s">
        <v>1643</v>
      </c>
      <c r="E1745" t="s">
        <v>1273</v>
      </c>
      <c r="F1745" t="s">
        <v>4167</v>
      </c>
      <c r="G1745" t="s">
        <v>2927</v>
      </c>
      <c r="H1745">
        <v>6233864487</v>
      </c>
      <c r="I1745">
        <v>112</v>
      </c>
      <c r="J1745">
        <v>6233866063</v>
      </c>
      <c r="K1745" t="s">
        <v>6550</v>
      </c>
      <c r="L1745" t="s">
        <v>1640</v>
      </c>
      <c r="M1745" t="s">
        <v>1640</v>
      </c>
    </row>
    <row r="1746" spans="1:13" x14ac:dyDescent="0.25">
      <c r="A1746">
        <v>87471</v>
      </c>
      <c r="B1746" t="s">
        <v>6551</v>
      </c>
      <c r="C1746" t="s">
        <v>6552</v>
      </c>
      <c r="D1746" t="s">
        <v>1643</v>
      </c>
      <c r="E1746" t="s">
        <v>1273</v>
      </c>
      <c r="F1746" t="s">
        <v>6553</v>
      </c>
      <c r="G1746" t="s">
        <v>6554</v>
      </c>
      <c r="K1746" t="s">
        <v>6555</v>
      </c>
      <c r="L1746" t="s">
        <v>1721</v>
      </c>
      <c r="M1746" t="s">
        <v>1634</v>
      </c>
    </row>
    <row r="1747" spans="1:13" x14ac:dyDescent="0.25">
      <c r="A1747">
        <v>87471</v>
      </c>
      <c r="B1747" t="s">
        <v>6551</v>
      </c>
      <c r="C1747" t="s">
        <v>6552</v>
      </c>
      <c r="D1747" t="s">
        <v>1643</v>
      </c>
      <c r="E1747" t="s">
        <v>1273</v>
      </c>
      <c r="F1747" t="s">
        <v>4167</v>
      </c>
      <c r="G1747" t="s">
        <v>2927</v>
      </c>
      <c r="H1747">
        <v>6233864487</v>
      </c>
      <c r="I1747">
        <v>112</v>
      </c>
      <c r="J1747">
        <v>6233866063</v>
      </c>
      <c r="K1747" t="s">
        <v>6550</v>
      </c>
      <c r="L1747" t="s">
        <v>1640</v>
      </c>
      <c r="M1747" t="s">
        <v>1640</v>
      </c>
    </row>
    <row r="1748" spans="1:13" x14ac:dyDescent="0.25">
      <c r="A1748">
        <v>527220</v>
      </c>
      <c r="B1748" t="s">
        <v>6556</v>
      </c>
      <c r="C1748" t="s">
        <v>6557</v>
      </c>
      <c r="D1748" t="s">
        <v>1643</v>
      </c>
      <c r="E1748" t="s">
        <v>1273</v>
      </c>
      <c r="F1748" t="s">
        <v>6558</v>
      </c>
      <c r="G1748" t="s">
        <v>6559</v>
      </c>
      <c r="H1748">
        <v>6239253400</v>
      </c>
      <c r="K1748" t="s">
        <v>6560</v>
      </c>
      <c r="L1748" t="s">
        <v>1640</v>
      </c>
      <c r="M1748" t="s">
        <v>1634</v>
      </c>
    </row>
    <row r="1749" spans="1:13" x14ac:dyDescent="0.25">
      <c r="A1749">
        <v>527220</v>
      </c>
      <c r="B1749" t="s">
        <v>6556</v>
      </c>
      <c r="C1749" t="s">
        <v>6557</v>
      </c>
      <c r="D1749" t="s">
        <v>1643</v>
      </c>
      <c r="E1749" t="s">
        <v>1273</v>
      </c>
      <c r="F1749" t="s">
        <v>6558</v>
      </c>
      <c r="G1749" t="s">
        <v>6559</v>
      </c>
      <c r="H1749">
        <v>6239253400</v>
      </c>
      <c r="K1749" t="s">
        <v>6560</v>
      </c>
      <c r="L1749" t="s">
        <v>1640</v>
      </c>
      <c r="M1749" t="s">
        <v>1640</v>
      </c>
    </row>
    <row r="1750" spans="1:13" x14ac:dyDescent="0.25">
      <c r="A1750">
        <v>90341</v>
      </c>
      <c r="B1750" t="s">
        <v>6561</v>
      </c>
      <c r="C1750" t="s">
        <v>6562</v>
      </c>
      <c r="D1750" t="s">
        <v>1643</v>
      </c>
      <c r="E1750" t="s">
        <v>1273</v>
      </c>
      <c r="F1750" t="s">
        <v>2156</v>
      </c>
      <c r="G1750" t="s">
        <v>2440</v>
      </c>
      <c r="K1750" t="s">
        <v>6563</v>
      </c>
      <c r="L1750" t="s">
        <v>1647</v>
      </c>
      <c r="M1750" t="s">
        <v>1634</v>
      </c>
    </row>
    <row r="1751" spans="1:13" x14ac:dyDescent="0.25">
      <c r="A1751">
        <v>87473</v>
      </c>
      <c r="B1751" t="s">
        <v>536</v>
      </c>
      <c r="C1751" t="s">
        <v>6564</v>
      </c>
      <c r="D1751" t="s">
        <v>1643</v>
      </c>
      <c r="E1751" t="s">
        <v>1273</v>
      </c>
      <c r="F1751" t="s">
        <v>6565</v>
      </c>
      <c r="G1751" t="s">
        <v>6566</v>
      </c>
      <c r="K1751" t="s">
        <v>6567</v>
      </c>
      <c r="M1751" t="s">
        <v>1634</v>
      </c>
    </row>
    <row r="1752" spans="1:13" x14ac:dyDescent="0.25">
      <c r="A1752">
        <v>1001175</v>
      </c>
      <c r="B1752" t="s">
        <v>6568</v>
      </c>
      <c r="C1752" t="s">
        <v>6569</v>
      </c>
      <c r="D1752" t="s">
        <v>1643</v>
      </c>
      <c r="E1752" t="s">
        <v>1273</v>
      </c>
    </row>
    <row r="1753" spans="1:13" x14ac:dyDescent="0.25">
      <c r="A1753">
        <v>4270</v>
      </c>
      <c r="B1753" t="s">
        <v>6570</v>
      </c>
      <c r="C1753" t="s">
        <v>6571</v>
      </c>
      <c r="D1753" t="s">
        <v>1628</v>
      </c>
      <c r="E1753" t="s">
        <v>1273</v>
      </c>
      <c r="F1753" t="s">
        <v>6572</v>
      </c>
      <c r="G1753" t="s">
        <v>6573</v>
      </c>
      <c r="H1753">
        <v>6026647929</v>
      </c>
      <c r="J1753">
        <v>6026647998</v>
      </c>
      <c r="K1753" t="s">
        <v>6574</v>
      </c>
      <c r="L1753" t="s">
        <v>6575</v>
      </c>
      <c r="M1753" t="s">
        <v>1634</v>
      </c>
    </row>
    <row r="1754" spans="1:13" x14ac:dyDescent="0.25">
      <c r="A1754">
        <v>4270</v>
      </c>
      <c r="B1754" t="s">
        <v>6570</v>
      </c>
      <c r="C1754" t="s">
        <v>6571</v>
      </c>
      <c r="D1754" t="s">
        <v>1628</v>
      </c>
      <c r="E1754" t="s">
        <v>1273</v>
      </c>
      <c r="F1754" t="s">
        <v>1935</v>
      </c>
      <c r="G1754" t="s">
        <v>6576</v>
      </c>
      <c r="H1754">
        <v>6026647917</v>
      </c>
      <c r="K1754" t="s">
        <v>6577</v>
      </c>
      <c r="L1754" t="s">
        <v>6578</v>
      </c>
      <c r="M1754" t="s">
        <v>1640</v>
      </c>
    </row>
    <row r="1755" spans="1:13" x14ac:dyDescent="0.25">
      <c r="A1755">
        <v>4270</v>
      </c>
      <c r="B1755" t="s">
        <v>6570</v>
      </c>
      <c r="C1755" t="s">
        <v>6571</v>
      </c>
      <c r="D1755" t="s">
        <v>1628</v>
      </c>
      <c r="E1755" t="s">
        <v>1273</v>
      </c>
      <c r="F1755" t="s">
        <v>6579</v>
      </c>
      <c r="G1755" t="s">
        <v>6580</v>
      </c>
      <c r="H1755">
        <v>6026647915</v>
      </c>
      <c r="K1755" t="s">
        <v>6581</v>
      </c>
      <c r="L1755" t="s">
        <v>1640</v>
      </c>
      <c r="M1755" t="s">
        <v>1640</v>
      </c>
    </row>
    <row r="1756" spans="1:13" x14ac:dyDescent="0.25">
      <c r="A1756">
        <v>5324</v>
      </c>
      <c r="B1756" t="s">
        <v>6582</v>
      </c>
      <c r="C1756" t="s">
        <v>6583</v>
      </c>
      <c r="D1756" t="s">
        <v>1643</v>
      </c>
      <c r="E1756" t="s">
        <v>1273</v>
      </c>
    </row>
    <row r="1757" spans="1:13" x14ac:dyDescent="0.25">
      <c r="A1757">
        <v>89622</v>
      </c>
      <c r="B1757" t="s">
        <v>6584</v>
      </c>
      <c r="C1757" t="s">
        <v>6585</v>
      </c>
      <c r="D1757" t="s">
        <v>1643</v>
      </c>
      <c r="E1757" t="s">
        <v>1273</v>
      </c>
    </row>
    <row r="1758" spans="1:13" x14ac:dyDescent="0.25">
      <c r="A1758">
        <v>5325</v>
      </c>
      <c r="B1758" t="s">
        <v>6586</v>
      </c>
      <c r="C1758" t="s">
        <v>6587</v>
      </c>
      <c r="D1758" t="s">
        <v>1643</v>
      </c>
      <c r="E1758" t="s">
        <v>1273</v>
      </c>
      <c r="F1758" t="s">
        <v>1775</v>
      </c>
      <c r="G1758" t="s">
        <v>6588</v>
      </c>
      <c r="H1758">
        <v>6026647210</v>
      </c>
      <c r="J1758">
        <v>6026647299</v>
      </c>
      <c r="K1758" t="s">
        <v>6589</v>
      </c>
      <c r="L1758" t="s">
        <v>1647</v>
      </c>
      <c r="M1758" t="s">
        <v>1634</v>
      </c>
    </row>
    <row r="1759" spans="1:13" x14ac:dyDescent="0.25">
      <c r="A1759">
        <v>5325</v>
      </c>
      <c r="B1759" t="s">
        <v>6586</v>
      </c>
      <c r="C1759" t="s">
        <v>6587</v>
      </c>
      <c r="D1759" t="s">
        <v>1643</v>
      </c>
      <c r="E1759" t="s">
        <v>1273</v>
      </c>
      <c r="F1759" t="s">
        <v>2632</v>
      </c>
      <c r="G1759" t="s">
        <v>6590</v>
      </c>
      <c r="H1759">
        <v>6026647211</v>
      </c>
      <c r="J1759">
        <v>6026647299</v>
      </c>
      <c r="K1759" t="s">
        <v>6591</v>
      </c>
      <c r="L1759" t="s">
        <v>1738</v>
      </c>
      <c r="M1759" t="s">
        <v>1634</v>
      </c>
    </row>
    <row r="1760" spans="1:13" x14ac:dyDescent="0.25">
      <c r="A1760">
        <v>5326</v>
      </c>
      <c r="B1760" t="s">
        <v>6592</v>
      </c>
      <c r="C1760" t="s">
        <v>6593</v>
      </c>
      <c r="D1760" t="s">
        <v>1643</v>
      </c>
      <c r="E1760" t="s">
        <v>1273</v>
      </c>
      <c r="F1760" t="s">
        <v>2794</v>
      </c>
      <c r="G1760" t="s">
        <v>6594</v>
      </c>
      <c r="H1760">
        <v>6026647310</v>
      </c>
      <c r="J1760">
        <v>6026647399</v>
      </c>
      <c r="K1760" t="s">
        <v>6595</v>
      </c>
      <c r="L1760" t="s">
        <v>1647</v>
      </c>
      <c r="M1760" t="s">
        <v>1634</v>
      </c>
    </row>
    <row r="1761" spans="1:13" x14ac:dyDescent="0.25">
      <c r="A1761">
        <v>5327</v>
      </c>
      <c r="B1761" t="s">
        <v>6596</v>
      </c>
      <c r="C1761" t="s">
        <v>6597</v>
      </c>
      <c r="D1761" t="s">
        <v>1643</v>
      </c>
      <c r="E1761" t="s">
        <v>1273</v>
      </c>
      <c r="F1761" t="s">
        <v>6598</v>
      </c>
      <c r="G1761" t="s">
        <v>6599</v>
      </c>
      <c r="H1761">
        <v>6026647410</v>
      </c>
      <c r="K1761" t="s">
        <v>6600</v>
      </c>
      <c r="L1761" t="s">
        <v>1647</v>
      </c>
      <c r="M1761" t="s">
        <v>1634</v>
      </c>
    </row>
    <row r="1762" spans="1:13" x14ac:dyDescent="0.25">
      <c r="A1762">
        <v>5328</v>
      </c>
      <c r="B1762" t="s">
        <v>6601</v>
      </c>
      <c r="C1762" t="s">
        <v>6602</v>
      </c>
      <c r="D1762" t="s">
        <v>1643</v>
      </c>
      <c r="E1762" t="s">
        <v>1273</v>
      </c>
    </row>
    <row r="1763" spans="1:13" x14ac:dyDescent="0.25">
      <c r="A1763">
        <v>5329</v>
      </c>
      <c r="B1763" t="s">
        <v>6603</v>
      </c>
      <c r="C1763" t="s">
        <v>6604</v>
      </c>
      <c r="D1763" t="s">
        <v>1643</v>
      </c>
      <c r="E1763" t="s">
        <v>1273</v>
      </c>
      <c r="F1763" t="s">
        <v>1726</v>
      </c>
      <c r="G1763" t="s">
        <v>4230</v>
      </c>
      <c r="K1763" t="s">
        <v>6605</v>
      </c>
      <c r="L1763" t="s">
        <v>1647</v>
      </c>
      <c r="M1763" t="s">
        <v>1634</v>
      </c>
    </row>
    <row r="1764" spans="1:13" x14ac:dyDescent="0.25">
      <c r="A1764">
        <v>5330</v>
      </c>
      <c r="B1764" t="s">
        <v>6606</v>
      </c>
      <c r="C1764" t="s">
        <v>6607</v>
      </c>
      <c r="D1764" t="s">
        <v>1643</v>
      </c>
      <c r="E1764" t="s">
        <v>1273</v>
      </c>
      <c r="F1764" t="s">
        <v>6608</v>
      </c>
      <c r="G1764" t="s">
        <v>6609</v>
      </c>
      <c r="H1764">
        <v>6026647810</v>
      </c>
      <c r="J1764">
        <v>6026647899</v>
      </c>
      <c r="K1764" t="s">
        <v>6610</v>
      </c>
      <c r="L1764" t="s">
        <v>1647</v>
      </c>
      <c r="M1764" t="s">
        <v>1634</v>
      </c>
    </row>
    <row r="1765" spans="1:13" x14ac:dyDescent="0.25">
      <c r="A1765">
        <v>4271</v>
      </c>
      <c r="B1765" t="s">
        <v>347</v>
      </c>
      <c r="C1765" t="s">
        <v>6611</v>
      </c>
      <c r="D1765" t="s">
        <v>1628</v>
      </c>
      <c r="E1765" t="s">
        <v>1273</v>
      </c>
      <c r="F1765" t="s">
        <v>4725</v>
      </c>
      <c r="G1765" t="s">
        <v>6612</v>
      </c>
      <c r="J1765">
        <v>6239345714</v>
      </c>
      <c r="K1765" t="s">
        <v>6613</v>
      </c>
      <c r="L1765" t="s">
        <v>6614</v>
      </c>
      <c r="M1765" t="s">
        <v>1634</v>
      </c>
    </row>
    <row r="1766" spans="1:13" x14ac:dyDescent="0.25">
      <c r="A1766">
        <v>4271</v>
      </c>
      <c r="B1766" t="s">
        <v>347</v>
      </c>
      <c r="C1766" t="s">
        <v>6611</v>
      </c>
      <c r="D1766" t="s">
        <v>1628</v>
      </c>
      <c r="E1766" t="s">
        <v>1273</v>
      </c>
      <c r="F1766" t="s">
        <v>6615</v>
      </c>
      <c r="G1766" t="s">
        <v>6616</v>
      </c>
      <c r="H1766">
        <v>6232377166</v>
      </c>
      <c r="K1766" t="s">
        <v>6617</v>
      </c>
      <c r="L1766" t="s">
        <v>6618</v>
      </c>
      <c r="M1766" t="s">
        <v>1634</v>
      </c>
    </row>
    <row r="1767" spans="1:13" x14ac:dyDescent="0.25">
      <c r="A1767">
        <v>4271</v>
      </c>
      <c r="B1767" t="s">
        <v>347</v>
      </c>
      <c r="C1767" t="s">
        <v>6611</v>
      </c>
      <c r="D1767" t="s">
        <v>1628</v>
      </c>
      <c r="E1767" t="s">
        <v>1273</v>
      </c>
      <c r="F1767" t="s">
        <v>2335</v>
      </c>
      <c r="G1767" t="s">
        <v>6619</v>
      </c>
      <c r="H1767">
        <v>6232375303</v>
      </c>
      <c r="K1767" t="s">
        <v>6620</v>
      </c>
      <c r="L1767" t="s">
        <v>1647</v>
      </c>
      <c r="M1767" t="s">
        <v>1634</v>
      </c>
    </row>
    <row r="1768" spans="1:13" x14ac:dyDescent="0.25">
      <c r="A1768">
        <v>4271</v>
      </c>
      <c r="B1768" t="s">
        <v>347</v>
      </c>
      <c r="C1768" t="s">
        <v>6611</v>
      </c>
      <c r="D1768" t="s">
        <v>1628</v>
      </c>
      <c r="E1768" t="s">
        <v>1273</v>
      </c>
      <c r="F1768" t="s">
        <v>6621</v>
      </c>
      <c r="G1768" t="s">
        <v>6622</v>
      </c>
      <c r="H1768">
        <v>6232377103</v>
      </c>
      <c r="J1768">
        <v>6232377288</v>
      </c>
      <c r="K1768" t="s">
        <v>6623</v>
      </c>
      <c r="L1768" t="s">
        <v>6624</v>
      </c>
      <c r="M1768" t="s">
        <v>1634</v>
      </c>
    </row>
    <row r="1769" spans="1:13" x14ac:dyDescent="0.25">
      <c r="A1769">
        <v>4271</v>
      </c>
      <c r="B1769" t="s">
        <v>347</v>
      </c>
      <c r="C1769" t="s">
        <v>6611</v>
      </c>
      <c r="D1769" t="s">
        <v>1628</v>
      </c>
      <c r="E1769" t="s">
        <v>1273</v>
      </c>
      <c r="F1769" t="s">
        <v>2307</v>
      </c>
      <c r="G1769" t="s">
        <v>6336</v>
      </c>
      <c r="H1769">
        <v>6232377125</v>
      </c>
      <c r="K1769" t="s">
        <v>6625</v>
      </c>
      <c r="L1769" t="s">
        <v>6626</v>
      </c>
      <c r="M1769" t="s">
        <v>1634</v>
      </c>
    </row>
    <row r="1770" spans="1:13" x14ac:dyDescent="0.25">
      <c r="A1770">
        <v>4271</v>
      </c>
      <c r="B1770" t="s">
        <v>347</v>
      </c>
      <c r="C1770" t="s">
        <v>6611</v>
      </c>
      <c r="D1770" t="s">
        <v>1628</v>
      </c>
      <c r="E1770" t="s">
        <v>1273</v>
      </c>
      <c r="F1770" t="s">
        <v>6627</v>
      </c>
      <c r="G1770" t="s">
        <v>6628</v>
      </c>
      <c r="K1770" t="s">
        <v>6629</v>
      </c>
      <c r="L1770" t="s">
        <v>6630</v>
      </c>
      <c r="M1770" t="s">
        <v>1634</v>
      </c>
    </row>
    <row r="1771" spans="1:13" x14ac:dyDescent="0.25">
      <c r="A1771">
        <v>4271</v>
      </c>
      <c r="B1771" t="s">
        <v>347</v>
      </c>
      <c r="C1771" t="s">
        <v>6611</v>
      </c>
      <c r="D1771" t="s">
        <v>1628</v>
      </c>
      <c r="E1771" t="s">
        <v>1273</v>
      </c>
      <c r="F1771" t="s">
        <v>2217</v>
      </c>
      <c r="G1771" t="s">
        <v>6631</v>
      </c>
      <c r="H1771">
        <v>6232377108</v>
      </c>
      <c r="J1771">
        <v>6232376274</v>
      </c>
      <c r="K1771" t="s">
        <v>6632</v>
      </c>
      <c r="L1771" t="s">
        <v>6633</v>
      </c>
      <c r="M1771" t="s">
        <v>1640</v>
      </c>
    </row>
    <row r="1772" spans="1:13" x14ac:dyDescent="0.25">
      <c r="A1772">
        <v>4271</v>
      </c>
      <c r="B1772" t="s">
        <v>347</v>
      </c>
      <c r="C1772" t="s">
        <v>6611</v>
      </c>
      <c r="D1772" t="s">
        <v>1628</v>
      </c>
      <c r="E1772" t="s">
        <v>1273</v>
      </c>
      <c r="F1772" t="s">
        <v>3551</v>
      </c>
      <c r="G1772" t="s">
        <v>6634</v>
      </c>
      <c r="H1772">
        <v>6232377205</v>
      </c>
      <c r="K1772" t="s">
        <v>6635</v>
      </c>
      <c r="L1772" t="s">
        <v>1668</v>
      </c>
      <c r="M1772" t="s">
        <v>1640</v>
      </c>
    </row>
    <row r="1773" spans="1:13" x14ac:dyDescent="0.25">
      <c r="A1773">
        <v>4271</v>
      </c>
      <c r="B1773" t="s">
        <v>347</v>
      </c>
      <c r="C1773" t="s">
        <v>6611</v>
      </c>
      <c r="D1773" t="s">
        <v>1628</v>
      </c>
      <c r="E1773" t="s">
        <v>1273</v>
      </c>
      <c r="F1773" t="s">
        <v>6636</v>
      </c>
      <c r="G1773" t="s">
        <v>3198</v>
      </c>
      <c r="K1773" t="s">
        <v>6637</v>
      </c>
      <c r="M1773" t="s">
        <v>1640</v>
      </c>
    </row>
    <row r="1774" spans="1:13" x14ac:dyDescent="0.25">
      <c r="A1774">
        <v>5332</v>
      </c>
      <c r="B1774" t="s">
        <v>574</v>
      </c>
      <c r="C1774" t="s">
        <v>6638</v>
      </c>
      <c r="D1774" t="s">
        <v>1643</v>
      </c>
      <c r="E1774" t="s">
        <v>1273</v>
      </c>
      <c r="F1774" t="s">
        <v>4725</v>
      </c>
      <c r="G1774" t="s">
        <v>6639</v>
      </c>
      <c r="H1774">
        <v>6232374103</v>
      </c>
      <c r="K1774" t="s">
        <v>6640</v>
      </c>
      <c r="L1774" t="s">
        <v>1721</v>
      </c>
      <c r="M1774" t="s">
        <v>1634</v>
      </c>
    </row>
    <row r="1775" spans="1:13" x14ac:dyDescent="0.25">
      <c r="A1775">
        <v>5332</v>
      </c>
      <c r="B1775" t="s">
        <v>574</v>
      </c>
      <c r="C1775" t="s">
        <v>6638</v>
      </c>
      <c r="D1775" t="s">
        <v>1643</v>
      </c>
      <c r="E1775" t="s">
        <v>1273</v>
      </c>
      <c r="F1775" t="s">
        <v>3994</v>
      </c>
      <c r="G1775" t="s">
        <v>6641</v>
      </c>
      <c r="H1775">
        <v>6232371404</v>
      </c>
      <c r="K1775" t="s">
        <v>6642</v>
      </c>
      <c r="L1775" t="s">
        <v>1728</v>
      </c>
      <c r="M1775" t="s">
        <v>1634</v>
      </c>
    </row>
    <row r="1776" spans="1:13" x14ac:dyDescent="0.25">
      <c r="A1776">
        <v>5333</v>
      </c>
      <c r="B1776" t="s">
        <v>576</v>
      </c>
      <c r="C1776" t="s">
        <v>6643</v>
      </c>
      <c r="D1776" t="s">
        <v>1643</v>
      </c>
      <c r="E1776" t="s">
        <v>1273</v>
      </c>
      <c r="F1776" t="s">
        <v>2261</v>
      </c>
      <c r="G1776" t="s">
        <v>6644</v>
      </c>
      <c r="H1776">
        <v>6238428220</v>
      </c>
      <c r="I1776">
        <v>4203</v>
      </c>
      <c r="K1776" t="s">
        <v>6645</v>
      </c>
      <c r="L1776" t="s">
        <v>1647</v>
      </c>
      <c r="M1776" t="s">
        <v>1634</v>
      </c>
    </row>
    <row r="1777" spans="1:13" x14ac:dyDescent="0.25">
      <c r="A1777">
        <v>5333</v>
      </c>
      <c r="B1777" t="s">
        <v>576</v>
      </c>
      <c r="C1777" t="s">
        <v>6643</v>
      </c>
      <c r="D1777" t="s">
        <v>1643</v>
      </c>
      <c r="E1777" t="s">
        <v>1273</v>
      </c>
      <c r="F1777" t="s">
        <v>3551</v>
      </c>
      <c r="G1777" t="s">
        <v>6646</v>
      </c>
      <c r="H1777">
        <v>6232374204</v>
      </c>
      <c r="K1777" t="s">
        <v>6647</v>
      </c>
      <c r="L1777" t="s">
        <v>1728</v>
      </c>
      <c r="M1777" t="s">
        <v>1634</v>
      </c>
    </row>
    <row r="1778" spans="1:13" x14ac:dyDescent="0.25">
      <c r="A1778">
        <v>5333</v>
      </c>
      <c r="B1778" t="s">
        <v>576</v>
      </c>
      <c r="C1778" t="s">
        <v>6643</v>
      </c>
      <c r="D1778" t="s">
        <v>1643</v>
      </c>
      <c r="E1778" t="s">
        <v>1273</v>
      </c>
      <c r="F1778" t="s">
        <v>5231</v>
      </c>
      <c r="G1778" t="s">
        <v>3076</v>
      </c>
      <c r="H1778">
        <v>6232374203</v>
      </c>
      <c r="K1778" t="s">
        <v>6648</v>
      </c>
      <c r="L1778" t="s">
        <v>1647</v>
      </c>
      <c r="M1778" t="s">
        <v>1634</v>
      </c>
    </row>
    <row r="1779" spans="1:13" x14ac:dyDescent="0.25">
      <c r="A1779">
        <v>5334</v>
      </c>
      <c r="B1779" t="s">
        <v>569</v>
      </c>
      <c r="C1779" t="s">
        <v>6649</v>
      </c>
      <c r="D1779" t="s">
        <v>1643</v>
      </c>
      <c r="E1779" t="s">
        <v>1273</v>
      </c>
      <c r="F1779" t="s">
        <v>2788</v>
      </c>
      <c r="G1779" t="s">
        <v>2550</v>
      </c>
      <c r="H1779">
        <v>6238428230</v>
      </c>
      <c r="J1779">
        <v>6238428333</v>
      </c>
      <c r="K1779" t="s">
        <v>6650</v>
      </c>
      <c r="L1779" t="s">
        <v>1721</v>
      </c>
      <c r="M1779" t="s">
        <v>1634</v>
      </c>
    </row>
    <row r="1780" spans="1:13" x14ac:dyDescent="0.25">
      <c r="A1780">
        <v>5335</v>
      </c>
      <c r="B1780" t="s">
        <v>582</v>
      </c>
      <c r="C1780" t="s">
        <v>6651</v>
      </c>
      <c r="D1780" t="s">
        <v>1643</v>
      </c>
      <c r="E1780" t="s">
        <v>1273</v>
      </c>
      <c r="F1780" t="s">
        <v>5636</v>
      </c>
      <c r="G1780" t="s">
        <v>5637</v>
      </c>
      <c r="H1780">
        <v>6232374004</v>
      </c>
      <c r="J1780">
        <v>6232374415</v>
      </c>
      <c r="K1780" t="s">
        <v>6652</v>
      </c>
      <c r="L1780" t="s">
        <v>1647</v>
      </c>
      <c r="M1780" t="s">
        <v>1634</v>
      </c>
    </row>
    <row r="1781" spans="1:13" x14ac:dyDescent="0.25">
      <c r="A1781">
        <v>5336</v>
      </c>
      <c r="B1781" t="s">
        <v>567</v>
      </c>
      <c r="C1781" t="s">
        <v>6653</v>
      </c>
      <c r="D1781" t="s">
        <v>1643</v>
      </c>
      <c r="E1781" t="s">
        <v>1273</v>
      </c>
      <c r="F1781" t="s">
        <v>5321</v>
      </c>
      <c r="G1781" t="s">
        <v>6654</v>
      </c>
      <c r="H1781">
        <v>6232374503</v>
      </c>
      <c r="K1781" t="s">
        <v>6655</v>
      </c>
      <c r="L1781" t="s">
        <v>1721</v>
      </c>
      <c r="M1781" t="s">
        <v>1634</v>
      </c>
    </row>
    <row r="1782" spans="1:13" x14ac:dyDescent="0.25">
      <c r="A1782">
        <v>5336</v>
      </c>
      <c r="B1782" t="s">
        <v>567</v>
      </c>
      <c r="C1782" t="s">
        <v>6653</v>
      </c>
      <c r="D1782" t="s">
        <v>1643</v>
      </c>
      <c r="E1782" t="s">
        <v>1273</v>
      </c>
      <c r="F1782" t="s">
        <v>5231</v>
      </c>
      <c r="G1782" t="s">
        <v>3076</v>
      </c>
      <c r="H1782">
        <v>6232374504</v>
      </c>
      <c r="K1782" t="s">
        <v>6648</v>
      </c>
      <c r="L1782" t="s">
        <v>1738</v>
      </c>
      <c r="M1782" t="s">
        <v>1634</v>
      </c>
    </row>
    <row r="1783" spans="1:13" x14ac:dyDescent="0.25">
      <c r="A1783">
        <v>5337</v>
      </c>
      <c r="B1783" t="s">
        <v>6656</v>
      </c>
      <c r="C1783" t="s">
        <v>6657</v>
      </c>
      <c r="D1783" t="s">
        <v>1643</v>
      </c>
      <c r="E1783" t="s">
        <v>1273</v>
      </c>
      <c r="F1783" t="s">
        <v>2046</v>
      </c>
      <c r="G1783" t="s">
        <v>6658</v>
      </c>
      <c r="H1783">
        <v>6232374604</v>
      </c>
      <c r="J1783">
        <v>6232374615</v>
      </c>
      <c r="K1783" t="s">
        <v>6659</v>
      </c>
      <c r="L1783" t="s">
        <v>1647</v>
      </c>
      <c r="M1783" t="s">
        <v>1634</v>
      </c>
    </row>
    <row r="1784" spans="1:13" x14ac:dyDescent="0.25">
      <c r="A1784">
        <v>5337</v>
      </c>
      <c r="B1784" t="s">
        <v>6656</v>
      </c>
      <c r="C1784" t="s">
        <v>6657</v>
      </c>
      <c r="D1784" t="s">
        <v>1643</v>
      </c>
      <c r="E1784" t="s">
        <v>1273</v>
      </c>
      <c r="F1784" t="s">
        <v>6660</v>
      </c>
      <c r="G1784" t="s">
        <v>1750</v>
      </c>
      <c r="H1784">
        <v>6232374603</v>
      </c>
      <c r="K1784" t="s">
        <v>6661</v>
      </c>
      <c r="L1784" t="s">
        <v>1738</v>
      </c>
      <c r="M1784" t="s">
        <v>1634</v>
      </c>
    </row>
    <row r="1785" spans="1:13" x14ac:dyDescent="0.25">
      <c r="A1785">
        <v>5337</v>
      </c>
      <c r="B1785" t="s">
        <v>6656</v>
      </c>
      <c r="C1785" t="s">
        <v>6657</v>
      </c>
      <c r="D1785" t="s">
        <v>1643</v>
      </c>
      <c r="E1785" t="s">
        <v>1273</v>
      </c>
      <c r="F1785" t="s">
        <v>2376</v>
      </c>
      <c r="G1785" t="s">
        <v>6662</v>
      </c>
      <c r="H1785">
        <v>6232374604</v>
      </c>
      <c r="K1785" t="s">
        <v>6663</v>
      </c>
      <c r="L1785" t="s">
        <v>2096</v>
      </c>
      <c r="M1785" t="s">
        <v>1634</v>
      </c>
    </row>
    <row r="1786" spans="1:13" x14ac:dyDescent="0.25">
      <c r="A1786">
        <v>5338</v>
      </c>
      <c r="B1786" t="s">
        <v>6664</v>
      </c>
      <c r="C1786" t="s">
        <v>6665</v>
      </c>
      <c r="D1786" t="s">
        <v>1643</v>
      </c>
      <c r="E1786" t="s">
        <v>1273</v>
      </c>
      <c r="F1786" t="s">
        <v>4140</v>
      </c>
      <c r="G1786" t="s">
        <v>6666</v>
      </c>
      <c r="H1786">
        <v>6238428270</v>
      </c>
      <c r="I1786">
        <v>2003</v>
      </c>
      <c r="K1786" t="s">
        <v>6667</v>
      </c>
      <c r="L1786" t="s">
        <v>1647</v>
      </c>
      <c r="M1786" t="s">
        <v>1634</v>
      </c>
    </row>
    <row r="1787" spans="1:13" x14ac:dyDescent="0.25">
      <c r="A1787">
        <v>5338</v>
      </c>
      <c r="B1787" t="s">
        <v>6664</v>
      </c>
      <c r="C1787" t="s">
        <v>6665</v>
      </c>
      <c r="D1787" t="s">
        <v>1643</v>
      </c>
      <c r="E1787" t="s">
        <v>1273</v>
      </c>
      <c r="F1787" t="s">
        <v>2082</v>
      </c>
      <c r="G1787" t="s">
        <v>6668</v>
      </c>
      <c r="H1787">
        <v>6232374704</v>
      </c>
      <c r="K1787" t="s">
        <v>6669</v>
      </c>
      <c r="L1787" t="s">
        <v>1738</v>
      </c>
      <c r="M1787" t="s">
        <v>1634</v>
      </c>
    </row>
    <row r="1788" spans="1:13" x14ac:dyDescent="0.25">
      <c r="A1788">
        <v>5339</v>
      </c>
      <c r="B1788" t="s">
        <v>571</v>
      </c>
      <c r="C1788" t="s">
        <v>6670</v>
      </c>
      <c r="D1788" t="s">
        <v>1643</v>
      </c>
      <c r="E1788" t="s">
        <v>1273</v>
      </c>
      <c r="F1788" t="s">
        <v>6671</v>
      </c>
      <c r="G1788" t="s">
        <v>4117</v>
      </c>
      <c r="H1788">
        <v>6232374008</v>
      </c>
      <c r="K1788" t="s">
        <v>6672</v>
      </c>
      <c r="L1788" t="s">
        <v>1647</v>
      </c>
      <c r="M1788" t="s">
        <v>1634</v>
      </c>
    </row>
    <row r="1789" spans="1:13" x14ac:dyDescent="0.25">
      <c r="A1789">
        <v>5339</v>
      </c>
      <c r="B1789" t="s">
        <v>571</v>
      </c>
      <c r="C1789" t="s">
        <v>6670</v>
      </c>
      <c r="D1789" t="s">
        <v>1643</v>
      </c>
      <c r="E1789" t="s">
        <v>1273</v>
      </c>
      <c r="F1789" t="s">
        <v>3428</v>
      </c>
      <c r="G1789" t="s">
        <v>6673</v>
      </c>
      <c r="K1789" t="s">
        <v>6674</v>
      </c>
      <c r="L1789" t="s">
        <v>1647</v>
      </c>
      <c r="M1789" t="s">
        <v>1634</v>
      </c>
    </row>
    <row r="1790" spans="1:13" x14ac:dyDescent="0.25">
      <c r="A1790">
        <v>5340</v>
      </c>
      <c r="B1790" t="s">
        <v>6675</v>
      </c>
      <c r="C1790" t="s">
        <v>6676</v>
      </c>
      <c r="D1790" t="s">
        <v>1643</v>
      </c>
      <c r="E1790" t="s">
        <v>1273</v>
      </c>
      <c r="F1790" t="s">
        <v>2365</v>
      </c>
      <c r="G1790" t="s">
        <v>2684</v>
      </c>
      <c r="H1790">
        <v>6232374903</v>
      </c>
      <c r="J1790">
        <v>6232374915</v>
      </c>
      <c r="K1790" t="s">
        <v>6677</v>
      </c>
      <c r="L1790" t="s">
        <v>1647</v>
      </c>
      <c r="M1790" t="s">
        <v>1634</v>
      </c>
    </row>
    <row r="1791" spans="1:13" x14ac:dyDescent="0.25">
      <c r="A1791">
        <v>5341</v>
      </c>
      <c r="B1791" t="s">
        <v>6678</v>
      </c>
      <c r="C1791" t="s">
        <v>6679</v>
      </c>
      <c r="D1791" t="s">
        <v>1643</v>
      </c>
      <c r="E1791" t="s">
        <v>1273</v>
      </c>
      <c r="F1791" t="s">
        <v>4725</v>
      </c>
      <c r="G1791" t="s">
        <v>6680</v>
      </c>
      <c r="H1791">
        <v>6238428200</v>
      </c>
      <c r="I1791">
        <v>5003</v>
      </c>
      <c r="J1791">
        <v>6238428338</v>
      </c>
      <c r="K1791" t="s">
        <v>6681</v>
      </c>
      <c r="M1791" t="s">
        <v>1634</v>
      </c>
    </row>
    <row r="1792" spans="1:13" x14ac:dyDescent="0.25">
      <c r="A1792">
        <v>5341</v>
      </c>
      <c r="B1792" t="s">
        <v>6678</v>
      </c>
      <c r="C1792" t="s">
        <v>6679</v>
      </c>
      <c r="D1792" t="s">
        <v>1643</v>
      </c>
      <c r="E1792" t="s">
        <v>1273</v>
      </c>
      <c r="F1792" t="s">
        <v>2490</v>
      </c>
      <c r="G1792" t="s">
        <v>6682</v>
      </c>
      <c r="H1792">
        <v>6232375004</v>
      </c>
      <c r="K1792" t="s">
        <v>6683</v>
      </c>
      <c r="L1792" t="s">
        <v>1728</v>
      </c>
      <c r="M1792" t="s">
        <v>1634</v>
      </c>
    </row>
    <row r="1793" spans="1:13" x14ac:dyDescent="0.25">
      <c r="A1793">
        <v>5342</v>
      </c>
      <c r="B1793" t="s">
        <v>1430</v>
      </c>
      <c r="C1793" t="s">
        <v>6684</v>
      </c>
      <c r="D1793" t="s">
        <v>1643</v>
      </c>
      <c r="E1793" t="s">
        <v>1273</v>
      </c>
      <c r="F1793" t="s">
        <v>6685</v>
      </c>
      <c r="G1793" t="s">
        <v>5279</v>
      </c>
      <c r="H1793">
        <v>6232375103</v>
      </c>
      <c r="K1793" t="s">
        <v>6686</v>
      </c>
      <c r="L1793" t="s">
        <v>1721</v>
      </c>
      <c r="M1793" t="s">
        <v>1634</v>
      </c>
    </row>
    <row r="1794" spans="1:13" x14ac:dyDescent="0.25">
      <c r="A1794">
        <v>5342</v>
      </c>
      <c r="B1794" t="s">
        <v>1430</v>
      </c>
      <c r="C1794" t="s">
        <v>6684</v>
      </c>
      <c r="D1794" t="s">
        <v>1643</v>
      </c>
      <c r="E1794" t="s">
        <v>1273</v>
      </c>
      <c r="F1794" t="s">
        <v>2376</v>
      </c>
      <c r="G1794" t="s">
        <v>6662</v>
      </c>
      <c r="H1794">
        <v>6232375104</v>
      </c>
      <c r="K1794" t="s">
        <v>6663</v>
      </c>
      <c r="L1794" t="s">
        <v>1728</v>
      </c>
      <c r="M1794" t="s">
        <v>1634</v>
      </c>
    </row>
    <row r="1795" spans="1:13" x14ac:dyDescent="0.25">
      <c r="A1795">
        <v>5343</v>
      </c>
      <c r="B1795" t="s">
        <v>6687</v>
      </c>
      <c r="C1795" t="s">
        <v>6688</v>
      </c>
      <c r="D1795" t="s">
        <v>1643</v>
      </c>
      <c r="E1795" t="s">
        <v>1273</v>
      </c>
      <c r="F1795" t="s">
        <v>2521</v>
      </c>
      <c r="G1795" t="s">
        <v>6239</v>
      </c>
      <c r="H1795">
        <v>6238428295</v>
      </c>
      <c r="J1795">
        <v>6238486578</v>
      </c>
      <c r="K1795" t="s">
        <v>6689</v>
      </c>
      <c r="L1795" t="s">
        <v>1647</v>
      </c>
      <c r="M1795" t="s">
        <v>1634</v>
      </c>
    </row>
    <row r="1796" spans="1:13" x14ac:dyDescent="0.25">
      <c r="A1796">
        <v>5343</v>
      </c>
      <c r="B1796" t="s">
        <v>6687</v>
      </c>
      <c r="C1796" t="s">
        <v>6688</v>
      </c>
      <c r="D1796" t="s">
        <v>1643</v>
      </c>
      <c r="E1796" t="s">
        <v>1273</v>
      </c>
      <c r="F1796" t="s">
        <v>5493</v>
      </c>
      <c r="G1796" t="s">
        <v>6690</v>
      </c>
      <c r="H1796">
        <v>6232375203</v>
      </c>
      <c r="K1796" t="s">
        <v>6691</v>
      </c>
      <c r="L1796" t="s">
        <v>1721</v>
      </c>
      <c r="M1796" t="s">
        <v>1634</v>
      </c>
    </row>
    <row r="1797" spans="1:13" x14ac:dyDescent="0.25">
      <c r="A1797">
        <v>5343</v>
      </c>
      <c r="B1797" t="s">
        <v>6687</v>
      </c>
      <c r="C1797" t="s">
        <v>6688</v>
      </c>
      <c r="D1797" t="s">
        <v>1643</v>
      </c>
      <c r="E1797" t="s">
        <v>1273</v>
      </c>
      <c r="F1797" t="s">
        <v>2307</v>
      </c>
      <c r="G1797" t="s">
        <v>6692</v>
      </c>
      <c r="H1797">
        <v>6232375204</v>
      </c>
      <c r="K1797" t="s">
        <v>6693</v>
      </c>
      <c r="L1797" t="s">
        <v>1728</v>
      </c>
      <c r="M1797" t="s">
        <v>1634</v>
      </c>
    </row>
    <row r="1798" spans="1:13" x14ac:dyDescent="0.25">
      <c r="A1798">
        <v>5343</v>
      </c>
      <c r="B1798" t="s">
        <v>6687</v>
      </c>
      <c r="C1798" t="s">
        <v>6688</v>
      </c>
      <c r="D1798" t="s">
        <v>1643</v>
      </c>
      <c r="E1798" t="s">
        <v>1273</v>
      </c>
      <c r="F1798" t="s">
        <v>5697</v>
      </c>
      <c r="G1798" t="s">
        <v>6694</v>
      </c>
      <c r="K1798" t="s">
        <v>6695</v>
      </c>
      <c r="L1798" t="s">
        <v>1647</v>
      </c>
      <c r="M1798" t="s">
        <v>1634</v>
      </c>
    </row>
    <row r="1799" spans="1:13" x14ac:dyDescent="0.25">
      <c r="A1799">
        <v>5344</v>
      </c>
      <c r="B1799" t="s">
        <v>1300</v>
      </c>
      <c r="C1799" t="s">
        <v>6696</v>
      </c>
      <c r="D1799" t="s">
        <v>1643</v>
      </c>
      <c r="E1799" t="s">
        <v>1273</v>
      </c>
      <c r="F1799" t="s">
        <v>4725</v>
      </c>
      <c r="G1799" t="s">
        <v>6639</v>
      </c>
      <c r="H1799">
        <v>6238428213</v>
      </c>
      <c r="I1799">
        <v>6530</v>
      </c>
      <c r="K1799" t="s">
        <v>6640</v>
      </c>
      <c r="L1799" t="s">
        <v>1647</v>
      </c>
      <c r="M1799" t="s">
        <v>1634</v>
      </c>
    </row>
    <row r="1800" spans="1:13" x14ac:dyDescent="0.25">
      <c r="A1800">
        <v>5344</v>
      </c>
      <c r="B1800" t="s">
        <v>1300</v>
      </c>
      <c r="C1800" t="s">
        <v>6696</v>
      </c>
      <c r="D1800" t="s">
        <v>1643</v>
      </c>
      <c r="E1800" t="s">
        <v>1273</v>
      </c>
      <c r="F1800" t="s">
        <v>2156</v>
      </c>
      <c r="G1800" t="s">
        <v>6697</v>
      </c>
      <c r="H1800">
        <v>6232374016</v>
      </c>
      <c r="K1800" t="s">
        <v>6698</v>
      </c>
      <c r="L1800" t="s">
        <v>6699</v>
      </c>
      <c r="M1800" t="s">
        <v>1634</v>
      </c>
    </row>
    <row r="1801" spans="1:13" x14ac:dyDescent="0.25">
      <c r="A1801">
        <v>5344</v>
      </c>
      <c r="B1801" t="s">
        <v>1300</v>
      </c>
      <c r="C1801" t="s">
        <v>6696</v>
      </c>
      <c r="D1801" t="s">
        <v>1643</v>
      </c>
      <c r="E1801" t="s">
        <v>1273</v>
      </c>
      <c r="F1801" t="s">
        <v>2932</v>
      </c>
      <c r="G1801" t="s">
        <v>6700</v>
      </c>
      <c r="H1801">
        <v>6232375303</v>
      </c>
      <c r="K1801" t="s">
        <v>6701</v>
      </c>
      <c r="L1801" t="s">
        <v>1721</v>
      </c>
      <c r="M1801" t="s">
        <v>1634</v>
      </c>
    </row>
    <row r="1802" spans="1:13" x14ac:dyDescent="0.25">
      <c r="A1802">
        <v>5344</v>
      </c>
      <c r="B1802" t="s">
        <v>1300</v>
      </c>
      <c r="C1802" t="s">
        <v>6696</v>
      </c>
      <c r="D1802" t="s">
        <v>1643</v>
      </c>
      <c r="E1802" t="s">
        <v>1273</v>
      </c>
      <c r="F1802" t="s">
        <v>6702</v>
      </c>
      <c r="G1802" t="s">
        <v>6703</v>
      </c>
      <c r="H1802">
        <v>6232375303</v>
      </c>
      <c r="K1802" t="s">
        <v>6704</v>
      </c>
      <c r="L1802" t="s">
        <v>2096</v>
      </c>
      <c r="M1802" t="s">
        <v>1634</v>
      </c>
    </row>
    <row r="1803" spans="1:13" x14ac:dyDescent="0.25">
      <c r="A1803">
        <v>5345</v>
      </c>
      <c r="B1803" t="s">
        <v>562</v>
      </c>
      <c r="C1803" t="s">
        <v>6705</v>
      </c>
      <c r="D1803" t="s">
        <v>1643</v>
      </c>
      <c r="E1803" t="s">
        <v>1273</v>
      </c>
      <c r="F1803" t="s">
        <v>2401</v>
      </c>
      <c r="G1803" t="s">
        <v>6706</v>
      </c>
      <c r="H1803">
        <v>6232375403</v>
      </c>
      <c r="J1803">
        <v>6232375415</v>
      </c>
      <c r="K1803" t="s">
        <v>6707</v>
      </c>
      <c r="L1803" t="s">
        <v>1647</v>
      </c>
      <c r="M1803" t="s">
        <v>1634</v>
      </c>
    </row>
    <row r="1804" spans="1:13" x14ac:dyDescent="0.25">
      <c r="A1804">
        <v>5345</v>
      </c>
      <c r="B1804" t="s">
        <v>562</v>
      </c>
      <c r="C1804" t="s">
        <v>6705</v>
      </c>
      <c r="D1804" t="s">
        <v>1643</v>
      </c>
      <c r="E1804" t="s">
        <v>1273</v>
      </c>
      <c r="F1804" t="s">
        <v>2745</v>
      </c>
      <c r="G1804" t="s">
        <v>6708</v>
      </c>
      <c r="H1804">
        <v>6232375403</v>
      </c>
      <c r="K1804" t="s">
        <v>6709</v>
      </c>
      <c r="L1804" t="s">
        <v>2096</v>
      </c>
      <c r="M1804" t="s">
        <v>1634</v>
      </c>
    </row>
    <row r="1805" spans="1:13" x14ac:dyDescent="0.25">
      <c r="A1805">
        <v>79782</v>
      </c>
      <c r="B1805" t="s">
        <v>6710</v>
      </c>
      <c r="C1805" t="s">
        <v>6711</v>
      </c>
      <c r="D1805" t="s">
        <v>1643</v>
      </c>
      <c r="E1805" t="s">
        <v>1273</v>
      </c>
      <c r="F1805" t="s">
        <v>3303</v>
      </c>
      <c r="G1805" t="s">
        <v>6712</v>
      </c>
      <c r="H1805">
        <v>6232375503</v>
      </c>
      <c r="J1805">
        <v>6232375515</v>
      </c>
      <c r="K1805" t="s">
        <v>6713</v>
      </c>
      <c r="L1805" t="s">
        <v>1647</v>
      </c>
      <c r="M1805" t="s">
        <v>1634</v>
      </c>
    </row>
    <row r="1806" spans="1:13" x14ac:dyDescent="0.25">
      <c r="A1806">
        <v>79815</v>
      </c>
      <c r="B1806" t="s">
        <v>6714</v>
      </c>
      <c r="C1806" t="s">
        <v>6715</v>
      </c>
      <c r="D1806" t="s">
        <v>1643</v>
      </c>
      <c r="E1806" t="s">
        <v>1273</v>
      </c>
      <c r="F1806" t="s">
        <v>4524</v>
      </c>
      <c r="G1806" t="s">
        <v>6716</v>
      </c>
      <c r="J1806">
        <v>6232375615</v>
      </c>
      <c r="K1806" t="s">
        <v>6717</v>
      </c>
      <c r="L1806" t="s">
        <v>1647</v>
      </c>
      <c r="M1806" t="s">
        <v>1634</v>
      </c>
    </row>
    <row r="1807" spans="1:13" x14ac:dyDescent="0.25">
      <c r="A1807">
        <v>79815</v>
      </c>
      <c r="B1807" t="s">
        <v>6714</v>
      </c>
      <c r="C1807" t="s">
        <v>6715</v>
      </c>
      <c r="D1807" t="s">
        <v>1643</v>
      </c>
      <c r="E1807" t="s">
        <v>1273</v>
      </c>
      <c r="F1807" t="s">
        <v>6718</v>
      </c>
      <c r="G1807" t="s">
        <v>6719</v>
      </c>
      <c r="H1807">
        <v>6232375604</v>
      </c>
      <c r="K1807" t="s">
        <v>6617</v>
      </c>
      <c r="L1807" t="s">
        <v>2096</v>
      </c>
      <c r="M1807" t="s">
        <v>1634</v>
      </c>
    </row>
    <row r="1808" spans="1:13" x14ac:dyDescent="0.25">
      <c r="A1808">
        <v>79816</v>
      </c>
      <c r="B1808" t="s">
        <v>559</v>
      </c>
      <c r="C1808" t="s">
        <v>6720</v>
      </c>
      <c r="D1808" t="s">
        <v>1643</v>
      </c>
      <c r="E1808" t="s">
        <v>1273</v>
      </c>
      <c r="F1808" t="s">
        <v>2023</v>
      </c>
      <c r="G1808" t="s">
        <v>6721</v>
      </c>
      <c r="H1808">
        <v>6238664017</v>
      </c>
      <c r="J1808">
        <v>6238665708</v>
      </c>
      <c r="K1808" t="s">
        <v>6722</v>
      </c>
      <c r="M1808" t="s">
        <v>1634</v>
      </c>
    </row>
    <row r="1809" spans="1:13" x14ac:dyDescent="0.25">
      <c r="A1809">
        <v>79816</v>
      </c>
      <c r="B1809" t="s">
        <v>559</v>
      </c>
      <c r="C1809" t="s">
        <v>6720</v>
      </c>
      <c r="D1809" t="s">
        <v>1643</v>
      </c>
      <c r="E1809" t="s">
        <v>1273</v>
      </c>
      <c r="F1809" t="s">
        <v>2580</v>
      </c>
      <c r="G1809" t="s">
        <v>6723</v>
      </c>
      <c r="H1809">
        <v>6232374017</v>
      </c>
      <c r="K1809" t="s">
        <v>6724</v>
      </c>
      <c r="L1809" t="s">
        <v>1647</v>
      </c>
      <c r="M1809" t="s">
        <v>1634</v>
      </c>
    </row>
    <row r="1810" spans="1:13" x14ac:dyDescent="0.25">
      <c r="A1810">
        <v>79816</v>
      </c>
      <c r="B1810" t="s">
        <v>559</v>
      </c>
      <c r="C1810" t="s">
        <v>6720</v>
      </c>
      <c r="D1810" t="s">
        <v>1643</v>
      </c>
      <c r="E1810" t="s">
        <v>1273</v>
      </c>
      <c r="F1810" t="s">
        <v>2803</v>
      </c>
      <c r="G1810" t="s">
        <v>6725</v>
      </c>
      <c r="H1810">
        <v>6232375703</v>
      </c>
      <c r="K1810" t="s">
        <v>6726</v>
      </c>
      <c r="L1810" t="s">
        <v>1721</v>
      </c>
      <c r="M1810" t="s">
        <v>1634</v>
      </c>
    </row>
    <row r="1811" spans="1:13" x14ac:dyDescent="0.25">
      <c r="A1811">
        <v>1001178</v>
      </c>
      <c r="B1811" t="s">
        <v>6727</v>
      </c>
      <c r="C1811" t="s">
        <v>6728</v>
      </c>
      <c r="D1811" t="s">
        <v>1643</v>
      </c>
      <c r="E1811" t="s">
        <v>1273</v>
      </c>
    </row>
    <row r="1812" spans="1:13" x14ac:dyDescent="0.25">
      <c r="A1812">
        <v>4272</v>
      </c>
      <c r="B1812" t="s">
        <v>342</v>
      </c>
      <c r="C1812" t="s">
        <v>6729</v>
      </c>
      <c r="D1812" t="s">
        <v>1628</v>
      </c>
      <c r="E1812" t="s">
        <v>1273</v>
      </c>
      <c r="F1812" t="s">
        <v>1856</v>
      </c>
      <c r="G1812" t="s">
        <v>6730</v>
      </c>
      <c r="H1812">
        <v>6237725006</v>
      </c>
      <c r="K1812" t="s">
        <v>6731</v>
      </c>
      <c r="L1812" t="s">
        <v>1668</v>
      </c>
      <c r="M1812" t="s">
        <v>1634</v>
      </c>
    </row>
    <row r="1813" spans="1:13" x14ac:dyDescent="0.25">
      <c r="A1813">
        <v>4272</v>
      </c>
      <c r="B1813" t="s">
        <v>342</v>
      </c>
      <c r="C1813" t="s">
        <v>6729</v>
      </c>
      <c r="D1813" t="s">
        <v>1628</v>
      </c>
      <c r="E1813" t="s">
        <v>1273</v>
      </c>
      <c r="F1813" t="s">
        <v>1812</v>
      </c>
      <c r="G1813" t="s">
        <v>6732</v>
      </c>
      <c r="H1813">
        <v>6237725045</v>
      </c>
      <c r="K1813" t="s">
        <v>6733</v>
      </c>
      <c r="L1813" t="s">
        <v>1640</v>
      </c>
      <c r="M1813" t="s">
        <v>1634</v>
      </c>
    </row>
    <row r="1814" spans="1:13" x14ac:dyDescent="0.25">
      <c r="A1814">
        <v>4272</v>
      </c>
      <c r="B1814" t="s">
        <v>342</v>
      </c>
      <c r="C1814" t="s">
        <v>6729</v>
      </c>
      <c r="D1814" t="s">
        <v>1628</v>
      </c>
      <c r="E1814" t="s">
        <v>1273</v>
      </c>
      <c r="F1814" t="s">
        <v>6671</v>
      </c>
      <c r="G1814" t="s">
        <v>4117</v>
      </c>
      <c r="H1814">
        <v>6237725088</v>
      </c>
      <c r="K1814" t="s">
        <v>6734</v>
      </c>
      <c r="L1814" t="s">
        <v>6735</v>
      </c>
      <c r="M1814" t="s">
        <v>1634</v>
      </c>
    </row>
    <row r="1815" spans="1:13" x14ac:dyDescent="0.25">
      <c r="A1815">
        <v>4272</v>
      </c>
      <c r="B1815" t="s">
        <v>342</v>
      </c>
      <c r="C1815" t="s">
        <v>6729</v>
      </c>
      <c r="D1815" t="s">
        <v>1628</v>
      </c>
      <c r="E1815" t="s">
        <v>1273</v>
      </c>
      <c r="F1815" t="s">
        <v>1872</v>
      </c>
      <c r="G1815" t="s">
        <v>6736</v>
      </c>
      <c r="H1815">
        <v>6237725000</v>
      </c>
      <c r="K1815" t="s">
        <v>6737</v>
      </c>
      <c r="M1815" t="s">
        <v>1634</v>
      </c>
    </row>
    <row r="1816" spans="1:13" x14ac:dyDescent="0.25">
      <c r="A1816">
        <v>4272</v>
      </c>
      <c r="B1816" t="s">
        <v>342</v>
      </c>
      <c r="C1816" t="s">
        <v>6729</v>
      </c>
      <c r="D1816" t="s">
        <v>1628</v>
      </c>
      <c r="E1816" t="s">
        <v>1273</v>
      </c>
      <c r="F1816" t="s">
        <v>1812</v>
      </c>
      <c r="G1816" t="s">
        <v>6732</v>
      </c>
      <c r="H1816">
        <v>6237725045</v>
      </c>
      <c r="K1816" t="s">
        <v>6733</v>
      </c>
      <c r="L1816" t="s">
        <v>1640</v>
      </c>
      <c r="M1816" t="s">
        <v>1640</v>
      </c>
    </row>
    <row r="1817" spans="1:13" x14ac:dyDescent="0.25">
      <c r="A1817">
        <v>4272</v>
      </c>
      <c r="B1817" t="s">
        <v>342</v>
      </c>
      <c r="C1817" t="s">
        <v>6729</v>
      </c>
      <c r="D1817" t="s">
        <v>1628</v>
      </c>
      <c r="E1817" t="s">
        <v>1273</v>
      </c>
      <c r="F1817" t="s">
        <v>2351</v>
      </c>
      <c r="G1817" t="s">
        <v>6738</v>
      </c>
      <c r="H1817">
        <v>6237725052</v>
      </c>
      <c r="K1817" t="s">
        <v>6739</v>
      </c>
      <c r="M1817" t="s">
        <v>1765</v>
      </c>
    </row>
    <row r="1818" spans="1:13" x14ac:dyDescent="0.25">
      <c r="A1818">
        <v>5347</v>
      </c>
      <c r="B1818" t="s">
        <v>6740</v>
      </c>
      <c r="C1818" t="s">
        <v>6741</v>
      </c>
      <c r="D1818" t="s">
        <v>1643</v>
      </c>
      <c r="E1818" t="s">
        <v>1273</v>
      </c>
      <c r="F1818" t="s">
        <v>2328</v>
      </c>
      <c r="G1818" t="s">
        <v>6742</v>
      </c>
      <c r="H1818">
        <v>6237725100</v>
      </c>
      <c r="J1818">
        <v>6237725120</v>
      </c>
      <c r="K1818" t="s">
        <v>6743</v>
      </c>
      <c r="L1818" t="s">
        <v>1647</v>
      </c>
      <c r="M1818" t="s">
        <v>1634</v>
      </c>
    </row>
    <row r="1819" spans="1:13" x14ac:dyDescent="0.25">
      <c r="A1819">
        <v>5347</v>
      </c>
      <c r="B1819" t="s">
        <v>6740</v>
      </c>
      <c r="C1819" t="s">
        <v>6741</v>
      </c>
      <c r="D1819" t="s">
        <v>1643</v>
      </c>
      <c r="E1819" t="s">
        <v>1273</v>
      </c>
      <c r="F1819" t="s">
        <v>1935</v>
      </c>
      <c r="G1819" t="s">
        <v>6744</v>
      </c>
      <c r="H1819">
        <v>6237725105</v>
      </c>
      <c r="K1819" t="s">
        <v>6745</v>
      </c>
      <c r="L1819" t="s">
        <v>1647</v>
      </c>
      <c r="M1819" t="s">
        <v>1634</v>
      </c>
    </row>
    <row r="1820" spans="1:13" x14ac:dyDescent="0.25">
      <c r="A1820">
        <v>5348</v>
      </c>
      <c r="B1820" t="s">
        <v>6746</v>
      </c>
      <c r="C1820" t="s">
        <v>6747</v>
      </c>
      <c r="D1820" t="s">
        <v>1643</v>
      </c>
      <c r="E1820" t="s">
        <v>1273</v>
      </c>
      <c r="F1820" t="s">
        <v>2803</v>
      </c>
      <c r="G1820" t="s">
        <v>6748</v>
      </c>
      <c r="K1820" t="s">
        <v>6749</v>
      </c>
      <c r="L1820" t="s">
        <v>1647</v>
      </c>
      <c r="M1820" t="s">
        <v>1634</v>
      </c>
    </row>
    <row r="1821" spans="1:13" x14ac:dyDescent="0.25">
      <c r="A1821">
        <v>5349</v>
      </c>
      <c r="B1821" t="s">
        <v>539</v>
      </c>
      <c r="C1821" t="s">
        <v>6750</v>
      </c>
      <c r="D1821" t="s">
        <v>1643</v>
      </c>
      <c r="E1821" t="s">
        <v>1273</v>
      </c>
      <c r="F1821" t="s">
        <v>1935</v>
      </c>
      <c r="G1821" t="s">
        <v>6744</v>
      </c>
      <c r="H1821">
        <v>6237724400</v>
      </c>
      <c r="J1821">
        <v>6237724420</v>
      </c>
      <c r="K1821" t="s">
        <v>6745</v>
      </c>
      <c r="L1821" t="s">
        <v>1647</v>
      </c>
      <c r="M1821" t="s">
        <v>1634</v>
      </c>
    </row>
    <row r="1822" spans="1:13" x14ac:dyDescent="0.25">
      <c r="A1822">
        <v>5349</v>
      </c>
      <c r="B1822" t="s">
        <v>539</v>
      </c>
      <c r="C1822" t="s">
        <v>6750</v>
      </c>
      <c r="D1822" t="s">
        <v>1643</v>
      </c>
      <c r="E1822" t="s">
        <v>1273</v>
      </c>
      <c r="F1822" t="s">
        <v>1856</v>
      </c>
      <c r="G1822" t="s">
        <v>6751</v>
      </c>
      <c r="H1822">
        <v>6237724400</v>
      </c>
      <c r="J1822">
        <v>6237724420</v>
      </c>
      <c r="K1822" t="s">
        <v>6731</v>
      </c>
      <c r="L1822" t="s">
        <v>1668</v>
      </c>
      <c r="M1822" t="s">
        <v>1634</v>
      </c>
    </row>
    <row r="1823" spans="1:13" x14ac:dyDescent="0.25">
      <c r="A1823">
        <v>5349</v>
      </c>
      <c r="B1823" t="s">
        <v>539</v>
      </c>
      <c r="C1823" t="s">
        <v>6750</v>
      </c>
      <c r="D1823" t="s">
        <v>1643</v>
      </c>
      <c r="E1823" t="s">
        <v>1273</v>
      </c>
      <c r="F1823" t="s">
        <v>4073</v>
      </c>
      <c r="G1823" t="s">
        <v>6752</v>
      </c>
      <c r="H1823">
        <v>6237725013</v>
      </c>
      <c r="K1823" t="s">
        <v>6753</v>
      </c>
      <c r="L1823" t="s">
        <v>1640</v>
      </c>
      <c r="M1823" t="s">
        <v>1634</v>
      </c>
    </row>
    <row r="1824" spans="1:13" x14ac:dyDescent="0.25">
      <c r="A1824">
        <v>5349</v>
      </c>
      <c r="B1824" t="s">
        <v>539</v>
      </c>
      <c r="C1824" t="s">
        <v>6750</v>
      </c>
      <c r="D1824" t="s">
        <v>1643</v>
      </c>
      <c r="E1824" t="s">
        <v>1273</v>
      </c>
      <c r="F1824" t="s">
        <v>4581</v>
      </c>
      <c r="G1824" t="s">
        <v>6754</v>
      </c>
      <c r="H1824">
        <v>6237724405</v>
      </c>
      <c r="K1824" t="s">
        <v>6755</v>
      </c>
      <c r="L1824" t="s">
        <v>1647</v>
      </c>
      <c r="M1824" t="s">
        <v>1634</v>
      </c>
    </row>
    <row r="1825" spans="1:13" x14ac:dyDescent="0.25">
      <c r="A1825">
        <v>78924</v>
      </c>
      <c r="B1825" t="s">
        <v>6756</v>
      </c>
      <c r="C1825" t="s">
        <v>6757</v>
      </c>
      <c r="D1825" t="s">
        <v>1643</v>
      </c>
      <c r="E1825" t="s">
        <v>1273</v>
      </c>
    </row>
    <row r="1826" spans="1:13" x14ac:dyDescent="0.25">
      <c r="A1826">
        <v>79670</v>
      </c>
      <c r="B1826" t="s">
        <v>6758</v>
      </c>
      <c r="C1826" t="s">
        <v>6759</v>
      </c>
      <c r="D1826" t="s">
        <v>1643</v>
      </c>
      <c r="E1826" t="s">
        <v>1273</v>
      </c>
      <c r="F1826" t="s">
        <v>1820</v>
      </c>
      <c r="G1826" t="s">
        <v>6760</v>
      </c>
      <c r="H1826">
        <v>6237724600</v>
      </c>
      <c r="J1826">
        <v>6237724620</v>
      </c>
      <c r="K1826" t="s">
        <v>6761</v>
      </c>
      <c r="M1826" t="s">
        <v>1634</v>
      </c>
    </row>
    <row r="1827" spans="1:13" x14ac:dyDescent="0.25">
      <c r="A1827">
        <v>79670</v>
      </c>
      <c r="B1827" t="s">
        <v>6758</v>
      </c>
      <c r="C1827" t="s">
        <v>6759</v>
      </c>
      <c r="D1827" t="s">
        <v>1643</v>
      </c>
      <c r="E1827" t="s">
        <v>1273</v>
      </c>
      <c r="F1827" t="s">
        <v>4581</v>
      </c>
      <c r="G1827" t="s">
        <v>6754</v>
      </c>
      <c r="H1827">
        <v>6237724605</v>
      </c>
      <c r="J1827">
        <v>6237724620</v>
      </c>
      <c r="K1827" t="s">
        <v>6755</v>
      </c>
      <c r="L1827" t="s">
        <v>1647</v>
      </c>
      <c r="M1827" t="s">
        <v>1634</v>
      </c>
    </row>
    <row r="1828" spans="1:13" x14ac:dyDescent="0.25">
      <c r="A1828">
        <v>79670</v>
      </c>
      <c r="B1828" t="s">
        <v>6758</v>
      </c>
      <c r="C1828" t="s">
        <v>6759</v>
      </c>
      <c r="D1828" t="s">
        <v>1643</v>
      </c>
      <c r="E1828" t="s">
        <v>1273</v>
      </c>
      <c r="F1828" t="s">
        <v>2156</v>
      </c>
      <c r="G1828" t="s">
        <v>6762</v>
      </c>
      <c r="H1828">
        <v>6237724600</v>
      </c>
      <c r="J1828">
        <v>6237724620</v>
      </c>
      <c r="K1828" t="s">
        <v>6763</v>
      </c>
      <c r="L1828" t="s">
        <v>1738</v>
      </c>
      <c r="M1828" t="s">
        <v>1634</v>
      </c>
    </row>
    <row r="1829" spans="1:13" x14ac:dyDescent="0.25">
      <c r="A1829">
        <v>79670</v>
      </c>
      <c r="B1829" t="s">
        <v>6758</v>
      </c>
      <c r="C1829" t="s">
        <v>6759</v>
      </c>
      <c r="D1829" t="s">
        <v>1643</v>
      </c>
      <c r="E1829" t="s">
        <v>1273</v>
      </c>
      <c r="F1829" t="s">
        <v>5697</v>
      </c>
      <c r="G1829" t="s">
        <v>2262</v>
      </c>
      <c r="H1829">
        <v>6237724605</v>
      </c>
      <c r="K1829" t="s">
        <v>6764</v>
      </c>
      <c r="L1829" t="s">
        <v>1647</v>
      </c>
      <c r="M1829" t="s">
        <v>1634</v>
      </c>
    </row>
    <row r="1830" spans="1:13" x14ac:dyDescent="0.25">
      <c r="A1830">
        <v>79670</v>
      </c>
      <c r="B1830" t="s">
        <v>6758</v>
      </c>
      <c r="C1830" t="s">
        <v>6759</v>
      </c>
      <c r="D1830" t="s">
        <v>1643</v>
      </c>
      <c r="E1830" t="s">
        <v>1273</v>
      </c>
      <c r="F1830" t="s">
        <v>6765</v>
      </c>
      <c r="G1830" t="s">
        <v>6766</v>
      </c>
      <c r="L1830" t="s">
        <v>6767</v>
      </c>
      <c r="M1830" t="s">
        <v>1640</v>
      </c>
    </row>
    <row r="1831" spans="1:13" x14ac:dyDescent="0.25">
      <c r="A1831">
        <v>79792</v>
      </c>
      <c r="B1831" t="s">
        <v>6768</v>
      </c>
      <c r="C1831" t="s">
        <v>6769</v>
      </c>
      <c r="D1831" t="s">
        <v>1643</v>
      </c>
      <c r="E1831" t="s">
        <v>1273</v>
      </c>
      <c r="F1831" t="s">
        <v>6770</v>
      </c>
      <c r="G1831" t="s">
        <v>6771</v>
      </c>
      <c r="K1831" t="s">
        <v>6772</v>
      </c>
      <c r="M1831" t="s">
        <v>1634</v>
      </c>
    </row>
    <row r="1832" spans="1:13" x14ac:dyDescent="0.25">
      <c r="A1832">
        <v>79792</v>
      </c>
      <c r="B1832" t="s">
        <v>6768</v>
      </c>
      <c r="C1832" t="s">
        <v>6769</v>
      </c>
      <c r="D1832" t="s">
        <v>1643</v>
      </c>
      <c r="E1832" t="s">
        <v>1273</v>
      </c>
      <c r="F1832" t="s">
        <v>2361</v>
      </c>
      <c r="G1832" t="s">
        <v>6773</v>
      </c>
      <c r="K1832" t="s">
        <v>6774</v>
      </c>
      <c r="L1832" t="s">
        <v>1738</v>
      </c>
      <c r="M1832" t="s">
        <v>1634</v>
      </c>
    </row>
    <row r="1833" spans="1:13" x14ac:dyDescent="0.25">
      <c r="A1833">
        <v>90028</v>
      </c>
      <c r="B1833" t="s">
        <v>6775</v>
      </c>
      <c r="C1833" t="s">
        <v>6776</v>
      </c>
      <c r="D1833" t="s">
        <v>1643</v>
      </c>
      <c r="E1833" t="s">
        <v>1273</v>
      </c>
      <c r="F1833" t="s">
        <v>2142</v>
      </c>
      <c r="G1833" t="s">
        <v>4039</v>
      </c>
      <c r="H1833">
        <v>6237724105</v>
      </c>
      <c r="K1833" t="s">
        <v>6777</v>
      </c>
      <c r="L1833" t="s">
        <v>1647</v>
      </c>
      <c r="M1833" t="s">
        <v>1634</v>
      </c>
    </row>
    <row r="1834" spans="1:13" x14ac:dyDescent="0.25">
      <c r="A1834">
        <v>90028</v>
      </c>
      <c r="B1834" t="s">
        <v>6775</v>
      </c>
      <c r="C1834" t="s">
        <v>6776</v>
      </c>
      <c r="D1834" t="s">
        <v>1643</v>
      </c>
      <c r="E1834" t="s">
        <v>1273</v>
      </c>
      <c r="F1834" t="s">
        <v>2835</v>
      </c>
      <c r="G1834" t="s">
        <v>6778</v>
      </c>
      <c r="H1834">
        <v>6237724100</v>
      </c>
      <c r="J1834">
        <v>6237724120</v>
      </c>
      <c r="K1834" t="s">
        <v>6779</v>
      </c>
      <c r="L1834" t="s">
        <v>1738</v>
      </c>
      <c r="M1834" t="s">
        <v>1634</v>
      </c>
    </row>
    <row r="1835" spans="1:13" x14ac:dyDescent="0.25">
      <c r="A1835">
        <v>90028</v>
      </c>
      <c r="B1835" t="s">
        <v>6775</v>
      </c>
      <c r="C1835" t="s">
        <v>6776</v>
      </c>
      <c r="D1835" t="s">
        <v>1643</v>
      </c>
      <c r="E1835" t="s">
        <v>1273</v>
      </c>
      <c r="F1835" t="s">
        <v>6780</v>
      </c>
      <c r="G1835" t="s">
        <v>6781</v>
      </c>
      <c r="H1835">
        <v>6237724105</v>
      </c>
      <c r="K1835" t="s">
        <v>6782</v>
      </c>
      <c r="L1835" t="s">
        <v>1647</v>
      </c>
      <c r="M1835" t="s">
        <v>1634</v>
      </c>
    </row>
    <row r="1836" spans="1:13" x14ac:dyDescent="0.25">
      <c r="A1836">
        <v>87619</v>
      </c>
      <c r="B1836" t="s">
        <v>6783</v>
      </c>
      <c r="C1836" t="s">
        <v>6784</v>
      </c>
      <c r="D1836" t="s">
        <v>1643</v>
      </c>
      <c r="E1836" t="s">
        <v>1273</v>
      </c>
      <c r="F1836" t="s">
        <v>6785</v>
      </c>
      <c r="G1836" t="s">
        <v>6786</v>
      </c>
      <c r="H1836">
        <v>6237724805</v>
      </c>
      <c r="J1836">
        <v>6237724820</v>
      </c>
      <c r="K1836" t="s">
        <v>6787</v>
      </c>
      <c r="L1836" t="s">
        <v>1647</v>
      </c>
      <c r="M1836" t="s">
        <v>1634</v>
      </c>
    </row>
    <row r="1837" spans="1:13" x14ac:dyDescent="0.25">
      <c r="A1837">
        <v>87619</v>
      </c>
      <c r="B1837" t="s">
        <v>6783</v>
      </c>
      <c r="C1837" t="s">
        <v>6784</v>
      </c>
      <c r="D1837" t="s">
        <v>1643</v>
      </c>
      <c r="E1837" t="s">
        <v>1273</v>
      </c>
      <c r="F1837" t="s">
        <v>4008</v>
      </c>
      <c r="G1837" t="s">
        <v>2089</v>
      </c>
      <c r="H1837">
        <v>6237724805</v>
      </c>
      <c r="K1837" t="s">
        <v>6788</v>
      </c>
      <c r="L1837" t="s">
        <v>1647</v>
      </c>
      <c r="M1837" t="s">
        <v>1634</v>
      </c>
    </row>
    <row r="1838" spans="1:13" x14ac:dyDescent="0.25">
      <c r="A1838">
        <v>91985</v>
      </c>
      <c r="B1838" t="s">
        <v>6789</v>
      </c>
      <c r="C1838" t="s">
        <v>6790</v>
      </c>
      <c r="D1838" t="s">
        <v>1643</v>
      </c>
      <c r="E1838" t="s">
        <v>1273</v>
      </c>
      <c r="F1838" t="s">
        <v>1856</v>
      </c>
      <c r="G1838" t="s">
        <v>6730</v>
      </c>
      <c r="H1838">
        <v>6237724400</v>
      </c>
      <c r="J1838">
        <v>6234424200</v>
      </c>
      <c r="K1838" t="s">
        <v>6791</v>
      </c>
      <c r="L1838" t="s">
        <v>1668</v>
      </c>
      <c r="M1838" t="s">
        <v>1634</v>
      </c>
    </row>
    <row r="1839" spans="1:13" x14ac:dyDescent="0.25">
      <c r="A1839">
        <v>91985</v>
      </c>
      <c r="B1839" t="s">
        <v>6789</v>
      </c>
      <c r="C1839" t="s">
        <v>6790</v>
      </c>
      <c r="D1839" t="s">
        <v>1643</v>
      </c>
      <c r="E1839" t="s">
        <v>1273</v>
      </c>
      <c r="F1839" t="s">
        <v>6792</v>
      </c>
      <c r="G1839" t="s">
        <v>6793</v>
      </c>
      <c r="H1839">
        <v>6237724505</v>
      </c>
      <c r="K1839" t="s">
        <v>6794</v>
      </c>
      <c r="L1839" t="s">
        <v>1647</v>
      </c>
      <c r="M1839" t="s">
        <v>1634</v>
      </c>
    </row>
    <row r="1840" spans="1:13" x14ac:dyDescent="0.25">
      <c r="A1840">
        <v>91985</v>
      </c>
      <c r="B1840" t="s">
        <v>6789</v>
      </c>
      <c r="C1840" t="s">
        <v>6790</v>
      </c>
      <c r="D1840" t="s">
        <v>1643</v>
      </c>
      <c r="E1840" t="s">
        <v>1273</v>
      </c>
      <c r="F1840" t="s">
        <v>2817</v>
      </c>
      <c r="G1840" t="s">
        <v>6795</v>
      </c>
      <c r="H1840">
        <v>6237725197</v>
      </c>
      <c r="K1840" t="s">
        <v>6796</v>
      </c>
      <c r="M1840" t="s">
        <v>1634</v>
      </c>
    </row>
    <row r="1841" spans="1:13" x14ac:dyDescent="0.25">
      <c r="A1841">
        <v>91985</v>
      </c>
      <c r="B1841" t="s">
        <v>6789</v>
      </c>
      <c r="C1841" t="s">
        <v>6790</v>
      </c>
      <c r="D1841" t="s">
        <v>1643</v>
      </c>
      <c r="E1841" t="s">
        <v>1273</v>
      </c>
      <c r="F1841" t="s">
        <v>4073</v>
      </c>
      <c r="G1841" t="s">
        <v>6752</v>
      </c>
      <c r="H1841">
        <v>6237724400</v>
      </c>
      <c r="J1841">
        <v>6237724200</v>
      </c>
      <c r="K1841" t="s">
        <v>6753</v>
      </c>
      <c r="L1841" t="s">
        <v>1640</v>
      </c>
      <c r="M1841" t="s">
        <v>1640</v>
      </c>
    </row>
    <row r="1842" spans="1:13" x14ac:dyDescent="0.25">
      <c r="A1842">
        <v>4273</v>
      </c>
      <c r="B1842" t="s">
        <v>1375</v>
      </c>
      <c r="C1842" t="s">
        <v>6797</v>
      </c>
      <c r="D1842" t="s">
        <v>1628</v>
      </c>
      <c r="E1842" t="s">
        <v>1273</v>
      </c>
      <c r="F1842" t="s">
        <v>6798</v>
      </c>
      <c r="G1842" t="s">
        <v>6799</v>
      </c>
      <c r="H1842">
        <v>6237074512</v>
      </c>
      <c r="J1842">
        <v>6237074560</v>
      </c>
      <c r="K1842" t="s">
        <v>6800</v>
      </c>
      <c r="L1842" t="s">
        <v>1668</v>
      </c>
      <c r="M1842" t="s">
        <v>1634</v>
      </c>
    </row>
    <row r="1843" spans="1:13" x14ac:dyDescent="0.25">
      <c r="A1843">
        <v>4273</v>
      </c>
      <c r="B1843" t="s">
        <v>1375</v>
      </c>
      <c r="C1843" t="s">
        <v>6797</v>
      </c>
      <c r="D1843" t="s">
        <v>1628</v>
      </c>
      <c r="E1843" t="s">
        <v>1273</v>
      </c>
      <c r="F1843" t="s">
        <v>2108</v>
      </c>
      <c r="G1843" t="s">
        <v>6801</v>
      </c>
      <c r="H1843">
        <v>6237074515</v>
      </c>
      <c r="K1843" t="s">
        <v>6802</v>
      </c>
      <c r="L1843" t="s">
        <v>6803</v>
      </c>
      <c r="M1843" t="s">
        <v>1640</v>
      </c>
    </row>
    <row r="1844" spans="1:13" x14ac:dyDescent="0.25">
      <c r="A1844">
        <v>4273</v>
      </c>
      <c r="B1844" t="s">
        <v>1375</v>
      </c>
      <c r="C1844" t="s">
        <v>6797</v>
      </c>
      <c r="D1844" t="s">
        <v>1628</v>
      </c>
      <c r="E1844" t="s">
        <v>1273</v>
      </c>
      <c r="F1844" t="s">
        <v>1917</v>
      </c>
      <c r="G1844" t="s">
        <v>1918</v>
      </c>
      <c r="H1844">
        <v>6237074500</v>
      </c>
      <c r="K1844" t="s">
        <v>6804</v>
      </c>
      <c r="L1844" t="s">
        <v>1639</v>
      </c>
      <c r="M1844" t="s">
        <v>1640</v>
      </c>
    </row>
    <row r="1845" spans="1:13" x14ac:dyDescent="0.25">
      <c r="A1845">
        <v>4273</v>
      </c>
      <c r="B1845" t="s">
        <v>1375</v>
      </c>
      <c r="C1845" t="s">
        <v>6797</v>
      </c>
      <c r="D1845" t="s">
        <v>1628</v>
      </c>
      <c r="E1845" t="s">
        <v>1273</v>
      </c>
      <c r="F1845" t="s">
        <v>3100</v>
      </c>
      <c r="G1845" t="s">
        <v>6805</v>
      </c>
      <c r="K1845" t="s">
        <v>6806</v>
      </c>
      <c r="L1845" t="s">
        <v>6807</v>
      </c>
      <c r="M1845" t="s">
        <v>1765</v>
      </c>
    </row>
    <row r="1846" spans="1:13" x14ac:dyDescent="0.25">
      <c r="A1846">
        <v>5351</v>
      </c>
      <c r="B1846" t="s">
        <v>1376</v>
      </c>
      <c r="C1846" t="s">
        <v>6808</v>
      </c>
      <c r="D1846" t="s">
        <v>1643</v>
      </c>
      <c r="E1846" t="s">
        <v>1273</v>
      </c>
      <c r="F1846" t="s">
        <v>1820</v>
      </c>
      <c r="G1846" t="s">
        <v>6809</v>
      </c>
      <c r="H1846">
        <v>6237072500</v>
      </c>
      <c r="J1846">
        <v>6237074680</v>
      </c>
      <c r="K1846" t="s">
        <v>6810</v>
      </c>
      <c r="L1846" t="s">
        <v>1738</v>
      </c>
      <c r="M1846" t="s">
        <v>1634</v>
      </c>
    </row>
    <row r="1847" spans="1:13" x14ac:dyDescent="0.25">
      <c r="A1847">
        <v>5351</v>
      </c>
      <c r="B1847" t="s">
        <v>1376</v>
      </c>
      <c r="C1847" t="s">
        <v>6808</v>
      </c>
      <c r="D1847" t="s">
        <v>1643</v>
      </c>
      <c r="E1847" t="s">
        <v>1273</v>
      </c>
      <c r="F1847" t="s">
        <v>6811</v>
      </c>
      <c r="G1847" t="s">
        <v>6006</v>
      </c>
      <c r="K1847" t="s">
        <v>6812</v>
      </c>
      <c r="L1847" t="s">
        <v>6813</v>
      </c>
      <c r="M1847" t="s">
        <v>1634</v>
      </c>
    </row>
    <row r="1848" spans="1:13" x14ac:dyDescent="0.25">
      <c r="A1848">
        <v>5352</v>
      </c>
      <c r="B1848" t="s">
        <v>6814</v>
      </c>
      <c r="C1848" t="s">
        <v>6815</v>
      </c>
      <c r="D1848" t="s">
        <v>1643</v>
      </c>
      <c r="E1848" t="s">
        <v>1273</v>
      </c>
      <c r="F1848" t="s">
        <v>3345</v>
      </c>
      <c r="G1848" t="s">
        <v>6816</v>
      </c>
      <c r="H1848">
        <v>6237074583</v>
      </c>
      <c r="J1848">
        <v>6237074630</v>
      </c>
      <c r="K1848" t="s">
        <v>6817</v>
      </c>
      <c r="L1848" t="s">
        <v>1647</v>
      </c>
      <c r="M1848" t="s">
        <v>1634</v>
      </c>
    </row>
    <row r="1849" spans="1:13" x14ac:dyDescent="0.25">
      <c r="A1849">
        <v>5353</v>
      </c>
      <c r="B1849" t="s">
        <v>6818</v>
      </c>
      <c r="C1849" t="s">
        <v>6819</v>
      </c>
      <c r="D1849" t="s">
        <v>1643</v>
      </c>
      <c r="E1849" t="s">
        <v>1273</v>
      </c>
      <c r="F1849" t="s">
        <v>6820</v>
      </c>
      <c r="G1849" t="s">
        <v>4111</v>
      </c>
      <c r="H1849">
        <v>6023151546</v>
      </c>
      <c r="K1849" t="s">
        <v>6821</v>
      </c>
      <c r="L1849" t="s">
        <v>1738</v>
      </c>
      <c r="M1849" t="s">
        <v>1634</v>
      </c>
    </row>
    <row r="1850" spans="1:13" x14ac:dyDescent="0.25">
      <c r="A1850">
        <v>5353</v>
      </c>
      <c r="B1850" t="s">
        <v>6818</v>
      </c>
      <c r="C1850" t="s">
        <v>6819</v>
      </c>
      <c r="D1850" t="s">
        <v>1643</v>
      </c>
      <c r="E1850" t="s">
        <v>1273</v>
      </c>
      <c r="F1850" t="s">
        <v>6822</v>
      </c>
      <c r="G1850" t="s">
        <v>5657</v>
      </c>
      <c r="H1850">
        <v>6237071053</v>
      </c>
      <c r="K1850" t="s">
        <v>6823</v>
      </c>
      <c r="L1850" t="s">
        <v>1647</v>
      </c>
      <c r="M1850" t="s">
        <v>1634</v>
      </c>
    </row>
    <row r="1851" spans="1:13" x14ac:dyDescent="0.25">
      <c r="A1851">
        <v>5353</v>
      </c>
      <c r="B1851" t="s">
        <v>6818</v>
      </c>
      <c r="C1851" t="s">
        <v>6819</v>
      </c>
      <c r="D1851" t="s">
        <v>1643</v>
      </c>
      <c r="E1851" t="s">
        <v>1273</v>
      </c>
      <c r="F1851" t="s">
        <v>5334</v>
      </c>
      <c r="G1851" t="s">
        <v>6824</v>
      </c>
      <c r="K1851" t="s">
        <v>6825</v>
      </c>
      <c r="L1851" t="s">
        <v>1738</v>
      </c>
      <c r="M1851" t="s">
        <v>1634</v>
      </c>
    </row>
    <row r="1852" spans="1:13" x14ac:dyDescent="0.25">
      <c r="A1852">
        <v>80315</v>
      </c>
      <c r="B1852" t="s">
        <v>6826</v>
      </c>
      <c r="C1852" t="s">
        <v>6827</v>
      </c>
      <c r="D1852" t="s">
        <v>1643</v>
      </c>
      <c r="E1852" t="s">
        <v>1273</v>
      </c>
      <c r="F1852" t="s">
        <v>2258</v>
      </c>
      <c r="G1852" t="s">
        <v>6828</v>
      </c>
      <c r="H1852">
        <v>6237072003</v>
      </c>
      <c r="J1852">
        <v>6237072015</v>
      </c>
      <c r="K1852" t="s">
        <v>6829</v>
      </c>
      <c r="L1852" t="s">
        <v>1647</v>
      </c>
      <c r="M1852" t="s">
        <v>1634</v>
      </c>
    </row>
    <row r="1853" spans="1:13" x14ac:dyDescent="0.25">
      <c r="A1853">
        <v>80315</v>
      </c>
      <c r="B1853" t="s">
        <v>6826</v>
      </c>
      <c r="C1853" t="s">
        <v>6827</v>
      </c>
      <c r="D1853" t="s">
        <v>1643</v>
      </c>
      <c r="E1853" t="s">
        <v>1273</v>
      </c>
      <c r="F1853" t="s">
        <v>2189</v>
      </c>
      <c r="G1853" t="s">
        <v>6830</v>
      </c>
      <c r="H1853">
        <v>6237072003</v>
      </c>
      <c r="K1853" t="s">
        <v>6831</v>
      </c>
      <c r="L1853" t="s">
        <v>1647</v>
      </c>
      <c r="M1853" t="s">
        <v>1634</v>
      </c>
    </row>
    <row r="1854" spans="1:13" x14ac:dyDescent="0.25">
      <c r="A1854">
        <v>80915</v>
      </c>
      <c r="B1854" t="s">
        <v>1520</v>
      </c>
      <c r="C1854" t="s">
        <v>6832</v>
      </c>
      <c r="D1854" t="s">
        <v>1643</v>
      </c>
      <c r="E1854" t="s">
        <v>1273</v>
      </c>
      <c r="F1854" t="s">
        <v>5965</v>
      </c>
      <c r="G1854" t="s">
        <v>3299</v>
      </c>
      <c r="H1854">
        <v>6237072100</v>
      </c>
      <c r="J1854">
        <v>6237072104</v>
      </c>
      <c r="K1854" t="s">
        <v>6833</v>
      </c>
      <c r="L1854" t="s">
        <v>1647</v>
      </c>
      <c r="M1854" t="s">
        <v>1634</v>
      </c>
    </row>
    <row r="1855" spans="1:13" x14ac:dyDescent="0.25">
      <c r="A1855">
        <v>80916</v>
      </c>
      <c r="B1855" t="s">
        <v>1537</v>
      </c>
      <c r="C1855" t="s">
        <v>6834</v>
      </c>
      <c r="D1855" t="s">
        <v>1643</v>
      </c>
      <c r="E1855" t="s">
        <v>1273</v>
      </c>
      <c r="F1855" t="s">
        <v>3185</v>
      </c>
      <c r="G1855" t="s">
        <v>3186</v>
      </c>
      <c r="H1855">
        <v>6237072200</v>
      </c>
      <c r="K1855" t="s">
        <v>6835</v>
      </c>
      <c r="L1855" t="s">
        <v>1647</v>
      </c>
      <c r="M1855" t="s">
        <v>1634</v>
      </c>
    </row>
    <row r="1856" spans="1:13" x14ac:dyDescent="0.25">
      <c r="A1856">
        <v>80916</v>
      </c>
      <c r="B1856" t="s">
        <v>1537</v>
      </c>
      <c r="C1856" t="s">
        <v>6834</v>
      </c>
      <c r="D1856" t="s">
        <v>1643</v>
      </c>
      <c r="E1856" t="s">
        <v>1273</v>
      </c>
      <c r="F1856" t="s">
        <v>6836</v>
      </c>
      <c r="G1856" t="s">
        <v>2506</v>
      </c>
      <c r="H1856">
        <v>6237072117</v>
      </c>
      <c r="K1856" t="s">
        <v>6837</v>
      </c>
      <c r="L1856" t="s">
        <v>6838</v>
      </c>
      <c r="M1856" t="s">
        <v>1634</v>
      </c>
    </row>
    <row r="1857" spans="1:13" x14ac:dyDescent="0.25">
      <c r="A1857">
        <v>80916</v>
      </c>
      <c r="B1857" t="s">
        <v>1537</v>
      </c>
      <c r="C1857" t="s">
        <v>6834</v>
      </c>
      <c r="D1857" t="s">
        <v>1643</v>
      </c>
      <c r="E1857" t="s">
        <v>1273</v>
      </c>
      <c r="F1857" t="s">
        <v>5965</v>
      </c>
      <c r="G1857" t="s">
        <v>3299</v>
      </c>
      <c r="H1857">
        <v>6237072102</v>
      </c>
      <c r="K1857" t="s">
        <v>6833</v>
      </c>
      <c r="L1857" t="s">
        <v>1647</v>
      </c>
      <c r="M1857" t="s">
        <v>1634</v>
      </c>
    </row>
    <row r="1858" spans="1:13" x14ac:dyDescent="0.25">
      <c r="A1858">
        <v>87521</v>
      </c>
      <c r="B1858" t="s">
        <v>6839</v>
      </c>
      <c r="C1858" t="s">
        <v>6840</v>
      </c>
      <c r="D1858" t="s">
        <v>1643</v>
      </c>
      <c r="E1858" t="s">
        <v>1273</v>
      </c>
      <c r="F1858" t="s">
        <v>2222</v>
      </c>
      <c r="G1858" t="s">
        <v>6841</v>
      </c>
      <c r="K1858" t="s">
        <v>6842</v>
      </c>
      <c r="L1858" t="s">
        <v>1647</v>
      </c>
      <c r="M1858" t="s">
        <v>1634</v>
      </c>
    </row>
    <row r="1859" spans="1:13" x14ac:dyDescent="0.25">
      <c r="A1859">
        <v>87521</v>
      </c>
      <c r="B1859" t="s">
        <v>6839</v>
      </c>
      <c r="C1859" t="s">
        <v>6840</v>
      </c>
      <c r="D1859" t="s">
        <v>1643</v>
      </c>
      <c r="E1859" t="s">
        <v>1273</v>
      </c>
      <c r="F1859" t="s">
        <v>4167</v>
      </c>
      <c r="G1859" t="s">
        <v>6843</v>
      </c>
      <c r="H1859">
        <v>6237072303</v>
      </c>
      <c r="K1859" t="s">
        <v>6844</v>
      </c>
      <c r="L1859" t="s">
        <v>1647</v>
      </c>
      <c r="M1859" t="s">
        <v>1634</v>
      </c>
    </row>
    <row r="1860" spans="1:13" x14ac:dyDescent="0.25">
      <c r="A1860">
        <v>1001180</v>
      </c>
      <c r="B1860" t="s">
        <v>6845</v>
      </c>
      <c r="C1860" t="s">
        <v>6846</v>
      </c>
      <c r="D1860" t="s">
        <v>1643</v>
      </c>
      <c r="E1860" t="s">
        <v>1273</v>
      </c>
    </row>
    <row r="1861" spans="1:13" x14ac:dyDescent="0.25">
      <c r="A1861">
        <v>4274</v>
      </c>
      <c r="B1861" t="s">
        <v>6847</v>
      </c>
      <c r="C1861" t="s">
        <v>6848</v>
      </c>
      <c r="D1861" t="s">
        <v>1628</v>
      </c>
      <c r="E1861" t="s">
        <v>1273</v>
      </c>
      <c r="F1861" t="s">
        <v>3345</v>
      </c>
      <c r="G1861" t="s">
        <v>5762</v>
      </c>
      <c r="I1861">
        <v>223</v>
      </c>
      <c r="J1861">
        <v>6233861627</v>
      </c>
      <c r="K1861" t="s">
        <v>6849</v>
      </c>
      <c r="L1861" t="s">
        <v>1668</v>
      </c>
      <c r="M1861" t="s">
        <v>1634</v>
      </c>
    </row>
    <row r="1862" spans="1:13" x14ac:dyDescent="0.25">
      <c r="A1862">
        <v>4274</v>
      </c>
      <c r="B1862" t="s">
        <v>6847</v>
      </c>
      <c r="C1862" t="s">
        <v>6848</v>
      </c>
      <c r="D1862" t="s">
        <v>1628</v>
      </c>
      <c r="E1862" t="s">
        <v>1273</v>
      </c>
      <c r="F1862" t="s">
        <v>3708</v>
      </c>
      <c r="G1862" t="s">
        <v>6850</v>
      </c>
      <c r="H1862">
        <v>6233862031</v>
      </c>
      <c r="I1862">
        <v>223</v>
      </c>
      <c r="K1862" t="s">
        <v>6851</v>
      </c>
      <c r="L1862" t="s">
        <v>6852</v>
      </c>
      <c r="M1862" t="s">
        <v>1640</v>
      </c>
    </row>
    <row r="1863" spans="1:13" x14ac:dyDescent="0.25">
      <c r="A1863">
        <v>5354</v>
      </c>
      <c r="B1863" t="s">
        <v>6853</v>
      </c>
      <c r="C1863" t="s">
        <v>6854</v>
      </c>
      <c r="D1863" t="s">
        <v>1643</v>
      </c>
      <c r="E1863" t="s">
        <v>1273</v>
      </c>
      <c r="F1863" t="s">
        <v>3345</v>
      </c>
      <c r="G1863" t="s">
        <v>5762</v>
      </c>
      <c r="H1863">
        <v>6233862031</v>
      </c>
      <c r="J1863">
        <v>6233861627</v>
      </c>
      <c r="K1863" t="s">
        <v>6855</v>
      </c>
      <c r="M1863" t="s">
        <v>1634</v>
      </c>
    </row>
    <row r="1864" spans="1:13" x14ac:dyDescent="0.25">
      <c r="A1864">
        <v>5354</v>
      </c>
      <c r="B1864" t="s">
        <v>6853</v>
      </c>
      <c r="C1864" t="s">
        <v>6854</v>
      </c>
      <c r="D1864" t="s">
        <v>1643</v>
      </c>
      <c r="E1864" t="s">
        <v>1273</v>
      </c>
      <c r="F1864" t="s">
        <v>2261</v>
      </c>
      <c r="G1864" t="s">
        <v>5762</v>
      </c>
      <c r="H1864">
        <v>6233862031</v>
      </c>
      <c r="I1864">
        <v>228</v>
      </c>
      <c r="J1864">
        <v>6233861627</v>
      </c>
      <c r="K1864" t="s">
        <v>6856</v>
      </c>
      <c r="M1864" t="s">
        <v>1634</v>
      </c>
    </row>
    <row r="1865" spans="1:13" x14ac:dyDescent="0.25">
      <c r="A1865">
        <v>4275</v>
      </c>
      <c r="B1865" t="s">
        <v>6857</v>
      </c>
      <c r="C1865" t="s">
        <v>6858</v>
      </c>
      <c r="D1865" t="s">
        <v>1628</v>
      </c>
      <c r="E1865" t="s">
        <v>1273</v>
      </c>
      <c r="F1865" t="s">
        <v>1820</v>
      </c>
      <c r="G1865" t="s">
        <v>6859</v>
      </c>
      <c r="H1865">
        <v>6233273680</v>
      </c>
      <c r="J1865">
        <v>6233273695</v>
      </c>
      <c r="K1865" t="s">
        <v>6860</v>
      </c>
      <c r="L1865" t="s">
        <v>1668</v>
      </c>
      <c r="M1865" t="s">
        <v>1634</v>
      </c>
    </row>
    <row r="1866" spans="1:13" x14ac:dyDescent="0.25">
      <c r="A1866">
        <v>4275</v>
      </c>
      <c r="B1866" t="s">
        <v>6857</v>
      </c>
      <c r="C1866" t="s">
        <v>6858</v>
      </c>
      <c r="D1866" t="s">
        <v>1628</v>
      </c>
      <c r="E1866" t="s">
        <v>1273</v>
      </c>
      <c r="F1866" t="s">
        <v>3860</v>
      </c>
      <c r="G1866" t="s">
        <v>2440</v>
      </c>
      <c r="H1866">
        <v>6233273690</v>
      </c>
      <c r="I1866">
        <v>685</v>
      </c>
      <c r="J1866">
        <v>6233273695</v>
      </c>
      <c r="K1866" t="s">
        <v>6861</v>
      </c>
      <c r="L1866" t="s">
        <v>1640</v>
      </c>
      <c r="M1866" t="s">
        <v>1640</v>
      </c>
    </row>
    <row r="1867" spans="1:13" x14ac:dyDescent="0.25">
      <c r="A1867">
        <v>4275</v>
      </c>
      <c r="B1867" t="s">
        <v>6857</v>
      </c>
      <c r="C1867" t="s">
        <v>6858</v>
      </c>
      <c r="D1867" t="s">
        <v>1628</v>
      </c>
      <c r="E1867" t="s">
        <v>1273</v>
      </c>
      <c r="F1867" t="s">
        <v>5340</v>
      </c>
      <c r="G1867" t="s">
        <v>5341</v>
      </c>
      <c r="K1867" t="s">
        <v>6862</v>
      </c>
      <c r="L1867" t="s">
        <v>1765</v>
      </c>
      <c r="M1867" t="s">
        <v>1765</v>
      </c>
    </row>
    <row r="1868" spans="1:13" x14ac:dyDescent="0.25">
      <c r="A1868">
        <v>5355</v>
      </c>
      <c r="B1868" t="s">
        <v>6863</v>
      </c>
      <c r="C1868" t="s">
        <v>6864</v>
      </c>
      <c r="D1868" t="s">
        <v>1643</v>
      </c>
      <c r="E1868" t="s">
        <v>1273</v>
      </c>
      <c r="F1868" t="s">
        <v>1820</v>
      </c>
      <c r="G1868" t="s">
        <v>6859</v>
      </c>
      <c r="H1868">
        <v>6233273680</v>
      </c>
      <c r="J1868">
        <v>6233864654</v>
      </c>
      <c r="K1868" t="s">
        <v>6860</v>
      </c>
      <c r="L1868" t="s">
        <v>1647</v>
      </c>
      <c r="M1868" t="s">
        <v>1634</v>
      </c>
    </row>
    <row r="1869" spans="1:13" x14ac:dyDescent="0.25">
      <c r="A1869">
        <v>4276</v>
      </c>
      <c r="B1869" t="s">
        <v>1324</v>
      </c>
      <c r="C1869" t="s">
        <v>6865</v>
      </c>
      <c r="D1869" t="s">
        <v>1628</v>
      </c>
      <c r="E1869" t="s">
        <v>1273</v>
      </c>
      <c r="F1869" t="s">
        <v>3910</v>
      </c>
      <c r="G1869" t="s">
        <v>1853</v>
      </c>
      <c r="H1869">
        <v>6022379100</v>
      </c>
      <c r="I1869">
        <v>3001</v>
      </c>
      <c r="K1869" t="s">
        <v>6866</v>
      </c>
      <c r="L1869" t="s">
        <v>1633</v>
      </c>
      <c r="M1869" t="s">
        <v>1634</v>
      </c>
    </row>
    <row r="1870" spans="1:13" x14ac:dyDescent="0.25">
      <c r="A1870">
        <v>4276</v>
      </c>
      <c r="B1870" t="s">
        <v>1324</v>
      </c>
      <c r="C1870" t="s">
        <v>6865</v>
      </c>
      <c r="D1870" t="s">
        <v>1628</v>
      </c>
      <c r="E1870" t="s">
        <v>1273</v>
      </c>
      <c r="F1870" t="s">
        <v>2376</v>
      </c>
      <c r="G1870" t="s">
        <v>6867</v>
      </c>
      <c r="H1870">
        <v>6022379100</v>
      </c>
      <c r="I1870">
        <v>3039</v>
      </c>
      <c r="K1870" t="s">
        <v>6868</v>
      </c>
      <c r="L1870" t="s">
        <v>6869</v>
      </c>
      <c r="M1870" t="s">
        <v>1634</v>
      </c>
    </row>
    <row r="1871" spans="1:13" x14ac:dyDescent="0.25">
      <c r="A1871">
        <v>4276</v>
      </c>
      <c r="B1871" t="s">
        <v>1324</v>
      </c>
      <c r="C1871" t="s">
        <v>6865</v>
      </c>
      <c r="D1871" t="s">
        <v>1628</v>
      </c>
      <c r="E1871" t="s">
        <v>1273</v>
      </c>
      <c r="F1871" t="s">
        <v>5662</v>
      </c>
      <c r="G1871" t="s">
        <v>6870</v>
      </c>
      <c r="H1871">
        <v>6022379100</v>
      </c>
      <c r="K1871" t="s">
        <v>6871</v>
      </c>
      <c r="L1871" t="s">
        <v>2649</v>
      </c>
      <c r="M1871" t="s">
        <v>1640</v>
      </c>
    </row>
    <row r="1872" spans="1:13" x14ac:dyDescent="0.25">
      <c r="A1872">
        <v>4276</v>
      </c>
      <c r="B1872" t="s">
        <v>1324</v>
      </c>
      <c r="C1872" t="s">
        <v>6865</v>
      </c>
      <c r="D1872" t="s">
        <v>1628</v>
      </c>
      <c r="E1872" t="s">
        <v>1273</v>
      </c>
      <c r="F1872" t="s">
        <v>1761</v>
      </c>
      <c r="G1872" t="s">
        <v>6872</v>
      </c>
      <c r="H1872">
        <v>6022379100</v>
      </c>
      <c r="I1872">
        <v>3030</v>
      </c>
      <c r="K1872" t="s">
        <v>6873</v>
      </c>
      <c r="L1872" t="s">
        <v>6874</v>
      </c>
      <c r="M1872" t="s">
        <v>1640</v>
      </c>
    </row>
    <row r="1873" spans="1:13" x14ac:dyDescent="0.25">
      <c r="A1873">
        <v>4276</v>
      </c>
      <c r="B1873" t="s">
        <v>1324</v>
      </c>
      <c r="C1873" t="s">
        <v>6865</v>
      </c>
      <c r="D1873" t="s">
        <v>1628</v>
      </c>
      <c r="E1873" t="s">
        <v>1273</v>
      </c>
      <c r="F1873" t="s">
        <v>2646</v>
      </c>
      <c r="G1873" t="s">
        <v>6875</v>
      </c>
      <c r="H1873">
        <v>6022379100</v>
      </c>
      <c r="I1873">
        <v>3039</v>
      </c>
      <c r="K1873" t="s">
        <v>6876</v>
      </c>
      <c r="L1873" t="s">
        <v>6877</v>
      </c>
      <c r="M1873" t="s">
        <v>1765</v>
      </c>
    </row>
    <row r="1874" spans="1:13" x14ac:dyDescent="0.25">
      <c r="A1874">
        <v>5356</v>
      </c>
      <c r="B1874" t="s">
        <v>1325</v>
      </c>
      <c r="C1874" t="s">
        <v>6878</v>
      </c>
      <c r="D1874" t="s">
        <v>1643</v>
      </c>
      <c r="E1874" t="s">
        <v>1273</v>
      </c>
      <c r="F1874" t="s">
        <v>2845</v>
      </c>
      <c r="G1874" t="s">
        <v>6879</v>
      </c>
      <c r="H1874">
        <v>6022379100</v>
      </c>
      <c r="J1874">
        <v>6022379135</v>
      </c>
      <c r="K1874" t="s">
        <v>6880</v>
      </c>
      <c r="L1874" t="s">
        <v>1647</v>
      </c>
      <c r="M1874" t="s">
        <v>1634</v>
      </c>
    </row>
    <row r="1875" spans="1:13" x14ac:dyDescent="0.25">
      <c r="A1875">
        <v>5357</v>
      </c>
      <c r="B1875" t="s">
        <v>6881</v>
      </c>
      <c r="C1875" t="s">
        <v>6882</v>
      </c>
      <c r="D1875" t="s">
        <v>1643</v>
      </c>
      <c r="E1875" t="s">
        <v>1273</v>
      </c>
      <c r="F1875" t="s">
        <v>2587</v>
      </c>
      <c r="G1875" t="s">
        <v>6883</v>
      </c>
      <c r="K1875" t="s">
        <v>6884</v>
      </c>
      <c r="L1875" t="s">
        <v>1647</v>
      </c>
      <c r="M1875" t="s">
        <v>1634</v>
      </c>
    </row>
    <row r="1876" spans="1:13" x14ac:dyDescent="0.25">
      <c r="A1876">
        <v>5358</v>
      </c>
      <c r="B1876" t="s">
        <v>6885</v>
      </c>
      <c r="C1876" t="s">
        <v>6886</v>
      </c>
      <c r="D1876" t="s">
        <v>1643</v>
      </c>
      <c r="E1876" t="s">
        <v>1273</v>
      </c>
      <c r="F1876" t="s">
        <v>6887</v>
      </c>
      <c r="G1876" t="s">
        <v>6888</v>
      </c>
      <c r="H1876">
        <v>6022373046</v>
      </c>
      <c r="K1876" t="s">
        <v>6889</v>
      </c>
      <c r="M1876" t="s">
        <v>1634</v>
      </c>
    </row>
    <row r="1877" spans="1:13" x14ac:dyDescent="0.25">
      <c r="A1877">
        <v>84305</v>
      </c>
      <c r="B1877" t="s">
        <v>6890</v>
      </c>
      <c r="C1877" t="s">
        <v>6891</v>
      </c>
      <c r="D1877" t="s">
        <v>1643</v>
      </c>
      <c r="E1877" t="s">
        <v>1273</v>
      </c>
      <c r="F1877" t="s">
        <v>2788</v>
      </c>
      <c r="G1877" t="s">
        <v>1955</v>
      </c>
      <c r="L1877" t="s">
        <v>1721</v>
      </c>
      <c r="M1877" t="s">
        <v>1634</v>
      </c>
    </row>
    <row r="1878" spans="1:13" x14ac:dyDescent="0.25">
      <c r="A1878">
        <v>88421</v>
      </c>
      <c r="B1878" t="s">
        <v>6892</v>
      </c>
      <c r="C1878" t="s">
        <v>6893</v>
      </c>
      <c r="D1878" t="s">
        <v>1643</v>
      </c>
      <c r="E1878" t="s">
        <v>1273</v>
      </c>
      <c r="F1878" t="s">
        <v>2803</v>
      </c>
      <c r="G1878" t="s">
        <v>6894</v>
      </c>
      <c r="H1878">
        <v>6026058540</v>
      </c>
      <c r="K1878" t="s">
        <v>6895</v>
      </c>
      <c r="L1878" t="s">
        <v>1647</v>
      </c>
      <c r="M1878" t="s">
        <v>1634</v>
      </c>
    </row>
    <row r="1879" spans="1:13" x14ac:dyDescent="0.25">
      <c r="A1879">
        <v>89266</v>
      </c>
      <c r="B1879" t="s">
        <v>6896</v>
      </c>
      <c r="C1879" t="s">
        <v>6897</v>
      </c>
      <c r="D1879" t="s">
        <v>1643</v>
      </c>
      <c r="E1879" t="s">
        <v>1273</v>
      </c>
      <c r="F1879" t="s">
        <v>2997</v>
      </c>
      <c r="G1879" t="s">
        <v>6898</v>
      </c>
      <c r="H1879">
        <v>6023042020</v>
      </c>
      <c r="K1879" t="s">
        <v>6899</v>
      </c>
      <c r="L1879" t="s">
        <v>1647</v>
      </c>
      <c r="M1879" t="s">
        <v>1634</v>
      </c>
    </row>
    <row r="1880" spans="1:13" x14ac:dyDescent="0.25">
      <c r="A1880">
        <v>91310</v>
      </c>
      <c r="B1880" t="s">
        <v>6900</v>
      </c>
      <c r="C1880" t="s">
        <v>6901</v>
      </c>
      <c r="D1880" t="s">
        <v>1643</v>
      </c>
      <c r="E1880" t="s">
        <v>1273</v>
      </c>
      <c r="F1880" t="s">
        <v>3387</v>
      </c>
      <c r="G1880" t="s">
        <v>2142</v>
      </c>
      <c r="K1880" t="s">
        <v>6902</v>
      </c>
      <c r="L1880" t="s">
        <v>1647</v>
      </c>
      <c r="M1880" t="s">
        <v>1634</v>
      </c>
    </row>
    <row r="1881" spans="1:13" x14ac:dyDescent="0.25">
      <c r="A1881">
        <v>91310</v>
      </c>
      <c r="B1881" t="s">
        <v>6900</v>
      </c>
      <c r="C1881" t="s">
        <v>6901</v>
      </c>
      <c r="D1881" t="s">
        <v>1643</v>
      </c>
      <c r="E1881" t="s">
        <v>1273</v>
      </c>
      <c r="F1881" t="s">
        <v>6903</v>
      </c>
      <c r="G1881" t="s">
        <v>1846</v>
      </c>
      <c r="H1881">
        <v>6022379100</v>
      </c>
      <c r="K1881" t="s">
        <v>6904</v>
      </c>
      <c r="L1881" t="s">
        <v>1640</v>
      </c>
      <c r="M1881" t="s">
        <v>1640</v>
      </c>
    </row>
    <row r="1882" spans="1:13" x14ac:dyDescent="0.25">
      <c r="A1882">
        <v>756942</v>
      </c>
      <c r="B1882" t="s">
        <v>6905</v>
      </c>
      <c r="C1882" t="s">
        <v>6906</v>
      </c>
      <c r="D1882" t="s">
        <v>1643</v>
      </c>
      <c r="E1882" t="s">
        <v>1273</v>
      </c>
      <c r="F1882" t="s">
        <v>4227</v>
      </c>
      <c r="G1882" t="s">
        <v>6888</v>
      </c>
      <c r="H1882">
        <v>6022373046</v>
      </c>
      <c r="K1882" t="s">
        <v>6889</v>
      </c>
      <c r="L1882" t="s">
        <v>6907</v>
      </c>
      <c r="M1882" t="s">
        <v>1634</v>
      </c>
    </row>
    <row r="1883" spans="1:13" x14ac:dyDescent="0.25">
      <c r="A1883">
        <v>756942</v>
      </c>
      <c r="B1883" t="s">
        <v>6905</v>
      </c>
      <c r="C1883" t="s">
        <v>6906</v>
      </c>
      <c r="D1883" t="s">
        <v>1643</v>
      </c>
      <c r="E1883" t="s">
        <v>1273</v>
      </c>
      <c r="F1883" t="s">
        <v>2646</v>
      </c>
      <c r="G1883" t="s">
        <v>6875</v>
      </c>
      <c r="H1883">
        <v>6022379100</v>
      </c>
      <c r="K1883" t="s">
        <v>6876</v>
      </c>
      <c r="M1883" t="s">
        <v>1765</v>
      </c>
    </row>
    <row r="1884" spans="1:13" x14ac:dyDescent="0.25">
      <c r="A1884">
        <v>1000300</v>
      </c>
      <c r="B1884" t="s">
        <v>6908</v>
      </c>
      <c r="C1884" t="s">
        <v>6909</v>
      </c>
      <c r="D1884" t="s">
        <v>1643</v>
      </c>
      <c r="E1884" t="s">
        <v>1273</v>
      </c>
    </row>
    <row r="1885" spans="1:13" x14ac:dyDescent="0.25">
      <c r="A1885">
        <v>4277</v>
      </c>
      <c r="B1885" t="s">
        <v>6910</v>
      </c>
      <c r="C1885" t="s">
        <v>6911</v>
      </c>
      <c r="D1885" t="s">
        <v>1628</v>
      </c>
      <c r="E1885" t="s">
        <v>1273</v>
      </c>
      <c r="F1885" t="s">
        <v>6912</v>
      </c>
      <c r="G1885" t="s">
        <v>6913</v>
      </c>
      <c r="H1885">
        <v>6234785004</v>
      </c>
      <c r="K1885" t="s">
        <v>6914</v>
      </c>
      <c r="L1885" t="s">
        <v>1668</v>
      </c>
      <c r="M1885" t="s">
        <v>1634</v>
      </c>
    </row>
    <row r="1886" spans="1:13" x14ac:dyDescent="0.25">
      <c r="A1886">
        <v>4277</v>
      </c>
      <c r="B1886" t="s">
        <v>6910</v>
      </c>
      <c r="C1886" t="s">
        <v>6911</v>
      </c>
      <c r="D1886" t="s">
        <v>1628</v>
      </c>
      <c r="E1886" t="s">
        <v>1273</v>
      </c>
      <c r="F1886" t="s">
        <v>1726</v>
      </c>
      <c r="G1886" t="s">
        <v>6915</v>
      </c>
      <c r="H1886">
        <v>6234785008</v>
      </c>
      <c r="K1886" t="s">
        <v>6916</v>
      </c>
      <c r="M1886" t="s">
        <v>1640</v>
      </c>
    </row>
    <row r="1887" spans="1:13" x14ac:dyDescent="0.25">
      <c r="A1887">
        <v>5359</v>
      </c>
      <c r="B1887" t="s">
        <v>6917</v>
      </c>
      <c r="C1887" t="s">
        <v>6918</v>
      </c>
      <c r="D1887" t="s">
        <v>1643</v>
      </c>
      <c r="E1887" t="s">
        <v>1273</v>
      </c>
      <c r="F1887" t="s">
        <v>1775</v>
      </c>
      <c r="G1887" t="s">
        <v>6919</v>
      </c>
      <c r="H1887">
        <v>6234785000</v>
      </c>
      <c r="K1887" t="s">
        <v>6920</v>
      </c>
      <c r="L1887" t="s">
        <v>1647</v>
      </c>
      <c r="M1887" t="s">
        <v>1634</v>
      </c>
    </row>
    <row r="1888" spans="1:13" x14ac:dyDescent="0.25">
      <c r="A1888">
        <v>87523</v>
      </c>
      <c r="B1888" t="s">
        <v>6921</v>
      </c>
      <c r="C1888" t="s">
        <v>6922</v>
      </c>
      <c r="D1888" t="s">
        <v>1643</v>
      </c>
      <c r="E1888" t="s">
        <v>1273</v>
      </c>
      <c r="F1888" t="s">
        <v>6923</v>
      </c>
      <c r="G1888" t="s">
        <v>6924</v>
      </c>
      <c r="M1888" t="s">
        <v>1634</v>
      </c>
    </row>
    <row r="1889" spans="1:13" x14ac:dyDescent="0.25">
      <c r="A1889">
        <v>87523</v>
      </c>
      <c r="B1889" t="s">
        <v>6921</v>
      </c>
      <c r="C1889" t="s">
        <v>6922</v>
      </c>
      <c r="D1889" t="s">
        <v>1643</v>
      </c>
      <c r="E1889" t="s">
        <v>1273</v>
      </c>
      <c r="F1889" t="s">
        <v>6925</v>
      </c>
      <c r="G1889" t="s">
        <v>6926</v>
      </c>
      <c r="H1889">
        <v>6234785121</v>
      </c>
      <c r="K1889" t="s">
        <v>6927</v>
      </c>
      <c r="M1889" t="s">
        <v>1634</v>
      </c>
    </row>
    <row r="1890" spans="1:13" x14ac:dyDescent="0.25">
      <c r="A1890">
        <v>87523</v>
      </c>
      <c r="B1890" t="s">
        <v>6921</v>
      </c>
      <c r="C1890" t="s">
        <v>6922</v>
      </c>
      <c r="D1890" t="s">
        <v>1643</v>
      </c>
      <c r="E1890" t="s">
        <v>1273</v>
      </c>
      <c r="F1890" t="s">
        <v>2328</v>
      </c>
      <c r="G1890" t="s">
        <v>6742</v>
      </c>
      <c r="H1890">
        <v>6234785100</v>
      </c>
      <c r="K1890" t="s">
        <v>6928</v>
      </c>
      <c r="L1890" t="s">
        <v>1647</v>
      </c>
      <c r="M1890" t="s">
        <v>1634</v>
      </c>
    </row>
    <row r="1891" spans="1:13" x14ac:dyDescent="0.25">
      <c r="A1891">
        <v>89592</v>
      </c>
      <c r="B1891" t="s">
        <v>6929</v>
      </c>
      <c r="C1891" t="s">
        <v>6930</v>
      </c>
      <c r="D1891" t="s">
        <v>1643</v>
      </c>
      <c r="E1891" t="s">
        <v>1273</v>
      </c>
      <c r="F1891" t="s">
        <v>3842</v>
      </c>
      <c r="G1891" t="s">
        <v>6931</v>
      </c>
      <c r="H1891">
        <v>6234321168</v>
      </c>
      <c r="K1891" t="s">
        <v>6932</v>
      </c>
      <c r="L1891" t="s">
        <v>1647</v>
      </c>
      <c r="M1891" t="s">
        <v>1634</v>
      </c>
    </row>
    <row r="1892" spans="1:13" x14ac:dyDescent="0.25">
      <c r="A1892">
        <v>89592</v>
      </c>
      <c r="B1892" t="s">
        <v>6929</v>
      </c>
      <c r="C1892" t="s">
        <v>6930</v>
      </c>
      <c r="D1892" t="s">
        <v>1643</v>
      </c>
      <c r="E1892" t="s">
        <v>1273</v>
      </c>
      <c r="F1892" t="s">
        <v>5614</v>
      </c>
      <c r="G1892" t="s">
        <v>4000</v>
      </c>
      <c r="H1892">
        <v>6234785104</v>
      </c>
      <c r="K1892" t="s">
        <v>6933</v>
      </c>
      <c r="L1892" t="s">
        <v>1647</v>
      </c>
      <c r="M1892" t="s">
        <v>1634</v>
      </c>
    </row>
    <row r="1893" spans="1:13" x14ac:dyDescent="0.25">
      <c r="A1893">
        <v>89592</v>
      </c>
      <c r="B1893" t="s">
        <v>6929</v>
      </c>
      <c r="C1893" t="s">
        <v>6930</v>
      </c>
      <c r="D1893" t="s">
        <v>1643</v>
      </c>
      <c r="E1893" t="s">
        <v>1273</v>
      </c>
      <c r="F1893" t="s">
        <v>3240</v>
      </c>
      <c r="G1893" t="s">
        <v>4218</v>
      </c>
      <c r="K1893" t="s">
        <v>6934</v>
      </c>
      <c r="L1893" t="s">
        <v>1647</v>
      </c>
      <c r="M1893" t="s">
        <v>1634</v>
      </c>
    </row>
    <row r="1894" spans="1:13" x14ac:dyDescent="0.25">
      <c r="A1894">
        <v>89592</v>
      </c>
      <c r="B1894" t="s">
        <v>6929</v>
      </c>
      <c r="C1894" t="s">
        <v>6930</v>
      </c>
      <c r="D1894" t="s">
        <v>1643</v>
      </c>
      <c r="E1894" t="s">
        <v>1273</v>
      </c>
      <c r="F1894" t="s">
        <v>2258</v>
      </c>
      <c r="G1894" t="s">
        <v>3449</v>
      </c>
      <c r="H1894">
        <v>6234747000</v>
      </c>
      <c r="K1894" t="s">
        <v>6935</v>
      </c>
      <c r="L1894" t="s">
        <v>1647</v>
      </c>
      <c r="M1894" t="s">
        <v>1634</v>
      </c>
    </row>
    <row r="1895" spans="1:13" x14ac:dyDescent="0.25">
      <c r="A1895">
        <v>4278</v>
      </c>
      <c r="B1895" t="s">
        <v>551</v>
      </c>
      <c r="C1895" t="s">
        <v>6936</v>
      </c>
      <c r="D1895" t="s">
        <v>1628</v>
      </c>
      <c r="E1895" t="s">
        <v>1273</v>
      </c>
      <c r="F1895" t="s">
        <v>1652</v>
      </c>
      <c r="G1895" t="s">
        <v>6937</v>
      </c>
      <c r="H1895">
        <v>6234785611</v>
      </c>
      <c r="K1895" t="s">
        <v>6938</v>
      </c>
      <c r="L1895" t="s">
        <v>1668</v>
      </c>
      <c r="M1895" t="s">
        <v>1634</v>
      </c>
    </row>
    <row r="1896" spans="1:13" x14ac:dyDescent="0.25">
      <c r="A1896">
        <v>4278</v>
      </c>
      <c r="B1896" t="s">
        <v>551</v>
      </c>
      <c r="C1896" t="s">
        <v>6936</v>
      </c>
      <c r="D1896" t="s">
        <v>1628</v>
      </c>
      <c r="E1896" t="s">
        <v>1273</v>
      </c>
      <c r="F1896" t="s">
        <v>3024</v>
      </c>
      <c r="G1896" t="s">
        <v>6939</v>
      </c>
      <c r="L1896" t="s">
        <v>1647</v>
      </c>
      <c r="M1896" t="s">
        <v>1634</v>
      </c>
    </row>
    <row r="1897" spans="1:13" x14ac:dyDescent="0.25">
      <c r="A1897">
        <v>4278</v>
      </c>
      <c r="B1897" t="s">
        <v>551</v>
      </c>
      <c r="C1897" t="s">
        <v>6936</v>
      </c>
      <c r="D1897" t="s">
        <v>1628</v>
      </c>
      <c r="E1897" t="s">
        <v>1273</v>
      </c>
      <c r="F1897" t="s">
        <v>2756</v>
      </c>
      <c r="G1897" t="s">
        <v>6940</v>
      </c>
      <c r="H1897">
        <v>6234785610</v>
      </c>
      <c r="K1897" t="s">
        <v>6941</v>
      </c>
      <c r="M1897" t="s">
        <v>1634</v>
      </c>
    </row>
    <row r="1898" spans="1:13" x14ac:dyDescent="0.25">
      <c r="A1898">
        <v>4278</v>
      </c>
      <c r="B1898" t="s">
        <v>551</v>
      </c>
      <c r="C1898" t="s">
        <v>6936</v>
      </c>
      <c r="D1898" t="s">
        <v>1628</v>
      </c>
      <c r="E1898" t="s">
        <v>1273</v>
      </c>
      <c r="F1898" t="s">
        <v>6942</v>
      </c>
      <c r="G1898" t="s">
        <v>6943</v>
      </c>
      <c r="J1898">
        <v>6234785620</v>
      </c>
      <c r="K1898" t="s">
        <v>6944</v>
      </c>
      <c r="L1898" t="s">
        <v>6945</v>
      </c>
      <c r="M1898" t="s">
        <v>1640</v>
      </c>
    </row>
    <row r="1899" spans="1:13" x14ac:dyDescent="0.25">
      <c r="A1899">
        <v>4278</v>
      </c>
      <c r="B1899" t="s">
        <v>551</v>
      </c>
      <c r="C1899" t="s">
        <v>6936</v>
      </c>
      <c r="D1899" t="s">
        <v>1628</v>
      </c>
      <c r="E1899" t="s">
        <v>1273</v>
      </c>
      <c r="F1899" t="s">
        <v>2756</v>
      </c>
      <c r="G1899" t="s">
        <v>6940</v>
      </c>
      <c r="H1899">
        <v>6234785610</v>
      </c>
      <c r="K1899" t="s">
        <v>6941</v>
      </c>
      <c r="M1899" t="s">
        <v>1640</v>
      </c>
    </row>
    <row r="1900" spans="1:13" x14ac:dyDescent="0.25">
      <c r="A1900">
        <v>5360</v>
      </c>
      <c r="B1900" t="s">
        <v>552</v>
      </c>
      <c r="C1900" t="s">
        <v>6946</v>
      </c>
      <c r="D1900" t="s">
        <v>1643</v>
      </c>
      <c r="E1900" t="s">
        <v>1273</v>
      </c>
      <c r="F1900" t="s">
        <v>6947</v>
      </c>
      <c r="G1900" t="s">
        <v>6948</v>
      </c>
      <c r="K1900" t="s">
        <v>6949</v>
      </c>
      <c r="M1900" t="s">
        <v>1634</v>
      </c>
    </row>
    <row r="1901" spans="1:13" x14ac:dyDescent="0.25">
      <c r="A1901">
        <v>5360</v>
      </c>
      <c r="B1901" t="s">
        <v>552</v>
      </c>
      <c r="C1901" t="s">
        <v>6946</v>
      </c>
      <c r="D1901" t="s">
        <v>1643</v>
      </c>
      <c r="E1901" t="s">
        <v>1273</v>
      </c>
      <c r="F1901" t="s">
        <v>4299</v>
      </c>
      <c r="G1901" t="s">
        <v>6950</v>
      </c>
      <c r="H1901">
        <v>6234786100</v>
      </c>
      <c r="J1901">
        <v>6234786120</v>
      </c>
      <c r="K1901" t="s">
        <v>6951</v>
      </c>
      <c r="L1901" t="s">
        <v>1647</v>
      </c>
      <c r="M1901" t="s">
        <v>1634</v>
      </c>
    </row>
    <row r="1902" spans="1:13" x14ac:dyDescent="0.25">
      <c r="A1902">
        <v>5360</v>
      </c>
      <c r="B1902" t="s">
        <v>552</v>
      </c>
      <c r="C1902" t="s">
        <v>6946</v>
      </c>
      <c r="D1902" t="s">
        <v>1643</v>
      </c>
      <c r="E1902" t="s">
        <v>1273</v>
      </c>
      <c r="F1902" t="s">
        <v>6952</v>
      </c>
      <c r="G1902" t="s">
        <v>6953</v>
      </c>
      <c r="H1902">
        <v>6234785705</v>
      </c>
      <c r="K1902" t="s">
        <v>6954</v>
      </c>
      <c r="L1902" t="s">
        <v>1647</v>
      </c>
      <c r="M1902" t="s">
        <v>1634</v>
      </c>
    </row>
    <row r="1903" spans="1:13" x14ac:dyDescent="0.25">
      <c r="A1903">
        <v>5361</v>
      </c>
      <c r="B1903" t="s">
        <v>6955</v>
      </c>
      <c r="C1903" t="s">
        <v>6956</v>
      </c>
      <c r="D1903" t="s">
        <v>1643</v>
      </c>
      <c r="E1903" t="s">
        <v>1273</v>
      </c>
      <c r="F1903" t="s">
        <v>6957</v>
      </c>
      <c r="G1903" t="s">
        <v>6958</v>
      </c>
      <c r="H1903">
        <v>6234785800</v>
      </c>
      <c r="J1903">
        <v>6239072983</v>
      </c>
      <c r="K1903" t="s">
        <v>6959</v>
      </c>
      <c r="L1903" t="s">
        <v>1647</v>
      </c>
      <c r="M1903" t="s">
        <v>1634</v>
      </c>
    </row>
    <row r="1904" spans="1:13" x14ac:dyDescent="0.25">
      <c r="A1904">
        <v>79618</v>
      </c>
      <c r="B1904" t="s">
        <v>6960</v>
      </c>
      <c r="C1904" t="s">
        <v>6961</v>
      </c>
      <c r="D1904" t="s">
        <v>1643</v>
      </c>
      <c r="E1904" t="s">
        <v>1273</v>
      </c>
      <c r="F1904" t="s">
        <v>6962</v>
      </c>
      <c r="G1904" t="s">
        <v>6963</v>
      </c>
      <c r="K1904" t="s">
        <v>6964</v>
      </c>
      <c r="M1904" t="s">
        <v>1634</v>
      </c>
    </row>
    <row r="1905" spans="1:13" x14ac:dyDescent="0.25">
      <c r="A1905">
        <v>85852</v>
      </c>
      <c r="B1905" t="s">
        <v>1362</v>
      </c>
      <c r="C1905" t="s">
        <v>6965</v>
      </c>
      <c r="D1905" t="s">
        <v>1643</v>
      </c>
      <c r="E1905" t="s">
        <v>1273</v>
      </c>
      <c r="F1905" t="s">
        <v>6966</v>
      </c>
      <c r="G1905" t="s">
        <v>6967</v>
      </c>
      <c r="H1905">
        <v>6234786000</v>
      </c>
      <c r="J1905">
        <v>6234786020</v>
      </c>
      <c r="K1905" t="s">
        <v>6968</v>
      </c>
      <c r="L1905" t="s">
        <v>1647</v>
      </c>
      <c r="M1905" t="s">
        <v>1634</v>
      </c>
    </row>
    <row r="1906" spans="1:13" x14ac:dyDescent="0.25">
      <c r="A1906">
        <v>85852</v>
      </c>
      <c r="B1906" t="s">
        <v>1362</v>
      </c>
      <c r="C1906" t="s">
        <v>6965</v>
      </c>
      <c r="D1906" t="s">
        <v>1643</v>
      </c>
      <c r="E1906" t="s">
        <v>1273</v>
      </c>
      <c r="F1906" t="s">
        <v>2156</v>
      </c>
      <c r="G1906" t="s">
        <v>6969</v>
      </c>
      <c r="H1906">
        <v>6234786000</v>
      </c>
      <c r="J1906">
        <v>6234786020</v>
      </c>
      <c r="K1906" t="s">
        <v>6970</v>
      </c>
      <c r="L1906" t="s">
        <v>1647</v>
      </c>
      <c r="M1906" t="s">
        <v>1634</v>
      </c>
    </row>
    <row r="1907" spans="1:13" x14ac:dyDescent="0.25">
      <c r="A1907">
        <v>87476</v>
      </c>
      <c r="B1907" t="s">
        <v>6971</v>
      </c>
      <c r="C1907" t="s">
        <v>6972</v>
      </c>
      <c r="D1907" t="s">
        <v>1643</v>
      </c>
      <c r="E1907" t="s">
        <v>1273</v>
      </c>
      <c r="F1907" t="s">
        <v>2192</v>
      </c>
      <c r="G1907" t="s">
        <v>6973</v>
      </c>
      <c r="H1907">
        <v>6234786100</v>
      </c>
      <c r="J1907">
        <v>6234786120</v>
      </c>
      <c r="K1907" t="s">
        <v>6974</v>
      </c>
      <c r="L1907" t="s">
        <v>1647</v>
      </c>
      <c r="M1907" t="s">
        <v>1634</v>
      </c>
    </row>
    <row r="1908" spans="1:13" x14ac:dyDescent="0.25">
      <c r="A1908">
        <v>87476</v>
      </c>
      <c r="B1908" t="s">
        <v>6971</v>
      </c>
      <c r="C1908" t="s">
        <v>6972</v>
      </c>
      <c r="D1908" t="s">
        <v>1643</v>
      </c>
      <c r="E1908" t="s">
        <v>1273</v>
      </c>
      <c r="F1908" t="s">
        <v>4299</v>
      </c>
      <c r="G1908" t="s">
        <v>6950</v>
      </c>
      <c r="H1908">
        <v>6234786100</v>
      </c>
      <c r="J1908">
        <v>6234786120</v>
      </c>
      <c r="K1908" t="s">
        <v>6951</v>
      </c>
      <c r="L1908" t="s">
        <v>1647</v>
      </c>
      <c r="M1908" t="s">
        <v>1634</v>
      </c>
    </row>
    <row r="1909" spans="1:13" x14ac:dyDescent="0.25">
      <c r="A1909">
        <v>87476</v>
      </c>
      <c r="B1909" t="s">
        <v>6971</v>
      </c>
      <c r="C1909" t="s">
        <v>6972</v>
      </c>
      <c r="D1909" t="s">
        <v>1643</v>
      </c>
      <c r="E1909" t="s">
        <v>1273</v>
      </c>
      <c r="F1909" t="s">
        <v>1754</v>
      </c>
      <c r="G1909" t="s">
        <v>1755</v>
      </c>
      <c r="H1909">
        <v>6234785610</v>
      </c>
      <c r="J1909">
        <v>6234785620</v>
      </c>
      <c r="K1909" t="s">
        <v>6975</v>
      </c>
      <c r="L1909" t="s">
        <v>1640</v>
      </c>
      <c r="M1909" t="s">
        <v>1640</v>
      </c>
    </row>
    <row r="1910" spans="1:13" x14ac:dyDescent="0.25">
      <c r="A1910">
        <v>89608</v>
      </c>
      <c r="B1910" t="s">
        <v>6976</v>
      </c>
      <c r="C1910" t="s">
        <v>6977</v>
      </c>
      <c r="D1910" t="s">
        <v>1643</v>
      </c>
      <c r="E1910" t="s">
        <v>1273</v>
      </c>
      <c r="F1910" t="s">
        <v>1775</v>
      </c>
      <c r="G1910" t="s">
        <v>6978</v>
      </c>
      <c r="H1910">
        <v>6234786200</v>
      </c>
      <c r="K1910" t="s">
        <v>6979</v>
      </c>
      <c r="L1910" t="s">
        <v>1647</v>
      </c>
      <c r="M1910" t="s">
        <v>1634</v>
      </c>
    </row>
    <row r="1911" spans="1:13" x14ac:dyDescent="0.25">
      <c r="A1911">
        <v>89608</v>
      </c>
      <c r="B1911" t="s">
        <v>6976</v>
      </c>
      <c r="C1911" t="s">
        <v>6977</v>
      </c>
      <c r="D1911" t="s">
        <v>1643</v>
      </c>
      <c r="E1911" t="s">
        <v>1273</v>
      </c>
      <c r="F1911" t="s">
        <v>2192</v>
      </c>
      <c r="G1911" t="s">
        <v>6980</v>
      </c>
      <c r="L1911" t="s">
        <v>1647</v>
      </c>
      <c r="M1911" t="s">
        <v>1634</v>
      </c>
    </row>
    <row r="1912" spans="1:13" x14ac:dyDescent="0.25">
      <c r="A1912">
        <v>89924</v>
      </c>
      <c r="B1912" t="s">
        <v>6981</v>
      </c>
      <c r="C1912" t="s">
        <v>6982</v>
      </c>
      <c r="D1912" t="s">
        <v>1643</v>
      </c>
      <c r="E1912" t="s">
        <v>1273</v>
      </c>
      <c r="F1912" t="s">
        <v>3013</v>
      </c>
      <c r="G1912" t="s">
        <v>6983</v>
      </c>
      <c r="H1912">
        <v>6234786305</v>
      </c>
      <c r="J1912">
        <v>6234785616</v>
      </c>
      <c r="K1912" t="s">
        <v>6984</v>
      </c>
      <c r="L1912" t="s">
        <v>1647</v>
      </c>
      <c r="M1912" t="s">
        <v>1634</v>
      </c>
    </row>
    <row r="1913" spans="1:13" x14ac:dyDescent="0.25">
      <c r="A1913">
        <v>89924</v>
      </c>
      <c r="B1913" t="s">
        <v>6981</v>
      </c>
      <c r="C1913" t="s">
        <v>6982</v>
      </c>
      <c r="D1913" t="s">
        <v>1643</v>
      </c>
      <c r="E1913" t="s">
        <v>1273</v>
      </c>
      <c r="F1913" t="s">
        <v>4804</v>
      </c>
      <c r="G1913" t="s">
        <v>6985</v>
      </c>
      <c r="H1913">
        <v>6234786300</v>
      </c>
      <c r="J1913">
        <v>6234786320</v>
      </c>
      <c r="K1913" t="s">
        <v>6986</v>
      </c>
      <c r="L1913" t="s">
        <v>1647</v>
      </c>
      <c r="M1913" t="s">
        <v>1634</v>
      </c>
    </row>
    <row r="1914" spans="1:13" x14ac:dyDescent="0.25">
      <c r="A1914">
        <v>89924</v>
      </c>
      <c r="B1914" t="s">
        <v>6981</v>
      </c>
      <c r="C1914" t="s">
        <v>6982</v>
      </c>
      <c r="D1914" t="s">
        <v>1643</v>
      </c>
      <c r="E1914" t="s">
        <v>1273</v>
      </c>
      <c r="F1914" t="s">
        <v>6987</v>
      </c>
      <c r="G1914" t="s">
        <v>6988</v>
      </c>
      <c r="L1914" t="s">
        <v>1647</v>
      </c>
      <c r="M1914" t="s">
        <v>1634</v>
      </c>
    </row>
    <row r="1915" spans="1:13" x14ac:dyDescent="0.25">
      <c r="A1915">
        <v>530879</v>
      </c>
      <c r="B1915" t="s">
        <v>6989</v>
      </c>
      <c r="C1915" t="s">
        <v>6990</v>
      </c>
      <c r="D1915" t="s">
        <v>1643</v>
      </c>
      <c r="E1915" t="s">
        <v>1273</v>
      </c>
    </row>
    <row r="1916" spans="1:13" x14ac:dyDescent="0.25">
      <c r="A1916">
        <v>4279</v>
      </c>
      <c r="B1916" t="s">
        <v>328</v>
      </c>
      <c r="C1916" t="s">
        <v>6991</v>
      </c>
      <c r="D1916" t="s">
        <v>1628</v>
      </c>
      <c r="E1916" t="s">
        <v>1273</v>
      </c>
      <c r="F1916" t="s">
        <v>6992</v>
      </c>
      <c r="G1916" t="s">
        <v>3025</v>
      </c>
      <c r="H1916">
        <v>6023043103</v>
      </c>
      <c r="K1916" t="s">
        <v>6993</v>
      </c>
      <c r="L1916" t="s">
        <v>6355</v>
      </c>
      <c r="M1916" t="s">
        <v>1634</v>
      </c>
    </row>
    <row r="1917" spans="1:13" x14ac:dyDescent="0.25">
      <c r="A1917">
        <v>4279</v>
      </c>
      <c r="B1917" t="s">
        <v>328</v>
      </c>
      <c r="C1917" t="s">
        <v>6991</v>
      </c>
      <c r="D1917" t="s">
        <v>1628</v>
      </c>
      <c r="E1917" t="s">
        <v>1273</v>
      </c>
      <c r="F1917" t="s">
        <v>6994</v>
      </c>
      <c r="G1917" t="s">
        <v>2932</v>
      </c>
      <c r="K1917" t="s">
        <v>6995</v>
      </c>
      <c r="M1917" t="s">
        <v>1634</v>
      </c>
    </row>
    <row r="1918" spans="1:13" x14ac:dyDescent="0.25">
      <c r="A1918">
        <v>4279</v>
      </c>
      <c r="B1918" t="s">
        <v>328</v>
      </c>
      <c r="C1918" t="s">
        <v>6991</v>
      </c>
      <c r="D1918" t="s">
        <v>1628</v>
      </c>
      <c r="E1918" t="s">
        <v>1273</v>
      </c>
      <c r="F1918" t="s">
        <v>6996</v>
      </c>
      <c r="G1918" t="s">
        <v>6997</v>
      </c>
      <c r="K1918" t="s">
        <v>6998</v>
      </c>
      <c r="M1918" t="s">
        <v>1634</v>
      </c>
    </row>
    <row r="1919" spans="1:13" x14ac:dyDescent="0.25">
      <c r="A1919">
        <v>4279</v>
      </c>
      <c r="B1919" t="s">
        <v>328</v>
      </c>
      <c r="C1919" t="s">
        <v>6991</v>
      </c>
      <c r="D1919" t="s">
        <v>1628</v>
      </c>
      <c r="E1919" t="s">
        <v>1273</v>
      </c>
      <c r="F1919" t="s">
        <v>6999</v>
      </c>
      <c r="G1919" t="s">
        <v>7000</v>
      </c>
      <c r="H1919">
        <v>6022434816</v>
      </c>
      <c r="K1919" t="s">
        <v>7001</v>
      </c>
      <c r="L1919" t="s">
        <v>7002</v>
      </c>
      <c r="M1919" t="s">
        <v>1634</v>
      </c>
    </row>
    <row r="1920" spans="1:13" x14ac:dyDescent="0.25">
      <c r="A1920">
        <v>4279</v>
      </c>
      <c r="B1920" t="s">
        <v>328</v>
      </c>
      <c r="C1920" t="s">
        <v>6991</v>
      </c>
      <c r="D1920" t="s">
        <v>1628</v>
      </c>
      <c r="E1920" t="s">
        <v>1273</v>
      </c>
      <c r="F1920" t="s">
        <v>6994</v>
      </c>
      <c r="G1920" t="s">
        <v>2932</v>
      </c>
      <c r="K1920" t="s">
        <v>6995</v>
      </c>
      <c r="M1920" t="s">
        <v>1640</v>
      </c>
    </row>
    <row r="1921" spans="1:13" x14ac:dyDescent="0.25">
      <c r="A1921">
        <v>4279</v>
      </c>
      <c r="B1921" t="s">
        <v>328</v>
      </c>
      <c r="C1921" t="s">
        <v>6991</v>
      </c>
      <c r="D1921" t="s">
        <v>1628</v>
      </c>
      <c r="E1921" t="s">
        <v>1273</v>
      </c>
      <c r="F1921" t="s">
        <v>7003</v>
      </c>
      <c r="G1921" t="s">
        <v>2287</v>
      </c>
      <c r="H1921">
        <v>6022434886</v>
      </c>
      <c r="K1921" t="s">
        <v>7004</v>
      </c>
      <c r="L1921" t="s">
        <v>2368</v>
      </c>
      <c r="M1921" t="s">
        <v>1640</v>
      </c>
    </row>
    <row r="1922" spans="1:13" x14ac:dyDescent="0.25">
      <c r="A1922">
        <v>4279</v>
      </c>
      <c r="B1922" t="s">
        <v>328</v>
      </c>
      <c r="C1922" t="s">
        <v>6991</v>
      </c>
      <c r="D1922" t="s">
        <v>1628</v>
      </c>
      <c r="E1922" t="s">
        <v>1273</v>
      </c>
      <c r="F1922" t="s">
        <v>7005</v>
      </c>
      <c r="G1922" t="s">
        <v>7006</v>
      </c>
      <c r="H1922" t="s">
        <v>7007</v>
      </c>
      <c r="K1922" t="s">
        <v>7008</v>
      </c>
      <c r="L1922" t="s">
        <v>7009</v>
      </c>
      <c r="M1922" t="s">
        <v>1765</v>
      </c>
    </row>
    <row r="1923" spans="1:13" x14ac:dyDescent="0.25">
      <c r="A1923">
        <v>4279</v>
      </c>
      <c r="B1923" t="s">
        <v>328</v>
      </c>
      <c r="C1923" t="s">
        <v>6991</v>
      </c>
      <c r="D1923" t="s">
        <v>1628</v>
      </c>
      <c r="E1923" t="s">
        <v>1273</v>
      </c>
      <c r="F1923" t="s">
        <v>2036</v>
      </c>
      <c r="G1923" t="s">
        <v>3915</v>
      </c>
      <c r="K1923" t="s">
        <v>7010</v>
      </c>
      <c r="L1923" t="s">
        <v>7011</v>
      </c>
      <c r="M1923" t="s">
        <v>1765</v>
      </c>
    </row>
    <row r="1924" spans="1:13" x14ac:dyDescent="0.25">
      <c r="A1924">
        <v>5363</v>
      </c>
      <c r="B1924" t="s">
        <v>654</v>
      </c>
      <c r="C1924" t="s">
        <v>7012</v>
      </c>
      <c r="D1924" t="s">
        <v>1643</v>
      </c>
      <c r="E1924" t="s">
        <v>1273</v>
      </c>
      <c r="F1924" t="s">
        <v>7013</v>
      </c>
      <c r="G1924" t="s">
        <v>2162</v>
      </c>
      <c r="K1924" t="s">
        <v>7014</v>
      </c>
      <c r="L1924" t="s">
        <v>1647</v>
      </c>
      <c r="M1924" t="s">
        <v>1634</v>
      </c>
    </row>
    <row r="1925" spans="1:13" x14ac:dyDescent="0.25">
      <c r="A1925">
        <v>5363</v>
      </c>
      <c r="B1925" t="s">
        <v>654</v>
      </c>
      <c r="C1925" t="s">
        <v>7012</v>
      </c>
      <c r="D1925" t="s">
        <v>1643</v>
      </c>
      <c r="E1925" t="s">
        <v>1273</v>
      </c>
      <c r="F1925" t="s">
        <v>2335</v>
      </c>
      <c r="G1925" t="s">
        <v>7015</v>
      </c>
      <c r="K1925" t="s">
        <v>7016</v>
      </c>
      <c r="L1925" t="s">
        <v>1647</v>
      </c>
      <c r="M1925" t="s">
        <v>1634</v>
      </c>
    </row>
    <row r="1926" spans="1:13" x14ac:dyDescent="0.25">
      <c r="A1926">
        <v>5364</v>
      </c>
      <c r="B1926" t="s">
        <v>669</v>
      </c>
      <c r="C1926" t="s">
        <v>7017</v>
      </c>
      <c r="D1926" t="s">
        <v>1643</v>
      </c>
      <c r="E1926" t="s">
        <v>1273</v>
      </c>
      <c r="F1926" t="s">
        <v>7018</v>
      </c>
      <c r="G1926" t="s">
        <v>7019</v>
      </c>
      <c r="K1926" t="s">
        <v>7020</v>
      </c>
      <c r="L1926" t="s">
        <v>1647</v>
      </c>
      <c r="M1926" t="s">
        <v>1634</v>
      </c>
    </row>
    <row r="1927" spans="1:13" x14ac:dyDescent="0.25">
      <c r="A1927">
        <v>5365</v>
      </c>
      <c r="B1927" t="s">
        <v>7021</v>
      </c>
      <c r="C1927" t="s">
        <v>7022</v>
      </c>
      <c r="D1927" t="s">
        <v>1643</v>
      </c>
      <c r="E1927" t="s">
        <v>1273</v>
      </c>
      <c r="F1927" t="s">
        <v>7023</v>
      </c>
      <c r="G1927" t="s">
        <v>7024</v>
      </c>
      <c r="H1927">
        <v>6022324960</v>
      </c>
      <c r="J1927">
        <v>6022432125</v>
      </c>
      <c r="K1927" t="s">
        <v>7025</v>
      </c>
      <c r="L1927" t="s">
        <v>1647</v>
      </c>
      <c r="M1927" t="s">
        <v>1634</v>
      </c>
    </row>
    <row r="1928" spans="1:13" x14ac:dyDescent="0.25">
      <c r="A1928">
        <v>5367</v>
      </c>
      <c r="B1928" t="s">
        <v>7026</v>
      </c>
      <c r="C1928" t="s">
        <v>7027</v>
      </c>
      <c r="D1928" t="s">
        <v>1643</v>
      </c>
      <c r="E1928" t="s">
        <v>1273</v>
      </c>
      <c r="F1928" t="s">
        <v>3504</v>
      </c>
      <c r="G1928" t="s">
        <v>1776</v>
      </c>
      <c r="H1928">
        <v>6022324980</v>
      </c>
      <c r="J1928">
        <v>6022434923</v>
      </c>
      <c r="K1928" t="s">
        <v>7028</v>
      </c>
      <c r="L1928" t="s">
        <v>1647</v>
      </c>
      <c r="M1928" t="s">
        <v>1634</v>
      </c>
    </row>
    <row r="1929" spans="1:13" x14ac:dyDescent="0.25">
      <c r="A1929">
        <v>5367</v>
      </c>
      <c r="B1929" t="s">
        <v>7026</v>
      </c>
      <c r="C1929" t="s">
        <v>7027</v>
      </c>
      <c r="D1929" t="s">
        <v>1643</v>
      </c>
      <c r="E1929" t="s">
        <v>1273</v>
      </c>
      <c r="F1929" t="s">
        <v>1661</v>
      </c>
      <c r="G1929" t="s">
        <v>6997</v>
      </c>
      <c r="H1929">
        <v>6022324980</v>
      </c>
      <c r="J1929">
        <v>6022324980</v>
      </c>
      <c r="K1929" t="s">
        <v>7029</v>
      </c>
      <c r="L1929" t="s">
        <v>1738</v>
      </c>
      <c r="M1929" t="s">
        <v>1640</v>
      </c>
    </row>
    <row r="1930" spans="1:13" x14ac:dyDescent="0.25">
      <c r="A1930">
        <v>5368</v>
      </c>
      <c r="B1930" t="s">
        <v>1457</v>
      </c>
      <c r="C1930" t="s">
        <v>7030</v>
      </c>
      <c r="D1930" t="s">
        <v>1643</v>
      </c>
      <c r="E1930" t="s">
        <v>1273</v>
      </c>
      <c r="F1930" t="s">
        <v>2794</v>
      </c>
      <c r="G1930" t="s">
        <v>7031</v>
      </c>
      <c r="H1930">
        <v>6022324990</v>
      </c>
      <c r="J1930">
        <v>6022434989</v>
      </c>
      <c r="K1930" t="s">
        <v>7032</v>
      </c>
      <c r="L1930" t="s">
        <v>1647</v>
      </c>
      <c r="M1930" t="s">
        <v>1640</v>
      </c>
    </row>
    <row r="1931" spans="1:13" x14ac:dyDescent="0.25">
      <c r="A1931">
        <v>5370</v>
      </c>
      <c r="B1931" t="s">
        <v>7033</v>
      </c>
      <c r="C1931" t="s">
        <v>7034</v>
      </c>
      <c r="D1931" t="s">
        <v>1643</v>
      </c>
      <c r="E1931" t="s">
        <v>1273</v>
      </c>
      <c r="F1931" t="s">
        <v>3335</v>
      </c>
      <c r="G1931" t="s">
        <v>7035</v>
      </c>
      <c r="H1931">
        <v>6022324920</v>
      </c>
      <c r="J1931">
        <v>6022434961</v>
      </c>
      <c r="K1931" t="s">
        <v>7036</v>
      </c>
      <c r="L1931" t="s">
        <v>1647</v>
      </c>
      <c r="M1931" t="s">
        <v>1634</v>
      </c>
    </row>
    <row r="1932" spans="1:13" x14ac:dyDescent="0.25">
      <c r="A1932">
        <v>5371</v>
      </c>
      <c r="B1932" t="s">
        <v>7037</v>
      </c>
      <c r="C1932" t="s">
        <v>7038</v>
      </c>
      <c r="D1932" t="s">
        <v>1643</v>
      </c>
      <c r="E1932" t="s">
        <v>1273</v>
      </c>
      <c r="F1932" t="s">
        <v>1775</v>
      </c>
      <c r="G1932" t="s">
        <v>5762</v>
      </c>
      <c r="K1932" t="s">
        <v>7039</v>
      </c>
      <c r="L1932" t="s">
        <v>1647</v>
      </c>
      <c r="M1932" t="s">
        <v>1634</v>
      </c>
    </row>
    <row r="1933" spans="1:13" x14ac:dyDescent="0.25">
      <c r="A1933">
        <v>5371</v>
      </c>
      <c r="B1933" t="s">
        <v>7037</v>
      </c>
      <c r="C1933" t="s">
        <v>7038</v>
      </c>
      <c r="D1933" t="s">
        <v>1643</v>
      </c>
      <c r="E1933" t="s">
        <v>1273</v>
      </c>
      <c r="F1933" t="s">
        <v>7040</v>
      </c>
      <c r="G1933" t="s">
        <v>7041</v>
      </c>
      <c r="K1933" t="s">
        <v>7042</v>
      </c>
      <c r="L1933" t="s">
        <v>1647</v>
      </c>
      <c r="M1933" t="s">
        <v>1634</v>
      </c>
    </row>
    <row r="1934" spans="1:13" x14ac:dyDescent="0.25">
      <c r="A1934">
        <v>5372</v>
      </c>
      <c r="B1934" t="s">
        <v>664</v>
      </c>
      <c r="C1934" t="s">
        <v>7043</v>
      </c>
      <c r="D1934" t="s">
        <v>1643</v>
      </c>
      <c r="E1934" t="s">
        <v>1273</v>
      </c>
      <c r="F1934" t="s">
        <v>1974</v>
      </c>
      <c r="G1934" t="s">
        <v>7044</v>
      </c>
      <c r="L1934" t="s">
        <v>1647</v>
      </c>
      <c r="M1934" t="s">
        <v>1634</v>
      </c>
    </row>
    <row r="1935" spans="1:13" x14ac:dyDescent="0.25">
      <c r="A1935">
        <v>5372</v>
      </c>
      <c r="B1935" t="s">
        <v>664</v>
      </c>
      <c r="C1935" t="s">
        <v>7043</v>
      </c>
      <c r="D1935" t="s">
        <v>1643</v>
      </c>
      <c r="E1935" t="s">
        <v>1273</v>
      </c>
      <c r="F1935" t="s">
        <v>5662</v>
      </c>
      <c r="G1935" t="s">
        <v>7045</v>
      </c>
      <c r="H1935">
        <v>6022324900</v>
      </c>
      <c r="J1935">
        <v>6022432116</v>
      </c>
      <c r="K1935" t="s">
        <v>7046</v>
      </c>
      <c r="L1935" t="s">
        <v>1738</v>
      </c>
      <c r="M1935" t="s">
        <v>1640</v>
      </c>
    </row>
    <row r="1936" spans="1:13" x14ac:dyDescent="0.25">
      <c r="A1936">
        <v>5373</v>
      </c>
      <c r="B1936" t="s">
        <v>636</v>
      </c>
      <c r="C1936" t="s">
        <v>7047</v>
      </c>
      <c r="D1936" t="s">
        <v>1643</v>
      </c>
      <c r="E1936" t="s">
        <v>1273</v>
      </c>
      <c r="F1936" t="s">
        <v>7048</v>
      </c>
      <c r="G1936" t="s">
        <v>7049</v>
      </c>
      <c r="H1936">
        <v>6022324210</v>
      </c>
      <c r="J1936">
        <v>6022324291</v>
      </c>
      <c r="K1936" t="s">
        <v>7050</v>
      </c>
      <c r="L1936" t="s">
        <v>1647</v>
      </c>
      <c r="M1936" t="s">
        <v>1634</v>
      </c>
    </row>
    <row r="1937" spans="1:13" x14ac:dyDescent="0.25">
      <c r="A1937">
        <v>5373</v>
      </c>
      <c r="B1937" t="s">
        <v>636</v>
      </c>
      <c r="C1937" t="s">
        <v>7047</v>
      </c>
      <c r="D1937" t="s">
        <v>1643</v>
      </c>
      <c r="E1937" t="s">
        <v>1273</v>
      </c>
      <c r="F1937" t="s">
        <v>7051</v>
      </c>
      <c r="G1937" t="s">
        <v>7052</v>
      </c>
      <c r="H1937">
        <v>6022324240</v>
      </c>
      <c r="J1937">
        <v>6022324973</v>
      </c>
      <c r="L1937" t="s">
        <v>1647</v>
      </c>
      <c r="M1937" t="s">
        <v>1634</v>
      </c>
    </row>
    <row r="1938" spans="1:13" x14ac:dyDescent="0.25">
      <c r="A1938">
        <v>5374</v>
      </c>
      <c r="B1938" t="s">
        <v>658</v>
      </c>
      <c r="C1938" t="s">
        <v>7053</v>
      </c>
      <c r="D1938" t="s">
        <v>1643</v>
      </c>
      <c r="E1938" t="s">
        <v>1273</v>
      </c>
    </row>
    <row r="1939" spans="1:13" x14ac:dyDescent="0.25">
      <c r="A1939">
        <v>5375</v>
      </c>
      <c r="B1939" t="s">
        <v>7054</v>
      </c>
      <c r="C1939" t="s">
        <v>7055</v>
      </c>
      <c r="D1939" t="s">
        <v>1643</v>
      </c>
      <c r="E1939" t="s">
        <v>1273</v>
      </c>
      <c r="F1939" t="s">
        <v>1658</v>
      </c>
      <c r="G1939" t="s">
        <v>7056</v>
      </c>
      <c r="H1939">
        <v>6022324230</v>
      </c>
      <c r="K1939" t="s">
        <v>7057</v>
      </c>
      <c r="L1939" t="s">
        <v>1647</v>
      </c>
      <c r="M1939" t="s">
        <v>1634</v>
      </c>
    </row>
    <row r="1940" spans="1:13" x14ac:dyDescent="0.25">
      <c r="A1940">
        <v>5375</v>
      </c>
      <c r="B1940" t="s">
        <v>7054</v>
      </c>
      <c r="C1940" t="s">
        <v>7055</v>
      </c>
      <c r="D1940" t="s">
        <v>1643</v>
      </c>
      <c r="E1940" t="s">
        <v>1273</v>
      </c>
      <c r="F1940" t="s">
        <v>4811</v>
      </c>
      <c r="G1940" t="s">
        <v>7058</v>
      </c>
      <c r="H1940">
        <v>6022324230</v>
      </c>
      <c r="J1940">
        <v>6022434957</v>
      </c>
      <c r="K1940" t="s">
        <v>7059</v>
      </c>
      <c r="L1940" t="s">
        <v>1738</v>
      </c>
      <c r="M1940" t="s">
        <v>1634</v>
      </c>
    </row>
    <row r="1941" spans="1:13" x14ac:dyDescent="0.25">
      <c r="A1941">
        <v>5375</v>
      </c>
      <c r="B1941" t="s">
        <v>7054</v>
      </c>
      <c r="C1941" t="s">
        <v>7055</v>
      </c>
      <c r="D1941" t="s">
        <v>1643</v>
      </c>
      <c r="E1941" t="s">
        <v>1273</v>
      </c>
      <c r="F1941" t="s">
        <v>4318</v>
      </c>
      <c r="G1941" t="s">
        <v>5993</v>
      </c>
      <c r="K1941" t="s">
        <v>7060</v>
      </c>
      <c r="M1941" t="s">
        <v>1634</v>
      </c>
    </row>
    <row r="1942" spans="1:13" x14ac:dyDescent="0.25">
      <c r="A1942">
        <v>5375</v>
      </c>
      <c r="B1942" t="s">
        <v>7054</v>
      </c>
      <c r="C1942" t="s">
        <v>7055</v>
      </c>
      <c r="D1942" t="s">
        <v>1643</v>
      </c>
      <c r="E1942" t="s">
        <v>1273</v>
      </c>
      <c r="F1942" t="s">
        <v>7061</v>
      </c>
      <c r="G1942" t="s">
        <v>7062</v>
      </c>
      <c r="K1942" t="s">
        <v>7063</v>
      </c>
      <c r="L1942" t="s">
        <v>1647</v>
      </c>
      <c r="M1942" t="s">
        <v>1634</v>
      </c>
    </row>
    <row r="1943" spans="1:13" x14ac:dyDescent="0.25">
      <c r="A1943">
        <v>5375</v>
      </c>
      <c r="B1943" t="s">
        <v>7054</v>
      </c>
      <c r="C1943" t="s">
        <v>7055</v>
      </c>
      <c r="D1943" t="s">
        <v>1643</v>
      </c>
      <c r="E1943" t="s">
        <v>1273</v>
      </c>
      <c r="F1943" t="s">
        <v>4811</v>
      </c>
      <c r="G1943" t="s">
        <v>7058</v>
      </c>
      <c r="H1943">
        <v>6022324230</v>
      </c>
      <c r="J1943">
        <v>6022434957</v>
      </c>
      <c r="K1943" t="s">
        <v>7059</v>
      </c>
      <c r="L1943" t="s">
        <v>1738</v>
      </c>
      <c r="M1943" t="s">
        <v>1640</v>
      </c>
    </row>
    <row r="1944" spans="1:13" x14ac:dyDescent="0.25">
      <c r="A1944">
        <v>5376</v>
      </c>
      <c r="B1944" t="s">
        <v>1403</v>
      </c>
      <c r="C1944" t="s">
        <v>7064</v>
      </c>
      <c r="D1944" t="s">
        <v>1643</v>
      </c>
      <c r="E1944" t="s">
        <v>1273</v>
      </c>
      <c r="F1944" t="s">
        <v>7051</v>
      </c>
      <c r="G1944" t="s">
        <v>7052</v>
      </c>
      <c r="H1944">
        <v>6022324240</v>
      </c>
      <c r="J1944">
        <v>6022434973</v>
      </c>
      <c r="K1944" t="s">
        <v>7065</v>
      </c>
      <c r="L1944" t="s">
        <v>1647</v>
      </c>
      <c r="M1944" t="s">
        <v>1634</v>
      </c>
    </row>
    <row r="1945" spans="1:13" x14ac:dyDescent="0.25">
      <c r="A1945">
        <v>5377</v>
      </c>
      <c r="B1945" t="s">
        <v>626</v>
      </c>
      <c r="C1945" t="s">
        <v>7066</v>
      </c>
      <c r="D1945" t="s">
        <v>1643</v>
      </c>
      <c r="E1945" t="s">
        <v>1273</v>
      </c>
      <c r="F1945" t="s">
        <v>4478</v>
      </c>
      <c r="G1945" t="s">
        <v>4479</v>
      </c>
      <c r="K1945" t="s">
        <v>7067</v>
      </c>
      <c r="L1945" t="s">
        <v>1647</v>
      </c>
      <c r="M1945" t="s">
        <v>1634</v>
      </c>
    </row>
    <row r="1946" spans="1:13" x14ac:dyDescent="0.25">
      <c r="A1946">
        <v>5378</v>
      </c>
      <c r="B1946" t="s">
        <v>634</v>
      </c>
      <c r="C1946" t="s">
        <v>7068</v>
      </c>
      <c r="D1946" t="s">
        <v>1643</v>
      </c>
      <c r="E1946" t="s">
        <v>1273</v>
      </c>
      <c r="F1946" t="s">
        <v>5662</v>
      </c>
      <c r="G1946" t="s">
        <v>7045</v>
      </c>
      <c r="H1946">
        <v>6022324930</v>
      </c>
      <c r="J1946">
        <v>6022324280</v>
      </c>
      <c r="K1946" t="s">
        <v>7069</v>
      </c>
      <c r="L1946" t="s">
        <v>1647</v>
      </c>
      <c r="M1946" t="s">
        <v>1634</v>
      </c>
    </row>
    <row r="1947" spans="1:13" x14ac:dyDescent="0.25">
      <c r="A1947">
        <v>5379</v>
      </c>
      <c r="B1947" t="s">
        <v>652</v>
      </c>
      <c r="C1947" t="s">
        <v>7070</v>
      </c>
      <c r="D1947" t="s">
        <v>1643</v>
      </c>
      <c r="E1947" t="s">
        <v>1273</v>
      </c>
      <c r="F1947" t="s">
        <v>2587</v>
      </c>
      <c r="G1947" t="s">
        <v>7071</v>
      </c>
      <c r="H1947">
        <v>6022324260</v>
      </c>
      <c r="J1947">
        <v>6022434932</v>
      </c>
      <c r="K1947" t="s">
        <v>7072</v>
      </c>
      <c r="L1947" t="s">
        <v>1647</v>
      </c>
      <c r="M1947" t="s">
        <v>1634</v>
      </c>
    </row>
    <row r="1948" spans="1:13" x14ac:dyDescent="0.25">
      <c r="A1948">
        <v>5379</v>
      </c>
      <c r="B1948" t="s">
        <v>652</v>
      </c>
      <c r="C1948" t="s">
        <v>7070</v>
      </c>
      <c r="D1948" t="s">
        <v>1643</v>
      </c>
      <c r="E1948" t="s">
        <v>1273</v>
      </c>
      <c r="F1948" t="s">
        <v>7073</v>
      </c>
      <c r="G1948" t="s">
        <v>7074</v>
      </c>
      <c r="H1948">
        <v>6022324260</v>
      </c>
      <c r="J1948">
        <v>6022434932</v>
      </c>
      <c r="K1948" t="s">
        <v>7075</v>
      </c>
      <c r="L1948" t="s">
        <v>1738</v>
      </c>
      <c r="M1948" t="s">
        <v>1640</v>
      </c>
    </row>
    <row r="1949" spans="1:13" x14ac:dyDescent="0.25">
      <c r="A1949">
        <v>5380</v>
      </c>
      <c r="B1949" t="s">
        <v>7076</v>
      </c>
      <c r="C1949" t="s">
        <v>7077</v>
      </c>
      <c r="D1949" t="s">
        <v>1643</v>
      </c>
      <c r="E1949" t="s">
        <v>1273</v>
      </c>
      <c r="F1949" t="s">
        <v>2411</v>
      </c>
      <c r="G1949" t="s">
        <v>7078</v>
      </c>
      <c r="H1949">
        <v>6022324270</v>
      </c>
      <c r="J1949">
        <v>6022434933</v>
      </c>
      <c r="K1949" t="s">
        <v>7079</v>
      </c>
      <c r="L1949" t="s">
        <v>1647</v>
      </c>
      <c r="M1949" t="s">
        <v>1634</v>
      </c>
    </row>
    <row r="1950" spans="1:13" x14ac:dyDescent="0.25">
      <c r="A1950">
        <v>79013</v>
      </c>
      <c r="B1950" t="s">
        <v>1382</v>
      </c>
      <c r="C1950" t="s">
        <v>7080</v>
      </c>
      <c r="D1950" t="s">
        <v>1643</v>
      </c>
      <c r="E1950" t="s">
        <v>1273</v>
      </c>
      <c r="F1950" t="s">
        <v>2876</v>
      </c>
      <c r="G1950" t="s">
        <v>7081</v>
      </c>
      <c r="H1950">
        <v>6023043160</v>
      </c>
      <c r="J1950">
        <v>6023043169</v>
      </c>
      <c r="K1950" t="s">
        <v>7082</v>
      </c>
      <c r="L1950" t="s">
        <v>1647</v>
      </c>
      <c r="M1950" t="s">
        <v>1634</v>
      </c>
    </row>
    <row r="1951" spans="1:13" x14ac:dyDescent="0.25">
      <c r="A1951">
        <v>79013</v>
      </c>
      <c r="B1951" t="s">
        <v>1382</v>
      </c>
      <c r="C1951" t="s">
        <v>7080</v>
      </c>
      <c r="D1951" t="s">
        <v>1643</v>
      </c>
      <c r="E1951" t="s">
        <v>1273</v>
      </c>
      <c r="F1951" t="s">
        <v>3303</v>
      </c>
      <c r="G1951" t="s">
        <v>7083</v>
      </c>
      <c r="H1951">
        <v>6023043160</v>
      </c>
      <c r="J1951">
        <v>6023043169</v>
      </c>
      <c r="K1951" t="s">
        <v>7084</v>
      </c>
      <c r="L1951" t="s">
        <v>1738</v>
      </c>
      <c r="M1951" t="s">
        <v>1640</v>
      </c>
    </row>
    <row r="1952" spans="1:13" x14ac:dyDescent="0.25">
      <c r="A1952">
        <v>79012</v>
      </c>
      <c r="B1952" t="s">
        <v>1316</v>
      </c>
      <c r="C1952" t="s">
        <v>7085</v>
      </c>
      <c r="D1952" t="s">
        <v>1643</v>
      </c>
      <c r="E1952" t="s">
        <v>1273</v>
      </c>
      <c r="F1952" t="s">
        <v>1679</v>
      </c>
      <c r="G1952" t="s">
        <v>4218</v>
      </c>
      <c r="H1952">
        <v>6023043170</v>
      </c>
      <c r="K1952" t="s">
        <v>7086</v>
      </c>
      <c r="L1952" t="s">
        <v>1647</v>
      </c>
      <c r="M1952" t="s">
        <v>1634</v>
      </c>
    </row>
    <row r="1953" spans="1:13" x14ac:dyDescent="0.25">
      <c r="A1953">
        <v>87883</v>
      </c>
      <c r="B1953" t="s">
        <v>7087</v>
      </c>
      <c r="C1953" t="s">
        <v>7088</v>
      </c>
      <c r="D1953" t="s">
        <v>1643</v>
      </c>
      <c r="E1953" t="s">
        <v>1273</v>
      </c>
      <c r="F1953" t="s">
        <v>1718</v>
      </c>
      <c r="G1953" t="s">
        <v>3211</v>
      </c>
      <c r="K1953" t="s">
        <v>7089</v>
      </c>
      <c r="L1953" t="s">
        <v>1647</v>
      </c>
      <c r="M1953" t="s">
        <v>1634</v>
      </c>
    </row>
    <row r="1954" spans="1:13" x14ac:dyDescent="0.25">
      <c r="A1954">
        <v>87883</v>
      </c>
      <c r="B1954" t="s">
        <v>7087</v>
      </c>
      <c r="C1954" t="s">
        <v>7088</v>
      </c>
      <c r="D1954" t="s">
        <v>1643</v>
      </c>
      <c r="E1954" t="s">
        <v>1273</v>
      </c>
      <c r="F1954" t="s">
        <v>3551</v>
      </c>
      <c r="G1954" t="s">
        <v>7090</v>
      </c>
      <c r="H1954">
        <v>6023043180</v>
      </c>
      <c r="J1954">
        <v>6023043185</v>
      </c>
      <c r="K1954" t="s">
        <v>7091</v>
      </c>
      <c r="L1954" t="s">
        <v>1738</v>
      </c>
      <c r="M1954" t="s">
        <v>1640</v>
      </c>
    </row>
    <row r="1955" spans="1:13" x14ac:dyDescent="0.25">
      <c r="A1955">
        <v>1001174</v>
      </c>
      <c r="B1955" t="s">
        <v>7092</v>
      </c>
      <c r="C1955" t="s">
        <v>7093</v>
      </c>
      <c r="D1955" t="s">
        <v>1643</v>
      </c>
      <c r="E1955" t="s">
        <v>1273</v>
      </c>
    </row>
    <row r="1956" spans="1:13" x14ac:dyDescent="0.25">
      <c r="A1956">
        <v>4280</v>
      </c>
      <c r="B1956" t="s">
        <v>376</v>
      </c>
      <c r="C1956" t="s">
        <v>7094</v>
      </c>
      <c r="D1956" t="s">
        <v>1628</v>
      </c>
      <c r="E1956" t="s">
        <v>1273</v>
      </c>
      <c r="F1956" t="s">
        <v>7095</v>
      </c>
      <c r="G1956" t="s">
        <v>7096</v>
      </c>
      <c r="H1956">
        <v>6023362976</v>
      </c>
      <c r="K1956" t="s">
        <v>7097</v>
      </c>
      <c r="M1956" t="s">
        <v>1634</v>
      </c>
    </row>
    <row r="1957" spans="1:13" x14ac:dyDescent="0.25">
      <c r="A1957">
        <v>4280</v>
      </c>
      <c r="B1957" t="s">
        <v>376</v>
      </c>
      <c r="C1957" t="s">
        <v>7094</v>
      </c>
      <c r="D1957" t="s">
        <v>1628</v>
      </c>
      <c r="E1957" t="s">
        <v>1273</v>
      </c>
      <c r="F1957" t="s">
        <v>7098</v>
      </c>
      <c r="G1957" t="s">
        <v>7099</v>
      </c>
      <c r="H1957">
        <v>6023662944</v>
      </c>
      <c r="K1957" t="s">
        <v>7100</v>
      </c>
      <c r="L1957" t="s">
        <v>7101</v>
      </c>
      <c r="M1957" t="s">
        <v>1634</v>
      </c>
    </row>
    <row r="1958" spans="1:13" x14ac:dyDescent="0.25">
      <c r="A1958">
        <v>4280</v>
      </c>
      <c r="B1958" t="s">
        <v>376</v>
      </c>
      <c r="C1958" t="s">
        <v>7094</v>
      </c>
      <c r="D1958" t="s">
        <v>1628</v>
      </c>
      <c r="E1958" t="s">
        <v>1273</v>
      </c>
      <c r="F1958" t="s">
        <v>1690</v>
      </c>
      <c r="G1958" t="s">
        <v>7102</v>
      </c>
      <c r="H1958">
        <v>6023362070</v>
      </c>
      <c r="K1958" t="s">
        <v>7103</v>
      </c>
      <c r="L1958" t="s">
        <v>6321</v>
      </c>
      <c r="M1958" t="s">
        <v>1634</v>
      </c>
    </row>
    <row r="1959" spans="1:13" x14ac:dyDescent="0.25">
      <c r="A1959">
        <v>4280</v>
      </c>
      <c r="B1959" t="s">
        <v>376</v>
      </c>
      <c r="C1959" t="s">
        <v>7094</v>
      </c>
      <c r="D1959" t="s">
        <v>1628</v>
      </c>
      <c r="E1959" t="s">
        <v>1273</v>
      </c>
      <c r="F1959" t="s">
        <v>1690</v>
      </c>
      <c r="G1959" t="s">
        <v>7102</v>
      </c>
      <c r="H1959">
        <v>6023362070</v>
      </c>
      <c r="K1959" t="s">
        <v>7103</v>
      </c>
      <c r="L1959" t="s">
        <v>6321</v>
      </c>
      <c r="M1959" t="s">
        <v>1640</v>
      </c>
    </row>
    <row r="1960" spans="1:13" x14ac:dyDescent="0.25">
      <c r="A1960">
        <v>4280</v>
      </c>
      <c r="B1960" t="s">
        <v>376</v>
      </c>
      <c r="C1960" t="s">
        <v>7094</v>
      </c>
      <c r="D1960" t="s">
        <v>1628</v>
      </c>
      <c r="E1960" t="s">
        <v>1273</v>
      </c>
      <c r="F1960" t="s">
        <v>7104</v>
      </c>
      <c r="G1960" t="s">
        <v>7105</v>
      </c>
      <c r="K1960" t="s">
        <v>7106</v>
      </c>
      <c r="L1960" t="s">
        <v>7107</v>
      </c>
      <c r="M1960" t="s">
        <v>1765</v>
      </c>
    </row>
    <row r="1961" spans="1:13" x14ac:dyDescent="0.25">
      <c r="A1961">
        <v>5381</v>
      </c>
      <c r="B1961" t="s">
        <v>7108</v>
      </c>
      <c r="C1961" t="s">
        <v>7109</v>
      </c>
      <c r="D1961" t="s">
        <v>1643</v>
      </c>
      <c r="E1961" t="s">
        <v>1273</v>
      </c>
      <c r="F1961" t="s">
        <v>7110</v>
      </c>
      <c r="G1961" t="s">
        <v>7111</v>
      </c>
      <c r="H1961">
        <v>6024848816</v>
      </c>
      <c r="J1961">
        <v>6024848952</v>
      </c>
      <c r="K1961" t="s">
        <v>7112</v>
      </c>
      <c r="L1961" t="s">
        <v>1647</v>
      </c>
      <c r="M1961" t="s">
        <v>1634</v>
      </c>
    </row>
    <row r="1962" spans="1:13" x14ac:dyDescent="0.25">
      <c r="A1962">
        <v>5383</v>
      </c>
      <c r="B1962" t="s">
        <v>7113</v>
      </c>
      <c r="C1962" t="s">
        <v>7114</v>
      </c>
      <c r="D1962" t="s">
        <v>1643</v>
      </c>
      <c r="E1962" t="s">
        <v>1273</v>
      </c>
      <c r="F1962" t="s">
        <v>5973</v>
      </c>
      <c r="G1962" t="s">
        <v>5974</v>
      </c>
      <c r="H1962">
        <v>6238488420</v>
      </c>
      <c r="L1962" t="s">
        <v>1647</v>
      </c>
      <c r="M1962" t="s">
        <v>1634</v>
      </c>
    </row>
    <row r="1963" spans="1:13" x14ac:dyDescent="0.25">
      <c r="A1963">
        <v>5384</v>
      </c>
      <c r="B1963" t="s">
        <v>377</v>
      </c>
      <c r="C1963" t="s">
        <v>7115</v>
      </c>
      <c r="D1963" t="s">
        <v>1643</v>
      </c>
      <c r="E1963" t="s">
        <v>1273</v>
      </c>
      <c r="F1963" t="s">
        <v>7116</v>
      </c>
      <c r="G1963" t="s">
        <v>7117</v>
      </c>
      <c r="H1963">
        <v>6238428616</v>
      </c>
      <c r="K1963" t="s">
        <v>7118</v>
      </c>
      <c r="L1963" t="s">
        <v>1721</v>
      </c>
      <c r="M1963" t="s">
        <v>1634</v>
      </c>
    </row>
    <row r="1964" spans="1:13" x14ac:dyDescent="0.25">
      <c r="A1964">
        <v>6030</v>
      </c>
      <c r="B1964" t="s">
        <v>7119</v>
      </c>
      <c r="C1964" t="s">
        <v>7120</v>
      </c>
      <c r="D1964" t="s">
        <v>1643</v>
      </c>
      <c r="E1964" t="s">
        <v>1273</v>
      </c>
      <c r="F1964" t="s">
        <v>2122</v>
      </c>
      <c r="G1964" t="s">
        <v>7121</v>
      </c>
      <c r="H1964">
        <v>6238423889</v>
      </c>
      <c r="I1964">
        <v>5005</v>
      </c>
      <c r="J1964">
        <v>6238477151</v>
      </c>
      <c r="K1964" t="s">
        <v>7122</v>
      </c>
      <c r="L1964" t="s">
        <v>1647</v>
      </c>
      <c r="M1964" t="s">
        <v>1634</v>
      </c>
    </row>
    <row r="1965" spans="1:13" x14ac:dyDescent="0.25">
      <c r="A1965">
        <v>5385</v>
      </c>
      <c r="B1965" t="s">
        <v>7123</v>
      </c>
      <c r="C1965" t="s">
        <v>7124</v>
      </c>
      <c r="D1965" t="s">
        <v>1643</v>
      </c>
      <c r="E1965" t="s">
        <v>1273</v>
      </c>
      <c r="F1965" t="s">
        <v>2307</v>
      </c>
      <c r="G1965" t="s">
        <v>7125</v>
      </c>
      <c r="K1965" t="s">
        <v>7126</v>
      </c>
      <c r="L1965" t="s">
        <v>1647</v>
      </c>
      <c r="M1965" t="s">
        <v>1634</v>
      </c>
    </row>
    <row r="1966" spans="1:13" x14ac:dyDescent="0.25">
      <c r="A1966">
        <v>5386</v>
      </c>
      <c r="B1966" t="s">
        <v>1395</v>
      </c>
      <c r="C1966" t="s">
        <v>7127</v>
      </c>
      <c r="D1966" t="s">
        <v>1643</v>
      </c>
      <c r="E1966" t="s">
        <v>1273</v>
      </c>
      <c r="F1966" t="s">
        <v>3253</v>
      </c>
      <c r="G1966" t="s">
        <v>7128</v>
      </c>
      <c r="H1966">
        <v>6028410704</v>
      </c>
      <c r="K1966" t="s">
        <v>7129</v>
      </c>
      <c r="L1966" t="s">
        <v>1647</v>
      </c>
      <c r="M1966" t="s">
        <v>1634</v>
      </c>
    </row>
    <row r="1967" spans="1:13" x14ac:dyDescent="0.25">
      <c r="A1967">
        <v>5386</v>
      </c>
      <c r="B1967" t="s">
        <v>1395</v>
      </c>
      <c r="C1967" t="s">
        <v>7127</v>
      </c>
      <c r="D1967" t="s">
        <v>1643</v>
      </c>
      <c r="E1967" t="s">
        <v>1273</v>
      </c>
      <c r="F1967" t="s">
        <v>7130</v>
      </c>
      <c r="G1967" t="s">
        <v>7131</v>
      </c>
      <c r="L1967" t="s">
        <v>1647</v>
      </c>
      <c r="M1967" t="s">
        <v>1634</v>
      </c>
    </row>
    <row r="1968" spans="1:13" x14ac:dyDescent="0.25">
      <c r="A1968">
        <v>5387</v>
      </c>
      <c r="B1968" t="s">
        <v>7132</v>
      </c>
      <c r="C1968" t="s">
        <v>7133</v>
      </c>
      <c r="D1968" t="s">
        <v>1643</v>
      </c>
      <c r="E1968" t="s">
        <v>1273</v>
      </c>
      <c r="F1968" t="s">
        <v>2328</v>
      </c>
      <c r="G1968" t="s">
        <v>1877</v>
      </c>
      <c r="H1968">
        <v>6025890110</v>
      </c>
      <c r="K1968" t="s">
        <v>7134</v>
      </c>
      <c r="L1968" t="s">
        <v>1721</v>
      </c>
      <c r="M1968" t="s">
        <v>1634</v>
      </c>
    </row>
    <row r="1969" spans="1:13" x14ac:dyDescent="0.25">
      <c r="A1969">
        <v>5388</v>
      </c>
      <c r="B1969" t="s">
        <v>7135</v>
      </c>
      <c r="C1969" t="s">
        <v>7136</v>
      </c>
      <c r="D1969" t="s">
        <v>1643</v>
      </c>
      <c r="E1969" t="s">
        <v>1273</v>
      </c>
      <c r="F1969" t="s">
        <v>1661</v>
      </c>
      <c r="G1969" t="s">
        <v>7137</v>
      </c>
      <c r="H1969">
        <v>6028411627</v>
      </c>
      <c r="I1969">
        <v>4405</v>
      </c>
      <c r="J1969">
        <v>6029738438</v>
      </c>
      <c r="K1969" t="s">
        <v>7138</v>
      </c>
      <c r="L1969" t="s">
        <v>1647</v>
      </c>
      <c r="M1969" t="s">
        <v>1634</v>
      </c>
    </row>
    <row r="1970" spans="1:13" x14ac:dyDescent="0.25">
      <c r="A1970">
        <v>5390</v>
      </c>
      <c r="B1970" t="s">
        <v>7139</v>
      </c>
      <c r="C1970" t="s">
        <v>7140</v>
      </c>
      <c r="D1970" t="s">
        <v>1643</v>
      </c>
      <c r="E1970" t="s">
        <v>1273</v>
      </c>
      <c r="F1970" t="s">
        <v>7098</v>
      </c>
      <c r="G1970" t="s">
        <v>7141</v>
      </c>
      <c r="H1970">
        <v>6022420281</v>
      </c>
      <c r="J1970">
        <v>6022422791</v>
      </c>
      <c r="K1970" t="s">
        <v>7142</v>
      </c>
      <c r="L1970" t="s">
        <v>1647</v>
      </c>
      <c r="M1970" t="s">
        <v>1634</v>
      </c>
    </row>
    <row r="1971" spans="1:13" x14ac:dyDescent="0.25">
      <c r="A1971">
        <v>5391</v>
      </c>
      <c r="B1971" t="s">
        <v>7143</v>
      </c>
      <c r="C1971" t="s">
        <v>7144</v>
      </c>
      <c r="D1971" t="s">
        <v>1643</v>
      </c>
      <c r="E1971" t="s">
        <v>1273</v>
      </c>
      <c r="F1971" t="s">
        <v>2085</v>
      </c>
      <c r="G1971" t="s">
        <v>7145</v>
      </c>
      <c r="K1971" t="s">
        <v>7146</v>
      </c>
      <c r="L1971" t="s">
        <v>1647</v>
      </c>
      <c r="M1971" t="s">
        <v>1634</v>
      </c>
    </row>
    <row r="1972" spans="1:13" x14ac:dyDescent="0.25">
      <c r="A1972">
        <v>5392</v>
      </c>
      <c r="B1972" t="s">
        <v>607</v>
      </c>
      <c r="C1972" t="s">
        <v>7147</v>
      </c>
      <c r="D1972" t="s">
        <v>1643</v>
      </c>
      <c r="E1972" t="s">
        <v>1273</v>
      </c>
      <c r="F1972" t="s">
        <v>1935</v>
      </c>
      <c r="G1972" t="s">
        <v>7148</v>
      </c>
      <c r="H1972">
        <v>6022422442</v>
      </c>
      <c r="J1972">
        <v>6022422514</v>
      </c>
      <c r="K1972" t="s">
        <v>7149</v>
      </c>
      <c r="L1972" t="s">
        <v>5382</v>
      </c>
      <c r="M1972" t="s">
        <v>1634</v>
      </c>
    </row>
    <row r="1973" spans="1:13" x14ac:dyDescent="0.25">
      <c r="A1973">
        <v>79203</v>
      </c>
      <c r="B1973" t="s">
        <v>7150</v>
      </c>
      <c r="C1973" t="s">
        <v>7151</v>
      </c>
      <c r="D1973" t="s">
        <v>1643</v>
      </c>
      <c r="E1973" t="s">
        <v>1273</v>
      </c>
      <c r="F1973" t="s">
        <v>7152</v>
      </c>
      <c r="G1973" t="s">
        <v>7153</v>
      </c>
      <c r="H1973">
        <v>6023470232</v>
      </c>
      <c r="K1973" t="s">
        <v>7154</v>
      </c>
      <c r="L1973" t="s">
        <v>1721</v>
      </c>
      <c r="M1973" t="s">
        <v>1634</v>
      </c>
    </row>
    <row r="1974" spans="1:13" x14ac:dyDescent="0.25">
      <c r="A1974">
        <v>1000041</v>
      </c>
      <c r="B1974" t="s">
        <v>867</v>
      </c>
      <c r="C1974" t="s">
        <v>7155</v>
      </c>
      <c r="D1974" t="s">
        <v>1643</v>
      </c>
      <c r="E1974" t="s">
        <v>1273</v>
      </c>
    </row>
    <row r="1975" spans="1:13" x14ac:dyDescent="0.25">
      <c r="A1975">
        <v>1000042</v>
      </c>
      <c r="B1975" t="s">
        <v>1421</v>
      </c>
      <c r="C1975" t="s">
        <v>7156</v>
      </c>
      <c r="D1975" t="s">
        <v>1643</v>
      </c>
      <c r="E1975" t="s">
        <v>1273</v>
      </c>
    </row>
    <row r="1976" spans="1:13" x14ac:dyDescent="0.25">
      <c r="A1976">
        <v>1000259</v>
      </c>
      <c r="B1976" t="s">
        <v>7157</v>
      </c>
      <c r="C1976" t="s">
        <v>7158</v>
      </c>
      <c r="D1976" t="s">
        <v>1643</v>
      </c>
      <c r="E1976" t="s">
        <v>1273</v>
      </c>
    </row>
    <row r="1977" spans="1:13" x14ac:dyDescent="0.25">
      <c r="A1977">
        <v>1001088</v>
      </c>
      <c r="B1977" t="s">
        <v>7159</v>
      </c>
      <c r="C1977" t="s">
        <v>7160</v>
      </c>
      <c r="D1977" t="s">
        <v>1643</v>
      </c>
      <c r="E1977" t="s">
        <v>1273</v>
      </c>
    </row>
    <row r="1978" spans="1:13" x14ac:dyDescent="0.25">
      <c r="A1978">
        <v>1001167</v>
      </c>
      <c r="B1978" t="s">
        <v>7161</v>
      </c>
      <c r="C1978" t="s">
        <v>7162</v>
      </c>
      <c r="D1978" t="s">
        <v>1643</v>
      </c>
      <c r="E1978" t="s">
        <v>1273</v>
      </c>
    </row>
    <row r="1979" spans="1:13" x14ac:dyDescent="0.25">
      <c r="A1979">
        <v>4281</v>
      </c>
      <c r="B1979" t="s">
        <v>7163</v>
      </c>
      <c r="C1979" t="s">
        <v>7164</v>
      </c>
      <c r="D1979" t="s">
        <v>1628</v>
      </c>
      <c r="E1979" t="s">
        <v>1273</v>
      </c>
      <c r="F1979" t="s">
        <v>2229</v>
      </c>
      <c r="G1979" t="s">
        <v>7165</v>
      </c>
      <c r="J1979">
        <v>6239351448</v>
      </c>
      <c r="K1979" t="s">
        <v>7166</v>
      </c>
      <c r="L1979" t="s">
        <v>1640</v>
      </c>
      <c r="M1979" t="s">
        <v>1634</v>
      </c>
    </row>
    <row r="1980" spans="1:13" x14ac:dyDescent="0.25">
      <c r="A1980">
        <v>4281</v>
      </c>
      <c r="B1980" t="s">
        <v>7163</v>
      </c>
      <c r="C1980" t="s">
        <v>7164</v>
      </c>
      <c r="D1980" t="s">
        <v>1628</v>
      </c>
      <c r="E1980" t="s">
        <v>1273</v>
      </c>
      <c r="F1980" t="s">
        <v>4405</v>
      </c>
      <c r="G1980" t="s">
        <v>7167</v>
      </c>
      <c r="H1980">
        <v>6235356079</v>
      </c>
      <c r="K1980" t="s">
        <v>7168</v>
      </c>
      <c r="L1980" t="s">
        <v>1668</v>
      </c>
      <c r="M1980" t="s">
        <v>1634</v>
      </c>
    </row>
    <row r="1981" spans="1:13" x14ac:dyDescent="0.25">
      <c r="A1981">
        <v>4281</v>
      </c>
      <c r="B1981" t="s">
        <v>7163</v>
      </c>
      <c r="C1981" t="s">
        <v>7164</v>
      </c>
      <c r="D1981" t="s">
        <v>1628</v>
      </c>
      <c r="E1981" t="s">
        <v>1273</v>
      </c>
      <c r="F1981" t="s">
        <v>4804</v>
      </c>
      <c r="G1981" t="s">
        <v>7169</v>
      </c>
      <c r="H1981">
        <v>6235356000</v>
      </c>
      <c r="K1981" t="s">
        <v>7170</v>
      </c>
      <c r="L1981" t="s">
        <v>7171</v>
      </c>
      <c r="M1981" t="s">
        <v>1634</v>
      </c>
    </row>
    <row r="1982" spans="1:13" x14ac:dyDescent="0.25">
      <c r="A1982">
        <v>4281</v>
      </c>
      <c r="B1982" t="s">
        <v>7163</v>
      </c>
      <c r="C1982" t="s">
        <v>7164</v>
      </c>
      <c r="D1982" t="s">
        <v>1628</v>
      </c>
      <c r="E1982" t="s">
        <v>1273</v>
      </c>
      <c r="F1982" t="s">
        <v>2229</v>
      </c>
      <c r="G1982" t="s">
        <v>7165</v>
      </c>
      <c r="J1982">
        <v>6239351448</v>
      </c>
      <c r="K1982" t="s">
        <v>7166</v>
      </c>
      <c r="L1982" t="s">
        <v>1640</v>
      </c>
      <c r="M1982" t="s">
        <v>1640</v>
      </c>
    </row>
    <row r="1983" spans="1:13" x14ac:dyDescent="0.25">
      <c r="A1983">
        <v>4281</v>
      </c>
      <c r="B1983" t="s">
        <v>7163</v>
      </c>
      <c r="C1983" t="s">
        <v>7164</v>
      </c>
      <c r="D1983" t="s">
        <v>1628</v>
      </c>
      <c r="E1983" t="s">
        <v>1273</v>
      </c>
      <c r="F1983" t="s">
        <v>1750</v>
      </c>
      <c r="G1983" t="s">
        <v>7172</v>
      </c>
      <c r="H1983" t="s">
        <v>7173</v>
      </c>
      <c r="K1983" t="s">
        <v>7174</v>
      </c>
      <c r="L1983" t="s">
        <v>7175</v>
      </c>
      <c r="M1983" t="s">
        <v>1765</v>
      </c>
    </row>
    <row r="1984" spans="1:13" x14ac:dyDescent="0.25">
      <c r="A1984">
        <v>5393</v>
      </c>
      <c r="B1984" t="s">
        <v>7176</v>
      </c>
      <c r="C1984" t="s">
        <v>7177</v>
      </c>
      <c r="D1984" t="s">
        <v>1643</v>
      </c>
      <c r="E1984" t="s">
        <v>1273</v>
      </c>
      <c r="F1984" t="s">
        <v>7178</v>
      </c>
      <c r="G1984" t="s">
        <v>7179</v>
      </c>
      <c r="L1984" t="s">
        <v>1647</v>
      </c>
      <c r="M1984" t="s">
        <v>1634</v>
      </c>
    </row>
    <row r="1985" spans="1:13" x14ac:dyDescent="0.25">
      <c r="A1985">
        <v>5394</v>
      </c>
      <c r="B1985" t="s">
        <v>7180</v>
      </c>
      <c r="C1985" t="s">
        <v>7181</v>
      </c>
      <c r="D1985" t="s">
        <v>1643</v>
      </c>
      <c r="E1985" t="s">
        <v>1273</v>
      </c>
      <c r="F1985" t="s">
        <v>7182</v>
      </c>
      <c r="G1985" t="s">
        <v>7183</v>
      </c>
      <c r="K1985" t="s">
        <v>7184</v>
      </c>
      <c r="L1985" t="s">
        <v>1647</v>
      </c>
      <c r="M1985" t="s">
        <v>1634</v>
      </c>
    </row>
    <row r="1986" spans="1:13" x14ac:dyDescent="0.25">
      <c r="A1986">
        <v>5395</v>
      </c>
      <c r="B1986" t="s">
        <v>7185</v>
      </c>
      <c r="C1986" t="s">
        <v>7186</v>
      </c>
      <c r="D1986" t="s">
        <v>1643</v>
      </c>
      <c r="E1986" t="s">
        <v>1273</v>
      </c>
      <c r="F1986" t="s">
        <v>4814</v>
      </c>
      <c r="G1986" t="s">
        <v>7187</v>
      </c>
      <c r="H1986">
        <v>6235356300</v>
      </c>
      <c r="K1986" t="s">
        <v>7188</v>
      </c>
      <c r="L1986" t="s">
        <v>1647</v>
      </c>
      <c r="M1986" t="s">
        <v>1634</v>
      </c>
    </row>
    <row r="1987" spans="1:13" x14ac:dyDescent="0.25">
      <c r="A1987">
        <v>5396</v>
      </c>
      <c r="B1987" t="s">
        <v>7189</v>
      </c>
      <c r="C1987" t="s">
        <v>7190</v>
      </c>
      <c r="D1987" t="s">
        <v>1643</v>
      </c>
      <c r="E1987" t="s">
        <v>1273</v>
      </c>
      <c r="F1987" t="s">
        <v>1779</v>
      </c>
      <c r="G1987" t="s">
        <v>4478</v>
      </c>
      <c r="H1987">
        <v>6235356400</v>
      </c>
      <c r="L1987" t="s">
        <v>1721</v>
      </c>
      <c r="M1987" t="s">
        <v>1634</v>
      </c>
    </row>
    <row r="1988" spans="1:13" x14ac:dyDescent="0.25">
      <c r="A1988">
        <v>78925</v>
      </c>
      <c r="B1988" t="s">
        <v>7191</v>
      </c>
      <c r="C1988" t="s">
        <v>7192</v>
      </c>
      <c r="D1988" t="s">
        <v>1643</v>
      </c>
      <c r="E1988" t="s">
        <v>1273</v>
      </c>
      <c r="F1988" t="s">
        <v>3100</v>
      </c>
      <c r="G1988" t="s">
        <v>7193</v>
      </c>
      <c r="K1988" t="s">
        <v>7194</v>
      </c>
      <c r="L1988" t="s">
        <v>1647</v>
      </c>
      <c r="M1988" t="s">
        <v>1634</v>
      </c>
    </row>
    <row r="1989" spans="1:13" x14ac:dyDescent="0.25">
      <c r="A1989">
        <v>79220</v>
      </c>
      <c r="B1989" t="s">
        <v>7195</v>
      </c>
      <c r="C1989" t="s">
        <v>7196</v>
      </c>
      <c r="D1989" t="s">
        <v>1643</v>
      </c>
      <c r="E1989" t="s">
        <v>1273</v>
      </c>
      <c r="F1989" t="s">
        <v>2854</v>
      </c>
      <c r="G1989" t="s">
        <v>7197</v>
      </c>
      <c r="K1989" t="s">
        <v>7198</v>
      </c>
      <c r="L1989" t="s">
        <v>3528</v>
      </c>
      <c r="M1989" t="s">
        <v>1634</v>
      </c>
    </row>
    <row r="1990" spans="1:13" x14ac:dyDescent="0.25">
      <c r="A1990">
        <v>79221</v>
      </c>
      <c r="B1990" t="s">
        <v>7199</v>
      </c>
      <c r="C1990" t="s">
        <v>7200</v>
      </c>
      <c r="D1990" t="s">
        <v>1643</v>
      </c>
      <c r="E1990" t="s">
        <v>1273</v>
      </c>
      <c r="F1990" t="s">
        <v>1779</v>
      </c>
      <c r="G1990" t="s">
        <v>7201</v>
      </c>
      <c r="K1990" t="s">
        <v>7202</v>
      </c>
      <c r="M1990" t="s">
        <v>1634</v>
      </c>
    </row>
    <row r="1991" spans="1:13" x14ac:dyDescent="0.25">
      <c r="A1991">
        <v>80054</v>
      </c>
      <c r="B1991" t="s">
        <v>7203</v>
      </c>
      <c r="C1991" t="s">
        <v>7204</v>
      </c>
      <c r="D1991" t="s">
        <v>1643</v>
      </c>
      <c r="E1991" t="s">
        <v>1273</v>
      </c>
      <c r="F1991" t="s">
        <v>3087</v>
      </c>
      <c r="G1991" t="s">
        <v>7205</v>
      </c>
      <c r="H1991">
        <v>6235471000</v>
      </c>
      <c r="K1991" t="s">
        <v>7206</v>
      </c>
      <c r="L1991" t="s">
        <v>1647</v>
      </c>
      <c r="M1991" t="s">
        <v>1634</v>
      </c>
    </row>
    <row r="1992" spans="1:13" x14ac:dyDescent="0.25">
      <c r="A1992">
        <v>85843</v>
      </c>
      <c r="B1992" t="s">
        <v>7207</v>
      </c>
      <c r="C1992" t="s">
        <v>7208</v>
      </c>
      <c r="D1992" t="s">
        <v>1643</v>
      </c>
      <c r="E1992" t="s">
        <v>1273</v>
      </c>
      <c r="F1992" t="s">
        <v>4804</v>
      </c>
      <c r="G1992" t="s">
        <v>5601</v>
      </c>
      <c r="H1992">
        <v>6235471200</v>
      </c>
      <c r="K1992" t="s">
        <v>7209</v>
      </c>
      <c r="L1992" t="s">
        <v>1647</v>
      </c>
      <c r="M1992" t="s">
        <v>1634</v>
      </c>
    </row>
    <row r="1993" spans="1:13" x14ac:dyDescent="0.25">
      <c r="A1993">
        <v>85844</v>
      </c>
      <c r="B1993" t="s">
        <v>7210</v>
      </c>
      <c r="C1993" t="s">
        <v>7211</v>
      </c>
      <c r="D1993" t="s">
        <v>1643</v>
      </c>
      <c r="E1993" t="s">
        <v>1273</v>
      </c>
      <c r="F1993" t="s">
        <v>2085</v>
      </c>
      <c r="G1993" t="s">
        <v>2927</v>
      </c>
      <c r="H1993">
        <v>6235471300</v>
      </c>
      <c r="L1993" t="s">
        <v>1721</v>
      </c>
      <c r="M1993" t="s">
        <v>1634</v>
      </c>
    </row>
    <row r="1994" spans="1:13" x14ac:dyDescent="0.25">
      <c r="A1994">
        <v>87522</v>
      </c>
      <c r="B1994" t="s">
        <v>7212</v>
      </c>
      <c r="C1994" t="s">
        <v>7213</v>
      </c>
      <c r="D1994" t="s">
        <v>1643</v>
      </c>
      <c r="E1994" t="s">
        <v>1273</v>
      </c>
      <c r="F1994" t="s">
        <v>6014</v>
      </c>
      <c r="G1994" t="s">
        <v>7081</v>
      </c>
      <c r="H1994">
        <v>6235471400</v>
      </c>
      <c r="K1994" t="s">
        <v>7214</v>
      </c>
      <c r="L1994" t="s">
        <v>1647</v>
      </c>
      <c r="M1994" t="s">
        <v>1634</v>
      </c>
    </row>
    <row r="1995" spans="1:13" x14ac:dyDescent="0.25">
      <c r="A1995">
        <v>90385</v>
      </c>
      <c r="B1995" t="s">
        <v>7215</v>
      </c>
      <c r="C1995" t="s">
        <v>7216</v>
      </c>
      <c r="D1995" t="s">
        <v>1643</v>
      </c>
      <c r="E1995" t="s">
        <v>1273</v>
      </c>
      <c r="F1995" t="s">
        <v>4149</v>
      </c>
      <c r="G1995" t="s">
        <v>7217</v>
      </c>
      <c r="K1995" t="s">
        <v>7218</v>
      </c>
      <c r="L1995" t="s">
        <v>1647</v>
      </c>
      <c r="M1995" t="s">
        <v>1634</v>
      </c>
    </row>
    <row r="1996" spans="1:13" x14ac:dyDescent="0.25">
      <c r="A1996">
        <v>89586</v>
      </c>
      <c r="B1996" t="s">
        <v>7219</v>
      </c>
      <c r="C1996" t="s">
        <v>7220</v>
      </c>
      <c r="D1996" t="s">
        <v>1643</v>
      </c>
      <c r="E1996" t="s">
        <v>1273</v>
      </c>
      <c r="F1996" t="s">
        <v>4999</v>
      </c>
      <c r="G1996" t="s">
        <v>7221</v>
      </c>
      <c r="H1996">
        <v>6235471300</v>
      </c>
      <c r="L1996" t="s">
        <v>1647</v>
      </c>
      <c r="M1996" t="s">
        <v>1634</v>
      </c>
    </row>
    <row r="1997" spans="1:13" x14ac:dyDescent="0.25">
      <c r="A1997">
        <v>90550</v>
      </c>
      <c r="B1997" t="s">
        <v>7222</v>
      </c>
      <c r="C1997" t="s">
        <v>7223</v>
      </c>
      <c r="D1997" t="s">
        <v>1643</v>
      </c>
      <c r="E1997" t="s">
        <v>1273</v>
      </c>
      <c r="F1997" t="s">
        <v>7224</v>
      </c>
      <c r="G1997" t="s">
        <v>3113</v>
      </c>
      <c r="K1997" t="s">
        <v>7225</v>
      </c>
      <c r="L1997" t="s">
        <v>1647</v>
      </c>
      <c r="M1997" t="s">
        <v>1634</v>
      </c>
    </row>
    <row r="1998" spans="1:13" x14ac:dyDescent="0.25">
      <c r="A1998">
        <v>92878</v>
      </c>
      <c r="B1998" t="s">
        <v>7226</v>
      </c>
      <c r="C1998" t="s">
        <v>7227</v>
      </c>
      <c r="D1998" t="s">
        <v>1643</v>
      </c>
      <c r="E1998" t="s">
        <v>1273</v>
      </c>
      <c r="F1998" t="s">
        <v>7228</v>
      </c>
      <c r="G1998" t="s">
        <v>7229</v>
      </c>
      <c r="K1998" t="s">
        <v>7230</v>
      </c>
      <c r="L1998" t="s">
        <v>1647</v>
      </c>
      <c r="M1998" t="s">
        <v>1634</v>
      </c>
    </row>
    <row r="1999" spans="1:13" x14ac:dyDescent="0.25">
      <c r="A1999">
        <v>1000251</v>
      </c>
      <c r="B1999" t="s">
        <v>7231</v>
      </c>
      <c r="C1999" t="s">
        <v>7232</v>
      </c>
      <c r="D1999" t="s">
        <v>1643</v>
      </c>
      <c r="E1999" t="s">
        <v>1273</v>
      </c>
      <c r="F1999" t="s">
        <v>1644</v>
      </c>
      <c r="G1999" t="s">
        <v>5211</v>
      </c>
      <c r="H1999">
        <v>6235473400</v>
      </c>
      <c r="K1999" t="s">
        <v>7233</v>
      </c>
      <c r="L1999" t="s">
        <v>1647</v>
      </c>
      <c r="M1999" t="s">
        <v>1634</v>
      </c>
    </row>
    <row r="2000" spans="1:13" x14ac:dyDescent="0.25">
      <c r="A2000">
        <v>4282</v>
      </c>
      <c r="B2000" t="s">
        <v>334</v>
      </c>
      <c r="C2000" t="s">
        <v>7234</v>
      </c>
      <c r="D2000" t="s">
        <v>1628</v>
      </c>
      <c r="E2000" t="s">
        <v>1273</v>
      </c>
      <c r="F2000" t="s">
        <v>4167</v>
      </c>
      <c r="G2000" t="s">
        <v>7235</v>
      </c>
      <c r="H2000">
        <v>6236914025</v>
      </c>
      <c r="K2000" t="s">
        <v>7236</v>
      </c>
      <c r="L2000" t="s">
        <v>7237</v>
      </c>
      <c r="M2000" t="s">
        <v>1634</v>
      </c>
    </row>
    <row r="2001" spans="1:13" x14ac:dyDescent="0.25">
      <c r="A2001">
        <v>4282</v>
      </c>
      <c r="B2001" t="s">
        <v>334</v>
      </c>
      <c r="C2001" t="s">
        <v>7234</v>
      </c>
      <c r="D2001" t="s">
        <v>1628</v>
      </c>
      <c r="E2001" t="s">
        <v>1273</v>
      </c>
      <c r="F2001" t="s">
        <v>2053</v>
      </c>
      <c r="G2001" t="s">
        <v>2807</v>
      </c>
      <c r="H2001">
        <v>6236915916</v>
      </c>
      <c r="K2001" t="s">
        <v>7238</v>
      </c>
      <c r="M2001" t="s">
        <v>1634</v>
      </c>
    </row>
    <row r="2002" spans="1:13" x14ac:dyDescent="0.25">
      <c r="A2002">
        <v>4282</v>
      </c>
      <c r="B2002" t="s">
        <v>334</v>
      </c>
      <c r="C2002" t="s">
        <v>7234</v>
      </c>
      <c r="D2002" t="s">
        <v>1628</v>
      </c>
      <c r="E2002" t="s">
        <v>1273</v>
      </c>
      <c r="F2002" t="s">
        <v>2355</v>
      </c>
      <c r="G2002" t="s">
        <v>7239</v>
      </c>
      <c r="H2002">
        <v>6265985982</v>
      </c>
      <c r="K2002" t="s">
        <v>7240</v>
      </c>
      <c r="L2002" t="s">
        <v>1746</v>
      </c>
      <c r="M2002" t="s">
        <v>1634</v>
      </c>
    </row>
    <row r="2003" spans="1:13" x14ac:dyDescent="0.25">
      <c r="A2003">
        <v>4282</v>
      </c>
      <c r="B2003" t="s">
        <v>334</v>
      </c>
      <c r="C2003" t="s">
        <v>7234</v>
      </c>
      <c r="D2003" t="s">
        <v>1628</v>
      </c>
      <c r="E2003" t="s">
        <v>1273</v>
      </c>
      <c r="F2003" t="s">
        <v>7241</v>
      </c>
      <c r="G2003" t="s">
        <v>7242</v>
      </c>
      <c r="H2003">
        <v>6236914002</v>
      </c>
      <c r="K2003" t="s">
        <v>7243</v>
      </c>
      <c r="L2003" t="s">
        <v>1668</v>
      </c>
      <c r="M2003" t="s">
        <v>1634</v>
      </c>
    </row>
    <row r="2004" spans="1:13" x14ac:dyDescent="0.25">
      <c r="A2004">
        <v>4282</v>
      </c>
      <c r="B2004" t="s">
        <v>334</v>
      </c>
      <c r="C2004" t="s">
        <v>7234</v>
      </c>
      <c r="D2004" t="s">
        <v>1628</v>
      </c>
      <c r="E2004" t="s">
        <v>1273</v>
      </c>
      <c r="F2004" t="s">
        <v>7224</v>
      </c>
      <c r="G2004" t="s">
        <v>7244</v>
      </c>
      <c r="H2004">
        <v>6236914093</v>
      </c>
      <c r="K2004" t="s">
        <v>7245</v>
      </c>
      <c r="L2004" t="s">
        <v>7246</v>
      </c>
      <c r="M2004" t="s">
        <v>1634</v>
      </c>
    </row>
    <row r="2005" spans="1:13" x14ac:dyDescent="0.25">
      <c r="A2005">
        <v>4282</v>
      </c>
      <c r="B2005" t="s">
        <v>334</v>
      </c>
      <c r="C2005" t="s">
        <v>7234</v>
      </c>
      <c r="D2005" t="s">
        <v>1628</v>
      </c>
      <c r="E2005" t="s">
        <v>1273</v>
      </c>
      <c r="F2005" t="s">
        <v>4804</v>
      </c>
      <c r="G2005" t="s">
        <v>3182</v>
      </c>
      <c r="H2005">
        <v>6236914095</v>
      </c>
      <c r="K2005" t="s">
        <v>7247</v>
      </c>
      <c r="L2005" t="s">
        <v>1764</v>
      </c>
      <c r="M2005" t="s">
        <v>1634</v>
      </c>
    </row>
    <row r="2006" spans="1:13" x14ac:dyDescent="0.25">
      <c r="A2006">
        <v>4282</v>
      </c>
      <c r="B2006" t="s">
        <v>334</v>
      </c>
      <c r="C2006" t="s">
        <v>7234</v>
      </c>
      <c r="D2006" t="s">
        <v>1628</v>
      </c>
      <c r="E2006" t="s">
        <v>1273</v>
      </c>
      <c r="F2006" t="s">
        <v>4660</v>
      </c>
      <c r="G2006" t="s">
        <v>2588</v>
      </c>
      <c r="H2006">
        <v>6236915914</v>
      </c>
      <c r="K2006" t="s">
        <v>7248</v>
      </c>
      <c r="M2006" t="s">
        <v>1634</v>
      </c>
    </row>
    <row r="2007" spans="1:13" x14ac:dyDescent="0.25">
      <c r="A2007">
        <v>4282</v>
      </c>
      <c r="B2007" t="s">
        <v>334</v>
      </c>
      <c r="C2007" t="s">
        <v>7234</v>
      </c>
      <c r="D2007" t="s">
        <v>1628</v>
      </c>
      <c r="E2007" t="s">
        <v>1273</v>
      </c>
      <c r="F2007" t="s">
        <v>7249</v>
      </c>
      <c r="G2007" t="s">
        <v>7250</v>
      </c>
      <c r="H2007">
        <v>6236914021</v>
      </c>
      <c r="K2007" t="s">
        <v>7251</v>
      </c>
      <c r="M2007" t="s">
        <v>1634</v>
      </c>
    </row>
    <row r="2008" spans="1:13" x14ac:dyDescent="0.25">
      <c r="A2008">
        <v>4282</v>
      </c>
      <c r="B2008" t="s">
        <v>334</v>
      </c>
      <c r="C2008" t="s">
        <v>7234</v>
      </c>
      <c r="D2008" t="s">
        <v>1628</v>
      </c>
      <c r="E2008" t="s">
        <v>1273</v>
      </c>
      <c r="F2008" t="s">
        <v>7252</v>
      </c>
      <c r="G2008" t="s">
        <v>7253</v>
      </c>
      <c r="H2008">
        <v>6236914081</v>
      </c>
      <c r="K2008" t="s">
        <v>7254</v>
      </c>
      <c r="L2008" t="s">
        <v>7255</v>
      </c>
      <c r="M2008" t="s">
        <v>1640</v>
      </c>
    </row>
    <row r="2009" spans="1:13" x14ac:dyDescent="0.25">
      <c r="A2009">
        <v>4282</v>
      </c>
      <c r="B2009" t="s">
        <v>334</v>
      </c>
      <c r="C2009" t="s">
        <v>7234</v>
      </c>
      <c r="D2009" t="s">
        <v>1628</v>
      </c>
      <c r="E2009" t="s">
        <v>1273</v>
      </c>
      <c r="F2009" t="s">
        <v>4660</v>
      </c>
      <c r="G2009" t="s">
        <v>2588</v>
      </c>
      <c r="H2009">
        <v>6236915914</v>
      </c>
      <c r="K2009" t="s">
        <v>7248</v>
      </c>
      <c r="M2009" t="s">
        <v>1640</v>
      </c>
    </row>
    <row r="2010" spans="1:13" x14ac:dyDescent="0.25">
      <c r="A2010">
        <v>5398</v>
      </c>
      <c r="B2010" t="s">
        <v>7256</v>
      </c>
      <c r="C2010" t="s">
        <v>7257</v>
      </c>
      <c r="D2010" t="s">
        <v>1643</v>
      </c>
      <c r="E2010" t="s">
        <v>1273</v>
      </c>
    </row>
    <row r="2011" spans="1:13" x14ac:dyDescent="0.25">
      <c r="A2011">
        <v>5399</v>
      </c>
      <c r="B2011" t="s">
        <v>7258</v>
      </c>
      <c r="C2011" t="s">
        <v>7259</v>
      </c>
      <c r="D2011" t="s">
        <v>1643</v>
      </c>
      <c r="E2011" t="s">
        <v>1273</v>
      </c>
      <c r="F2011" t="s">
        <v>7260</v>
      </c>
      <c r="G2011" t="s">
        <v>3674</v>
      </c>
      <c r="H2011">
        <v>6236914200</v>
      </c>
      <c r="K2011" t="s">
        <v>7261</v>
      </c>
      <c r="L2011" t="s">
        <v>7262</v>
      </c>
      <c r="M2011" t="s">
        <v>1640</v>
      </c>
    </row>
    <row r="2012" spans="1:13" x14ac:dyDescent="0.25">
      <c r="A2012">
        <v>5400</v>
      </c>
      <c r="B2012" t="s">
        <v>7263</v>
      </c>
      <c r="C2012" t="s">
        <v>7264</v>
      </c>
      <c r="D2012" t="s">
        <v>1643</v>
      </c>
      <c r="E2012" t="s">
        <v>1273</v>
      </c>
      <c r="F2012" t="s">
        <v>7265</v>
      </c>
      <c r="G2012" t="s">
        <v>7266</v>
      </c>
      <c r="H2012">
        <v>6236914311</v>
      </c>
      <c r="K2012" t="s">
        <v>7267</v>
      </c>
      <c r="L2012" t="s">
        <v>1647</v>
      </c>
      <c r="M2012" t="s">
        <v>1640</v>
      </c>
    </row>
    <row r="2013" spans="1:13" x14ac:dyDescent="0.25">
      <c r="A2013">
        <v>5401</v>
      </c>
      <c r="B2013" t="s">
        <v>7268</v>
      </c>
      <c r="C2013" t="s">
        <v>7269</v>
      </c>
      <c r="D2013" t="s">
        <v>1643</v>
      </c>
      <c r="E2013" t="s">
        <v>1273</v>
      </c>
      <c r="F2013" t="s">
        <v>2066</v>
      </c>
      <c r="G2013" t="s">
        <v>7270</v>
      </c>
      <c r="K2013" t="s">
        <v>7271</v>
      </c>
      <c r="L2013" t="s">
        <v>1647</v>
      </c>
      <c r="M2013" t="s">
        <v>1634</v>
      </c>
    </row>
    <row r="2014" spans="1:13" x14ac:dyDescent="0.25">
      <c r="A2014">
        <v>5402</v>
      </c>
      <c r="B2014" t="s">
        <v>7272</v>
      </c>
      <c r="C2014" t="s">
        <v>7273</v>
      </c>
      <c r="D2014" t="s">
        <v>1643</v>
      </c>
      <c r="E2014" t="s">
        <v>1273</v>
      </c>
    </row>
    <row r="2015" spans="1:13" x14ac:dyDescent="0.25">
      <c r="A2015">
        <v>5403</v>
      </c>
      <c r="B2015" t="s">
        <v>6171</v>
      </c>
      <c r="C2015" t="s">
        <v>7274</v>
      </c>
      <c r="D2015" t="s">
        <v>1643</v>
      </c>
      <c r="E2015" t="s">
        <v>1273</v>
      </c>
    </row>
    <row r="2016" spans="1:13" x14ac:dyDescent="0.25">
      <c r="A2016">
        <v>5404</v>
      </c>
      <c r="B2016" t="s">
        <v>7275</v>
      </c>
      <c r="C2016" t="s">
        <v>7276</v>
      </c>
      <c r="D2016" t="s">
        <v>1643</v>
      </c>
      <c r="E2016" t="s">
        <v>1273</v>
      </c>
      <c r="F2016" t="s">
        <v>7277</v>
      </c>
      <c r="G2016" t="s">
        <v>7278</v>
      </c>
      <c r="H2016">
        <v>6236914710</v>
      </c>
      <c r="K2016" t="s">
        <v>7279</v>
      </c>
      <c r="M2016" t="s">
        <v>1634</v>
      </c>
    </row>
    <row r="2017" spans="1:13" x14ac:dyDescent="0.25">
      <c r="A2017">
        <v>5404</v>
      </c>
      <c r="B2017" t="s">
        <v>7275</v>
      </c>
      <c r="C2017" t="s">
        <v>7276</v>
      </c>
      <c r="D2017" t="s">
        <v>1643</v>
      </c>
      <c r="E2017" t="s">
        <v>1273</v>
      </c>
      <c r="F2017" t="s">
        <v>1761</v>
      </c>
      <c r="G2017" t="s">
        <v>7280</v>
      </c>
      <c r="H2017">
        <v>6239614700</v>
      </c>
      <c r="K2017" t="s">
        <v>7281</v>
      </c>
      <c r="L2017" t="s">
        <v>1738</v>
      </c>
      <c r="M2017" t="s">
        <v>1634</v>
      </c>
    </row>
    <row r="2018" spans="1:13" x14ac:dyDescent="0.25">
      <c r="A2018">
        <v>5405</v>
      </c>
      <c r="B2018" t="s">
        <v>7282</v>
      </c>
      <c r="C2018" t="s">
        <v>7283</v>
      </c>
      <c r="D2018" t="s">
        <v>1643</v>
      </c>
      <c r="E2018" t="s">
        <v>1273</v>
      </c>
    </row>
    <row r="2019" spans="1:13" x14ac:dyDescent="0.25">
      <c r="A2019">
        <v>5406</v>
      </c>
      <c r="B2019" t="s">
        <v>7284</v>
      </c>
      <c r="C2019" t="s">
        <v>7285</v>
      </c>
      <c r="D2019" t="s">
        <v>1643</v>
      </c>
      <c r="E2019" t="s">
        <v>1273</v>
      </c>
      <c r="F2019" t="s">
        <v>4227</v>
      </c>
      <c r="G2019" t="s">
        <v>2666</v>
      </c>
      <c r="H2019">
        <v>6236914900</v>
      </c>
      <c r="J2019">
        <v>6236914920</v>
      </c>
      <c r="K2019" t="s">
        <v>7286</v>
      </c>
      <c r="L2019" t="s">
        <v>7287</v>
      </c>
      <c r="M2019" t="s">
        <v>1640</v>
      </c>
    </row>
    <row r="2020" spans="1:13" x14ac:dyDescent="0.25">
      <c r="A2020">
        <v>5407</v>
      </c>
      <c r="B2020" t="s">
        <v>7288</v>
      </c>
      <c r="C2020" t="s">
        <v>7289</v>
      </c>
      <c r="D2020" t="s">
        <v>1643</v>
      </c>
      <c r="E2020" t="s">
        <v>1273</v>
      </c>
      <c r="F2020" t="s">
        <v>3218</v>
      </c>
      <c r="G2020" t="s">
        <v>4809</v>
      </c>
      <c r="H2020">
        <v>6236915011</v>
      </c>
      <c r="J2020">
        <v>6236915020</v>
      </c>
      <c r="K2020" t="s">
        <v>7290</v>
      </c>
      <c r="L2020" t="s">
        <v>1738</v>
      </c>
      <c r="M2020" t="s">
        <v>1634</v>
      </c>
    </row>
    <row r="2021" spans="1:13" x14ac:dyDescent="0.25">
      <c r="A2021">
        <v>5407</v>
      </c>
      <c r="B2021" t="s">
        <v>7288</v>
      </c>
      <c r="C2021" t="s">
        <v>7289</v>
      </c>
      <c r="D2021" t="s">
        <v>1643</v>
      </c>
      <c r="E2021" t="s">
        <v>1273</v>
      </c>
      <c r="F2021" t="s">
        <v>3648</v>
      </c>
      <c r="G2021" t="s">
        <v>6057</v>
      </c>
      <c r="H2021">
        <v>6236915000</v>
      </c>
      <c r="J2021">
        <v>6236915020</v>
      </c>
      <c r="K2021" t="s">
        <v>7291</v>
      </c>
      <c r="L2021" t="s">
        <v>1738</v>
      </c>
      <c r="M2021" t="s">
        <v>1640</v>
      </c>
    </row>
    <row r="2022" spans="1:13" x14ac:dyDescent="0.25">
      <c r="A2022">
        <v>5409</v>
      </c>
      <c r="B2022" t="s">
        <v>7292</v>
      </c>
      <c r="C2022" t="s">
        <v>7293</v>
      </c>
      <c r="D2022" t="s">
        <v>1643</v>
      </c>
      <c r="E2022" t="s">
        <v>1273</v>
      </c>
      <c r="F2022" t="s">
        <v>5596</v>
      </c>
      <c r="G2022" t="s">
        <v>4792</v>
      </c>
      <c r="H2022">
        <v>6236915200</v>
      </c>
      <c r="J2022">
        <v>6236915220</v>
      </c>
      <c r="K2022" t="s">
        <v>7294</v>
      </c>
      <c r="L2022" t="s">
        <v>1647</v>
      </c>
      <c r="M2022" t="s">
        <v>1634</v>
      </c>
    </row>
    <row r="2023" spans="1:13" x14ac:dyDescent="0.25">
      <c r="A2023">
        <v>5409</v>
      </c>
      <c r="B2023" t="s">
        <v>7292</v>
      </c>
      <c r="C2023" t="s">
        <v>7293</v>
      </c>
      <c r="D2023" t="s">
        <v>1643</v>
      </c>
      <c r="E2023" t="s">
        <v>1273</v>
      </c>
      <c r="F2023" t="s">
        <v>2401</v>
      </c>
      <c r="G2023" t="s">
        <v>4068</v>
      </c>
      <c r="H2023">
        <v>6236915200</v>
      </c>
      <c r="J2023">
        <v>6236915220</v>
      </c>
      <c r="K2023" t="s">
        <v>7295</v>
      </c>
      <c r="L2023" t="s">
        <v>1738</v>
      </c>
      <c r="M2023" t="s">
        <v>1640</v>
      </c>
    </row>
    <row r="2024" spans="1:13" x14ac:dyDescent="0.25">
      <c r="A2024">
        <v>5411</v>
      </c>
      <c r="B2024" t="s">
        <v>7296</v>
      </c>
      <c r="C2024" t="s">
        <v>7297</v>
      </c>
      <c r="D2024" t="s">
        <v>1643</v>
      </c>
      <c r="E2024" t="s">
        <v>1273</v>
      </c>
      <c r="F2024" t="s">
        <v>2756</v>
      </c>
      <c r="G2024" t="s">
        <v>2705</v>
      </c>
      <c r="H2024">
        <v>6236915410</v>
      </c>
      <c r="K2024" t="s">
        <v>7298</v>
      </c>
      <c r="L2024" t="s">
        <v>1647</v>
      </c>
      <c r="M2024" t="s">
        <v>1634</v>
      </c>
    </row>
    <row r="2025" spans="1:13" x14ac:dyDescent="0.25">
      <c r="A2025">
        <v>5411</v>
      </c>
      <c r="B2025" t="s">
        <v>7296</v>
      </c>
      <c r="C2025" t="s">
        <v>7297</v>
      </c>
      <c r="D2025" t="s">
        <v>1643</v>
      </c>
      <c r="E2025" t="s">
        <v>1273</v>
      </c>
      <c r="F2025" t="s">
        <v>1997</v>
      </c>
      <c r="G2025" t="s">
        <v>7299</v>
      </c>
      <c r="H2025">
        <v>6236915400</v>
      </c>
      <c r="J2025">
        <v>6236915420</v>
      </c>
      <c r="K2025" t="s">
        <v>7300</v>
      </c>
      <c r="L2025" t="s">
        <v>1738</v>
      </c>
      <c r="M2025" t="s">
        <v>1640</v>
      </c>
    </row>
    <row r="2026" spans="1:13" x14ac:dyDescent="0.25">
      <c r="A2026">
        <v>5412</v>
      </c>
      <c r="B2026" t="s">
        <v>7301</v>
      </c>
      <c r="C2026" t="s">
        <v>7302</v>
      </c>
      <c r="D2026" t="s">
        <v>1643</v>
      </c>
      <c r="E2026" t="s">
        <v>1273</v>
      </c>
      <c r="F2026" t="s">
        <v>2192</v>
      </c>
      <c r="G2026" t="s">
        <v>7303</v>
      </c>
      <c r="H2026">
        <v>6236915500</v>
      </c>
      <c r="J2026">
        <v>6236915520</v>
      </c>
      <c r="K2026" t="s">
        <v>7304</v>
      </c>
      <c r="L2026" t="s">
        <v>1647</v>
      </c>
      <c r="M2026" t="s">
        <v>1634</v>
      </c>
    </row>
    <row r="2027" spans="1:13" x14ac:dyDescent="0.25">
      <c r="A2027">
        <v>5412</v>
      </c>
      <c r="B2027" t="s">
        <v>7301</v>
      </c>
      <c r="C2027" t="s">
        <v>7302</v>
      </c>
      <c r="D2027" t="s">
        <v>1643</v>
      </c>
      <c r="E2027" t="s">
        <v>1273</v>
      </c>
      <c r="F2027" t="s">
        <v>4443</v>
      </c>
      <c r="G2027" t="s">
        <v>6628</v>
      </c>
      <c r="H2027">
        <v>6236915500</v>
      </c>
      <c r="K2027" t="s">
        <v>7305</v>
      </c>
      <c r="M2027" t="s">
        <v>1634</v>
      </c>
    </row>
    <row r="2028" spans="1:13" x14ac:dyDescent="0.25">
      <c r="A2028">
        <v>5412</v>
      </c>
      <c r="B2028" t="s">
        <v>7301</v>
      </c>
      <c r="C2028" t="s">
        <v>7302</v>
      </c>
      <c r="D2028" t="s">
        <v>1643</v>
      </c>
      <c r="E2028" t="s">
        <v>1273</v>
      </c>
      <c r="F2028" t="s">
        <v>2876</v>
      </c>
      <c r="G2028" t="s">
        <v>3336</v>
      </c>
      <c r="H2028">
        <v>6236915500</v>
      </c>
      <c r="K2028" t="s">
        <v>7306</v>
      </c>
      <c r="L2028" t="s">
        <v>3951</v>
      </c>
      <c r="M2028" t="s">
        <v>1634</v>
      </c>
    </row>
    <row r="2029" spans="1:13" x14ac:dyDescent="0.25">
      <c r="A2029">
        <v>5413</v>
      </c>
      <c r="B2029" t="s">
        <v>7307</v>
      </c>
      <c r="C2029" t="s">
        <v>7308</v>
      </c>
      <c r="D2029" t="s">
        <v>1643</v>
      </c>
      <c r="E2029" t="s">
        <v>1273</v>
      </c>
      <c r="F2029" t="s">
        <v>7309</v>
      </c>
      <c r="G2029" t="s">
        <v>7310</v>
      </c>
      <c r="H2029">
        <v>6236915600</v>
      </c>
      <c r="J2029">
        <v>6236915620</v>
      </c>
      <c r="K2029" t="s">
        <v>7311</v>
      </c>
      <c r="L2029" t="s">
        <v>1647</v>
      </c>
      <c r="M2029" t="s">
        <v>1634</v>
      </c>
    </row>
    <row r="2030" spans="1:13" x14ac:dyDescent="0.25">
      <c r="A2030">
        <v>5414</v>
      </c>
      <c r="B2030" t="s">
        <v>7312</v>
      </c>
      <c r="C2030" t="s">
        <v>7313</v>
      </c>
      <c r="D2030" t="s">
        <v>1643</v>
      </c>
      <c r="E2030" t="s">
        <v>1273</v>
      </c>
      <c r="F2030" t="s">
        <v>3758</v>
      </c>
      <c r="G2030" t="s">
        <v>7314</v>
      </c>
      <c r="H2030">
        <v>6236915700</v>
      </c>
      <c r="J2030">
        <v>6236915720</v>
      </c>
      <c r="K2030" t="s">
        <v>7315</v>
      </c>
      <c r="M2030" t="s">
        <v>1634</v>
      </c>
    </row>
    <row r="2031" spans="1:13" x14ac:dyDescent="0.25">
      <c r="A2031">
        <v>5415</v>
      </c>
      <c r="B2031" t="s">
        <v>7316</v>
      </c>
      <c r="C2031" t="s">
        <v>7317</v>
      </c>
      <c r="D2031" t="s">
        <v>1643</v>
      </c>
      <c r="E2031" t="s">
        <v>1273</v>
      </c>
      <c r="F2031" t="s">
        <v>7318</v>
      </c>
      <c r="G2031" t="s">
        <v>1645</v>
      </c>
      <c r="H2031">
        <v>6236915800</v>
      </c>
      <c r="K2031" t="s">
        <v>7319</v>
      </c>
      <c r="L2031" t="s">
        <v>1647</v>
      </c>
      <c r="M2031" t="s">
        <v>1634</v>
      </c>
    </row>
    <row r="2032" spans="1:13" x14ac:dyDescent="0.25">
      <c r="A2032">
        <v>6032</v>
      </c>
      <c r="B2032" t="s">
        <v>7320</v>
      </c>
      <c r="C2032" t="s">
        <v>7321</v>
      </c>
      <c r="D2032" t="s">
        <v>1643</v>
      </c>
      <c r="E2032" t="s">
        <v>1273</v>
      </c>
      <c r="F2032" t="s">
        <v>4405</v>
      </c>
      <c r="G2032" t="s">
        <v>7322</v>
      </c>
      <c r="H2032">
        <v>6236911500</v>
      </c>
      <c r="J2032">
        <v>6236911520</v>
      </c>
      <c r="K2032" t="s">
        <v>7323</v>
      </c>
      <c r="M2032" t="s">
        <v>1634</v>
      </c>
    </row>
    <row r="2033" spans="1:13" x14ac:dyDescent="0.25">
      <c r="A2033">
        <v>6032</v>
      </c>
      <c r="B2033" t="s">
        <v>7320</v>
      </c>
      <c r="C2033" t="s">
        <v>7321</v>
      </c>
      <c r="D2033" t="s">
        <v>1643</v>
      </c>
      <c r="E2033" t="s">
        <v>1273</v>
      </c>
      <c r="F2033" t="s">
        <v>1661</v>
      </c>
      <c r="G2033" t="s">
        <v>3063</v>
      </c>
      <c r="K2033" t="s">
        <v>7324</v>
      </c>
      <c r="L2033" t="s">
        <v>1738</v>
      </c>
      <c r="M2033" t="s">
        <v>1634</v>
      </c>
    </row>
    <row r="2034" spans="1:13" x14ac:dyDescent="0.25">
      <c r="A2034">
        <v>6032</v>
      </c>
      <c r="B2034" t="s">
        <v>7320</v>
      </c>
      <c r="C2034" t="s">
        <v>7321</v>
      </c>
      <c r="D2034" t="s">
        <v>1643</v>
      </c>
      <c r="E2034" t="s">
        <v>1273</v>
      </c>
      <c r="F2034" t="s">
        <v>2997</v>
      </c>
      <c r="G2034" t="s">
        <v>7325</v>
      </c>
      <c r="H2034">
        <v>6236911500</v>
      </c>
      <c r="J2034">
        <v>6236911520</v>
      </c>
      <c r="K2034" t="s">
        <v>7326</v>
      </c>
      <c r="L2034" t="s">
        <v>1738</v>
      </c>
      <c r="M2034" t="s">
        <v>1640</v>
      </c>
    </row>
    <row r="2035" spans="1:13" x14ac:dyDescent="0.25">
      <c r="A2035">
        <v>78980</v>
      </c>
      <c r="B2035" t="s">
        <v>7327</v>
      </c>
      <c r="C2035" t="s">
        <v>7328</v>
      </c>
      <c r="D2035" t="s">
        <v>1643</v>
      </c>
      <c r="E2035" t="s">
        <v>1273</v>
      </c>
      <c r="F2035" t="s">
        <v>1690</v>
      </c>
      <c r="G2035" t="s">
        <v>6588</v>
      </c>
      <c r="H2035">
        <v>6236911710</v>
      </c>
      <c r="J2035">
        <v>6236911720</v>
      </c>
      <c r="K2035" t="s">
        <v>7329</v>
      </c>
      <c r="L2035" t="s">
        <v>7330</v>
      </c>
      <c r="M2035" t="s">
        <v>1634</v>
      </c>
    </row>
    <row r="2036" spans="1:13" x14ac:dyDescent="0.25">
      <c r="A2036">
        <v>78980</v>
      </c>
      <c r="B2036" t="s">
        <v>7327</v>
      </c>
      <c r="C2036" t="s">
        <v>7328</v>
      </c>
      <c r="D2036" t="s">
        <v>1643</v>
      </c>
      <c r="E2036" t="s">
        <v>1273</v>
      </c>
      <c r="F2036" t="s">
        <v>7331</v>
      </c>
      <c r="G2036" t="s">
        <v>5451</v>
      </c>
      <c r="K2036" t="s">
        <v>7332</v>
      </c>
      <c r="L2036" t="s">
        <v>7333</v>
      </c>
      <c r="M2036" t="s">
        <v>1634</v>
      </c>
    </row>
    <row r="2037" spans="1:13" x14ac:dyDescent="0.25">
      <c r="A2037">
        <v>79283</v>
      </c>
      <c r="B2037" t="s">
        <v>7334</v>
      </c>
      <c r="C2037" t="s">
        <v>7335</v>
      </c>
      <c r="D2037" t="s">
        <v>1643</v>
      </c>
      <c r="E2037" t="s">
        <v>1273</v>
      </c>
      <c r="F2037" t="s">
        <v>7336</v>
      </c>
      <c r="G2037" t="s">
        <v>7148</v>
      </c>
      <c r="H2037">
        <v>6236911900</v>
      </c>
      <c r="K2037" t="s">
        <v>7337</v>
      </c>
      <c r="L2037" t="s">
        <v>1721</v>
      </c>
      <c r="M2037" t="s">
        <v>1634</v>
      </c>
    </row>
    <row r="2038" spans="1:13" x14ac:dyDescent="0.25">
      <c r="A2038">
        <v>79283</v>
      </c>
      <c r="B2038" t="s">
        <v>7334</v>
      </c>
      <c r="C2038" t="s">
        <v>7335</v>
      </c>
      <c r="D2038" t="s">
        <v>1643</v>
      </c>
      <c r="E2038" t="s">
        <v>1273</v>
      </c>
      <c r="F2038" t="s">
        <v>7338</v>
      </c>
      <c r="G2038" t="s">
        <v>1901</v>
      </c>
      <c r="H2038">
        <v>6236911900</v>
      </c>
      <c r="K2038" t="s">
        <v>7339</v>
      </c>
      <c r="L2038" t="s">
        <v>1738</v>
      </c>
      <c r="M2038" t="s">
        <v>1640</v>
      </c>
    </row>
    <row r="2039" spans="1:13" x14ac:dyDescent="0.25">
      <c r="A2039">
        <v>81109</v>
      </c>
      <c r="B2039" t="s">
        <v>7340</v>
      </c>
      <c r="C2039" t="s">
        <v>7341</v>
      </c>
      <c r="D2039" t="s">
        <v>1643</v>
      </c>
      <c r="E2039" t="s">
        <v>1273</v>
      </c>
      <c r="F2039" t="s">
        <v>7342</v>
      </c>
      <c r="G2039" t="s">
        <v>5847</v>
      </c>
      <c r="K2039" t="s">
        <v>7343</v>
      </c>
      <c r="L2039" t="s">
        <v>1647</v>
      </c>
      <c r="M2039" t="s">
        <v>1634</v>
      </c>
    </row>
    <row r="2040" spans="1:13" x14ac:dyDescent="0.25">
      <c r="A2040">
        <v>81109</v>
      </c>
      <c r="B2040" t="s">
        <v>7340</v>
      </c>
      <c r="C2040" t="s">
        <v>7341</v>
      </c>
      <c r="D2040" t="s">
        <v>1643</v>
      </c>
      <c r="E2040" t="s">
        <v>1273</v>
      </c>
      <c r="F2040" t="s">
        <v>7344</v>
      </c>
      <c r="G2040" t="s">
        <v>7345</v>
      </c>
      <c r="K2040" t="s">
        <v>7346</v>
      </c>
      <c r="L2040" t="s">
        <v>1738</v>
      </c>
      <c r="M2040" t="s">
        <v>1640</v>
      </c>
    </row>
    <row r="2041" spans="1:13" x14ac:dyDescent="0.25">
      <c r="A2041">
        <v>89955</v>
      </c>
      <c r="B2041" t="s">
        <v>7347</v>
      </c>
      <c r="C2041" t="s">
        <v>7348</v>
      </c>
      <c r="D2041" t="s">
        <v>1643</v>
      </c>
      <c r="E2041" t="s">
        <v>1273</v>
      </c>
      <c r="F2041" t="s">
        <v>7349</v>
      </c>
      <c r="G2041" t="s">
        <v>7322</v>
      </c>
      <c r="H2041">
        <v>6236915300</v>
      </c>
      <c r="K2041" t="s">
        <v>7350</v>
      </c>
      <c r="L2041" t="s">
        <v>7351</v>
      </c>
      <c r="M2041" t="s">
        <v>1640</v>
      </c>
    </row>
    <row r="2042" spans="1:13" x14ac:dyDescent="0.25">
      <c r="A2042">
        <v>4283</v>
      </c>
      <c r="B2042" t="s">
        <v>1443</v>
      </c>
      <c r="C2042" t="s">
        <v>7352</v>
      </c>
      <c r="D2042" t="s">
        <v>1628</v>
      </c>
      <c r="E2042" t="s">
        <v>1273</v>
      </c>
      <c r="F2042" t="s">
        <v>3428</v>
      </c>
      <c r="G2042" t="s">
        <v>4598</v>
      </c>
      <c r="H2042">
        <v>6237722290</v>
      </c>
      <c r="I2042">
        <v>2294</v>
      </c>
      <c r="K2042" t="s">
        <v>7353</v>
      </c>
      <c r="L2042" t="s">
        <v>7354</v>
      </c>
      <c r="M2042" t="s">
        <v>1634</v>
      </c>
    </row>
    <row r="2043" spans="1:13" x14ac:dyDescent="0.25">
      <c r="A2043">
        <v>4283</v>
      </c>
      <c r="B2043" t="s">
        <v>1443</v>
      </c>
      <c r="C2043" t="s">
        <v>7352</v>
      </c>
      <c r="D2043" t="s">
        <v>1628</v>
      </c>
      <c r="E2043" t="s">
        <v>1273</v>
      </c>
      <c r="F2043" t="s">
        <v>2814</v>
      </c>
      <c r="G2043" t="s">
        <v>7355</v>
      </c>
      <c r="H2043">
        <v>6237722217</v>
      </c>
      <c r="K2043" t="s">
        <v>7356</v>
      </c>
      <c r="L2043" t="s">
        <v>5779</v>
      </c>
      <c r="M2043" t="s">
        <v>1634</v>
      </c>
    </row>
    <row r="2044" spans="1:13" x14ac:dyDescent="0.25">
      <c r="A2044">
        <v>4283</v>
      </c>
      <c r="B2044" t="s">
        <v>1443</v>
      </c>
      <c r="C2044" t="s">
        <v>7352</v>
      </c>
      <c r="D2044" t="s">
        <v>1628</v>
      </c>
      <c r="E2044" t="s">
        <v>1273</v>
      </c>
      <c r="F2044" t="s">
        <v>7357</v>
      </c>
      <c r="G2044" t="s">
        <v>7358</v>
      </c>
      <c r="H2044">
        <v>6237722220</v>
      </c>
      <c r="K2044" t="s">
        <v>7359</v>
      </c>
      <c r="L2044" t="s">
        <v>2368</v>
      </c>
      <c r="M2044" t="s">
        <v>1640</v>
      </c>
    </row>
    <row r="2045" spans="1:13" x14ac:dyDescent="0.25">
      <c r="A2045">
        <v>4283</v>
      </c>
      <c r="B2045" t="s">
        <v>1443</v>
      </c>
      <c r="C2045" t="s">
        <v>7352</v>
      </c>
      <c r="D2045" t="s">
        <v>1628</v>
      </c>
      <c r="E2045" t="s">
        <v>1273</v>
      </c>
      <c r="F2045" t="s">
        <v>3428</v>
      </c>
      <c r="G2045" t="s">
        <v>4598</v>
      </c>
      <c r="H2045">
        <v>6237722290</v>
      </c>
      <c r="I2045">
        <v>2294</v>
      </c>
      <c r="K2045" t="s">
        <v>7353</v>
      </c>
      <c r="L2045" t="s">
        <v>7354</v>
      </c>
      <c r="M2045" t="s">
        <v>1640</v>
      </c>
    </row>
    <row r="2046" spans="1:13" x14ac:dyDescent="0.25">
      <c r="A2046">
        <v>5417</v>
      </c>
      <c r="B2046" t="s">
        <v>7360</v>
      </c>
      <c r="C2046" t="s">
        <v>7361</v>
      </c>
      <c r="D2046" t="s">
        <v>1643</v>
      </c>
      <c r="E2046" t="s">
        <v>1273</v>
      </c>
      <c r="F2046" t="s">
        <v>1775</v>
      </c>
      <c r="G2046" t="s">
        <v>7362</v>
      </c>
      <c r="K2046" t="s">
        <v>7363</v>
      </c>
      <c r="L2046" t="s">
        <v>1647</v>
      </c>
      <c r="M2046" t="s">
        <v>1634</v>
      </c>
    </row>
    <row r="2047" spans="1:13" x14ac:dyDescent="0.25">
      <c r="A2047">
        <v>5418</v>
      </c>
      <c r="B2047" t="s">
        <v>1444</v>
      </c>
      <c r="C2047" t="s">
        <v>7364</v>
      </c>
      <c r="D2047" t="s">
        <v>1643</v>
      </c>
      <c r="E2047" t="s">
        <v>1273</v>
      </c>
      <c r="F2047" t="s">
        <v>2865</v>
      </c>
      <c r="G2047" t="s">
        <v>7365</v>
      </c>
      <c r="H2047">
        <v>6237722430</v>
      </c>
      <c r="J2047">
        <v>6238734691</v>
      </c>
      <c r="K2047" t="s">
        <v>7366</v>
      </c>
      <c r="L2047" t="s">
        <v>1647</v>
      </c>
      <c r="M2047" t="s">
        <v>1634</v>
      </c>
    </row>
    <row r="2048" spans="1:13" x14ac:dyDescent="0.25">
      <c r="A2048">
        <v>5418</v>
      </c>
      <c r="B2048" t="s">
        <v>1444</v>
      </c>
      <c r="C2048" t="s">
        <v>7364</v>
      </c>
      <c r="D2048" t="s">
        <v>1643</v>
      </c>
      <c r="E2048" t="s">
        <v>1273</v>
      </c>
      <c r="F2048" t="s">
        <v>7367</v>
      </c>
      <c r="G2048" t="s">
        <v>5354</v>
      </c>
      <c r="H2048">
        <v>6237722430</v>
      </c>
      <c r="K2048" t="s">
        <v>7368</v>
      </c>
      <c r="L2048" t="s">
        <v>1647</v>
      </c>
      <c r="M2048" t="s">
        <v>1634</v>
      </c>
    </row>
    <row r="2049" spans="1:13" x14ac:dyDescent="0.25">
      <c r="A2049">
        <v>5420</v>
      </c>
      <c r="B2049" t="s">
        <v>7369</v>
      </c>
      <c r="C2049" t="s">
        <v>7370</v>
      </c>
      <c r="D2049" t="s">
        <v>1643</v>
      </c>
      <c r="E2049" t="s">
        <v>1273</v>
      </c>
      <c r="F2049" t="s">
        <v>7371</v>
      </c>
      <c r="G2049" t="s">
        <v>7372</v>
      </c>
      <c r="H2049">
        <v>6237722490</v>
      </c>
      <c r="K2049" t="s">
        <v>7373</v>
      </c>
      <c r="L2049" t="s">
        <v>1721</v>
      </c>
      <c r="M2049" t="s">
        <v>1634</v>
      </c>
    </row>
    <row r="2050" spans="1:13" x14ac:dyDescent="0.25">
      <c r="A2050">
        <v>5420</v>
      </c>
      <c r="B2050" t="s">
        <v>7369</v>
      </c>
      <c r="C2050" t="s">
        <v>7370</v>
      </c>
      <c r="D2050" t="s">
        <v>1643</v>
      </c>
      <c r="E2050" t="s">
        <v>1273</v>
      </c>
      <c r="F2050" t="s">
        <v>7374</v>
      </c>
      <c r="G2050" t="s">
        <v>4730</v>
      </c>
      <c r="K2050" t="s">
        <v>7375</v>
      </c>
      <c r="L2050" t="s">
        <v>1647</v>
      </c>
      <c r="M2050" t="s">
        <v>1634</v>
      </c>
    </row>
    <row r="2051" spans="1:13" x14ac:dyDescent="0.25">
      <c r="A2051">
        <v>5421</v>
      </c>
      <c r="B2051" t="s">
        <v>7376</v>
      </c>
      <c r="C2051" t="s">
        <v>7377</v>
      </c>
      <c r="D2051" t="s">
        <v>1643</v>
      </c>
      <c r="E2051" t="s">
        <v>1273</v>
      </c>
      <c r="F2051" t="s">
        <v>2921</v>
      </c>
      <c r="G2051" t="s">
        <v>7378</v>
      </c>
      <c r="H2051">
        <v>6237722520</v>
      </c>
      <c r="J2051">
        <v>6238779545</v>
      </c>
      <c r="K2051" t="s">
        <v>7379</v>
      </c>
      <c r="L2051" t="s">
        <v>1647</v>
      </c>
      <c r="M2051" t="s">
        <v>1634</v>
      </c>
    </row>
    <row r="2052" spans="1:13" x14ac:dyDescent="0.25">
      <c r="A2052">
        <v>5421</v>
      </c>
      <c r="B2052" t="s">
        <v>7376</v>
      </c>
      <c r="C2052" t="s">
        <v>7377</v>
      </c>
      <c r="D2052" t="s">
        <v>1643</v>
      </c>
      <c r="E2052" t="s">
        <v>1273</v>
      </c>
      <c r="F2052" t="s">
        <v>4073</v>
      </c>
      <c r="G2052" t="s">
        <v>7380</v>
      </c>
      <c r="H2052">
        <v>6237722520</v>
      </c>
      <c r="K2052" t="s">
        <v>7381</v>
      </c>
      <c r="L2052" t="s">
        <v>1647</v>
      </c>
      <c r="M2052" t="s">
        <v>1634</v>
      </c>
    </row>
    <row r="2053" spans="1:13" x14ac:dyDescent="0.25">
      <c r="A2053">
        <v>5422</v>
      </c>
      <c r="B2053" t="s">
        <v>7382</v>
      </c>
      <c r="C2053" t="s">
        <v>7383</v>
      </c>
      <c r="D2053" t="s">
        <v>1643</v>
      </c>
      <c r="E2053" t="s">
        <v>1273</v>
      </c>
      <c r="F2053" t="s">
        <v>7384</v>
      </c>
      <c r="G2053" t="s">
        <v>7385</v>
      </c>
      <c r="H2053">
        <v>6237722570</v>
      </c>
      <c r="K2053" t="s">
        <v>7386</v>
      </c>
      <c r="L2053" t="s">
        <v>1647</v>
      </c>
      <c r="M2053" t="s">
        <v>1634</v>
      </c>
    </row>
    <row r="2054" spans="1:13" x14ac:dyDescent="0.25">
      <c r="A2054">
        <v>5423</v>
      </c>
      <c r="B2054" t="s">
        <v>7387</v>
      </c>
      <c r="C2054" t="s">
        <v>7388</v>
      </c>
      <c r="D2054" t="s">
        <v>1643</v>
      </c>
      <c r="E2054" t="s">
        <v>1273</v>
      </c>
      <c r="F2054" t="s">
        <v>7389</v>
      </c>
      <c r="G2054" t="s">
        <v>7390</v>
      </c>
      <c r="H2054">
        <v>6237722580</v>
      </c>
      <c r="K2054" t="s">
        <v>7391</v>
      </c>
      <c r="L2054" t="s">
        <v>1647</v>
      </c>
      <c r="M2054" t="s">
        <v>1634</v>
      </c>
    </row>
    <row r="2055" spans="1:13" x14ac:dyDescent="0.25">
      <c r="A2055">
        <v>79265</v>
      </c>
      <c r="B2055" t="s">
        <v>7392</v>
      </c>
      <c r="C2055" t="s">
        <v>7393</v>
      </c>
      <c r="D2055" t="s">
        <v>1643</v>
      </c>
      <c r="E2055" t="s">
        <v>1273</v>
      </c>
      <c r="F2055" t="s">
        <v>2046</v>
      </c>
      <c r="G2055" t="s">
        <v>7394</v>
      </c>
      <c r="H2055">
        <v>6237722610</v>
      </c>
      <c r="K2055" t="s">
        <v>7395</v>
      </c>
      <c r="L2055" t="s">
        <v>1647</v>
      </c>
      <c r="M2055" t="s">
        <v>1634</v>
      </c>
    </row>
    <row r="2056" spans="1:13" x14ac:dyDescent="0.25">
      <c r="A2056">
        <v>79265</v>
      </c>
      <c r="B2056" t="s">
        <v>7392</v>
      </c>
      <c r="C2056" t="s">
        <v>7393</v>
      </c>
      <c r="D2056" t="s">
        <v>1643</v>
      </c>
      <c r="E2056" t="s">
        <v>1273</v>
      </c>
      <c r="F2056" t="s">
        <v>1935</v>
      </c>
      <c r="G2056" t="s">
        <v>4504</v>
      </c>
      <c r="H2056">
        <v>6237722610</v>
      </c>
      <c r="K2056" t="s">
        <v>7396</v>
      </c>
      <c r="L2056" t="s">
        <v>1647</v>
      </c>
      <c r="M2056" t="s">
        <v>1634</v>
      </c>
    </row>
    <row r="2057" spans="1:13" x14ac:dyDescent="0.25">
      <c r="A2057">
        <v>79265</v>
      </c>
      <c r="B2057" t="s">
        <v>7392</v>
      </c>
      <c r="C2057" t="s">
        <v>7393</v>
      </c>
      <c r="D2057" t="s">
        <v>1643</v>
      </c>
      <c r="E2057" t="s">
        <v>1273</v>
      </c>
      <c r="F2057" t="s">
        <v>5697</v>
      </c>
      <c r="G2057" t="s">
        <v>6694</v>
      </c>
      <c r="H2057">
        <v>6237722610</v>
      </c>
      <c r="K2057" t="s">
        <v>7397</v>
      </c>
      <c r="L2057" t="s">
        <v>1738</v>
      </c>
      <c r="M2057" t="s">
        <v>1640</v>
      </c>
    </row>
    <row r="2058" spans="1:13" x14ac:dyDescent="0.25">
      <c r="A2058">
        <v>79642</v>
      </c>
      <c r="B2058" t="s">
        <v>4778</v>
      </c>
      <c r="C2058" t="s">
        <v>7398</v>
      </c>
      <c r="D2058" t="s">
        <v>1643</v>
      </c>
      <c r="E2058" t="s">
        <v>1273</v>
      </c>
      <c r="F2058" t="s">
        <v>6912</v>
      </c>
      <c r="G2058" t="s">
        <v>6913</v>
      </c>
      <c r="H2058">
        <v>6237722640</v>
      </c>
      <c r="J2058">
        <v>6237721005</v>
      </c>
      <c r="K2058" t="s">
        <v>7399</v>
      </c>
      <c r="M2058" t="s">
        <v>1634</v>
      </c>
    </row>
    <row r="2059" spans="1:13" x14ac:dyDescent="0.25">
      <c r="A2059">
        <v>79642</v>
      </c>
      <c r="B2059" t="s">
        <v>4778</v>
      </c>
      <c r="C2059" t="s">
        <v>7398</v>
      </c>
      <c r="D2059" t="s">
        <v>1643</v>
      </c>
      <c r="E2059" t="s">
        <v>1273</v>
      </c>
      <c r="F2059" t="s">
        <v>2876</v>
      </c>
      <c r="G2059" t="s">
        <v>3336</v>
      </c>
      <c r="H2059">
        <v>6237722640</v>
      </c>
      <c r="J2059">
        <v>6237721005</v>
      </c>
      <c r="K2059" t="s">
        <v>7400</v>
      </c>
      <c r="L2059" t="s">
        <v>1647</v>
      </c>
      <c r="M2059" t="s">
        <v>1634</v>
      </c>
    </row>
    <row r="2060" spans="1:13" x14ac:dyDescent="0.25">
      <c r="A2060">
        <v>79642</v>
      </c>
      <c r="B2060" t="s">
        <v>4778</v>
      </c>
      <c r="C2060" t="s">
        <v>7398</v>
      </c>
      <c r="D2060" t="s">
        <v>1643</v>
      </c>
      <c r="E2060" t="s">
        <v>1273</v>
      </c>
      <c r="F2060" t="s">
        <v>2745</v>
      </c>
      <c r="G2060" t="s">
        <v>3482</v>
      </c>
      <c r="H2060">
        <v>6237722640</v>
      </c>
      <c r="K2060" t="s">
        <v>7401</v>
      </c>
      <c r="L2060" t="s">
        <v>1647</v>
      </c>
      <c r="M2060" t="s">
        <v>1634</v>
      </c>
    </row>
    <row r="2061" spans="1:13" x14ac:dyDescent="0.25">
      <c r="A2061">
        <v>79800</v>
      </c>
      <c r="B2061" t="s">
        <v>1503</v>
      </c>
      <c r="C2061" t="s">
        <v>7402</v>
      </c>
      <c r="D2061" t="s">
        <v>1643</v>
      </c>
      <c r="E2061" t="s">
        <v>1273</v>
      </c>
      <c r="F2061" t="s">
        <v>7403</v>
      </c>
      <c r="G2061" t="s">
        <v>7404</v>
      </c>
      <c r="H2061">
        <v>6237722670</v>
      </c>
      <c r="K2061" t="s">
        <v>7405</v>
      </c>
      <c r="L2061" t="s">
        <v>1647</v>
      </c>
      <c r="M2061" t="s">
        <v>1634</v>
      </c>
    </row>
    <row r="2062" spans="1:13" x14ac:dyDescent="0.25">
      <c r="A2062">
        <v>80418</v>
      </c>
      <c r="B2062" t="s">
        <v>7406</v>
      </c>
      <c r="C2062" t="s">
        <v>7407</v>
      </c>
      <c r="D2062" t="s">
        <v>1643</v>
      </c>
      <c r="E2062" t="s">
        <v>1273</v>
      </c>
      <c r="F2062" t="s">
        <v>2253</v>
      </c>
      <c r="G2062" t="s">
        <v>5211</v>
      </c>
      <c r="K2062" t="s">
        <v>7408</v>
      </c>
      <c r="L2062" t="s">
        <v>1647</v>
      </c>
      <c r="M2062" t="s">
        <v>1634</v>
      </c>
    </row>
    <row r="2063" spans="1:13" x14ac:dyDescent="0.25">
      <c r="A2063">
        <v>80418</v>
      </c>
      <c r="B2063" t="s">
        <v>7406</v>
      </c>
      <c r="C2063" t="s">
        <v>7407</v>
      </c>
      <c r="D2063" t="s">
        <v>1643</v>
      </c>
      <c r="E2063" t="s">
        <v>1273</v>
      </c>
      <c r="F2063" t="s">
        <v>7409</v>
      </c>
      <c r="G2063" t="s">
        <v>7410</v>
      </c>
      <c r="H2063">
        <v>6237722730</v>
      </c>
      <c r="K2063" t="s">
        <v>7411</v>
      </c>
      <c r="L2063" t="s">
        <v>1728</v>
      </c>
      <c r="M2063" t="s">
        <v>1640</v>
      </c>
    </row>
    <row r="2064" spans="1:13" x14ac:dyDescent="0.25">
      <c r="A2064">
        <v>80417</v>
      </c>
      <c r="B2064" t="s">
        <v>7412</v>
      </c>
      <c r="C2064" t="s">
        <v>7413</v>
      </c>
      <c r="D2064" t="s">
        <v>1643</v>
      </c>
      <c r="E2064" t="s">
        <v>1273</v>
      </c>
      <c r="F2064" t="s">
        <v>7414</v>
      </c>
      <c r="G2064" t="s">
        <v>7415</v>
      </c>
      <c r="K2064" t="s">
        <v>7416</v>
      </c>
      <c r="L2064" t="s">
        <v>1647</v>
      </c>
      <c r="M2064" t="s">
        <v>1634</v>
      </c>
    </row>
    <row r="2065" spans="1:13" x14ac:dyDescent="0.25">
      <c r="A2065">
        <v>80417</v>
      </c>
      <c r="B2065" t="s">
        <v>7412</v>
      </c>
      <c r="C2065" t="s">
        <v>7413</v>
      </c>
      <c r="D2065" t="s">
        <v>1643</v>
      </c>
      <c r="E2065" t="s">
        <v>1273</v>
      </c>
      <c r="F2065" t="s">
        <v>7417</v>
      </c>
      <c r="G2065" t="s">
        <v>7418</v>
      </c>
      <c r="H2065">
        <v>6237722700</v>
      </c>
      <c r="K2065" t="s">
        <v>7419</v>
      </c>
      <c r="L2065" t="s">
        <v>1647</v>
      </c>
      <c r="M2065" t="s">
        <v>1634</v>
      </c>
    </row>
    <row r="2066" spans="1:13" x14ac:dyDescent="0.25">
      <c r="A2066">
        <v>80419</v>
      </c>
      <c r="B2066" t="s">
        <v>7420</v>
      </c>
      <c r="C2066" t="s">
        <v>7421</v>
      </c>
      <c r="D2066" t="s">
        <v>1643</v>
      </c>
      <c r="E2066" t="s">
        <v>1273</v>
      </c>
      <c r="F2066" t="s">
        <v>2348</v>
      </c>
      <c r="G2066" t="s">
        <v>4410</v>
      </c>
      <c r="H2066">
        <v>6237722900</v>
      </c>
      <c r="J2066">
        <v>6235942786</v>
      </c>
      <c r="K2066" t="s">
        <v>7422</v>
      </c>
      <c r="M2066" t="s">
        <v>1634</v>
      </c>
    </row>
    <row r="2067" spans="1:13" x14ac:dyDescent="0.25">
      <c r="A2067">
        <v>80419</v>
      </c>
      <c r="B2067" t="s">
        <v>7420</v>
      </c>
      <c r="C2067" t="s">
        <v>7421</v>
      </c>
      <c r="D2067" t="s">
        <v>1643</v>
      </c>
      <c r="E2067" t="s">
        <v>1273</v>
      </c>
      <c r="F2067" t="s">
        <v>3193</v>
      </c>
      <c r="G2067" t="s">
        <v>7423</v>
      </c>
      <c r="H2067">
        <v>6237722900</v>
      </c>
      <c r="K2067" t="s">
        <v>7424</v>
      </c>
      <c r="L2067" t="s">
        <v>1721</v>
      </c>
      <c r="M2067" t="s">
        <v>1634</v>
      </c>
    </row>
    <row r="2068" spans="1:13" x14ac:dyDescent="0.25">
      <c r="A2068">
        <v>80419</v>
      </c>
      <c r="B2068" t="s">
        <v>7420</v>
      </c>
      <c r="C2068" t="s">
        <v>7421</v>
      </c>
      <c r="D2068" t="s">
        <v>1643</v>
      </c>
      <c r="E2068" t="s">
        <v>1273</v>
      </c>
      <c r="F2068" t="s">
        <v>2204</v>
      </c>
      <c r="G2068" t="s">
        <v>6310</v>
      </c>
      <c r="H2068">
        <v>6237722900</v>
      </c>
      <c r="K2068" t="s">
        <v>7425</v>
      </c>
      <c r="L2068" t="s">
        <v>1738</v>
      </c>
      <c r="M2068" t="s">
        <v>1640</v>
      </c>
    </row>
    <row r="2069" spans="1:13" x14ac:dyDescent="0.25">
      <c r="A2069">
        <v>4284</v>
      </c>
      <c r="B2069" t="s">
        <v>7426</v>
      </c>
      <c r="C2069" t="s">
        <v>7427</v>
      </c>
      <c r="D2069" t="s">
        <v>1628</v>
      </c>
      <c r="E2069" t="s">
        <v>1273</v>
      </c>
      <c r="F2069" t="s">
        <v>3024</v>
      </c>
      <c r="G2069" t="s">
        <v>7428</v>
      </c>
      <c r="H2069">
        <v>6233869701</v>
      </c>
      <c r="K2069" t="s">
        <v>7429</v>
      </c>
      <c r="L2069" t="s">
        <v>1668</v>
      </c>
      <c r="M2069" t="s">
        <v>1634</v>
      </c>
    </row>
    <row r="2070" spans="1:13" x14ac:dyDescent="0.25">
      <c r="A2070">
        <v>4284</v>
      </c>
      <c r="B2070" t="s">
        <v>7426</v>
      </c>
      <c r="C2070" t="s">
        <v>7427</v>
      </c>
      <c r="D2070" t="s">
        <v>1628</v>
      </c>
      <c r="E2070" t="s">
        <v>1273</v>
      </c>
      <c r="F2070" t="s">
        <v>3673</v>
      </c>
      <c r="G2070" t="s">
        <v>7430</v>
      </c>
      <c r="H2070" t="s">
        <v>7431</v>
      </c>
      <c r="J2070">
        <v>6233869705</v>
      </c>
      <c r="K2070" t="s">
        <v>7432</v>
      </c>
      <c r="L2070" t="s">
        <v>7433</v>
      </c>
      <c r="M2070" t="s">
        <v>1640</v>
      </c>
    </row>
    <row r="2071" spans="1:13" x14ac:dyDescent="0.25">
      <c r="A2071">
        <v>4284</v>
      </c>
      <c r="B2071" t="s">
        <v>7426</v>
      </c>
      <c r="C2071" t="s">
        <v>7427</v>
      </c>
      <c r="D2071" t="s">
        <v>1628</v>
      </c>
      <c r="E2071" t="s">
        <v>1273</v>
      </c>
      <c r="F2071" t="s">
        <v>2046</v>
      </c>
      <c r="G2071" t="s">
        <v>4730</v>
      </c>
      <c r="J2071">
        <v>6233869705</v>
      </c>
      <c r="K2071" t="s">
        <v>7434</v>
      </c>
      <c r="L2071" t="s">
        <v>1640</v>
      </c>
      <c r="M2071" t="s">
        <v>1640</v>
      </c>
    </row>
    <row r="2072" spans="1:13" x14ac:dyDescent="0.25">
      <c r="A2072">
        <v>4284</v>
      </c>
      <c r="B2072" t="s">
        <v>7426</v>
      </c>
      <c r="C2072" t="s">
        <v>7427</v>
      </c>
      <c r="D2072" t="s">
        <v>1628</v>
      </c>
      <c r="E2072" t="s">
        <v>1273</v>
      </c>
      <c r="F2072" t="s">
        <v>1787</v>
      </c>
      <c r="G2072" t="s">
        <v>7435</v>
      </c>
      <c r="H2072">
        <v>6233869717</v>
      </c>
      <c r="K2072" t="s">
        <v>7436</v>
      </c>
      <c r="L2072" t="s">
        <v>7437</v>
      </c>
      <c r="M2072" t="s">
        <v>1765</v>
      </c>
    </row>
    <row r="2073" spans="1:13" x14ac:dyDescent="0.25">
      <c r="A2073">
        <v>5424</v>
      </c>
      <c r="B2073" t="s">
        <v>7438</v>
      </c>
      <c r="C2073" t="s">
        <v>7439</v>
      </c>
      <c r="D2073" t="s">
        <v>1643</v>
      </c>
      <c r="E2073" t="s">
        <v>1273</v>
      </c>
      <c r="F2073" t="s">
        <v>7440</v>
      </c>
      <c r="G2073" t="s">
        <v>7441</v>
      </c>
      <c r="K2073" t="s">
        <v>7442</v>
      </c>
      <c r="M2073" t="s">
        <v>1634</v>
      </c>
    </row>
    <row r="2074" spans="1:13" x14ac:dyDescent="0.25">
      <c r="A2074">
        <v>5424</v>
      </c>
      <c r="B2074" t="s">
        <v>7438</v>
      </c>
      <c r="C2074" t="s">
        <v>7439</v>
      </c>
      <c r="D2074" t="s">
        <v>1643</v>
      </c>
      <c r="E2074" t="s">
        <v>1273</v>
      </c>
      <c r="F2074" t="s">
        <v>2046</v>
      </c>
      <c r="G2074" t="s">
        <v>4730</v>
      </c>
      <c r="J2074">
        <v>6233869705</v>
      </c>
      <c r="K2074" t="s">
        <v>7434</v>
      </c>
      <c r="L2074" t="s">
        <v>7443</v>
      </c>
      <c r="M2074" t="s">
        <v>1634</v>
      </c>
    </row>
    <row r="2075" spans="1:13" x14ac:dyDescent="0.25">
      <c r="A2075">
        <v>79376</v>
      </c>
      <c r="B2075" t="s">
        <v>7444</v>
      </c>
      <c r="C2075" t="s">
        <v>7445</v>
      </c>
      <c r="D2075" t="s">
        <v>1643</v>
      </c>
      <c r="E2075" t="s">
        <v>1273</v>
      </c>
      <c r="F2075" t="s">
        <v>3024</v>
      </c>
      <c r="G2075" t="s">
        <v>7428</v>
      </c>
      <c r="H2075">
        <v>6233272403</v>
      </c>
      <c r="J2075">
        <v>6233272420</v>
      </c>
      <c r="K2075" t="s">
        <v>7446</v>
      </c>
      <c r="L2075" t="s">
        <v>2613</v>
      </c>
      <c r="M2075" t="s">
        <v>1634</v>
      </c>
    </row>
    <row r="2076" spans="1:13" x14ac:dyDescent="0.25">
      <c r="A2076">
        <v>79376</v>
      </c>
      <c r="B2076" t="s">
        <v>7444</v>
      </c>
      <c r="C2076" t="s">
        <v>7445</v>
      </c>
      <c r="D2076" t="s">
        <v>1643</v>
      </c>
      <c r="E2076" t="s">
        <v>1273</v>
      </c>
      <c r="F2076" t="s">
        <v>7224</v>
      </c>
      <c r="G2076" t="s">
        <v>7447</v>
      </c>
      <c r="K2076" t="s">
        <v>7448</v>
      </c>
      <c r="M2076" t="s">
        <v>1634</v>
      </c>
    </row>
    <row r="2077" spans="1:13" x14ac:dyDescent="0.25">
      <c r="A2077">
        <v>80665</v>
      </c>
      <c r="B2077" t="s">
        <v>7449</v>
      </c>
      <c r="C2077" t="s">
        <v>7450</v>
      </c>
      <c r="D2077" t="s">
        <v>1643</v>
      </c>
      <c r="E2077" t="s">
        <v>1273</v>
      </c>
      <c r="F2077" t="s">
        <v>7451</v>
      </c>
      <c r="G2077" t="s">
        <v>2506</v>
      </c>
      <c r="H2077">
        <v>6233861072</v>
      </c>
      <c r="J2077">
        <v>6233861340</v>
      </c>
      <c r="K2077" t="s">
        <v>7452</v>
      </c>
      <c r="M2077" t="s">
        <v>1634</v>
      </c>
    </row>
    <row r="2078" spans="1:13" x14ac:dyDescent="0.25">
      <c r="A2078">
        <v>89573</v>
      </c>
      <c r="B2078" t="s">
        <v>7453</v>
      </c>
      <c r="C2078" t="s">
        <v>7454</v>
      </c>
      <c r="D2078" t="s">
        <v>1643</v>
      </c>
      <c r="E2078" t="s">
        <v>1273</v>
      </c>
      <c r="F2078" t="s">
        <v>2328</v>
      </c>
      <c r="G2078" t="s">
        <v>7455</v>
      </c>
      <c r="H2078">
        <v>6234740100</v>
      </c>
      <c r="J2078">
        <v>6234740141</v>
      </c>
      <c r="K2078" t="s">
        <v>7456</v>
      </c>
      <c r="L2078" t="s">
        <v>1647</v>
      </c>
      <c r="M2078" t="s">
        <v>1634</v>
      </c>
    </row>
    <row r="2079" spans="1:13" x14ac:dyDescent="0.25">
      <c r="A2079">
        <v>91826</v>
      </c>
      <c r="B2079" t="s">
        <v>7457</v>
      </c>
      <c r="C2079" t="s">
        <v>7458</v>
      </c>
      <c r="D2079" t="s">
        <v>1643</v>
      </c>
      <c r="E2079" t="s">
        <v>1273</v>
      </c>
    </row>
    <row r="2080" spans="1:13" x14ac:dyDescent="0.25">
      <c r="A2080">
        <v>4285</v>
      </c>
      <c r="B2080" t="s">
        <v>936</v>
      </c>
      <c r="C2080" t="s">
        <v>7459</v>
      </c>
      <c r="D2080" t="s">
        <v>1628</v>
      </c>
      <c r="E2080" t="s">
        <v>1273</v>
      </c>
      <c r="F2080" t="s">
        <v>3193</v>
      </c>
      <c r="G2080" t="s">
        <v>7460</v>
      </c>
      <c r="H2080">
        <v>6234356060</v>
      </c>
      <c r="J2080">
        <v>6234356078</v>
      </c>
      <c r="K2080" t="s">
        <v>7461</v>
      </c>
      <c r="L2080" t="s">
        <v>1668</v>
      </c>
      <c r="M2080" t="s">
        <v>1634</v>
      </c>
    </row>
    <row r="2081" spans="1:13" x14ac:dyDescent="0.25">
      <c r="A2081">
        <v>4285</v>
      </c>
      <c r="B2081" t="s">
        <v>936</v>
      </c>
      <c r="C2081" t="s">
        <v>7459</v>
      </c>
      <c r="D2081" t="s">
        <v>1628</v>
      </c>
      <c r="E2081" t="s">
        <v>1273</v>
      </c>
      <c r="F2081" t="s">
        <v>4607</v>
      </c>
      <c r="G2081" t="s">
        <v>6559</v>
      </c>
      <c r="H2081">
        <v>6234356042</v>
      </c>
      <c r="K2081" t="s">
        <v>7462</v>
      </c>
      <c r="L2081" t="s">
        <v>1640</v>
      </c>
      <c r="M2081" t="s">
        <v>1640</v>
      </c>
    </row>
    <row r="2082" spans="1:13" x14ac:dyDescent="0.25">
      <c r="A2082">
        <v>4285</v>
      </c>
      <c r="B2082" t="s">
        <v>936</v>
      </c>
      <c r="C2082" t="s">
        <v>7459</v>
      </c>
      <c r="D2082" t="s">
        <v>1628</v>
      </c>
      <c r="E2082" t="s">
        <v>1273</v>
      </c>
      <c r="F2082" t="s">
        <v>7463</v>
      </c>
      <c r="G2082" t="s">
        <v>7464</v>
      </c>
      <c r="K2082" t="s">
        <v>7465</v>
      </c>
      <c r="M2082" t="s">
        <v>1640</v>
      </c>
    </row>
    <row r="2083" spans="1:13" x14ac:dyDescent="0.25">
      <c r="A2083">
        <v>4285</v>
      </c>
      <c r="B2083" t="s">
        <v>936</v>
      </c>
      <c r="C2083" t="s">
        <v>7459</v>
      </c>
      <c r="D2083" t="s">
        <v>1628</v>
      </c>
      <c r="E2083" t="s">
        <v>1273</v>
      </c>
      <c r="F2083" t="s">
        <v>2036</v>
      </c>
      <c r="G2083" t="s">
        <v>7466</v>
      </c>
      <c r="H2083">
        <v>6234356122</v>
      </c>
      <c r="J2083">
        <v>6234356157</v>
      </c>
      <c r="K2083" t="s">
        <v>7467</v>
      </c>
      <c r="L2083" t="s">
        <v>7468</v>
      </c>
      <c r="M2083" t="s">
        <v>1765</v>
      </c>
    </row>
    <row r="2084" spans="1:13" x14ac:dyDescent="0.25">
      <c r="A2084">
        <v>4285</v>
      </c>
      <c r="B2084" t="s">
        <v>936</v>
      </c>
      <c r="C2084" t="s">
        <v>7459</v>
      </c>
      <c r="D2084" t="s">
        <v>1628</v>
      </c>
      <c r="E2084" t="s">
        <v>1273</v>
      </c>
      <c r="F2084" t="s">
        <v>3345</v>
      </c>
      <c r="G2084" t="s">
        <v>7469</v>
      </c>
      <c r="H2084">
        <v>6234356000</v>
      </c>
      <c r="K2084" t="s">
        <v>7470</v>
      </c>
      <c r="L2084" t="s">
        <v>7471</v>
      </c>
      <c r="M2084" t="s">
        <v>1765</v>
      </c>
    </row>
    <row r="2085" spans="1:13" x14ac:dyDescent="0.25">
      <c r="A2085">
        <v>4285</v>
      </c>
      <c r="B2085" t="s">
        <v>936</v>
      </c>
      <c r="C2085" t="s">
        <v>7459</v>
      </c>
      <c r="D2085" t="s">
        <v>1628</v>
      </c>
      <c r="E2085" t="s">
        <v>1273</v>
      </c>
      <c r="F2085" t="s">
        <v>4478</v>
      </c>
      <c r="G2085" t="s">
        <v>7472</v>
      </c>
      <c r="H2085">
        <v>6234356050</v>
      </c>
      <c r="K2085" t="s">
        <v>7473</v>
      </c>
      <c r="L2085" t="s">
        <v>7471</v>
      </c>
      <c r="M2085" t="s">
        <v>1765</v>
      </c>
    </row>
    <row r="2086" spans="1:13" x14ac:dyDescent="0.25">
      <c r="A2086">
        <v>4285</v>
      </c>
      <c r="B2086" t="s">
        <v>936</v>
      </c>
      <c r="C2086" t="s">
        <v>7459</v>
      </c>
      <c r="D2086" t="s">
        <v>1628</v>
      </c>
      <c r="E2086" t="s">
        <v>1273</v>
      </c>
      <c r="F2086" t="s">
        <v>1761</v>
      </c>
      <c r="G2086" t="s">
        <v>7474</v>
      </c>
      <c r="K2086" t="s">
        <v>7475</v>
      </c>
      <c r="L2086" t="s">
        <v>7471</v>
      </c>
      <c r="M2086" t="s">
        <v>1765</v>
      </c>
    </row>
    <row r="2087" spans="1:13" x14ac:dyDescent="0.25">
      <c r="A2087">
        <v>1001348</v>
      </c>
      <c r="B2087" t="s">
        <v>7476</v>
      </c>
      <c r="C2087" t="s">
        <v>7477</v>
      </c>
      <c r="D2087" t="s">
        <v>1643</v>
      </c>
      <c r="E2087" t="s">
        <v>1273</v>
      </c>
    </row>
    <row r="2088" spans="1:13" x14ac:dyDescent="0.25">
      <c r="A2088">
        <v>5426</v>
      </c>
      <c r="B2088" t="s">
        <v>937</v>
      </c>
      <c r="C2088" t="s">
        <v>7478</v>
      </c>
      <c r="D2088" t="s">
        <v>1643</v>
      </c>
      <c r="E2088" t="s">
        <v>1273</v>
      </c>
      <c r="F2088" t="s">
        <v>1761</v>
      </c>
      <c r="G2088" t="s">
        <v>7479</v>
      </c>
      <c r="K2088" t="s">
        <v>7480</v>
      </c>
      <c r="L2088" t="s">
        <v>1647</v>
      </c>
      <c r="M2088" t="s">
        <v>1634</v>
      </c>
    </row>
    <row r="2089" spans="1:13" x14ac:dyDescent="0.25">
      <c r="A2089">
        <v>5427</v>
      </c>
      <c r="B2089" t="s">
        <v>7481</v>
      </c>
      <c r="C2089" t="s">
        <v>7482</v>
      </c>
      <c r="D2089" t="s">
        <v>1643</v>
      </c>
      <c r="E2089" t="s">
        <v>1273</v>
      </c>
      <c r="F2089" t="s">
        <v>2997</v>
      </c>
      <c r="G2089" t="s">
        <v>7483</v>
      </c>
      <c r="H2089">
        <v>6239158760</v>
      </c>
      <c r="K2089" t="s">
        <v>7484</v>
      </c>
      <c r="L2089" t="s">
        <v>1647</v>
      </c>
      <c r="M2089" t="s">
        <v>1634</v>
      </c>
    </row>
    <row r="2090" spans="1:13" x14ac:dyDescent="0.25">
      <c r="A2090">
        <v>5428</v>
      </c>
      <c r="B2090" t="s">
        <v>7485</v>
      </c>
      <c r="C2090" t="s">
        <v>7486</v>
      </c>
      <c r="D2090" t="s">
        <v>1643</v>
      </c>
      <c r="E2090" t="s">
        <v>1273</v>
      </c>
      <c r="F2090" t="s">
        <v>4814</v>
      </c>
      <c r="G2090" t="s">
        <v>7487</v>
      </c>
      <c r="H2090">
        <v>6239158428</v>
      </c>
      <c r="K2090" t="s">
        <v>7488</v>
      </c>
      <c r="L2090" t="s">
        <v>1721</v>
      </c>
      <c r="M2090" t="s">
        <v>1634</v>
      </c>
    </row>
    <row r="2091" spans="1:13" x14ac:dyDescent="0.25">
      <c r="A2091">
        <v>5429</v>
      </c>
      <c r="B2091" t="s">
        <v>7489</v>
      </c>
      <c r="C2091" t="s">
        <v>7490</v>
      </c>
      <c r="D2091" t="s">
        <v>1643</v>
      </c>
      <c r="E2091" t="s">
        <v>1273</v>
      </c>
      <c r="F2091" t="s">
        <v>5482</v>
      </c>
      <c r="G2091" t="s">
        <v>7491</v>
      </c>
      <c r="H2091">
        <v>6239158200</v>
      </c>
      <c r="J2091">
        <v>6239158244</v>
      </c>
      <c r="K2091" t="s">
        <v>7492</v>
      </c>
      <c r="L2091" t="s">
        <v>7493</v>
      </c>
      <c r="M2091" t="s">
        <v>1634</v>
      </c>
    </row>
    <row r="2092" spans="1:13" x14ac:dyDescent="0.25">
      <c r="A2092">
        <v>5429</v>
      </c>
      <c r="B2092" t="s">
        <v>7489</v>
      </c>
      <c r="C2092" t="s">
        <v>7490</v>
      </c>
      <c r="D2092" t="s">
        <v>1643</v>
      </c>
      <c r="E2092" t="s">
        <v>1273</v>
      </c>
      <c r="F2092" t="s">
        <v>4541</v>
      </c>
      <c r="G2092" t="s">
        <v>7494</v>
      </c>
      <c r="H2092">
        <v>6239158205</v>
      </c>
      <c r="J2092">
        <v>6239158244</v>
      </c>
      <c r="K2092" t="s">
        <v>7495</v>
      </c>
      <c r="L2092" t="s">
        <v>1721</v>
      </c>
      <c r="M2092" t="s">
        <v>1634</v>
      </c>
    </row>
    <row r="2093" spans="1:13" x14ac:dyDescent="0.25">
      <c r="A2093">
        <v>5430</v>
      </c>
      <c r="B2093" t="s">
        <v>7496</v>
      </c>
      <c r="C2093" t="s">
        <v>7497</v>
      </c>
      <c r="D2093" t="s">
        <v>1643</v>
      </c>
      <c r="E2093" t="s">
        <v>1273</v>
      </c>
      <c r="F2093" t="s">
        <v>4607</v>
      </c>
      <c r="G2093" t="s">
        <v>7498</v>
      </c>
      <c r="H2093">
        <v>6239158012</v>
      </c>
      <c r="K2093" t="s">
        <v>7499</v>
      </c>
      <c r="L2093" t="s">
        <v>1647</v>
      </c>
      <c r="M2093" t="s">
        <v>1634</v>
      </c>
    </row>
    <row r="2094" spans="1:13" x14ac:dyDescent="0.25">
      <c r="A2094">
        <v>5431</v>
      </c>
      <c r="B2094" t="s">
        <v>7500</v>
      </c>
      <c r="C2094" t="s">
        <v>7501</v>
      </c>
      <c r="D2094" t="s">
        <v>1643</v>
      </c>
      <c r="E2094" t="s">
        <v>1273</v>
      </c>
      <c r="F2094" t="s">
        <v>1787</v>
      </c>
      <c r="G2094" t="s">
        <v>7502</v>
      </c>
      <c r="H2094">
        <v>6234356325</v>
      </c>
      <c r="K2094" t="s">
        <v>7503</v>
      </c>
      <c r="M2094" t="s">
        <v>1634</v>
      </c>
    </row>
    <row r="2095" spans="1:13" x14ac:dyDescent="0.25">
      <c r="A2095">
        <v>5431</v>
      </c>
      <c r="B2095" t="s">
        <v>7500</v>
      </c>
      <c r="C2095" t="s">
        <v>7501</v>
      </c>
      <c r="D2095" t="s">
        <v>1643</v>
      </c>
      <c r="E2095" t="s">
        <v>1273</v>
      </c>
      <c r="F2095" t="s">
        <v>3090</v>
      </c>
      <c r="G2095" t="s">
        <v>7504</v>
      </c>
      <c r="H2095">
        <v>6234356305</v>
      </c>
      <c r="J2095">
        <v>6234356369</v>
      </c>
      <c r="K2095" t="s">
        <v>7505</v>
      </c>
      <c r="L2095" t="s">
        <v>1721</v>
      </c>
      <c r="M2095" t="s">
        <v>1634</v>
      </c>
    </row>
    <row r="2096" spans="1:13" x14ac:dyDescent="0.25">
      <c r="A2096">
        <v>5432</v>
      </c>
      <c r="B2096" t="s">
        <v>7506</v>
      </c>
      <c r="C2096" t="s">
        <v>7507</v>
      </c>
      <c r="D2096" t="s">
        <v>1643</v>
      </c>
      <c r="E2096" t="s">
        <v>1273</v>
      </c>
      <c r="F2096" t="s">
        <v>7508</v>
      </c>
      <c r="G2096" t="s">
        <v>7509</v>
      </c>
      <c r="H2096">
        <v>6239158900</v>
      </c>
      <c r="K2096" t="s">
        <v>7510</v>
      </c>
      <c r="M2096" t="s">
        <v>1634</v>
      </c>
    </row>
    <row r="2097" spans="1:13" x14ac:dyDescent="0.25">
      <c r="A2097">
        <v>5432</v>
      </c>
      <c r="B2097" t="s">
        <v>7506</v>
      </c>
      <c r="C2097" t="s">
        <v>7507</v>
      </c>
      <c r="D2097" t="s">
        <v>1643</v>
      </c>
      <c r="E2097" t="s">
        <v>1273</v>
      </c>
      <c r="F2097" t="s">
        <v>7511</v>
      </c>
      <c r="G2097" t="s">
        <v>7512</v>
      </c>
      <c r="K2097" t="s">
        <v>7513</v>
      </c>
      <c r="L2097" t="s">
        <v>1647</v>
      </c>
      <c r="M2097" t="s">
        <v>1634</v>
      </c>
    </row>
    <row r="2098" spans="1:13" x14ac:dyDescent="0.25">
      <c r="A2098">
        <v>5433</v>
      </c>
      <c r="B2098" t="s">
        <v>7514</v>
      </c>
      <c r="C2098" t="s">
        <v>7515</v>
      </c>
      <c r="D2098" t="s">
        <v>1643</v>
      </c>
      <c r="E2098" t="s">
        <v>1273</v>
      </c>
      <c r="F2098" t="s">
        <v>7516</v>
      </c>
      <c r="G2098" t="s">
        <v>7517</v>
      </c>
      <c r="K2098" t="s">
        <v>7518</v>
      </c>
      <c r="L2098" t="s">
        <v>1647</v>
      </c>
      <c r="M2098" t="s">
        <v>1634</v>
      </c>
    </row>
    <row r="2099" spans="1:13" x14ac:dyDescent="0.25">
      <c r="A2099">
        <v>5434</v>
      </c>
      <c r="B2099" t="s">
        <v>7519</v>
      </c>
      <c r="C2099" t="s">
        <v>7520</v>
      </c>
      <c r="D2099" t="s">
        <v>1643</v>
      </c>
      <c r="E2099" t="s">
        <v>1273</v>
      </c>
      <c r="F2099" t="s">
        <v>1820</v>
      </c>
      <c r="G2099" t="s">
        <v>7390</v>
      </c>
      <c r="H2099">
        <v>6234356105</v>
      </c>
      <c r="K2099" t="s">
        <v>7521</v>
      </c>
      <c r="L2099" t="s">
        <v>1647</v>
      </c>
      <c r="M2099" t="s">
        <v>1634</v>
      </c>
    </row>
    <row r="2100" spans="1:13" x14ac:dyDescent="0.25">
      <c r="A2100">
        <v>5435</v>
      </c>
      <c r="B2100" t="s">
        <v>7522</v>
      </c>
      <c r="C2100" t="s">
        <v>7523</v>
      </c>
      <c r="D2100" t="s">
        <v>1643</v>
      </c>
      <c r="E2100" t="s">
        <v>1273</v>
      </c>
      <c r="F2100" t="s">
        <v>1925</v>
      </c>
      <c r="G2100" t="s">
        <v>1943</v>
      </c>
      <c r="H2100">
        <v>6028643980</v>
      </c>
      <c r="J2100">
        <v>6028643988</v>
      </c>
      <c r="K2100" t="s">
        <v>7524</v>
      </c>
      <c r="M2100" t="s">
        <v>1634</v>
      </c>
    </row>
    <row r="2101" spans="1:13" x14ac:dyDescent="0.25">
      <c r="A2101">
        <v>794564</v>
      </c>
      <c r="B2101" t="s">
        <v>7525</v>
      </c>
      <c r="C2101" t="s">
        <v>7526</v>
      </c>
      <c r="D2101" t="s">
        <v>1643</v>
      </c>
      <c r="E2101" t="s">
        <v>1273</v>
      </c>
      <c r="F2101" t="s">
        <v>2355</v>
      </c>
      <c r="G2101" t="s">
        <v>7527</v>
      </c>
      <c r="H2101">
        <v>6234357302</v>
      </c>
      <c r="K2101" t="s">
        <v>7528</v>
      </c>
      <c r="L2101" t="s">
        <v>7529</v>
      </c>
      <c r="M2101" t="s">
        <v>1634</v>
      </c>
    </row>
    <row r="2102" spans="1:13" x14ac:dyDescent="0.25">
      <c r="A2102">
        <v>4286</v>
      </c>
      <c r="B2102" t="s">
        <v>946</v>
      </c>
      <c r="C2102" t="s">
        <v>7530</v>
      </c>
      <c r="D2102" t="s">
        <v>1628</v>
      </c>
      <c r="E2102" t="s">
        <v>1273</v>
      </c>
      <c r="F2102" t="s">
        <v>3345</v>
      </c>
      <c r="G2102" t="s">
        <v>7035</v>
      </c>
      <c r="H2102">
        <v>6027641551</v>
      </c>
      <c r="K2102" t="s">
        <v>7531</v>
      </c>
      <c r="L2102" t="s">
        <v>1633</v>
      </c>
      <c r="M2102" t="s">
        <v>1634</v>
      </c>
    </row>
    <row r="2103" spans="1:13" x14ac:dyDescent="0.25">
      <c r="A2103">
        <v>4286</v>
      </c>
      <c r="B2103" t="s">
        <v>946</v>
      </c>
      <c r="C2103" t="s">
        <v>7530</v>
      </c>
      <c r="D2103" t="s">
        <v>1628</v>
      </c>
      <c r="E2103" t="s">
        <v>1273</v>
      </c>
      <c r="F2103" t="s">
        <v>3275</v>
      </c>
      <c r="G2103" t="s">
        <v>7532</v>
      </c>
      <c r="H2103">
        <v>6027641410</v>
      </c>
      <c r="K2103" t="s">
        <v>7533</v>
      </c>
      <c r="M2103" t="s">
        <v>1634</v>
      </c>
    </row>
    <row r="2104" spans="1:13" x14ac:dyDescent="0.25">
      <c r="A2104">
        <v>4286</v>
      </c>
      <c r="B2104" t="s">
        <v>946</v>
      </c>
      <c r="C2104" t="s">
        <v>7530</v>
      </c>
      <c r="D2104" t="s">
        <v>1628</v>
      </c>
      <c r="E2104" t="s">
        <v>1273</v>
      </c>
      <c r="F2104" t="s">
        <v>7534</v>
      </c>
      <c r="G2104" t="s">
        <v>7535</v>
      </c>
      <c r="H2104">
        <v>6027641551</v>
      </c>
      <c r="K2104" t="s">
        <v>7536</v>
      </c>
      <c r="L2104" t="s">
        <v>7537</v>
      </c>
      <c r="M2104" t="s">
        <v>1634</v>
      </c>
    </row>
    <row r="2105" spans="1:13" x14ac:dyDescent="0.25">
      <c r="A2105">
        <v>4286</v>
      </c>
      <c r="B2105" t="s">
        <v>946</v>
      </c>
      <c r="C2105" t="s">
        <v>7530</v>
      </c>
      <c r="D2105" t="s">
        <v>1628</v>
      </c>
      <c r="E2105" t="s">
        <v>1273</v>
      </c>
      <c r="F2105" t="s">
        <v>7538</v>
      </c>
      <c r="G2105" t="s">
        <v>1977</v>
      </c>
      <c r="H2105">
        <v>6027641491</v>
      </c>
      <c r="K2105" t="s">
        <v>7539</v>
      </c>
      <c r="L2105" t="s">
        <v>6404</v>
      </c>
      <c r="M2105" t="s">
        <v>1634</v>
      </c>
    </row>
    <row r="2106" spans="1:13" x14ac:dyDescent="0.25">
      <c r="A2106">
        <v>4286</v>
      </c>
      <c r="B2106" t="s">
        <v>946</v>
      </c>
      <c r="C2106" t="s">
        <v>7530</v>
      </c>
      <c r="D2106" t="s">
        <v>1628</v>
      </c>
      <c r="E2106" t="s">
        <v>1273</v>
      </c>
      <c r="F2106" t="s">
        <v>7540</v>
      </c>
      <c r="G2106" t="s">
        <v>1877</v>
      </c>
      <c r="K2106" t="s">
        <v>7541</v>
      </c>
      <c r="M2106" t="s">
        <v>1634</v>
      </c>
    </row>
    <row r="2107" spans="1:13" x14ac:dyDescent="0.25">
      <c r="A2107">
        <v>4286</v>
      </c>
      <c r="B2107" t="s">
        <v>946</v>
      </c>
      <c r="C2107" t="s">
        <v>7530</v>
      </c>
      <c r="D2107" t="s">
        <v>1628</v>
      </c>
      <c r="E2107" t="s">
        <v>1273</v>
      </c>
      <c r="F2107" t="s">
        <v>3275</v>
      </c>
      <c r="G2107" t="s">
        <v>7532</v>
      </c>
      <c r="H2107">
        <v>6027641410</v>
      </c>
      <c r="K2107" t="s">
        <v>7533</v>
      </c>
      <c r="M2107" t="s">
        <v>1640</v>
      </c>
    </row>
    <row r="2108" spans="1:13" x14ac:dyDescent="0.25">
      <c r="A2108">
        <v>4286</v>
      </c>
      <c r="B2108" t="s">
        <v>946</v>
      </c>
      <c r="C2108" t="s">
        <v>7530</v>
      </c>
      <c r="D2108" t="s">
        <v>1628</v>
      </c>
      <c r="E2108" t="s">
        <v>1273</v>
      </c>
      <c r="F2108" t="s">
        <v>6608</v>
      </c>
      <c r="G2108" t="s">
        <v>3299</v>
      </c>
      <c r="H2108">
        <v>6027641436</v>
      </c>
      <c r="K2108" t="s">
        <v>7542</v>
      </c>
      <c r="L2108" t="s">
        <v>7543</v>
      </c>
      <c r="M2108" t="s">
        <v>1640</v>
      </c>
    </row>
    <row r="2109" spans="1:13" x14ac:dyDescent="0.25">
      <c r="A2109">
        <v>4286</v>
      </c>
      <c r="B2109" t="s">
        <v>946</v>
      </c>
      <c r="C2109" t="s">
        <v>7530</v>
      </c>
      <c r="D2109" t="s">
        <v>1628</v>
      </c>
      <c r="E2109" t="s">
        <v>1273</v>
      </c>
      <c r="F2109" t="s">
        <v>2739</v>
      </c>
      <c r="G2109" t="s">
        <v>7544</v>
      </c>
      <c r="H2109">
        <v>6027641343</v>
      </c>
      <c r="K2109" t="s">
        <v>7545</v>
      </c>
      <c r="L2109" t="s">
        <v>7546</v>
      </c>
      <c r="M2109" t="s">
        <v>1640</v>
      </c>
    </row>
    <row r="2110" spans="1:13" x14ac:dyDescent="0.25">
      <c r="A2110">
        <v>4286</v>
      </c>
      <c r="B2110" t="s">
        <v>946</v>
      </c>
      <c r="C2110" t="s">
        <v>7530</v>
      </c>
      <c r="D2110" t="s">
        <v>1628</v>
      </c>
      <c r="E2110" t="s">
        <v>1273</v>
      </c>
      <c r="F2110" t="s">
        <v>7538</v>
      </c>
      <c r="G2110" t="s">
        <v>1977</v>
      </c>
      <c r="H2110">
        <v>6027641491</v>
      </c>
      <c r="K2110" t="s">
        <v>7539</v>
      </c>
      <c r="L2110" t="s">
        <v>6404</v>
      </c>
      <c r="M2110" t="s">
        <v>1640</v>
      </c>
    </row>
    <row r="2111" spans="1:13" x14ac:dyDescent="0.25">
      <c r="A2111">
        <v>4286</v>
      </c>
      <c r="B2111" t="s">
        <v>946</v>
      </c>
      <c r="C2111" t="s">
        <v>7530</v>
      </c>
      <c r="D2111" t="s">
        <v>1628</v>
      </c>
      <c r="E2111" t="s">
        <v>1273</v>
      </c>
      <c r="F2111" t="s">
        <v>7547</v>
      </c>
      <c r="G2111" t="s">
        <v>7548</v>
      </c>
      <c r="H2111">
        <v>6027641212</v>
      </c>
      <c r="J2111">
        <v>6022713580</v>
      </c>
      <c r="K2111" t="s">
        <v>7549</v>
      </c>
      <c r="L2111" t="s">
        <v>1765</v>
      </c>
      <c r="M2111" t="s">
        <v>1765</v>
      </c>
    </row>
    <row r="2112" spans="1:13" x14ac:dyDescent="0.25">
      <c r="A2112">
        <v>4286</v>
      </c>
      <c r="B2112" t="s">
        <v>946</v>
      </c>
      <c r="C2112" t="s">
        <v>7530</v>
      </c>
      <c r="D2112" t="s">
        <v>1628</v>
      </c>
      <c r="E2112" t="s">
        <v>1273</v>
      </c>
      <c r="F2112" t="s">
        <v>7550</v>
      </c>
      <c r="G2112" t="s">
        <v>5279</v>
      </c>
      <c r="H2112">
        <v>6027641214</v>
      </c>
      <c r="K2112" t="s">
        <v>7551</v>
      </c>
      <c r="L2112" t="s">
        <v>7552</v>
      </c>
      <c r="M2112" t="s">
        <v>1765</v>
      </c>
    </row>
    <row r="2113" spans="1:13" x14ac:dyDescent="0.25">
      <c r="A2113">
        <v>4286</v>
      </c>
      <c r="B2113" t="s">
        <v>946</v>
      </c>
      <c r="C2113" t="s">
        <v>7530</v>
      </c>
      <c r="D2113" t="s">
        <v>1628</v>
      </c>
      <c r="E2113" t="s">
        <v>1273</v>
      </c>
      <c r="F2113" t="s">
        <v>7553</v>
      </c>
      <c r="G2113" t="s">
        <v>7554</v>
      </c>
      <c r="K2113" t="s">
        <v>7555</v>
      </c>
      <c r="L2113" t="s">
        <v>1765</v>
      </c>
      <c r="M2113" t="s">
        <v>1765</v>
      </c>
    </row>
    <row r="2114" spans="1:13" x14ac:dyDescent="0.25">
      <c r="A2114">
        <v>128903</v>
      </c>
      <c r="B2114" t="s">
        <v>7556</v>
      </c>
      <c r="C2114" t="s">
        <v>7557</v>
      </c>
      <c r="D2114" t="s">
        <v>1643</v>
      </c>
      <c r="E2114" t="s">
        <v>1273</v>
      </c>
      <c r="F2114" t="s">
        <v>7558</v>
      </c>
      <c r="G2114" t="s">
        <v>7559</v>
      </c>
      <c r="H2114">
        <v>6027646015</v>
      </c>
      <c r="K2114" t="s">
        <v>7560</v>
      </c>
      <c r="L2114" t="s">
        <v>1647</v>
      </c>
      <c r="M2114" t="s">
        <v>1634</v>
      </c>
    </row>
    <row r="2115" spans="1:13" x14ac:dyDescent="0.25">
      <c r="A2115">
        <v>5436</v>
      </c>
      <c r="B2115" t="s">
        <v>7561</v>
      </c>
      <c r="C2115" t="s">
        <v>7562</v>
      </c>
      <c r="D2115" t="s">
        <v>1643</v>
      </c>
      <c r="E2115" t="s">
        <v>1273</v>
      </c>
      <c r="F2115" t="s">
        <v>3345</v>
      </c>
      <c r="G2115" t="s">
        <v>7035</v>
      </c>
      <c r="H2115">
        <v>6027641500</v>
      </c>
      <c r="K2115" t="s">
        <v>7563</v>
      </c>
      <c r="L2115" t="s">
        <v>1668</v>
      </c>
      <c r="M2115" t="s">
        <v>1634</v>
      </c>
    </row>
    <row r="2116" spans="1:13" x14ac:dyDescent="0.25">
      <c r="A2116">
        <v>5436</v>
      </c>
      <c r="B2116" t="s">
        <v>7561</v>
      </c>
      <c r="C2116" t="s">
        <v>7562</v>
      </c>
      <c r="D2116" t="s">
        <v>1643</v>
      </c>
      <c r="E2116" t="s">
        <v>1273</v>
      </c>
      <c r="F2116" t="s">
        <v>7564</v>
      </c>
      <c r="G2116" t="s">
        <v>2054</v>
      </c>
      <c r="H2116">
        <v>6027646014</v>
      </c>
      <c r="K2116" t="s">
        <v>7565</v>
      </c>
      <c r="L2116" t="s">
        <v>7566</v>
      </c>
      <c r="M2116" t="s">
        <v>1640</v>
      </c>
    </row>
    <row r="2117" spans="1:13" x14ac:dyDescent="0.25">
      <c r="A2117">
        <v>6248</v>
      </c>
      <c r="B2117" t="s">
        <v>7567</v>
      </c>
      <c r="C2117" t="s">
        <v>7568</v>
      </c>
      <c r="D2117" t="s">
        <v>1643</v>
      </c>
      <c r="E2117" t="s">
        <v>1273</v>
      </c>
      <c r="F2117" t="s">
        <v>2803</v>
      </c>
      <c r="G2117" t="s">
        <v>7569</v>
      </c>
      <c r="H2117">
        <v>6027648002</v>
      </c>
      <c r="K2117" t="s">
        <v>7570</v>
      </c>
      <c r="L2117" t="s">
        <v>1647</v>
      </c>
      <c r="M2117" t="s">
        <v>1634</v>
      </c>
    </row>
    <row r="2118" spans="1:13" x14ac:dyDescent="0.25">
      <c r="A2118">
        <v>6248</v>
      </c>
      <c r="B2118" t="s">
        <v>7567</v>
      </c>
      <c r="C2118" t="s">
        <v>7568</v>
      </c>
      <c r="D2118" t="s">
        <v>1643</v>
      </c>
      <c r="E2118" t="s">
        <v>1273</v>
      </c>
      <c r="F2118" t="s">
        <v>3345</v>
      </c>
      <c r="G2118" t="s">
        <v>7035</v>
      </c>
      <c r="H2118">
        <v>6027641500</v>
      </c>
      <c r="K2118" t="s">
        <v>7563</v>
      </c>
      <c r="L2118" t="s">
        <v>1668</v>
      </c>
      <c r="M2118" t="s">
        <v>1634</v>
      </c>
    </row>
    <row r="2119" spans="1:13" x14ac:dyDescent="0.25">
      <c r="A2119">
        <v>6248</v>
      </c>
      <c r="B2119" t="s">
        <v>7567</v>
      </c>
      <c r="C2119" t="s">
        <v>7568</v>
      </c>
      <c r="D2119" t="s">
        <v>1643</v>
      </c>
      <c r="E2119" t="s">
        <v>1273</v>
      </c>
      <c r="F2119" t="s">
        <v>7571</v>
      </c>
      <c r="G2119" t="s">
        <v>2846</v>
      </c>
      <c r="H2119">
        <v>6027648004</v>
      </c>
      <c r="K2119" t="s">
        <v>7572</v>
      </c>
      <c r="L2119" t="s">
        <v>7573</v>
      </c>
      <c r="M2119" t="s">
        <v>1634</v>
      </c>
    </row>
    <row r="2120" spans="1:13" x14ac:dyDescent="0.25">
      <c r="A2120">
        <v>6249</v>
      </c>
      <c r="B2120" t="s">
        <v>949</v>
      </c>
      <c r="C2120" t="s">
        <v>7574</v>
      </c>
      <c r="D2120" t="s">
        <v>1643</v>
      </c>
      <c r="E2120" t="s">
        <v>1273</v>
      </c>
      <c r="F2120" t="s">
        <v>3345</v>
      </c>
      <c r="G2120" t="s">
        <v>7035</v>
      </c>
      <c r="H2120">
        <v>6027641500</v>
      </c>
      <c r="K2120" t="s">
        <v>7563</v>
      </c>
      <c r="L2120" t="s">
        <v>1668</v>
      </c>
      <c r="M2120" t="s">
        <v>1634</v>
      </c>
    </row>
    <row r="2121" spans="1:13" x14ac:dyDescent="0.25">
      <c r="A2121">
        <v>5437</v>
      </c>
      <c r="B2121" t="s">
        <v>1578</v>
      </c>
      <c r="C2121" t="s">
        <v>7575</v>
      </c>
      <c r="D2121" t="s">
        <v>1643</v>
      </c>
      <c r="E2121" t="s">
        <v>1273</v>
      </c>
      <c r="F2121" t="s">
        <v>3345</v>
      </c>
      <c r="G2121" t="s">
        <v>7035</v>
      </c>
      <c r="H2121">
        <v>6027641500</v>
      </c>
      <c r="K2121" t="s">
        <v>7563</v>
      </c>
      <c r="L2121" t="s">
        <v>1668</v>
      </c>
      <c r="M2121" t="s">
        <v>1634</v>
      </c>
    </row>
    <row r="2122" spans="1:13" x14ac:dyDescent="0.25">
      <c r="A2122">
        <v>5438</v>
      </c>
      <c r="B2122" t="s">
        <v>975</v>
      </c>
      <c r="C2122" t="s">
        <v>7576</v>
      </c>
      <c r="D2122" t="s">
        <v>1643</v>
      </c>
      <c r="E2122" t="s">
        <v>1273</v>
      </c>
      <c r="F2122" t="s">
        <v>3345</v>
      </c>
      <c r="G2122" t="s">
        <v>7035</v>
      </c>
      <c r="H2122">
        <v>6027641500</v>
      </c>
      <c r="K2122" t="s">
        <v>7563</v>
      </c>
      <c r="L2122" t="s">
        <v>1668</v>
      </c>
      <c r="M2122" t="s">
        <v>1634</v>
      </c>
    </row>
    <row r="2123" spans="1:13" x14ac:dyDescent="0.25">
      <c r="A2123">
        <v>5439</v>
      </c>
      <c r="B2123" t="s">
        <v>958</v>
      </c>
      <c r="C2123" t="s">
        <v>7577</v>
      </c>
      <c r="D2123" t="s">
        <v>1643</v>
      </c>
      <c r="E2123" t="s">
        <v>1273</v>
      </c>
      <c r="F2123" t="s">
        <v>3345</v>
      </c>
      <c r="G2123" t="s">
        <v>7035</v>
      </c>
      <c r="H2123">
        <v>6027641500</v>
      </c>
      <c r="K2123" t="s">
        <v>7563</v>
      </c>
      <c r="L2123" t="s">
        <v>1668</v>
      </c>
      <c r="M2123" t="s">
        <v>1634</v>
      </c>
    </row>
    <row r="2124" spans="1:13" x14ac:dyDescent="0.25">
      <c r="A2124">
        <v>6250</v>
      </c>
      <c r="B2124" t="s">
        <v>7578</v>
      </c>
      <c r="C2124" t="s">
        <v>7579</v>
      </c>
      <c r="D2124" t="s">
        <v>1643</v>
      </c>
      <c r="E2124" t="s">
        <v>1273</v>
      </c>
    </row>
    <row r="2125" spans="1:13" x14ac:dyDescent="0.25">
      <c r="A2125">
        <v>1001158</v>
      </c>
      <c r="B2125" t="s">
        <v>7580</v>
      </c>
      <c r="C2125" t="s">
        <v>7581</v>
      </c>
      <c r="D2125" t="s">
        <v>1643</v>
      </c>
      <c r="E2125" t="s">
        <v>1273</v>
      </c>
    </row>
    <row r="2126" spans="1:13" x14ac:dyDescent="0.25">
      <c r="A2126">
        <v>5440</v>
      </c>
      <c r="B2126" t="s">
        <v>947</v>
      </c>
      <c r="C2126" t="s">
        <v>7582</v>
      </c>
      <c r="D2126" t="s">
        <v>1643</v>
      </c>
      <c r="E2126" t="s">
        <v>1273</v>
      </c>
      <c r="F2126" t="s">
        <v>3345</v>
      </c>
      <c r="G2126" t="s">
        <v>7035</v>
      </c>
      <c r="H2126">
        <v>6027641500</v>
      </c>
      <c r="K2126" t="s">
        <v>7563</v>
      </c>
      <c r="L2126" t="s">
        <v>1668</v>
      </c>
      <c r="M2126" t="s">
        <v>1634</v>
      </c>
    </row>
    <row r="2127" spans="1:13" x14ac:dyDescent="0.25">
      <c r="A2127">
        <v>5441</v>
      </c>
      <c r="B2127" t="s">
        <v>1567</v>
      </c>
      <c r="C2127" t="s">
        <v>7583</v>
      </c>
      <c r="D2127" t="s">
        <v>1643</v>
      </c>
      <c r="E2127" t="s">
        <v>1273</v>
      </c>
      <c r="F2127" t="s">
        <v>3345</v>
      </c>
      <c r="G2127" t="s">
        <v>7035</v>
      </c>
      <c r="H2127">
        <v>6027641500</v>
      </c>
      <c r="K2127" t="s">
        <v>7563</v>
      </c>
      <c r="L2127" t="s">
        <v>1668</v>
      </c>
      <c r="M2127" t="s">
        <v>1634</v>
      </c>
    </row>
    <row r="2128" spans="1:13" x14ac:dyDescent="0.25">
      <c r="A2128">
        <v>5442</v>
      </c>
      <c r="B2128" t="s">
        <v>7584</v>
      </c>
      <c r="C2128" t="s">
        <v>7585</v>
      </c>
      <c r="D2128" t="s">
        <v>1643</v>
      </c>
      <c r="E2128" t="s">
        <v>1273</v>
      </c>
      <c r="F2128" t="s">
        <v>3345</v>
      </c>
      <c r="G2128" t="s">
        <v>7035</v>
      </c>
      <c r="H2128">
        <v>6027641500</v>
      </c>
      <c r="K2128" t="s">
        <v>7563</v>
      </c>
      <c r="L2128" t="s">
        <v>1668</v>
      </c>
      <c r="M2128" t="s">
        <v>1634</v>
      </c>
    </row>
    <row r="2129" spans="1:13" x14ac:dyDescent="0.25">
      <c r="A2129">
        <v>5443</v>
      </c>
      <c r="B2129" t="s">
        <v>1572</v>
      </c>
      <c r="C2129" t="s">
        <v>7586</v>
      </c>
      <c r="D2129" t="s">
        <v>1643</v>
      </c>
      <c r="E2129" t="s">
        <v>1273</v>
      </c>
      <c r="F2129" t="s">
        <v>3345</v>
      </c>
      <c r="G2129" t="s">
        <v>7035</v>
      </c>
      <c r="H2129">
        <v>6027641500</v>
      </c>
      <c r="K2129" t="s">
        <v>7563</v>
      </c>
      <c r="L2129" t="s">
        <v>1668</v>
      </c>
      <c r="M2129" t="s">
        <v>1634</v>
      </c>
    </row>
    <row r="2130" spans="1:13" x14ac:dyDescent="0.25">
      <c r="A2130">
        <v>78847</v>
      </c>
      <c r="B2130" t="s">
        <v>1561</v>
      </c>
      <c r="C2130" t="s">
        <v>7587</v>
      </c>
      <c r="D2130" t="s">
        <v>1643</v>
      </c>
      <c r="E2130" t="s">
        <v>1273</v>
      </c>
      <c r="F2130" t="s">
        <v>3345</v>
      </c>
      <c r="G2130" t="s">
        <v>7035</v>
      </c>
      <c r="H2130">
        <v>6027641500</v>
      </c>
      <c r="K2130" t="s">
        <v>7563</v>
      </c>
      <c r="L2130" t="s">
        <v>1668</v>
      </c>
      <c r="M2130" t="s">
        <v>1634</v>
      </c>
    </row>
    <row r="2131" spans="1:13" x14ac:dyDescent="0.25">
      <c r="A2131">
        <v>78847</v>
      </c>
      <c r="B2131" t="s">
        <v>1561</v>
      </c>
      <c r="C2131" t="s">
        <v>7587</v>
      </c>
      <c r="D2131" t="s">
        <v>1643</v>
      </c>
      <c r="E2131" t="s">
        <v>1273</v>
      </c>
      <c r="F2131" t="s">
        <v>2189</v>
      </c>
      <c r="G2131" t="s">
        <v>7588</v>
      </c>
      <c r="H2131">
        <v>6027644011</v>
      </c>
      <c r="K2131" t="s">
        <v>7589</v>
      </c>
      <c r="L2131" t="s">
        <v>7590</v>
      </c>
      <c r="M2131" t="s">
        <v>1640</v>
      </c>
    </row>
    <row r="2132" spans="1:13" x14ac:dyDescent="0.25">
      <c r="A2132">
        <v>79617</v>
      </c>
      <c r="B2132" t="s">
        <v>965</v>
      </c>
      <c r="C2132" t="s">
        <v>7591</v>
      </c>
      <c r="D2132" t="s">
        <v>1643</v>
      </c>
      <c r="E2132" t="s">
        <v>1273</v>
      </c>
      <c r="F2132" t="s">
        <v>3345</v>
      </c>
      <c r="G2132" t="s">
        <v>7035</v>
      </c>
      <c r="H2132">
        <v>6027641500</v>
      </c>
      <c r="K2132" t="s">
        <v>7563</v>
      </c>
      <c r="L2132" t="s">
        <v>1668</v>
      </c>
      <c r="M2132" t="s">
        <v>1634</v>
      </c>
    </row>
    <row r="2133" spans="1:13" x14ac:dyDescent="0.25">
      <c r="A2133">
        <v>89778</v>
      </c>
      <c r="B2133" t="s">
        <v>7592</v>
      </c>
      <c r="C2133" t="s">
        <v>7593</v>
      </c>
      <c r="D2133" t="s">
        <v>1643</v>
      </c>
      <c r="E2133" t="s">
        <v>1273</v>
      </c>
      <c r="F2133" t="s">
        <v>7594</v>
      </c>
      <c r="G2133" t="s">
        <v>7595</v>
      </c>
      <c r="H2133">
        <v>6027640217</v>
      </c>
      <c r="K2133" t="s">
        <v>7596</v>
      </c>
      <c r="L2133" t="s">
        <v>1647</v>
      </c>
      <c r="M2133" t="s">
        <v>1634</v>
      </c>
    </row>
    <row r="2134" spans="1:13" x14ac:dyDescent="0.25">
      <c r="A2134">
        <v>89778</v>
      </c>
      <c r="B2134" t="s">
        <v>7592</v>
      </c>
      <c r="C2134" t="s">
        <v>7593</v>
      </c>
      <c r="D2134" t="s">
        <v>1643</v>
      </c>
      <c r="E2134" t="s">
        <v>1273</v>
      </c>
      <c r="F2134" t="s">
        <v>3345</v>
      </c>
      <c r="G2134" t="s">
        <v>7035</v>
      </c>
      <c r="H2134">
        <v>6027641500</v>
      </c>
      <c r="K2134" t="s">
        <v>7563</v>
      </c>
      <c r="L2134" t="s">
        <v>1668</v>
      </c>
      <c r="M2134" t="s">
        <v>1634</v>
      </c>
    </row>
    <row r="2135" spans="1:13" x14ac:dyDescent="0.25">
      <c r="A2135">
        <v>221992</v>
      </c>
      <c r="B2135" t="s">
        <v>7597</v>
      </c>
      <c r="C2135" t="s">
        <v>7598</v>
      </c>
      <c r="D2135" t="s">
        <v>1643</v>
      </c>
      <c r="E2135" t="s">
        <v>1273</v>
      </c>
      <c r="F2135" t="s">
        <v>3345</v>
      </c>
      <c r="G2135" t="s">
        <v>7035</v>
      </c>
      <c r="H2135">
        <v>6027641500</v>
      </c>
      <c r="K2135" t="s">
        <v>7563</v>
      </c>
      <c r="L2135" t="s">
        <v>1668</v>
      </c>
      <c r="M2135" t="s">
        <v>1634</v>
      </c>
    </row>
    <row r="2136" spans="1:13" x14ac:dyDescent="0.25">
      <c r="A2136">
        <v>221992</v>
      </c>
      <c r="B2136" t="s">
        <v>7597</v>
      </c>
      <c r="C2136" t="s">
        <v>7598</v>
      </c>
      <c r="D2136" t="s">
        <v>1643</v>
      </c>
      <c r="E2136" t="s">
        <v>1273</v>
      </c>
      <c r="F2136" t="s">
        <v>7599</v>
      </c>
      <c r="G2136" t="s">
        <v>7600</v>
      </c>
      <c r="H2136">
        <v>6027645702</v>
      </c>
      <c r="K2136" t="s">
        <v>7601</v>
      </c>
      <c r="L2136" t="s">
        <v>1647</v>
      </c>
      <c r="M2136" t="s">
        <v>1634</v>
      </c>
    </row>
    <row r="2137" spans="1:13" x14ac:dyDescent="0.25">
      <c r="A2137">
        <v>88407</v>
      </c>
      <c r="B2137" t="s">
        <v>7602</v>
      </c>
      <c r="C2137" t="s">
        <v>7603</v>
      </c>
      <c r="D2137" t="s">
        <v>1643</v>
      </c>
      <c r="E2137" t="s">
        <v>1273</v>
      </c>
      <c r="F2137" t="s">
        <v>4140</v>
      </c>
      <c r="G2137" t="s">
        <v>7604</v>
      </c>
      <c r="H2137">
        <v>6027645604</v>
      </c>
      <c r="K2137" t="s">
        <v>7605</v>
      </c>
      <c r="L2137" t="s">
        <v>1647</v>
      </c>
      <c r="M2137" t="s">
        <v>1634</v>
      </c>
    </row>
    <row r="2138" spans="1:13" x14ac:dyDescent="0.25">
      <c r="A2138">
        <v>88407</v>
      </c>
      <c r="B2138" t="s">
        <v>7602</v>
      </c>
      <c r="C2138" t="s">
        <v>7603</v>
      </c>
      <c r="D2138" t="s">
        <v>1643</v>
      </c>
      <c r="E2138" t="s">
        <v>1273</v>
      </c>
      <c r="F2138" t="s">
        <v>3345</v>
      </c>
      <c r="G2138" t="s">
        <v>7035</v>
      </c>
      <c r="L2138" t="s">
        <v>1633</v>
      </c>
      <c r="M2138" t="s">
        <v>1634</v>
      </c>
    </row>
    <row r="2139" spans="1:13" x14ac:dyDescent="0.25">
      <c r="A2139">
        <v>89571</v>
      </c>
      <c r="B2139" t="s">
        <v>7606</v>
      </c>
      <c r="C2139" t="s">
        <v>7607</v>
      </c>
      <c r="D2139" t="s">
        <v>1643</v>
      </c>
      <c r="E2139" t="s">
        <v>1273</v>
      </c>
      <c r="F2139" t="s">
        <v>3345</v>
      </c>
      <c r="G2139" t="s">
        <v>7035</v>
      </c>
      <c r="H2139">
        <v>6027641500</v>
      </c>
      <c r="K2139" t="s">
        <v>7563</v>
      </c>
      <c r="L2139" t="s">
        <v>7608</v>
      </c>
      <c r="M2139" t="s">
        <v>1634</v>
      </c>
    </row>
    <row r="2140" spans="1:13" x14ac:dyDescent="0.25">
      <c r="A2140">
        <v>875776</v>
      </c>
      <c r="B2140" t="s">
        <v>7609</v>
      </c>
      <c r="C2140" t="s">
        <v>7610</v>
      </c>
      <c r="D2140" t="s">
        <v>1643</v>
      </c>
      <c r="E2140" t="s">
        <v>1273</v>
      </c>
    </row>
    <row r="2141" spans="1:13" x14ac:dyDescent="0.25">
      <c r="A2141">
        <v>4287</v>
      </c>
      <c r="B2141" t="s">
        <v>7611</v>
      </c>
      <c r="C2141" t="s">
        <v>7612</v>
      </c>
      <c r="D2141" t="s">
        <v>1628</v>
      </c>
      <c r="E2141" t="s">
        <v>1273</v>
      </c>
      <c r="F2141" t="s">
        <v>4725</v>
      </c>
      <c r="G2141" t="s">
        <v>7613</v>
      </c>
      <c r="H2141">
        <v>4803453711</v>
      </c>
      <c r="K2141" t="s">
        <v>7614</v>
      </c>
      <c r="L2141" t="s">
        <v>7615</v>
      </c>
      <c r="M2141" t="s">
        <v>1634</v>
      </c>
    </row>
    <row r="2142" spans="1:13" x14ac:dyDescent="0.25">
      <c r="A2142">
        <v>4287</v>
      </c>
      <c r="B2142" t="s">
        <v>7611</v>
      </c>
      <c r="C2142" t="s">
        <v>7612</v>
      </c>
      <c r="D2142" t="s">
        <v>1628</v>
      </c>
      <c r="E2142" t="s">
        <v>1273</v>
      </c>
      <c r="F2142" t="s">
        <v>4725</v>
      </c>
      <c r="G2142" t="s">
        <v>7613</v>
      </c>
      <c r="H2142">
        <v>4803453711</v>
      </c>
      <c r="K2142" t="s">
        <v>7614</v>
      </c>
      <c r="L2142" t="s">
        <v>7615</v>
      </c>
      <c r="M2142" t="s">
        <v>1640</v>
      </c>
    </row>
    <row r="2143" spans="1:13" x14ac:dyDescent="0.25">
      <c r="A2143">
        <v>4287</v>
      </c>
      <c r="B2143" t="s">
        <v>7611</v>
      </c>
      <c r="C2143" t="s">
        <v>7612</v>
      </c>
      <c r="D2143" t="s">
        <v>1628</v>
      </c>
      <c r="E2143" t="s">
        <v>1273</v>
      </c>
      <c r="F2143" t="s">
        <v>2307</v>
      </c>
      <c r="G2143" t="s">
        <v>7616</v>
      </c>
      <c r="I2143">
        <v>17042</v>
      </c>
      <c r="K2143" t="s">
        <v>7617</v>
      </c>
      <c r="L2143" t="s">
        <v>7618</v>
      </c>
      <c r="M2143" t="s">
        <v>1765</v>
      </c>
    </row>
    <row r="2144" spans="1:13" x14ac:dyDescent="0.25">
      <c r="A2144">
        <v>5444</v>
      </c>
      <c r="B2144" t="s">
        <v>7619</v>
      </c>
      <c r="C2144" t="s">
        <v>7620</v>
      </c>
      <c r="D2144" t="s">
        <v>1643</v>
      </c>
      <c r="E2144" t="s">
        <v>1273</v>
      </c>
      <c r="F2144" t="s">
        <v>2082</v>
      </c>
      <c r="G2144" t="s">
        <v>7621</v>
      </c>
      <c r="H2144">
        <v>4809671661</v>
      </c>
      <c r="J2144">
        <v>4807364096</v>
      </c>
      <c r="K2144" t="s">
        <v>7622</v>
      </c>
      <c r="L2144" t="s">
        <v>1647</v>
      </c>
      <c r="M2144" t="s">
        <v>1634</v>
      </c>
    </row>
    <row r="2145" spans="1:13" x14ac:dyDescent="0.25">
      <c r="A2145">
        <v>5445</v>
      </c>
      <c r="B2145" t="s">
        <v>7623</v>
      </c>
      <c r="C2145" t="s">
        <v>7624</v>
      </c>
      <c r="D2145" t="s">
        <v>1643</v>
      </c>
      <c r="E2145" t="s">
        <v>1273</v>
      </c>
    </row>
    <row r="2146" spans="1:13" x14ac:dyDescent="0.25">
      <c r="A2146">
        <v>5446</v>
      </c>
      <c r="B2146" t="s">
        <v>7625</v>
      </c>
      <c r="C2146" t="s">
        <v>7626</v>
      </c>
      <c r="D2146" t="s">
        <v>1643</v>
      </c>
      <c r="E2146" t="s">
        <v>1273</v>
      </c>
      <c r="F2146" t="s">
        <v>2089</v>
      </c>
      <c r="G2146" t="s">
        <v>7627</v>
      </c>
      <c r="H2146">
        <v>4808383200</v>
      </c>
      <c r="J2146">
        <v>4807307665</v>
      </c>
      <c r="K2146" t="s">
        <v>7628</v>
      </c>
      <c r="M2146" t="s">
        <v>1634</v>
      </c>
    </row>
    <row r="2147" spans="1:13" x14ac:dyDescent="0.25">
      <c r="A2147">
        <v>5447</v>
      </c>
      <c r="B2147" t="s">
        <v>7629</v>
      </c>
      <c r="C2147" t="s">
        <v>7630</v>
      </c>
      <c r="D2147" t="s">
        <v>1643</v>
      </c>
      <c r="E2147" t="s">
        <v>1273</v>
      </c>
      <c r="F2147" t="s">
        <v>2135</v>
      </c>
      <c r="G2147" t="s">
        <v>2571</v>
      </c>
      <c r="K2147" t="s">
        <v>7631</v>
      </c>
      <c r="L2147" t="s">
        <v>1647</v>
      </c>
      <c r="M2147" t="s">
        <v>1634</v>
      </c>
    </row>
    <row r="2148" spans="1:13" x14ac:dyDescent="0.25">
      <c r="A2148">
        <v>5448</v>
      </c>
      <c r="B2148" t="s">
        <v>7632</v>
      </c>
      <c r="C2148" t="s">
        <v>7633</v>
      </c>
      <c r="D2148" t="s">
        <v>1643</v>
      </c>
      <c r="E2148" t="s">
        <v>1273</v>
      </c>
      <c r="F2148" t="s">
        <v>2570</v>
      </c>
      <c r="G2148" t="s">
        <v>7634</v>
      </c>
      <c r="H2148">
        <v>4807596119</v>
      </c>
      <c r="K2148" t="s">
        <v>7635</v>
      </c>
      <c r="L2148" t="s">
        <v>1647</v>
      </c>
      <c r="M2148" t="s">
        <v>1634</v>
      </c>
    </row>
    <row r="2149" spans="1:13" x14ac:dyDescent="0.25">
      <c r="A2149">
        <v>5449</v>
      </c>
      <c r="B2149" t="s">
        <v>7636</v>
      </c>
      <c r="C2149" t="s">
        <v>7637</v>
      </c>
      <c r="D2149" t="s">
        <v>1643</v>
      </c>
      <c r="E2149" t="s">
        <v>1273</v>
      </c>
      <c r="F2149" t="s">
        <v>4396</v>
      </c>
      <c r="G2149" t="s">
        <v>7638</v>
      </c>
      <c r="H2149">
        <v>4807067900</v>
      </c>
      <c r="J2149">
        <v>4807067976</v>
      </c>
      <c r="K2149" t="s">
        <v>7639</v>
      </c>
      <c r="L2149" t="s">
        <v>1647</v>
      </c>
      <c r="M2149" t="s">
        <v>1634</v>
      </c>
    </row>
    <row r="2150" spans="1:13" x14ac:dyDescent="0.25">
      <c r="A2150">
        <v>5450</v>
      </c>
      <c r="B2150" t="s">
        <v>7640</v>
      </c>
      <c r="C2150" t="s">
        <v>7641</v>
      </c>
      <c r="D2150" t="s">
        <v>1643</v>
      </c>
      <c r="E2150" t="s">
        <v>1273</v>
      </c>
      <c r="F2150" t="s">
        <v>3462</v>
      </c>
      <c r="G2150" t="s">
        <v>7642</v>
      </c>
      <c r="H2150">
        <v>4807523560</v>
      </c>
      <c r="J2150">
        <v>4807523569</v>
      </c>
      <c r="K2150" t="s">
        <v>7643</v>
      </c>
      <c r="L2150" t="s">
        <v>1647</v>
      </c>
      <c r="M2150" t="s">
        <v>1634</v>
      </c>
    </row>
    <row r="2151" spans="1:13" x14ac:dyDescent="0.25">
      <c r="A2151">
        <v>87990</v>
      </c>
      <c r="B2151" t="s">
        <v>7644</v>
      </c>
      <c r="C2151" t="s">
        <v>7645</v>
      </c>
      <c r="D2151" t="s">
        <v>1643</v>
      </c>
      <c r="E2151" t="s">
        <v>1273</v>
      </c>
    </row>
    <row r="2152" spans="1:13" x14ac:dyDescent="0.25">
      <c r="A2152">
        <v>4288</v>
      </c>
      <c r="B2152" t="s">
        <v>1556</v>
      </c>
      <c r="C2152" t="s">
        <v>7646</v>
      </c>
      <c r="D2152" t="s">
        <v>1628</v>
      </c>
      <c r="E2152" t="s">
        <v>1273</v>
      </c>
      <c r="F2152" t="s">
        <v>2794</v>
      </c>
      <c r="G2152" t="s">
        <v>7647</v>
      </c>
      <c r="H2152">
        <v>6234784161</v>
      </c>
      <c r="K2152" t="s">
        <v>7648</v>
      </c>
      <c r="L2152" t="s">
        <v>7649</v>
      </c>
      <c r="M2152" t="s">
        <v>1634</v>
      </c>
    </row>
    <row r="2153" spans="1:13" x14ac:dyDescent="0.25">
      <c r="A2153">
        <v>4288</v>
      </c>
      <c r="B2153" t="s">
        <v>1556</v>
      </c>
      <c r="C2153" t="s">
        <v>7646</v>
      </c>
      <c r="D2153" t="s">
        <v>1628</v>
      </c>
      <c r="E2153" t="s">
        <v>1273</v>
      </c>
      <c r="F2153" t="s">
        <v>4581</v>
      </c>
      <c r="G2153" t="s">
        <v>7650</v>
      </c>
      <c r="H2153">
        <v>6234784000</v>
      </c>
      <c r="K2153" t="s">
        <v>7651</v>
      </c>
      <c r="M2153" t="s">
        <v>1634</v>
      </c>
    </row>
    <row r="2154" spans="1:13" x14ac:dyDescent="0.25">
      <c r="A2154">
        <v>4288</v>
      </c>
      <c r="B2154" t="s">
        <v>1556</v>
      </c>
      <c r="C2154" t="s">
        <v>7646</v>
      </c>
      <c r="D2154" t="s">
        <v>1628</v>
      </c>
      <c r="E2154" t="s">
        <v>1273</v>
      </c>
      <c r="F2154" t="s">
        <v>2108</v>
      </c>
      <c r="G2154" t="s">
        <v>2746</v>
      </c>
      <c r="H2154">
        <v>6234784001</v>
      </c>
      <c r="K2154" t="s">
        <v>7652</v>
      </c>
      <c r="L2154" t="s">
        <v>1668</v>
      </c>
      <c r="M2154" t="s">
        <v>1634</v>
      </c>
    </row>
    <row r="2155" spans="1:13" x14ac:dyDescent="0.25">
      <c r="A2155">
        <v>4288</v>
      </c>
      <c r="B2155" t="s">
        <v>1556</v>
      </c>
      <c r="C2155" t="s">
        <v>7646</v>
      </c>
      <c r="D2155" t="s">
        <v>1628</v>
      </c>
      <c r="E2155" t="s">
        <v>1273</v>
      </c>
      <c r="F2155" t="s">
        <v>2325</v>
      </c>
      <c r="G2155" t="s">
        <v>7653</v>
      </c>
      <c r="H2155">
        <v>6234784003</v>
      </c>
      <c r="K2155" t="s">
        <v>7654</v>
      </c>
      <c r="L2155" t="s">
        <v>1640</v>
      </c>
      <c r="M2155" t="s">
        <v>1640</v>
      </c>
    </row>
    <row r="2156" spans="1:13" x14ac:dyDescent="0.25">
      <c r="A2156">
        <v>5452</v>
      </c>
      <c r="B2156" t="s">
        <v>7655</v>
      </c>
      <c r="C2156" t="s">
        <v>7656</v>
      </c>
      <c r="D2156" t="s">
        <v>1643</v>
      </c>
      <c r="E2156" t="s">
        <v>1273</v>
      </c>
      <c r="F2156" t="s">
        <v>3660</v>
      </c>
      <c r="G2156" t="s">
        <v>3182</v>
      </c>
      <c r="H2156">
        <v>6234784210</v>
      </c>
      <c r="J2156">
        <v>6239368843</v>
      </c>
      <c r="K2156" t="s">
        <v>7657</v>
      </c>
      <c r="L2156" t="s">
        <v>1647</v>
      </c>
      <c r="M2156" t="s">
        <v>1634</v>
      </c>
    </row>
    <row r="2157" spans="1:13" x14ac:dyDescent="0.25">
      <c r="A2157">
        <v>5452</v>
      </c>
      <c r="B2157" t="s">
        <v>7655</v>
      </c>
      <c r="C2157" t="s">
        <v>7656</v>
      </c>
      <c r="D2157" t="s">
        <v>1643</v>
      </c>
      <c r="E2157" t="s">
        <v>1273</v>
      </c>
      <c r="F2157" t="s">
        <v>7658</v>
      </c>
      <c r="G2157" t="s">
        <v>5279</v>
      </c>
      <c r="H2157">
        <v>6234784200</v>
      </c>
      <c r="J2157">
        <v>6234784226</v>
      </c>
      <c r="K2157" t="s">
        <v>7659</v>
      </c>
      <c r="L2157" t="s">
        <v>1647</v>
      </c>
      <c r="M2157" t="s">
        <v>1634</v>
      </c>
    </row>
    <row r="2158" spans="1:13" x14ac:dyDescent="0.25">
      <c r="A2158">
        <v>5453</v>
      </c>
      <c r="B2158" t="s">
        <v>7660</v>
      </c>
      <c r="C2158" t="s">
        <v>7661</v>
      </c>
      <c r="D2158" t="s">
        <v>1643</v>
      </c>
      <c r="E2158" t="s">
        <v>1273</v>
      </c>
    </row>
    <row r="2159" spans="1:13" x14ac:dyDescent="0.25">
      <c r="A2159">
        <v>80051</v>
      </c>
      <c r="B2159" t="s">
        <v>1557</v>
      </c>
      <c r="C2159" t="s">
        <v>7662</v>
      </c>
      <c r="D2159" t="s">
        <v>1643</v>
      </c>
      <c r="E2159" t="s">
        <v>1273</v>
      </c>
      <c r="F2159" t="s">
        <v>5369</v>
      </c>
      <c r="G2159" t="s">
        <v>7663</v>
      </c>
      <c r="H2159">
        <v>6234784602</v>
      </c>
      <c r="K2159" t="s">
        <v>7664</v>
      </c>
      <c r="L2159" t="s">
        <v>1647</v>
      </c>
      <c r="M2159" t="s">
        <v>1634</v>
      </c>
    </row>
    <row r="2160" spans="1:13" x14ac:dyDescent="0.25">
      <c r="A2160">
        <v>85810</v>
      </c>
      <c r="B2160" t="s">
        <v>7665</v>
      </c>
      <c r="C2160" t="s">
        <v>7666</v>
      </c>
      <c r="D2160" t="s">
        <v>1643</v>
      </c>
      <c r="E2160" t="s">
        <v>1273</v>
      </c>
      <c r="F2160" t="s">
        <v>3253</v>
      </c>
      <c r="G2160" t="s">
        <v>7667</v>
      </c>
      <c r="H2160">
        <v>6234784800</v>
      </c>
      <c r="J2160">
        <v>6234784802</v>
      </c>
      <c r="K2160" t="s">
        <v>7668</v>
      </c>
      <c r="M2160" t="s">
        <v>1634</v>
      </c>
    </row>
    <row r="2161" spans="1:13" x14ac:dyDescent="0.25">
      <c r="A2161">
        <v>85810</v>
      </c>
      <c r="B2161" t="s">
        <v>7665</v>
      </c>
      <c r="C2161" t="s">
        <v>7666</v>
      </c>
      <c r="D2161" t="s">
        <v>1643</v>
      </c>
      <c r="E2161" t="s">
        <v>1273</v>
      </c>
      <c r="F2161" t="s">
        <v>7669</v>
      </c>
      <c r="G2161" t="s">
        <v>7670</v>
      </c>
      <c r="K2161" t="s">
        <v>7671</v>
      </c>
      <c r="L2161" t="s">
        <v>1647</v>
      </c>
      <c r="M2161" t="s">
        <v>1634</v>
      </c>
    </row>
    <row r="2162" spans="1:13" x14ac:dyDescent="0.25">
      <c r="A2162">
        <v>89908</v>
      </c>
      <c r="B2162" t="s">
        <v>1559</v>
      </c>
      <c r="C2162" t="s">
        <v>7672</v>
      </c>
      <c r="D2162" t="s">
        <v>1643</v>
      </c>
      <c r="E2162" t="s">
        <v>1273</v>
      </c>
      <c r="F2162" t="s">
        <v>3387</v>
      </c>
      <c r="G2162" t="s">
        <v>7673</v>
      </c>
      <c r="H2162">
        <v>6234747702</v>
      </c>
      <c r="K2162" t="s">
        <v>7674</v>
      </c>
      <c r="L2162" t="s">
        <v>1647</v>
      </c>
      <c r="M2162" t="s">
        <v>1634</v>
      </c>
    </row>
    <row r="2163" spans="1:13" x14ac:dyDescent="0.25">
      <c r="A2163">
        <v>90085</v>
      </c>
      <c r="B2163" t="s">
        <v>7675</v>
      </c>
      <c r="C2163" t="s">
        <v>7676</v>
      </c>
      <c r="D2163" t="s">
        <v>1643</v>
      </c>
      <c r="E2163" t="s">
        <v>1273</v>
      </c>
    </row>
    <row r="2164" spans="1:13" x14ac:dyDescent="0.25">
      <c r="A2164">
        <v>90551</v>
      </c>
      <c r="B2164" t="s">
        <v>7677</v>
      </c>
      <c r="C2164" t="s">
        <v>7678</v>
      </c>
      <c r="D2164" t="s">
        <v>1643</v>
      </c>
      <c r="E2164" t="s">
        <v>1273</v>
      </c>
      <c r="F2164" t="s">
        <v>1644</v>
      </c>
      <c r="G2164" t="s">
        <v>4792</v>
      </c>
      <c r="K2164" t="s">
        <v>7679</v>
      </c>
      <c r="L2164" t="s">
        <v>7680</v>
      </c>
      <c r="M2164" t="s">
        <v>1640</v>
      </c>
    </row>
    <row r="2165" spans="1:13" x14ac:dyDescent="0.25">
      <c r="A2165">
        <v>1000260</v>
      </c>
      <c r="B2165" t="s">
        <v>7681</v>
      </c>
      <c r="C2165" t="s">
        <v>7682</v>
      </c>
      <c r="D2165" t="s">
        <v>1643</v>
      </c>
      <c r="E2165" t="s">
        <v>1273</v>
      </c>
      <c r="F2165" t="s">
        <v>1747</v>
      </c>
      <c r="G2165" t="s">
        <v>1853</v>
      </c>
      <c r="K2165" t="s">
        <v>7683</v>
      </c>
      <c r="L2165" t="s">
        <v>3124</v>
      </c>
      <c r="M2165" t="s">
        <v>1634</v>
      </c>
    </row>
    <row r="2166" spans="1:13" x14ac:dyDescent="0.25">
      <c r="A2166">
        <v>4289</v>
      </c>
      <c r="B2166" t="s">
        <v>7684</v>
      </c>
      <c r="C2166" t="s">
        <v>7685</v>
      </c>
      <c r="D2166" t="s">
        <v>1628</v>
      </c>
      <c r="E2166" t="s">
        <v>1273</v>
      </c>
      <c r="F2166" t="s">
        <v>3350</v>
      </c>
      <c r="G2166" t="s">
        <v>7686</v>
      </c>
      <c r="K2166" t="s">
        <v>7687</v>
      </c>
      <c r="M2166" t="s">
        <v>1634</v>
      </c>
    </row>
    <row r="2167" spans="1:13" x14ac:dyDescent="0.25">
      <c r="A2167">
        <v>4289</v>
      </c>
      <c r="B2167" t="s">
        <v>7684</v>
      </c>
      <c r="C2167" t="s">
        <v>7685</v>
      </c>
      <c r="D2167" t="s">
        <v>1628</v>
      </c>
      <c r="E2167" t="s">
        <v>1273</v>
      </c>
      <c r="F2167" t="s">
        <v>6342</v>
      </c>
      <c r="G2167" t="s">
        <v>7688</v>
      </c>
      <c r="H2167">
        <v>6239327002</v>
      </c>
      <c r="K2167" t="s">
        <v>7689</v>
      </c>
      <c r="L2167" t="s">
        <v>1668</v>
      </c>
      <c r="M2167" t="s">
        <v>1634</v>
      </c>
    </row>
    <row r="2168" spans="1:13" x14ac:dyDescent="0.25">
      <c r="A2168">
        <v>4289</v>
      </c>
      <c r="B2168" t="s">
        <v>7684</v>
      </c>
      <c r="C2168" t="s">
        <v>7685</v>
      </c>
      <c r="D2168" t="s">
        <v>1628</v>
      </c>
      <c r="E2168" t="s">
        <v>1273</v>
      </c>
      <c r="F2168" t="s">
        <v>7690</v>
      </c>
      <c r="G2168" t="s">
        <v>7691</v>
      </c>
      <c r="K2168" t="s">
        <v>7692</v>
      </c>
      <c r="L2168" t="s">
        <v>7693</v>
      </c>
      <c r="M2168" t="s">
        <v>1634</v>
      </c>
    </row>
    <row r="2169" spans="1:13" x14ac:dyDescent="0.25">
      <c r="A2169">
        <v>4289</v>
      </c>
      <c r="B2169" t="s">
        <v>7684</v>
      </c>
      <c r="C2169" t="s">
        <v>7685</v>
      </c>
      <c r="D2169" t="s">
        <v>1628</v>
      </c>
      <c r="E2169" t="s">
        <v>1273</v>
      </c>
      <c r="F2169" t="s">
        <v>7694</v>
      </c>
      <c r="G2169" t="s">
        <v>7695</v>
      </c>
      <c r="H2169">
        <v>6239327117</v>
      </c>
      <c r="K2169" t="s">
        <v>7696</v>
      </c>
      <c r="M2169" t="s">
        <v>1634</v>
      </c>
    </row>
    <row r="2170" spans="1:13" x14ac:dyDescent="0.25">
      <c r="A2170">
        <v>4289</v>
      </c>
      <c r="B2170" t="s">
        <v>7684</v>
      </c>
      <c r="C2170" t="s">
        <v>7685</v>
      </c>
      <c r="D2170" t="s">
        <v>1628</v>
      </c>
      <c r="E2170" t="s">
        <v>1273</v>
      </c>
      <c r="F2170" t="s">
        <v>7697</v>
      </c>
      <c r="G2170" t="s">
        <v>7121</v>
      </c>
      <c r="H2170">
        <v>6239327029</v>
      </c>
      <c r="K2170" t="s">
        <v>7698</v>
      </c>
      <c r="L2170" t="s">
        <v>6355</v>
      </c>
      <c r="M2170" t="s">
        <v>1634</v>
      </c>
    </row>
    <row r="2171" spans="1:13" x14ac:dyDescent="0.25">
      <c r="A2171">
        <v>4289</v>
      </c>
      <c r="B2171" t="s">
        <v>7684</v>
      </c>
      <c r="C2171" t="s">
        <v>7685</v>
      </c>
      <c r="D2171" t="s">
        <v>1628</v>
      </c>
      <c r="E2171" t="s">
        <v>1273</v>
      </c>
      <c r="F2171" t="s">
        <v>4468</v>
      </c>
      <c r="G2171" t="s">
        <v>7699</v>
      </c>
      <c r="H2171">
        <v>6239327000</v>
      </c>
      <c r="I2171">
        <v>9323</v>
      </c>
      <c r="K2171" t="s">
        <v>7700</v>
      </c>
      <c r="L2171" t="s">
        <v>7701</v>
      </c>
      <c r="M2171" t="s">
        <v>1640</v>
      </c>
    </row>
    <row r="2172" spans="1:13" x14ac:dyDescent="0.25">
      <c r="A2172">
        <v>4289</v>
      </c>
      <c r="B2172" t="s">
        <v>7684</v>
      </c>
      <c r="C2172" t="s">
        <v>7685</v>
      </c>
      <c r="D2172" t="s">
        <v>1628</v>
      </c>
      <c r="E2172" t="s">
        <v>1273</v>
      </c>
      <c r="F2172" t="s">
        <v>1783</v>
      </c>
      <c r="G2172" t="s">
        <v>2162</v>
      </c>
      <c r="K2172" t="s">
        <v>7702</v>
      </c>
      <c r="M2172" t="s">
        <v>1640</v>
      </c>
    </row>
    <row r="2173" spans="1:13" x14ac:dyDescent="0.25">
      <c r="A2173">
        <v>4289</v>
      </c>
      <c r="B2173" t="s">
        <v>7684</v>
      </c>
      <c r="C2173" t="s">
        <v>7685</v>
      </c>
      <c r="D2173" t="s">
        <v>1628</v>
      </c>
      <c r="E2173" t="s">
        <v>1273</v>
      </c>
      <c r="F2173" t="s">
        <v>7694</v>
      </c>
      <c r="G2173" t="s">
        <v>7695</v>
      </c>
      <c r="H2173">
        <v>6239327117</v>
      </c>
      <c r="K2173" t="s">
        <v>7696</v>
      </c>
      <c r="M2173" t="s">
        <v>1640</v>
      </c>
    </row>
    <row r="2174" spans="1:13" x14ac:dyDescent="0.25">
      <c r="A2174">
        <v>4289</v>
      </c>
      <c r="B2174" t="s">
        <v>7684</v>
      </c>
      <c r="C2174" t="s">
        <v>7685</v>
      </c>
      <c r="D2174" t="s">
        <v>1628</v>
      </c>
      <c r="E2174" t="s">
        <v>1273</v>
      </c>
      <c r="F2174" t="s">
        <v>3350</v>
      </c>
      <c r="G2174" t="s">
        <v>7686</v>
      </c>
      <c r="K2174" t="s">
        <v>7687</v>
      </c>
      <c r="M2174" t="s">
        <v>1765</v>
      </c>
    </row>
    <row r="2175" spans="1:13" x14ac:dyDescent="0.25">
      <c r="A2175">
        <v>5454</v>
      </c>
      <c r="B2175" t="s">
        <v>7703</v>
      </c>
      <c r="C2175" t="s">
        <v>7704</v>
      </c>
      <c r="D2175" t="s">
        <v>1643</v>
      </c>
      <c r="E2175" t="s">
        <v>1273</v>
      </c>
    </row>
    <row r="2176" spans="1:13" x14ac:dyDescent="0.25">
      <c r="A2176">
        <v>78926</v>
      </c>
      <c r="B2176" t="s">
        <v>7705</v>
      </c>
      <c r="C2176" t="s">
        <v>7706</v>
      </c>
      <c r="D2176" t="s">
        <v>1643</v>
      </c>
      <c r="E2176" t="s">
        <v>1273</v>
      </c>
      <c r="F2176" t="s">
        <v>7707</v>
      </c>
      <c r="G2176" t="s">
        <v>7708</v>
      </c>
      <c r="H2176">
        <v>6239327200</v>
      </c>
      <c r="I2176">
        <v>12006</v>
      </c>
      <c r="J2176">
        <v>6239327204</v>
      </c>
      <c r="K2176" t="s">
        <v>7709</v>
      </c>
      <c r="M2176" t="s">
        <v>1634</v>
      </c>
    </row>
    <row r="2177" spans="1:13" x14ac:dyDescent="0.25">
      <c r="A2177">
        <v>79799</v>
      </c>
      <c r="B2177" t="s">
        <v>7710</v>
      </c>
      <c r="C2177" t="s">
        <v>7711</v>
      </c>
      <c r="D2177" t="s">
        <v>1643</v>
      </c>
      <c r="E2177" t="s">
        <v>1273</v>
      </c>
      <c r="F2177" t="s">
        <v>2401</v>
      </c>
      <c r="G2177" t="s">
        <v>1901</v>
      </c>
      <c r="K2177" t="s">
        <v>7712</v>
      </c>
      <c r="M2177" t="s">
        <v>1634</v>
      </c>
    </row>
    <row r="2178" spans="1:13" x14ac:dyDescent="0.25">
      <c r="A2178">
        <v>87903</v>
      </c>
      <c r="B2178" t="s">
        <v>7713</v>
      </c>
      <c r="C2178" t="s">
        <v>7714</v>
      </c>
      <c r="D2178" t="s">
        <v>1643</v>
      </c>
      <c r="E2178" t="s">
        <v>1273</v>
      </c>
    </row>
    <row r="2179" spans="1:13" x14ac:dyDescent="0.25">
      <c r="A2179">
        <v>932049</v>
      </c>
      <c r="B2179" t="s">
        <v>7715</v>
      </c>
      <c r="C2179" t="s">
        <v>7716</v>
      </c>
      <c r="D2179" t="s">
        <v>1643</v>
      </c>
      <c r="E2179" t="s">
        <v>1273</v>
      </c>
    </row>
    <row r="2180" spans="1:13" x14ac:dyDescent="0.25">
      <c r="A2180">
        <v>4516</v>
      </c>
      <c r="B2180" t="s">
        <v>7717</v>
      </c>
      <c r="C2180" t="s">
        <v>7718</v>
      </c>
      <c r="D2180" t="s">
        <v>1628</v>
      </c>
      <c r="E2180" t="s">
        <v>1273</v>
      </c>
      <c r="F2180" t="s">
        <v>3401</v>
      </c>
      <c r="G2180" t="s">
        <v>7719</v>
      </c>
      <c r="H2180">
        <v>4804614101</v>
      </c>
      <c r="J2180">
        <v>4804614169</v>
      </c>
      <c r="K2180" t="s">
        <v>7720</v>
      </c>
      <c r="L2180" t="s">
        <v>1668</v>
      </c>
      <c r="M2180" t="s">
        <v>1634</v>
      </c>
    </row>
    <row r="2181" spans="1:13" x14ac:dyDescent="0.25">
      <c r="A2181">
        <v>4516</v>
      </c>
      <c r="B2181" t="s">
        <v>7717</v>
      </c>
      <c r="C2181" t="s">
        <v>7718</v>
      </c>
      <c r="D2181" t="s">
        <v>1628</v>
      </c>
      <c r="E2181" t="s">
        <v>1273</v>
      </c>
      <c r="F2181" t="s">
        <v>5979</v>
      </c>
      <c r="G2181" t="s">
        <v>2647</v>
      </c>
      <c r="J2181">
        <v>4804614089</v>
      </c>
      <c r="K2181" t="s">
        <v>7721</v>
      </c>
      <c r="L2181" t="s">
        <v>1640</v>
      </c>
      <c r="M2181" t="s">
        <v>1634</v>
      </c>
    </row>
    <row r="2182" spans="1:13" x14ac:dyDescent="0.25">
      <c r="A2182">
        <v>4516</v>
      </c>
      <c r="B2182" t="s">
        <v>7717</v>
      </c>
      <c r="C2182" t="s">
        <v>7718</v>
      </c>
      <c r="D2182" t="s">
        <v>1628</v>
      </c>
      <c r="E2182" t="s">
        <v>1273</v>
      </c>
      <c r="F2182" t="s">
        <v>5979</v>
      </c>
      <c r="G2182" t="s">
        <v>2647</v>
      </c>
      <c r="J2182">
        <v>4804614089</v>
      </c>
      <c r="K2182" t="s">
        <v>7721</v>
      </c>
      <c r="L2182" t="s">
        <v>1640</v>
      </c>
      <c r="M2182" t="s">
        <v>1640</v>
      </c>
    </row>
    <row r="2183" spans="1:13" x14ac:dyDescent="0.25">
      <c r="A2183">
        <v>4516</v>
      </c>
      <c r="B2183" t="s">
        <v>7717</v>
      </c>
      <c r="C2183" t="s">
        <v>7718</v>
      </c>
      <c r="D2183" t="s">
        <v>1628</v>
      </c>
      <c r="E2183" t="s">
        <v>1273</v>
      </c>
      <c r="F2183" t="s">
        <v>7722</v>
      </c>
      <c r="G2183" t="s">
        <v>7723</v>
      </c>
      <c r="H2183">
        <v>4804614112</v>
      </c>
      <c r="K2183" t="s">
        <v>7724</v>
      </c>
      <c r="L2183" t="s">
        <v>7725</v>
      </c>
      <c r="M2183" t="s">
        <v>1640</v>
      </c>
    </row>
    <row r="2184" spans="1:13" x14ac:dyDescent="0.25">
      <c r="A2184">
        <v>7282</v>
      </c>
      <c r="B2184" t="s">
        <v>7726</v>
      </c>
      <c r="C2184" t="s">
        <v>7727</v>
      </c>
      <c r="D2184" t="s">
        <v>1643</v>
      </c>
      <c r="E2184" t="s">
        <v>1273</v>
      </c>
    </row>
    <row r="2185" spans="1:13" x14ac:dyDescent="0.25">
      <c r="A2185">
        <v>7284</v>
      </c>
      <c r="B2185" t="s">
        <v>7728</v>
      </c>
      <c r="C2185" t="s">
        <v>7729</v>
      </c>
      <c r="D2185" t="s">
        <v>1643</v>
      </c>
      <c r="E2185" t="s">
        <v>1273</v>
      </c>
    </row>
    <row r="2186" spans="1:13" x14ac:dyDescent="0.25">
      <c r="A2186">
        <v>7286</v>
      </c>
      <c r="B2186" t="s">
        <v>7730</v>
      </c>
      <c r="C2186" t="s">
        <v>7731</v>
      </c>
      <c r="D2186" t="s">
        <v>1643</v>
      </c>
      <c r="E2186" t="s">
        <v>1273</v>
      </c>
    </row>
    <row r="2187" spans="1:13" x14ac:dyDescent="0.25">
      <c r="A2187">
        <v>7288</v>
      </c>
      <c r="B2187" t="s">
        <v>7732</v>
      </c>
      <c r="C2187" t="s">
        <v>7733</v>
      </c>
      <c r="D2187" t="s">
        <v>1643</v>
      </c>
      <c r="E2187" t="s">
        <v>1273</v>
      </c>
    </row>
    <row r="2188" spans="1:13" x14ac:dyDescent="0.25">
      <c r="A2188">
        <v>79796</v>
      </c>
      <c r="B2188" t="s">
        <v>7734</v>
      </c>
      <c r="C2188" t="s">
        <v>7735</v>
      </c>
      <c r="D2188" t="s">
        <v>1643</v>
      </c>
      <c r="E2188" t="s">
        <v>1273</v>
      </c>
    </row>
    <row r="2189" spans="1:13" x14ac:dyDescent="0.25">
      <c r="A2189">
        <v>80963</v>
      </c>
      <c r="B2189" t="s">
        <v>7736</v>
      </c>
      <c r="C2189" t="s">
        <v>7737</v>
      </c>
      <c r="D2189" t="s">
        <v>1643</v>
      </c>
      <c r="E2189" t="s">
        <v>1273</v>
      </c>
    </row>
    <row r="2190" spans="1:13" x14ac:dyDescent="0.25">
      <c r="A2190">
        <v>80662</v>
      </c>
      <c r="B2190" t="s">
        <v>7738</v>
      </c>
      <c r="C2190" t="s">
        <v>7739</v>
      </c>
      <c r="D2190" t="s">
        <v>1643</v>
      </c>
      <c r="E2190" t="s">
        <v>1273</v>
      </c>
    </row>
    <row r="2191" spans="1:13" x14ac:dyDescent="0.25">
      <c r="A2191">
        <v>80514</v>
      </c>
      <c r="B2191" t="s">
        <v>7740</v>
      </c>
      <c r="C2191" t="s">
        <v>7741</v>
      </c>
      <c r="D2191" t="s">
        <v>1643</v>
      </c>
      <c r="E2191" t="s">
        <v>1273</v>
      </c>
    </row>
    <row r="2192" spans="1:13" x14ac:dyDescent="0.25">
      <c r="A2192">
        <v>90912</v>
      </c>
      <c r="B2192" t="s">
        <v>7742</v>
      </c>
      <c r="C2192" t="s">
        <v>7743</v>
      </c>
      <c r="D2192" t="s">
        <v>1643</v>
      </c>
      <c r="E2192" t="s">
        <v>1273</v>
      </c>
      <c r="F2192" t="s">
        <v>1723</v>
      </c>
      <c r="G2192" t="s">
        <v>5222</v>
      </c>
      <c r="H2192">
        <v>4804614011</v>
      </c>
      <c r="J2192">
        <v>4804614169</v>
      </c>
      <c r="K2192" t="s">
        <v>7744</v>
      </c>
      <c r="L2192" t="s">
        <v>7745</v>
      </c>
      <c r="M2192" t="s">
        <v>1640</v>
      </c>
    </row>
    <row r="2193" spans="1:13" x14ac:dyDescent="0.25">
      <c r="A2193">
        <v>90912</v>
      </c>
      <c r="B2193" t="s">
        <v>7742</v>
      </c>
      <c r="C2193" t="s">
        <v>7743</v>
      </c>
      <c r="D2193" t="s">
        <v>1643</v>
      </c>
      <c r="E2193" t="s">
        <v>1273</v>
      </c>
      <c r="F2193" t="s">
        <v>3401</v>
      </c>
      <c r="G2193" t="s">
        <v>7719</v>
      </c>
      <c r="H2193">
        <v>4804614101</v>
      </c>
      <c r="K2193" t="s">
        <v>7720</v>
      </c>
      <c r="L2193" t="s">
        <v>2584</v>
      </c>
      <c r="M2193" t="s">
        <v>1640</v>
      </c>
    </row>
    <row r="2194" spans="1:13" x14ac:dyDescent="0.25">
      <c r="A2194">
        <v>85998</v>
      </c>
      <c r="B2194" t="s">
        <v>7746</v>
      </c>
      <c r="C2194" t="s">
        <v>7747</v>
      </c>
      <c r="D2194" t="s">
        <v>1643</v>
      </c>
      <c r="E2194" t="s">
        <v>1273</v>
      </c>
    </row>
    <row r="2195" spans="1:13" x14ac:dyDescent="0.25">
      <c r="A2195">
        <v>85999</v>
      </c>
      <c r="B2195" t="s">
        <v>7748</v>
      </c>
      <c r="C2195" t="s">
        <v>7749</v>
      </c>
      <c r="D2195" t="s">
        <v>1643</v>
      </c>
      <c r="E2195" t="s">
        <v>1273</v>
      </c>
    </row>
    <row r="2196" spans="1:13" x14ac:dyDescent="0.25">
      <c r="A2196">
        <v>86000</v>
      </c>
      <c r="B2196" t="s">
        <v>7750</v>
      </c>
      <c r="C2196" t="s">
        <v>7751</v>
      </c>
      <c r="D2196" t="s">
        <v>1643</v>
      </c>
      <c r="E2196" t="s">
        <v>1273</v>
      </c>
    </row>
    <row r="2197" spans="1:13" x14ac:dyDescent="0.25">
      <c r="A2197">
        <v>86001</v>
      </c>
      <c r="B2197" t="s">
        <v>7752</v>
      </c>
      <c r="C2197" t="s">
        <v>7753</v>
      </c>
      <c r="D2197" t="s">
        <v>1643</v>
      </c>
      <c r="E2197" t="s">
        <v>1273</v>
      </c>
    </row>
    <row r="2198" spans="1:13" x14ac:dyDescent="0.25">
      <c r="A2198">
        <v>86002</v>
      </c>
      <c r="B2198" t="s">
        <v>7754</v>
      </c>
      <c r="C2198" t="s">
        <v>7755</v>
      </c>
      <c r="D2198" t="s">
        <v>1643</v>
      </c>
      <c r="E2198" t="s">
        <v>1273</v>
      </c>
    </row>
    <row r="2199" spans="1:13" x14ac:dyDescent="0.25">
      <c r="A2199">
        <v>86003</v>
      </c>
      <c r="B2199" t="s">
        <v>7756</v>
      </c>
      <c r="C2199" t="s">
        <v>7757</v>
      </c>
      <c r="D2199" t="s">
        <v>1643</v>
      </c>
      <c r="E2199" t="s">
        <v>1273</v>
      </c>
    </row>
    <row r="2200" spans="1:13" x14ac:dyDescent="0.25">
      <c r="A2200">
        <v>86004</v>
      </c>
      <c r="B2200" t="s">
        <v>7758</v>
      </c>
      <c r="C2200" t="s">
        <v>7759</v>
      </c>
      <c r="D2200" t="s">
        <v>1643</v>
      </c>
      <c r="E2200" t="s">
        <v>1273</v>
      </c>
    </row>
    <row r="2201" spans="1:13" x14ac:dyDescent="0.25">
      <c r="A2201">
        <v>7287</v>
      </c>
      <c r="B2201" t="s">
        <v>7760</v>
      </c>
      <c r="C2201" t="s">
        <v>7761</v>
      </c>
      <c r="D2201" t="s">
        <v>1643</v>
      </c>
      <c r="E2201" t="s">
        <v>1273</v>
      </c>
    </row>
    <row r="2202" spans="1:13" x14ac:dyDescent="0.25">
      <c r="A2202">
        <v>89938</v>
      </c>
      <c r="B2202" t="s">
        <v>7762</v>
      </c>
      <c r="C2202" t="s">
        <v>7763</v>
      </c>
      <c r="D2202" t="s">
        <v>1643</v>
      </c>
      <c r="E2202" t="s">
        <v>1273</v>
      </c>
    </row>
    <row r="2203" spans="1:13" x14ac:dyDescent="0.25">
      <c r="A2203">
        <v>89939</v>
      </c>
      <c r="B2203" t="s">
        <v>7764</v>
      </c>
      <c r="C2203" t="s">
        <v>7765</v>
      </c>
      <c r="D2203" t="s">
        <v>1643</v>
      </c>
      <c r="E2203" t="s">
        <v>1273</v>
      </c>
    </row>
    <row r="2204" spans="1:13" x14ac:dyDescent="0.25">
      <c r="A2204">
        <v>89940</v>
      </c>
      <c r="B2204" t="s">
        <v>7766</v>
      </c>
      <c r="C2204" t="s">
        <v>7767</v>
      </c>
      <c r="D2204" t="s">
        <v>1643</v>
      </c>
      <c r="E2204" t="s">
        <v>1273</v>
      </c>
    </row>
    <row r="2205" spans="1:13" x14ac:dyDescent="0.25">
      <c r="A2205">
        <v>90390</v>
      </c>
      <c r="B2205" t="s">
        <v>7768</v>
      </c>
      <c r="C2205" t="s">
        <v>7769</v>
      </c>
      <c r="D2205" t="s">
        <v>1643</v>
      </c>
      <c r="E2205" t="s">
        <v>1273</v>
      </c>
    </row>
    <row r="2206" spans="1:13" x14ac:dyDescent="0.25">
      <c r="A2206">
        <v>1000311</v>
      </c>
      <c r="B2206" t="s">
        <v>7770</v>
      </c>
      <c r="C2206" t="s">
        <v>7771</v>
      </c>
      <c r="D2206" t="s">
        <v>1643</v>
      </c>
      <c r="E2206" t="s">
        <v>1273</v>
      </c>
    </row>
    <row r="2207" spans="1:13" x14ac:dyDescent="0.25">
      <c r="A2207">
        <v>1000312</v>
      </c>
      <c r="B2207" t="s">
        <v>7772</v>
      </c>
      <c r="C2207" t="s">
        <v>7773</v>
      </c>
      <c r="D2207" t="s">
        <v>1643</v>
      </c>
      <c r="E2207" t="s">
        <v>1273</v>
      </c>
    </row>
    <row r="2208" spans="1:13" x14ac:dyDescent="0.25">
      <c r="A2208">
        <v>92722</v>
      </c>
      <c r="B2208" t="s">
        <v>7774</v>
      </c>
      <c r="C2208" t="s">
        <v>7775</v>
      </c>
      <c r="D2208" t="s">
        <v>1643</v>
      </c>
      <c r="E2208" t="s">
        <v>1273</v>
      </c>
    </row>
    <row r="2209" spans="1:5" x14ac:dyDescent="0.25">
      <c r="A2209">
        <v>85932</v>
      </c>
      <c r="B2209" t="s">
        <v>7776</v>
      </c>
      <c r="C2209" t="s">
        <v>7777</v>
      </c>
      <c r="D2209" t="s">
        <v>1643</v>
      </c>
      <c r="E2209" t="s">
        <v>1273</v>
      </c>
    </row>
    <row r="2210" spans="1:5" x14ac:dyDescent="0.25">
      <c r="A2210">
        <v>85933</v>
      </c>
      <c r="B2210" t="s">
        <v>7778</v>
      </c>
      <c r="C2210" t="s">
        <v>7779</v>
      </c>
      <c r="D2210" t="s">
        <v>1643</v>
      </c>
      <c r="E2210" t="s">
        <v>1273</v>
      </c>
    </row>
    <row r="2211" spans="1:5" x14ac:dyDescent="0.25">
      <c r="A2211">
        <v>85934</v>
      </c>
      <c r="B2211" t="s">
        <v>7780</v>
      </c>
      <c r="C2211" t="s">
        <v>7781</v>
      </c>
      <c r="D2211" t="s">
        <v>1643</v>
      </c>
      <c r="E2211" t="s">
        <v>1273</v>
      </c>
    </row>
    <row r="2212" spans="1:5" x14ac:dyDescent="0.25">
      <c r="A2212">
        <v>85935</v>
      </c>
      <c r="B2212" t="s">
        <v>7782</v>
      </c>
      <c r="C2212" t="s">
        <v>7783</v>
      </c>
      <c r="D2212" t="s">
        <v>1643</v>
      </c>
      <c r="E2212" t="s">
        <v>1273</v>
      </c>
    </row>
    <row r="2213" spans="1:5" x14ac:dyDescent="0.25">
      <c r="A2213">
        <v>85936</v>
      </c>
      <c r="B2213" t="s">
        <v>7784</v>
      </c>
      <c r="C2213" t="s">
        <v>7785</v>
      </c>
      <c r="D2213" t="s">
        <v>1643</v>
      </c>
      <c r="E2213" t="s">
        <v>1273</v>
      </c>
    </row>
    <row r="2214" spans="1:5" x14ac:dyDescent="0.25">
      <c r="A2214">
        <v>85937</v>
      </c>
      <c r="B2214" t="s">
        <v>7786</v>
      </c>
      <c r="C2214" t="s">
        <v>7787</v>
      </c>
      <c r="D2214" t="s">
        <v>1643</v>
      </c>
      <c r="E2214" t="s">
        <v>1273</v>
      </c>
    </row>
    <row r="2215" spans="1:5" x14ac:dyDescent="0.25">
      <c r="A2215">
        <v>87051</v>
      </c>
      <c r="B2215" t="s">
        <v>7788</v>
      </c>
      <c r="C2215" t="s">
        <v>7789</v>
      </c>
      <c r="D2215" t="s">
        <v>1643</v>
      </c>
      <c r="E2215" t="s">
        <v>1273</v>
      </c>
    </row>
    <row r="2216" spans="1:5" x14ac:dyDescent="0.25">
      <c r="A2216">
        <v>87052</v>
      </c>
      <c r="B2216" t="s">
        <v>7790</v>
      </c>
      <c r="C2216" t="s">
        <v>7791</v>
      </c>
      <c r="D2216" t="s">
        <v>1643</v>
      </c>
      <c r="E2216" t="s">
        <v>1273</v>
      </c>
    </row>
    <row r="2217" spans="1:5" x14ac:dyDescent="0.25">
      <c r="A2217">
        <v>87053</v>
      </c>
      <c r="B2217" t="s">
        <v>7792</v>
      </c>
      <c r="C2217" t="s">
        <v>7793</v>
      </c>
      <c r="D2217" t="s">
        <v>1643</v>
      </c>
      <c r="E2217" t="s">
        <v>1273</v>
      </c>
    </row>
    <row r="2218" spans="1:5" x14ac:dyDescent="0.25">
      <c r="A2218">
        <v>87054</v>
      </c>
      <c r="B2218" t="s">
        <v>7794</v>
      </c>
      <c r="C2218" t="s">
        <v>7795</v>
      </c>
      <c r="D2218" t="s">
        <v>1643</v>
      </c>
      <c r="E2218" t="s">
        <v>1273</v>
      </c>
    </row>
    <row r="2219" spans="1:5" x14ac:dyDescent="0.25">
      <c r="A2219">
        <v>87055</v>
      </c>
      <c r="B2219" t="s">
        <v>7796</v>
      </c>
      <c r="C2219" t="s">
        <v>7797</v>
      </c>
      <c r="D2219" t="s">
        <v>1643</v>
      </c>
      <c r="E2219" t="s">
        <v>1273</v>
      </c>
    </row>
    <row r="2220" spans="1:5" x14ac:dyDescent="0.25">
      <c r="A2220">
        <v>89632</v>
      </c>
      <c r="B2220" t="s">
        <v>7798</v>
      </c>
      <c r="C2220" t="s">
        <v>7799</v>
      </c>
      <c r="D2220" t="s">
        <v>1643</v>
      </c>
      <c r="E2220" t="s">
        <v>1273</v>
      </c>
    </row>
    <row r="2221" spans="1:5" x14ac:dyDescent="0.25">
      <c r="A2221">
        <v>89633</v>
      </c>
      <c r="B2221" t="s">
        <v>7800</v>
      </c>
      <c r="C2221" t="s">
        <v>7801</v>
      </c>
      <c r="D2221" t="s">
        <v>1643</v>
      </c>
      <c r="E2221" t="s">
        <v>1273</v>
      </c>
    </row>
    <row r="2222" spans="1:5" x14ac:dyDescent="0.25">
      <c r="A2222">
        <v>90416</v>
      </c>
      <c r="B2222" t="s">
        <v>7802</v>
      </c>
      <c r="C2222" t="s">
        <v>7803</v>
      </c>
      <c r="D2222" t="s">
        <v>1643</v>
      </c>
      <c r="E2222" t="s">
        <v>1273</v>
      </c>
    </row>
    <row r="2223" spans="1:5" x14ac:dyDescent="0.25">
      <c r="A2223">
        <v>92840</v>
      </c>
      <c r="B2223" t="s">
        <v>7804</v>
      </c>
      <c r="C2223" t="s">
        <v>7805</v>
      </c>
      <c r="D2223" t="s">
        <v>1643</v>
      </c>
      <c r="E2223" t="s">
        <v>1273</v>
      </c>
    </row>
    <row r="2224" spans="1:5" x14ac:dyDescent="0.25">
      <c r="A2224">
        <v>25790</v>
      </c>
      <c r="B2224" t="s">
        <v>7806</v>
      </c>
      <c r="C2224" t="s">
        <v>7807</v>
      </c>
      <c r="D2224" t="s">
        <v>1643</v>
      </c>
      <c r="E2224" t="s">
        <v>1273</v>
      </c>
    </row>
    <row r="2225" spans="1:13" x14ac:dyDescent="0.25">
      <c r="A2225">
        <v>165668</v>
      </c>
      <c r="B2225" t="s">
        <v>7808</v>
      </c>
      <c r="C2225" t="s">
        <v>7809</v>
      </c>
      <c r="D2225" t="s">
        <v>1643</v>
      </c>
      <c r="E2225" t="s">
        <v>1273</v>
      </c>
    </row>
    <row r="2226" spans="1:13" x14ac:dyDescent="0.25">
      <c r="A2226">
        <v>80923</v>
      </c>
      <c r="B2226" t="s">
        <v>7810</v>
      </c>
      <c r="C2226" t="s">
        <v>7811</v>
      </c>
      <c r="D2226" t="s">
        <v>1628</v>
      </c>
      <c r="E2226" t="s">
        <v>1273</v>
      </c>
      <c r="F2226" t="s">
        <v>5734</v>
      </c>
      <c r="G2226" t="s">
        <v>7812</v>
      </c>
      <c r="H2226">
        <v>6237380001</v>
      </c>
      <c r="J2226">
        <v>6238734188</v>
      </c>
      <c r="K2226" t="s">
        <v>7813</v>
      </c>
      <c r="L2226" t="s">
        <v>1668</v>
      </c>
      <c r="M2226" t="s">
        <v>1634</v>
      </c>
    </row>
    <row r="2227" spans="1:13" x14ac:dyDescent="0.25">
      <c r="A2227">
        <v>80923</v>
      </c>
      <c r="B2227" t="s">
        <v>7810</v>
      </c>
      <c r="C2227" t="s">
        <v>7811</v>
      </c>
      <c r="D2227" t="s">
        <v>1628</v>
      </c>
      <c r="E2227" t="s">
        <v>1273</v>
      </c>
      <c r="F2227" t="s">
        <v>2335</v>
      </c>
      <c r="G2227" t="s">
        <v>7814</v>
      </c>
      <c r="K2227" t="s">
        <v>7815</v>
      </c>
      <c r="M2227" t="s">
        <v>1634</v>
      </c>
    </row>
    <row r="2228" spans="1:13" x14ac:dyDescent="0.25">
      <c r="A2228">
        <v>80923</v>
      </c>
      <c r="B2228" t="s">
        <v>7810</v>
      </c>
      <c r="C2228" t="s">
        <v>7811</v>
      </c>
      <c r="D2228" t="s">
        <v>1628</v>
      </c>
      <c r="E2228" t="s">
        <v>1273</v>
      </c>
      <c r="F2228" t="s">
        <v>1812</v>
      </c>
      <c r="G2228" t="s">
        <v>1840</v>
      </c>
      <c r="J2228">
        <v>6237380039</v>
      </c>
      <c r="K2228" t="s">
        <v>7816</v>
      </c>
      <c r="L2228" t="s">
        <v>1855</v>
      </c>
      <c r="M2228" t="s">
        <v>1640</v>
      </c>
    </row>
    <row r="2229" spans="1:13" x14ac:dyDescent="0.25">
      <c r="A2229">
        <v>80923</v>
      </c>
      <c r="B2229" t="s">
        <v>7810</v>
      </c>
      <c r="C2229" t="s">
        <v>7811</v>
      </c>
      <c r="D2229" t="s">
        <v>1628</v>
      </c>
      <c r="E2229" t="s">
        <v>1273</v>
      </c>
      <c r="F2229" t="s">
        <v>2335</v>
      </c>
      <c r="G2229" t="s">
        <v>7814</v>
      </c>
      <c r="K2229" t="s">
        <v>7815</v>
      </c>
      <c r="M2229" t="s">
        <v>1765</v>
      </c>
    </row>
    <row r="2230" spans="1:13" x14ac:dyDescent="0.25">
      <c r="A2230">
        <v>81148</v>
      </c>
      <c r="B2230" t="s">
        <v>7817</v>
      </c>
      <c r="C2230" t="s">
        <v>7818</v>
      </c>
      <c r="D2230" t="s">
        <v>1643</v>
      </c>
      <c r="E2230" t="s">
        <v>1273</v>
      </c>
      <c r="F2230" t="s">
        <v>3870</v>
      </c>
      <c r="G2230" t="s">
        <v>7812</v>
      </c>
      <c r="H2230">
        <v>6238731860</v>
      </c>
      <c r="J2230">
        <v>6238734188</v>
      </c>
      <c r="K2230" t="s">
        <v>7813</v>
      </c>
      <c r="L2230" t="s">
        <v>1668</v>
      </c>
      <c r="M2230" t="s">
        <v>1634</v>
      </c>
    </row>
    <row r="2231" spans="1:13" x14ac:dyDescent="0.25">
      <c r="A2231">
        <v>81149</v>
      </c>
      <c r="B2231" t="s">
        <v>7819</v>
      </c>
      <c r="C2231" t="s">
        <v>7820</v>
      </c>
      <c r="D2231" t="s">
        <v>1643</v>
      </c>
      <c r="E2231" t="s">
        <v>1273</v>
      </c>
      <c r="F2231" t="s">
        <v>3870</v>
      </c>
      <c r="G2231" t="s">
        <v>7812</v>
      </c>
      <c r="H2231">
        <v>6238731860</v>
      </c>
      <c r="J2231">
        <v>6238734188</v>
      </c>
      <c r="K2231" t="s">
        <v>7813</v>
      </c>
      <c r="L2231" t="s">
        <v>1668</v>
      </c>
      <c r="M2231" t="s">
        <v>1634</v>
      </c>
    </row>
    <row r="2232" spans="1:13" x14ac:dyDescent="0.25">
      <c r="A2232">
        <v>81150</v>
      </c>
      <c r="B2232" t="s">
        <v>7821</v>
      </c>
      <c r="C2232" t="s">
        <v>7822</v>
      </c>
      <c r="D2232" t="s">
        <v>1643</v>
      </c>
      <c r="E2232" t="s">
        <v>1273</v>
      </c>
      <c r="F2232" t="s">
        <v>3870</v>
      </c>
      <c r="G2232" t="s">
        <v>7812</v>
      </c>
      <c r="H2232">
        <v>6238731860</v>
      </c>
      <c r="J2232">
        <v>6238734188</v>
      </c>
      <c r="K2232" t="s">
        <v>7813</v>
      </c>
      <c r="L2232" t="s">
        <v>1668</v>
      </c>
      <c r="M2232" t="s">
        <v>1634</v>
      </c>
    </row>
    <row r="2233" spans="1:13" x14ac:dyDescent="0.25">
      <c r="A2233">
        <v>81151</v>
      </c>
      <c r="B2233" t="s">
        <v>7823</v>
      </c>
      <c r="C2233" t="s">
        <v>7824</v>
      </c>
      <c r="D2233" t="s">
        <v>1643</v>
      </c>
      <c r="E2233" t="s">
        <v>1273</v>
      </c>
      <c r="F2233" t="s">
        <v>3870</v>
      </c>
      <c r="G2233" t="s">
        <v>7812</v>
      </c>
      <c r="H2233">
        <v>6238731860</v>
      </c>
      <c r="J2233">
        <v>6238734188</v>
      </c>
      <c r="K2233" t="s">
        <v>7813</v>
      </c>
      <c r="L2233" t="s">
        <v>1668</v>
      </c>
      <c r="M2233" t="s">
        <v>1634</v>
      </c>
    </row>
    <row r="2234" spans="1:13" x14ac:dyDescent="0.25">
      <c r="A2234">
        <v>81152</v>
      </c>
      <c r="B2234" t="s">
        <v>7825</v>
      </c>
      <c r="C2234" t="s">
        <v>7826</v>
      </c>
      <c r="D2234" t="s">
        <v>1643</v>
      </c>
      <c r="E2234" t="s">
        <v>1273</v>
      </c>
      <c r="F2234" t="s">
        <v>3870</v>
      </c>
      <c r="G2234" t="s">
        <v>7812</v>
      </c>
      <c r="H2234">
        <v>6238731860</v>
      </c>
      <c r="J2234">
        <v>6238734188</v>
      </c>
      <c r="K2234" t="s">
        <v>7813</v>
      </c>
      <c r="L2234" t="s">
        <v>1668</v>
      </c>
      <c r="M2234" t="s">
        <v>1634</v>
      </c>
    </row>
    <row r="2235" spans="1:13" x14ac:dyDescent="0.25">
      <c r="A2235">
        <v>81152</v>
      </c>
      <c r="B2235" t="s">
        <v>7825</v>
      </c>
      <c r="C2235" t="s">
        <v>7826</v>
      </c>
      <c r="D2235" t="s">
        <v>1643</v>
      </c>
      <c r="E2235" t="s">
        <v>1273</v>
      </c>
      <c r="F2235" t="s">
        <v>2335</v>
      </c>
      <c r="G2235" t="s">
        <v>7814</v>
      </c>
      <c r="H2235">
        <v>6237380058</v>
      </c>
      <c r="J2235">
        <v>6237380028</v>
      </c>
      <c r="K2235" t="s">
        <v>7815</v>
      </c>
      <c r="M2235" t="s">
        <v>1634</v>
      </c>
    </row>
    <row r="2236" spans="1:13" x14ac:dyDescent="0.25">
      <c r="A2236">
        <v>81153</v>
      </c>
      <c r="B2236" t="s">
        <v>7827</v>
      </c>
      <c r="C2236" t="s">
        <v>7828</v>
      </c>
      <c r="D2236" t="s">
        <v>1643</v>
      </c>
      <c r="E2236" t="s">
        <v>1273</v>
      </c>
      <c r="F2236" t="s">
        <v>3870</v>
      </c>
      <c r="G2236" t="s">
        <v>7812</v>
      </c>
      <c r="H2236">
        <v>6238731860</v>
      </c>
      <c r="J2236">
        <v>6238734188</v>
      </c>
      <c r="K2236" t="s">
        <v>7813</v>
      </c>
      <c r="L2236" t="s">
        <v>1668</v>
      </c>
      <c r="M2236" t="s">
        <v>1634</v>
      </c>
    </row>
    <row r="2237" spans="1:13" x14ac:dyDescent="0.25">
      <c r="A2237">
        <v>81154</v>
      </c>
      <c r="B2237" t="s">
        <v>7829</v>
      </c>
      <c r="C2237" t="s">
        <v>7830</v>
      </c>
      <c r="D2237" t="s">
        <v>1643</v>
      </c>
      <c r="E2237" t="s">
        <v>1273</v>
      </c>
      <c r="F2237" t="s">
        <v>3870</v>
      </c>
      <c r="G2237" t="s">
        <v>7812</v>
      </c>
      <c r="H2237">
        <v>6238731860</v>
      </c>
      <c r="J2237">
        <v>6238734188</v>
      </c>
      <c r="K2237" t="s">
        <v>7813</v>
      </c>
      <c r="L2237" t="s">
        <v>1668</v>
      </c>
      <c r="M2237" t="s">
        <v>1634</v>
      </c>
    </row>
    <row r="2238" spans="1:13" x14ac:dyDescent="0.25">
      <c r="A2238">
        <v>81155</v>
      </c>
      <c r="B2238" t="s">
        <v>7831</v>
      </c>
      <c r="C2238" t="s">
        <v>7832</v>
      </c>
      <c r="D2238" t="s">
        <v>1643</v>
      </c>
      <c r="E2238" t="s">
        <v>1273</v>
      </c>
      <c r="F2238" t="s">
        <v>3870</v>
      </c>
      <c r="G2238" t="s">
        <v>7812</v>
      </c>
      <c r="H2238">
        <v>6238731860</v>
      </c>
      <c r="J2238">
        <v>6238734188</v>
      </c>
      <c r="K2238" t="s">
        <v>7813</v>
      </c>
      <c r="L2238" t="s">
        <v>1668</v>
      </c>
      <c r="M2238" t="s">
        <v>1634</v>
      </c>
    </row>
    <row r="2239" spans="1:13" x14ac:dyDescent="0.25">
      <c r="A2239">
        <v>81156</v>
      </c>
      <c r="B2239" t="s">
        <v>7833</v>
      </c>
      <c r="C2239" t="s">
        <v>7834</v>
      </c>
      <c r="D2239" t="s">
        <v>1643</v>
      </c>
      <c r="E2239" t="s">
        <v>1273</v>
      </c>
      <c r="F2239" t="s">
        <v>3870</v>
      </c>
      <c r="G2239" t="s">
        <v>7812</v>
      </c>
      <c r="H2239">
        <v>6238731860</v>
      </c>
      <c r="J2239">
        <v>6238734188</v>
      </c>
      <c r="K2239" t="s">
        <v>7813</v>
      </c>
      <c r="L2239" t="s">
        <v>1668</v>
      </c>
      <c r="M2239" t="s">
        <v>1634</v>
      </c>
    </row>
    <row r="2240" spans="1:13" x14ac:dyDescent="0.25">
      <c r="A2240">
        <v>81157</v>
      </c>
      <c r="B2240" t="s">
        <v>7835</v>
      </c>
      <c r="C2240" t="s">
        <v>7836</v>
      </c>
      <c r="D2240" t="s">
        <v>1643</v>
      </c>
      <c r="E2240" t="s">
        <v>1273</v>
      </c>
      <c r="F2240" t="s">
        <v>3870</v>
      </c>
      <c r="G2240" t="s">
        <v>7812</v>
      </c>
      <c r="H2240">
        <v>6238731860</v>
      </c>
      <c r="J2240">
        <v>6238734188</v>
      </c>
      <c r="K2240" t="s">
        <v>7813</v>
      </c>
      <c r="L2240" t="s">
        <v>1668</v>
      </c>
      <c r="M2240" t="s">
        <v>1634</v>
      </c>
    </row>
    <row r="2241" spans="1:13" x14ac:dyDescent="0.25">
      <c r="A2241">
        <v>81158</v>
      </c>
      <c r="B2241" t="s">
        <v>7837</v>
      </c>
      <c r="C2241" t="s">
        <v>7838</v>
      </c>
      <c r="D2241" t="s">
        <v>1643</v>
      </c>
      <c r="E2241" t="s">
        <v>1273</v>
      </c>
      <c r="F2241" t="s">
        <v>3870</v>
      </c>
      <c r="G2241" t="s">
        <v>7812</v>
      </c>
      <c r="H2241">
        <v>6238731860</v>
      </c>
      <c r="J2241">
        <v>6238734188</v>
      </c>
      <c r="K2241" t="s">
        <v>7813</v>
      </c>
      <c r="L2241" t="s">
        <v>1668</v>
      </c>
      <c r="M2241" t="s">
        <v>1634</v>
      </c>
    </row>
    <row r="2242" spans="1:13" x14ac:dyDescent="0.25">
      <c r="A2242">
        <v>81159</v>
      </c>
      <c r="B2242" t="s">
        <v>7839</v>
      </c>
      <c r="C2242" t="s">
        <v>7840</v>
      </c>
      <c r="D2242" t="s">
        <v>1643</v>
      </c>
      <c r="E2242" t="s">
        <v>1273</v>
      </c>
      <c r="F2242" t="s">
        <v>3870</v>
      </c>
      <c r="G2242" t="s">
        <v>7812</v>
      </c>
      <c r="H2242">
        <v>6238731860</v>
      </c>
      <c r="J2242">
        <v>6238734188</v>
      </c>
      <c r="K2242" t="s">
        <v>7813</v>
      </c>
      <c r="L2242" t="s">
        <v>1668</v>
      </c>
      <c r="M2242" t="s">
        <v>1634</v>
      </c>
    </row>
    <row r="2243" spans="1:13" x14ac:dyDescent="0.25">
      <c r="A2243">
        <v>85865</v>
      </c>
      <c r="B2243" t="s">
        <v>7841</v>
      </c>
      <c r="C2243" t="s">
        <v>7842</v>
      </c>
      <c r="D2243" t="s">
        <v>1643</v>
      </c>
      <c r="E2243" t="s">
        <v>1273</v>
      </c>
      <c r="F2243" t="s">
        <v>3870</v>
      </c>
      <c r="G2243" t="s">
        <v>7812</v>
      </c>
      <c r="H2243">
        <v>6238731860</v>
      </c>
      <c r="J2243">
        <v>6238734188</v>
      </c>
      <c r="K2243" t="s">
        <v>7813</v>
      </c>
      <c r="L2243" t="s">
        <v>1668</v>
      </c>
      <c r="M2243" t="s">
        <v>1634</v>
      </c>
    </row>
    <row r="2244" spans="1:13" x14ac:dyDescent="0.25">
      <c r="A2244">
        <v>85867</v>
      </c>
      <c r="B2244" t="s">
        <v>7843</v>
      </c>
      <c r="C2244" t="s">
        <v>7844</v>
      </c>
      <c r="D2244" t="s">
        <v>1643</v>
      </c>
      <c r="E2244" t="s">
        <v>1273</v>
      </c>
      <c r="F2244" t="s">
        <v>3870</v>
      </c>
      <c r="G2244" t="s">
        <v>7812</v>
      </c>
      <c r="H2244">
        <v>6238731860</v>
      </c>
      <c r="J2244">
        <v>6238734188</v>
      </c>
      <c r="K2244" t="s">
        <v>7813</v>
      </c>
      <c r="L2244" t="s">
        <v>1668</v>
      </c>
      <c r="M2244" t="s">
        <v>1634</v>
      </c>
    </row>
    <row r="2245" spans="1:13" x14ac:dyDescent="0.25">
      <c r="A2245">
        <v>87309</v>
      </c>
      <c r="B2245" t="s">
        <v>7845</v>
      </c>
      <c r="C2245" t="s">
        <v>7846</v>
      </c>
      <c r="D2245" t="s">
        <v>1643</v>
      </c>
      <c r="E2245" t="s">
        <v>1273</v>
      </c>
      <c r="F2245" t="s">
        <v>3040</v>
      </c>
      <c r="G2245" t="s">
        <v>7847</v>
      </c>
      <c r="H2245">
        <v>6238731860</v>
      </c>
      <c r="J2245">
        <v>6238734188</v>
      </c>
      <c r="K2245" t="s">
        <v>7848</v>
      </c>
      <c r="L2245" t="s">
        <v>1640</v>
      </c>
      <c r="M2245" t="s">
        <v>1640</v>
      </c>
    </row>
    <row r="2246" spans="1:13" x14ac:dyDescent="0.25">
      <c r="A2246">
        <v>87310</v>
      </c>
      <c r="B2246" t="s">
        <v>7849</v>
      </c>
      <c r="C2246" t="s">
        <v>7850</v>
      </c>
      <c r="D2246" t="s">
        <v>1643</v>
      </c>
      <c r="E2246" t="s">
        <v>1273</v>
      </c>
      <c r="F2246" t="s">
        <v>3040</v>
      </c>
      <c r="G2246" t="s">
        <v>7847</v>
      </c>
      <c r="H2246">
        <v>6238731860</v>
      </c>
      <c r="J2246">
        <v>6238734188</v>
      </c>
      <c r="K2246" t="s">
        <v>7848</v>
      </c>
      <c r="L2246" t="s">
        <v>1640</v>
      </c>
      <c r="M2246" t="s">
        <v>1640</v>
      </c>
    </row>
    <row r="2247" spans="1:13" x14ac:dyDescent="0.25">
      <c r="A2247">
        <v>87311</v>
      </c>
      <c r="B2247" t="s">
        <v>7851</v>
      </c>
      <c r="C2247" t="s">
        <v>7852</v>
      </c>
      <c r="D2247" t="s">
        <v>1643</v>
      </c>
      <c r="E2247" t="s">
        <v>1273</v>
      </c>
      <c r="F2247" t="s">
        <v>3040</v>
      </c>
      <c r="G2247" t="s">
        <v>7847</v>
      </c>
      <c r="H2247">
        <v>6238731860</v>
      </c>
      <c r="J2247">
        <v>6238734188</v>
      </c>
      <c r="K2247" t="s">
        <v>7848</v>
      </c>
      <c r="L2247" t="s">
        <v>1640</v>
      </c>
      <c r="M2247" t="s">
        <v>1640</v>
      </c>
    </row>
    <row r="2248" spans="1:13" x14ac:dyDescent="0.25">
      <c r="A2248">
        <v>87312</v>
      </c>
      <c r="B2248" t="s">
        <v>7853</v>
      </c>
      <c r="C2248" t="s">
        <v>7854</v>
      </c>
      <c r="D2248" t="s">
        <v>1643</v>
      </c>
      <c r="E2248" t="s">
        <v>1273</v>
      </c>
      <c r="F2248" t="s">
        <v>3040</v>
      </c>
      <c r="G2248" t="s">
        <v>7847</v>
      </c>
      <c r="H2248">
        <v>6238731860</v>
      </c>
      <c r="J2248">
        <v>6238734188</v>
      </c>
      <c r="K2248" t="s">
        <v>7848</v>
      </c>
      <c r="L2248" t="s">
        <v>1640</v>
      </c>
      <c r="M2248" t="s">
        <v>1640</v>
      </c>
    </row>
    <row r="2249" spans="1:13" x14ac:dyDescent="0.25">
      <c r="A2249">
        <v>87313</v>
      </c>
      <c r="B2249" t="s">
        <v>7855</v>
      </c>
      <c r="C2249" t="s">
        <v>7856</v>
      </c>
      <c r="D2249" t="s">
        <v>1643</v>
      </c>
      <c r="E2249" t="s">
        <v>1273</v>
      </c>
      <c r="F2249" t="s">
        <v>3040</v>
      </c>
      <c r="G2249" t="s">
        <v>7847</v>
      </c>
      <c r="H2249">
        <v>6238731860</v>
      </c>
      <c r="J2249">
        <v>6238734188</v>
      </c>
      <c r="K2249" t="s">
        <v>7848</v>
      </c>
      <c r="L2249" t="s">
        <v>1640</v>
      </c>
      <c r="M2249" t="s">
        <v>1640</v>
      </c>
    </row>
    <row r="2250" spans="1:13" x14ac:dyDescent="0.25">
      <c r="A2250">
        <v>87314</v>
      </c>
      <c r="B2250" t="s">
        <v>7857</v>
      </c>
      <c r="C2250" t="s">
        <v>7858</v>
      </c>
      <c r="D2250" t="s">
        <v>1643</v>
      </c>
      <c r="E2250" t="s">
        <v>1273</v>
      </c>
      <c r="F2250" t="s">
        <v>3040</v>
      </c>
      <c r="G2250" t="s">
        <v>7847</v>
      </c>
      <c r="H2250">
        <v>6238731860</v>
      </c>
      <c r="J2250">
        <v>6238734188</v>
      </c>
      <c r="K2250" t="s">
        <v>7848</v>
      </c>
      <c r="L2250" t="s">
        <v>1640</v>
      </c>
      <c r="M2250" t="s">
        <v>1640</v>
      </c>
    </row>
    <row r="2251" spans="1:13" x14ac:dyDescent="0.25">
      <c r="A2251">
        <v>87315</v>
      </c>
      <c r="B2251" t="s">
        <v>7859</v>
      </c>
      <c r="C2251" t="s">
        <v>7860</v>
      </c>
      <c r="D2251" t="s">
        <v>1643</v>
      </c>
      <c r="E2251" t="s">
        <v>1273</v>
      </c>
      <c r="F2251" t="s">
        <v>3040</v>
      </c>
      <c r="G2251" t="s">
        <v>7847</v>
      </c>
      <c r="H2251">
        <v>6238731860</v>
      </c>
      <c r="J2251">
        <v>6238734188</v>
      </c>
      <c r="K2251" t="s">
        <v>7848</v>
      </c>
      <c r="L2251" t="s">
        <v>1640</v>
      </c>
      <c r="M2251" t="s">
        <v>1640</v>
      </c>
    </row>
    <row r="2252" spans="1:13" x14ac:dyDescent="0.25">
      <c r="A2252">
        <v>87316</v>
      </c>
      <c r="B2252" t="s">
        <v>7861</v>
      </c>
      <c r="C2252" t="s">
        <v>7862</v>
      </c>
      <c r="D2252" t="s">
        <v>1643</v>
      </c>
      <c r="E2252" t="s">
        <v>1273</v>
      </c>
      <c r="F2252" t="s">
        <v>3040</v>
      </c>
      <c r="G2252" t="s">
        <v>7847</v>
      </c>
      <c r="H2252">
        <v>6238731860</v>
      </c>
      <c r="J2252">
        <v>6238734188</v>
      </c>
      <c r="K2252" t="s">
        <v>7848</v>
      </c>
      <c r="L2252" t="s">
        <v>1640</v>
      </c>
      <c r="M2252" t="s">
        <v>1640</v>
      </c>
    </row>
    <row r="2253" spans="1:13" x14ac:dyDescent="0.25">
      <c r="A2253">
        <v>87317</v>
      </c>
      <c r="B2253" t="s">
        <v>7863</v>
      </c>
      <c r="C2253" t="s">
        <v>7864</v>
      </c>
      <c r="D2253" t="s">
        <v>1643</v>
      </c>
      <c r="E2253" t="s">
        <v>1273</v>
      </c>
      <c r="F2253" t="s">
        <v>3040</v>
      </c>
      <c r="G2253" t="s">
        <v>7847</v>
      </c>
      <c r="H2253">
        <v>6238731860</v>
      </c>
      <c r="J2253">
        <v>6238734188</v>
      </c>
      <c r="K2253" t="s">
        <v>7848</v>
      </c>
      <c r="L2253" t="s">
        <v>1640</v>
      </c>
      <c r="M2253" t="s">
        <v>1640</v>
      </c>
    </row>
    <row r="2254" spans="1:13" x14ac:dyDescent="0.25">
      <c r="A2254">
        <v>87318</v>
      </c>
      <c r="B2254" t="s">
        <v>7865</v>
      </c>
      <c r="C2254" t="s">
        <v>7866</v>
      </c>
      <c r="D2254" t="s">
        <v>1643</v>
      </c>
      <c r="E2254" t="s">
        <v>1273</v>
      </c>
      <c r="F2254" t="s">
        <v>3040</v>
      </c>
      <c r="G2254" t="s">
        <v>7847</v>
      </c>
      <c r="H2254">
        <v>6238731860</v>
      </c>
      <c r="J2254">
        <v>6238734188</v>
      </c>
      <c r="K2254" t="s">
        <v>7848</v>
      </c>
      <c r="L2254" t="s">
        <v>1640</v>
      </c>
      <c r="M2254" t="s">
        <v>1640</v>
      </c>
    </row>
    <row r="2255" spans="1:13" x14ac:dyDescent="0.25">
      <c r="A2255">
        <v>87319</v>
      </c>
      <c r="B2255" t="s">
        <v>7867</v>
      </c>
      <c r="C2255" t="s">
        <v>7868</v>
      </c>
      <c r="D2255" t="s">
        <v>1643</v>
      </c>
      <c r="E2255" t="s">
        <v>1273</v>
      </c>
      <c r="F2255" t="s">
        <v>3040</v>
      </c>
      <c r="G2255" t="s">
        <v>7847</v>
      </c>
      <c r="H2255">
        <v>6238731860</v>
      </c>
      <c r="J2255">
        <v>6238734188</v>
      </c>
      <c r="K2255" t="s">
        <v>7848</v>
      </c>
      <c r="L2255" t="s">
        <v>1640</v>
      </c>
      <c r="M2255" t="s">
        <v>1640</v>
      </c>
    </row>
    <row r="2256" spans="1:13" x14ac:dyDescent="0.25">
      <c r="A2256">
        <v>87320</v>
      </c>
      <c r="B2256" t="s">
        <v>7869</v>
      </c>
      <c r="C2256" t="s">
        <v>7870</v>
      </c>
      <c r="D2256" t="s">
        <v>1643</v>
      </c>
      <c r="E2256" t="s">
        <v>1273</v>
      </c>
      <c r="F2256" t="s">
        <v>3040</v>
      </c>
      <c r="G2256" t="s">
        <v>7847</v>
      </c>
      <c r="H2256">
        <v>6238731860</v>
      </c>
      <c r="J2256">
        <v>6234676780</v>
      </c>
      <c r="K2256" t="s">
        <v>7848</v>
      </c>
      <c r="L2256" t="s">
        <v>1640</v>
      </c>
      <c r="M2256" t="s">
        <v>1640</v>
      </c>
    </row>
    <row r="2257" spans="1:13" x14ac:dyDescent="0.25">
      <c r="A2257">
        <v>87321</v>
      </c>
      <c r="B2257" t="s">
        <v>7871</v>
      </c>
      <c r="C2257" t="s">
        <v>7872</v>
      </c>
      <c r="D2257" t="s">
        <v>1643</v>
      </c>
      <c r="E2257" t="s">
        <v>1273</v>
      </c>
      <c r="F2257" t="s">
        <v>3040</v>
      </c>
      <c r="G2257" t="s">
        <v>7847</v>
      </c>
      <c r="H2257">
        <v>6238731860</v>
      </c>
      <c r="J2257">
        <v>6238734188</v>
      </c>
      <c r="K2257" t="s">
        <v>7848</v>
      </c>
      <c r="L2257" t="s">
        <v>1640</v>
      </c>
      <c r="M2257" t="s">
        <v>1640</v>
      </c>
    </row>
    <row r="2258" spans="1:13" x14ac:dyDescent="0.25">
      <c r="A2258">
        <v>87322</v>
      </c>
      <c r="B2258" t="s">
        <v>7873</v>
      </c>
      <c r="C2258" t="s">
        <v>7874</v>
      </c>
      <c r="D2258" t="s">
        <v>1643</v>
      </c>
      <c r="E2258" t="s">
        <v>1273</v>
      </c>
      <c r="F2258" t="s">
        <v>3040</v>
      </c>
      <c r="G2258" t="s">
        <v>7847</v>
      </c>
      <c r="H2258">
        <v>6238731860</v>
      </c>
      <c r="J2258">
        <v>6238734188</v>
      </c>
      <c r="K2258" t="s">
        <v>7848</v>
      </c>
      <c r="L2258" t="s">
        <v>1640</v>
      </c>
      <c r="M2258" t="s">
        <v>1640</v>
      </c>
    </row>
    <row r="2259" spans="1:13" x14ac:dyDescent="0.25">
      <c r="A2259">
        <v>87323</v>
      </c>
      <c r="B2259" t="s">
        <v>7875</v>
      </c>
      <c r="C2259" t="s">
        <v>7876</v>
      </c>
      <c r="D2259" t="s">
        <v>1643</v>
      </c>
      <c r="E2259" t="s">
        <v>1273</v>
      </c>
      <c r="F2259" t="s">
        <v>3040</v>
      </c>
      <c r="G2259" t="s">
        <v>7847</v>
      </c>
      <c r="H2259">
        <v>6238731860</v>
      </c>
      <c r="J2259">
        <v>6238734188</v>
      </c>
      <c r="K2259" t="s">
        <v>7848</v>
      </c>
      <c r="L2259" t="s">
        <v>1640</v>
      </c>
      <c r="M2259" t="s">
        <v>1640</v>
      </c>
    </row>
    <row r="2260" spans="1:13" x14ac:dyDescent="0.25">
      <c r="A2260">
        <v>87465</v>
      </c>
      <c r="B2260" t="s">
        <v>7877</v>
      </c>
      <c r="C2260" t="s">
        <v>7878</v>
      </c>
      <c r="D2260" t="s">
        <v>1643</v>
      </c>
      <c r="E2260" t="s">
        <v>1273</v>
      </c>
      <c r="F2260" t="s">
        <v>3040</v>
      </c>
      <c r="G2260" t="s">
        <v>7847</v>
      </c>
      <c r="H2260">
        <v>6238731860</v>
      </c>
      <c r="J2260">
        <v>6238734188</v>
      </c>
      <c r="K2260" t="s">
        <v>7848</v>
      </c>
      <c r="L2260" t="s">
        <v>1640</v>
      </c>
      <c r="M2260" t="s">
        <v>1634</v>
      </c>
    </row>
    <row r="2261" spans="1:13" x14ac:dyDescent="0.25">
      <c r="A2261">
        <v>88378</v>
      </c>
      <c r="B2261" t="s">
        <v>7879</v>
      </c>
      <c r="C2261" t="s">
        <v>7880</v>
      </c>
      <c r="D2261" t="s">
        <v>1643</v>
      </c>
      <c r="E2261" t="s">
        <v>1273</v>
      </c>
      <c r="F2261" t="s">
        <v>3870</v>
      </c>
      <c r="G2261" t="s">
        <v>7812</v>
      </c>
      <c r="H2261">
        <v>6238731860</v>
      </c>
      <c r="J2261">
        <v>6238734188</v>
      </c>
      <c r="K2261" t="s">
        <v>7848</v>
      </c>
      <c r="L2261" t="s">
        <v>1668</v>
      </c>
      <c r="M2261" t="s">
        <v>1634</v>
      </c>
    </row>
    <row r="2262" spans="1:13" x14ac:dyDescent="0.25">
      <c r="A2262">
        <v>88379</v>
      </c>
      <c r="B2262" t="s">
        <v>7881</v>
      </c>
      <c r="C2262" t="s">
        <v>7882</v>
      </c>
      <c r="D2262" t="s">
        <v>1643</v>
      </c>
      <c r="E2262" t="s">
        <v>1273</v>
      </c>
      <c r="F2262" t="s">
        <v>3870</v>
      </c>
      <c r="G2262" t="s">
        <v>7812</v>
      </c>
      <c r="H2262">
        <v>6238731860</v>
      </c>
      <c r="J2262">
        <v>6238734188</v>
      </c>
      <c r="K2262" t="s">
        <v>7848</v>
      </c>
      <c r="L2262" t="s">
        <v>1668</v>
      </c>
      <c r="M2262" t="s">
        <v>1634</v>
      </c>
    </row>
    <row r="2263" spans="1:13" x14ac:dyDescent="0.25">
      <c r="A2263">
        <v>88380</v>
      </c>
      <c r="B2263" t="s">
        <v>7883</v>
      </c>
      <c r="C2263" t="s">
        <v>7884</v>
      </c>
      <c r="D2263" t="s">
        <v>1643</v>
      </c>
      <c r="E2263" t="s">
        <v>1273</v>
      </c>
      <c r="F2263" t="s">
        <v>3870</v>
      </c>
      <c r="G2263" t="s">
        <v>7812</v>
      </c>
      <c r="H2263">
        <v>6238731860</v>
      </c>
      <c r="J2263">
        <v>6238734188</v>
      </c>
      <c r="K2263" t="s">
        <v>7848</v>
      </c>
      <c r="L2263" t="s">
        <v>1668</v>
      </c>
      <c r="M2263" t="s">
        <v>1634</v>
      </c>
    </row>
    <row r="2264" spans="1:13" x14ac:dyDescent="0.25">
      <c r="A2264">
        <v>88380</v>
      </c>
      <c r="B2264" t="s">
        <v>7883</v>
      </c>
      <c r="C2264" t="s">
        <v>7884</v>
      </c>
      <c r="D2264" t="s">
        <v>1643</v>
      </c>
      <c r="E2264" t="s">
        <v>1273</v>
      </c>
      <c r="F2264" t="s">
        <v>2335</v>
      </c>
      <c r="G2264" t="s">
        <v>7814</v>
      </c>
      <c r="H2264">
        <v>6237380058</v>
      </c>
      <c r="J2264">
        <v>6237380028</v>
      </c>
      <c r="K2264" t="s">
        <v>7815</v>
      </c>
      <c r="M2264" t="s">
        <v>1634</v>
      </c>
    </row>
    <row r="2265" spans="1:13" x14ac:dyDescent="0.25">
      <c r="A2265">
        <v>88381</v>
      </c>
      <c r="B2265" t="s">
        <v>7885</v>
      </c>
      <c r="C2265" t="s">
        <v>7886</v>
      </c>
      <c r="D2265" t="s">
        <v>1643</v>
      </c>
      <c r="E2265" t="s">
        <v>1273</v>
      </c>
      <c r="F2265" t="s">
        <v>3870</v>
      </c>
      <c r="G2265" t="s">
        <v>7812</v>
      </c>
      <c r="H2265">
        <v>6238731860</v>
      </c>
      <c r="J2265">
        <v>6238734188</v>
      </c>
      <c r="K2265" t="s">
        <v>7848</v>
      </c>
      <c r="L2265" t="s">
        <v>1668</v>
      </c>
      <c r="M2265" t="s">
        <v>1634</v>
      </c>
    </row>
    <row r="2266" spans="1:13" x14ac:dyDescent="0.25">
      <c r="A2266">
        <v>88382</v>
      </c>
      <c r="B2266" t="s">
        <v>7887</v>
      </c>
      <c r="C2266" t="s">
        <v>7888</v>
      </c>
      <c r="D2266" t="s">
        <v>1643</v>
      </c>
      <c r="E2266" t="s">
        <v>7889</v>
      </c>
      <c r="F2266" t="s">
        <v>3870</v>
      </c>
      <c r="G2266" t="s">
        <v>7812</v>
      </c>
      <c r="H2266">
        <v>6238731860</v>
      </c>
      <c r="J2266">
        <v>6238734188</v>
      </c>
      <c r="K2266" t="s">
        <v>7848</v>
      </c>
      <c r="L2266" t="s">
        <v>1668</v>
      </c>
      <c r="M2266" t="s">
        <v>1634</v>
      </c>
    </row>
    <row r="2267" spans="1:13" x14ac:dyDescent="0.25">
      <c r="A2267">
        <v>88383</v>
      </c>
      <c r="B2267" t="s">
        <v>7890</v>
      </c>
      <c r="C2267" t="s">
        <v>7891</v>
      </c>
      <c r="D2267" t="s">
        <v>1643</v>
      </c>
      <c r="E2267" t="s">
        <v>1273</v>
      </c>
      <c r="F2267" t="s">
        <v>3870</v>
      </c>
      <c r="G2267" t="s">
        <v>7812</v>
      </c>
      <c r="H2267">
        <v>6238731860</v>
      </c>
      <c r="J2267">
        <v>6238734188</v>
      </c>
      <c r="K2267" t="s">
        <v>7848</v>
      </c>
      <c r="L2267" t="s">
        <v>1668</v>
      </c>
      <c r="M2267" t="s">
        <v>1634</v>
      </c>
    </row>
    <row r="2268" spans="1:13" x14ac:dyDescent="0.25">
      <c r="A2268">
        <v>88384</v>
      </c>
      <c r="B2268" t="s">
        <v>7892</v>
      </c>
      <c r="C2268" t="s">
        <v>7893</v>
      </c>
      <c r="D2268" t="s">
        <v>1643</v>
      </c>
      <c r="E2268" t="s">
        <v>1273</v>
      </c>
      <c r="F2268" t="s">
        <v>3870</v>
      </c>
      <c r="G2268" t="s">
        <v>7812</v>
      </c>
      <c r="H2268">
        <v>6238731860</v>
      </c>
      <c r="J2268">
        <v>6238734188</v>
      </c>
      <c r="K2268" t="s">
        <v>7848</v>
      </c>
      <c r="L2268" t="s">
        <v>1668</v>
      </c>
      <c r="M2268" t="s">
        <v>1634</v>
      </c>
    </row>
    <row r="2269" spans="1:13" x14ac:dyDescent="0.25">
      <c r="A2269">
        <v>88385</v>
      </c>
      <c r="B2269" t="s">
        <v>7894</v>
      </c>
      <c r="C2269" t="s">
        <v>7895</v>
      </c>
      <c r="D2269" t="s">
        <v>1643</v>
      </c>
      <c r="E2269" t="s">
        <v>1273</v>
      </c>
      <c r="F2269" t="s">
        <v>3870</v>
      </c>
      <c r="G2269" t="s">
        <v>7812</v>
      </c>
      <c r="H2269">
        <v>6238731860</v>
      </c>
      <c r="J2269">
        <v>6238734188</v>
      </c>
      <c r="K2269" t="s">
        <v>7848</v>
      </c>
      <c r="L2269" t="s">
        <v>1668</v>
      </c>
      <c r="M2269" t="s">
        <v>1634</v>
      </c>
    </row>
    <row r="2270" spans="1:13" x14ac:dyDescent="0.25">
      <c r="A2270">
        <v>89574</v>
      </c>
      <c r="B2270" t="s">
        <v>7896</v>
      </c>
      <c r="C2270" t="s">
        <v>7897</v>
      </c>
      <c r="D2270" t="s">
        <v>1643</v>
      </c>
      <c r="E2270" t="s">
        <v>1273</v>
      </c>
    </row>
    <row r="2271" spans="1:13" x14ac:dyDescent="0.25">
      <c r="A2271">
        <v>90278</v>
      </c>
      <c r="B2271" t="s">
        <v>7898</v>
      </c>
      <c r="C2271" t="s">
        <v>7899</v>
      </c>
      <c r="D2271" t="s">
        <v>1643</v>
      </c>
      <c r="E2271" t="s">
        <v>1273</v>
      </c>
      <c r="F2271" t="s">
        <v>1812</v>
      </c>
      <c r="G2271" t="s">
        <v>1840</v>
      </c>
      <c r="I2271">
        <v>1012</v>
      </c>
      <c r="J2271">
        <v>6238734188</v>
      </c>
      <c r="K2271" t="s">
        <v>7816</v>
      </c>
      <c r="L2271" t="s">
        <v>1855</v>
      </c>
      <c r="M2271" t="s">
        <v>1640</v>
      </c>
    </row>
    <row r="2272" spans="1:13" x14ac:dyDescent="0.25">
      <c r="A2272">
        <v>92186</v>
      </c>
      <c r="B2272" t="s">
        <v>7900</v>
      </c>
      <c r="C2272" t="s">
        <v>7901</v>
      </c>
      <c r="D2272" t="s">
        <v>1643</v>
      </c>
      <c r="E2272" t="s">
        <v>1273</v>
      </c>
    </row>
    <row r="2273" spans="1:13" x14ac:dyDescent="0.25">
      <c r="A2273">
        <v>92187</v>
      </c>
      <c r="B2273" t="s">
        <v>7902</v>
      </c>
      <c r="C2273" t="s">
        <v>7903</v>
      </c>
      <c r="D2273" t="s">
        <v>1643</v>
      </c>
      <c r="E2273" t="s">
        <v>1273</v>
      </c>
    </row>
    <row r="2274" spans="1:13" x14ac:dyDescent="0.25">
      <c r="A2274">
        <v>92188</v>
      </c>
      <c r="B2274" t="s">
        <v>7904</v>
      </c>
      <c r="C2274" t="s">
        <v>7905</v>
      </c>
      <c r="D2274" t="s">
        <v>1643</v>
      </c>
      <c r="E2274" t="s">
        <v>1273</v>
      </c>
    </row>
    <row r="2275" spans="1:13" x14ac:dyDescent="0.25">
      <c r="A2275">
        <v>92189</v>
      </c>
      <c r="B2275" t="s">
        <v>7906</v>
      </c>
      <c r="C2275" t="s">
        <v>7907</v>
      </c>
      <c r="D2275" t="s">
        <v>1643</v>
      </c>
      <c r="E2275" t="s">
        <v>1273</v>
      </c>
    </row>
    <row r="2276" spans="1:13" x14ac:dyDescent="0.25">
      <c r="A2276">
        <v>92194</v>
      </c>
      <c r="B2276" t="s">
        <v>7908</v>
      </c>
      <c r="C2276" t="s">
        <v>7909</v>
      </c>
      <c r="D2276" t="s">
        <v>1643</v>
      </c>
      <c r="E2276" t="s">
        <v>1273</v>
      </c>
    </row>
    <row r="2277" spans="1:13" x14ac:dyDescent="0.25">
      <c r="A2277">
        <v>93020</v>
      </c>
      <c r="B2277" t="s">
        <v>7910</v>
      </c>
      <c r="C2277" t="s">
        <v>7911</v>
      </c>
      <c r="D2277" t="s">
        <v>1643</v>
      </c>
      <c r="E2277" t="s">
        <v>1273</v>
      </c>
    </row>
    <row r="2278" spans="1:13" x14ac:dyDescent="0.25">
      <c r="A2278">
        <v>187900</v>
      </c>
      <c r="B2278" t="s">
        <v>7912</v>
      </c>
      <c r="C2278" t="s">
        <v>7913</v>
      </c>
      <c r="D2278" t="s">
        <v>1643</v>
      </c>
      <c r="E2278" t="s">
        <v>1273</v>
      </c>
    </row>
    <row r="2279" spans="1:13" x14ac:dyDescent="0.25">
      <c r="A2279">
        <v>1000285</v>
      </c>
      <c r="B2279" t="s">
        <v>7914</v>
      </c>
      <c r="C2279" t="s">
        <v>7915</v>
      </c>
      <c r="D2279" t="s">
        <v>1643</v>
      </c>
      <c r="E2279" t="s">
        <v>1273</v>
      </c>
    </row>
    <row r="2280" spans="1:13" x14ac:dyDescent="0.25">
      <c r="A2280">
        <v>1000083</v>
      </c>
      <c r="B2280" t="s">
        <v>7916</v>
      </c>
      <c r="C2280" t="s">
        <v>7917</v>
      </c>
      <c r="D2280" t="s">
        <v>1643</v>
      </c>
      <c r="E2280" t="s">
        <v>1273</v>
      </c>
    </row>
    <row r="2281" spans="1:13" x14ac:dyDescent="0.25">
      <c r="A2281">
        <v>93018</v>
      </c>
      <c r="B2281" t="s">
        <v>7918</v>
      </c>
      <c r="C2281" t="s">
        <v>7919</v>
      </c>
      <c r="D2281" t="s">
        <v>1643</v>
      </c>
      <c r="E2281" t="s">
        <v>1273</v>
      </c>
    </row>
    <row r="2282" spans="1:13" x14ac:dyDescent="0.25">
      <c r="A2282">
        <v>1000045</v>
      </c>
      <c r="B2282" t="s">
        <v>7920</v>
      </c>
      <c r="C2282" t="s">
        <v>7921</v>
      </c>
      <c r="D2282" t="s">
        <v>1643</v>
      </c>
      <c r="E2282" t="s">
        <v>1273</v>
      </c>
    </row>
    <row r="2283" spans="1:13" x14ac:dyDescent="0.25">
      <c r="A2283">
        <v>1000082</v>
      </c>
      <c r="B2283" t="s">
        <v>7922</v>
      </c>
      <c r="C2283" t="s">
        <v>7923</v>
      </c>
      <c r="D2283" t="s">
        <v>1643</v>
      </c>
      <c r="E2283" t="s">
        <v>1273</v>
      </c>
    </row>
    <row r="2284" spans="1:13" x14ac:dyDescent="0.25">
      <c r="A2284">
        <v>1000046</v>
      </c>
      <c r="B2284" t="s">
        <v>7924</v>
      </c>
      <c r="C2284" t="s">
        <v>7925</v>
      </c>
      <c r="D2284" t="s">
        <v>1643</v>
      </c>
      <c r="E2284" t="s">
        <v>1273</v>
      </c>
    </row>
    <row r="2285" spans="1:13" x14ac:dyDescent="0.25">
      <c r="A2285">
        <v>62322</v>
      </c>
      <c r="B2285" t="s">
        <v>7926</v>
      </c>
      <c r="C2285" t="s">
        <v>7927</v>
      </c>
      <c r="D2285" t="s">
        <v>1643</v>
      </c>
      <c r="E2285" t="s">
        <v>1273</v>
      </c>
      <c r="F2285" t="s">
        <v>2335</v>
      </c>
      <c r="G2285" t="s">
        <v>7814</v>
      </c>
      <c r="H2285">
        <v>6237380058</v>
      </c>
      <c r="M2285" t="s">
        <v>1634</v>
      </c>
    </row>
    <row r="2286" spans="1:13" x14ac:dyDescent="0.25">
      <c r="A2286">
        <v>93021</v>
      </c>
      <c r="B2286" t="s">
        <v>7928</v>
      </c>
      <c r="C2286" t="s">
        <v>7929</v>
      </c>
      <c r="D2286" t="s">
        <v>1643</v>
      </c>
      <c r="E2286" t="s">
        <v>1273</v>
      </c>
    </row>
    <row r="2287" spans="1:13" x14ac:dyDescent="0.25">
      <c r="A2287">
        <v>93019</v>
      </c>
      <c r="B2287" t="s">
        <v>7930</v>
      </c>
      <c r="C2287" t="s">
        <v>7931</v>
      </c>
      <c r="D2287" t="s">
        <v>1643</v>
      </c>
      <c r="E2287" t="s">
        <v>1273</v>
      </c>
    </row>
    <row r="2288" spans="1:13" x14ac:dyDescent="0.25">
      <c r="A2288">
        <v>91174</v>
      </c>
      <c r="B2288" t="s">
        <v>7932</v>
      </c>
      <c r="C2288" t="s">
        <v>7933</v>
      </c>
      <c r="D2288" t="s">
        <v>2596</v>
      </c>
      <c r="E2288" t="s">
        <v>7934</v>
      </c>
      <c r="F2288" t="s">
        <v>7935</v>
      </c>
      <c r="G2288" t="s">
        <v>7936</v>
      </c>
      <c r="J2288">
        <v>4805587038</v>
      </c>
      <c r="K2288" t="s">
        <v>7937</v>
      </c>
      <c r="L2288" t="s">
        <v>1640</v>
      </c>
      <c r="M2288" t="s">
        <v>1634</v>
      </c>
    </row>
    <row r="2289" spans="1:13" x14ac:dyDescent="0.25">
      <c r="A2289">
        <v>91174</v>
      </c>
      <c r="B2289" t="s">
        <v>7932</v>
      </c>
      <c r="C2289" t="s">
        <v>7933</v>
      </c>
      <c r="D2289" t="s">
        <v>2596</v>
      </c>
      <c r="E2289" t="s">
        <v>7934</v>
      </c>
      <c r="F2289" t="s">
        <v>7938</v>
      </c>
      <c r="G2289" t="s">
        <v>7939</v>
      </c>
      <c r="H2289">
        <v>4806330414</v>
      </c>
      <c r="K2289" t="s">
        <v>7940</v>
      </c>
      <c r="L2289" t="s">
        <v>3043</v>
      </c>
      <c r="M2289" t="s">
        <v>1634</v>
      </c>
    </row>
    <row r="2290" spans="1:13" x14ac:dyDescent="0.25">
      <c r="A2290">
        <v>91174</v>
      </c>
      <c r="B2290" t="s">
        <v>7932</v>
      </c>
      <c r="C2290" t="s">
        <v>7933</v>
      </c>
      <c r="D2290" t="s">
        <v>2596</v>
      </c>
      <c r="E2290" t="s">
        <v>7934</v>
      </c>
      <c r="F2290" t="s">
        <v>7935</v>
      </c>
      <c r="G2290" t="s">
        <v>7936</v>
      </c>
      <c r="J2290">
        <v>4805587038</v>
      </c>
      <c r="K2290" t="s">
        <v>7937</v>
      </c>
      <c r="L2290" t="s">
        <v>1640</v>
      </c>
      <c r="M2290" t="s">
        <v>1640</v>
      </c>
    </row>
    <row r="2291" spans="1:13" x14ac:dyDescent="0.25">
      <c r="A2291">
        <v>91174</v>
      </c>
      <c r="B2291" t="s">
        <v>7932</v>
      </c>
      <c r="C2291" t="s">
        <v>7933</v>
      </c>
      <c r="D2291" t="s">
        <v>2596</v>
      </c>
      <c r="E2291" t="s">
        <v>7934</v>
      </c>
      <c r="F2291" t="s">
        <v>2376</v>
      </c>
      <c r="G2291" t="s">
        <v>7941</v>
      </c>
      <c r="H2291">
        <v>4806330414</v>
      </c>
      <c r="L2291" t="s">
        <v>1639</v>
      </c>
      <c r="M2291" t="s">
        <v>1640</v>
      </c>
    </row>
    <row r="2292" spans="1:13" x14ac:dyDescent="0.25">
      <c r="A2292">
        <v>91175</v>
      </c>
      <c r="B2292" t="s">
        <v>7942</v>
      </c>
      <c r="C2292" t="s">
        <v>7943</v>
      </c>
      <c r="D2292" t="s">
        <v>2605</v>
      </c>
      <c r="E2292" t="s">
        <v>7934</v>
      </c>
      <c r="F2292" t="s">
        <v>7935</v>
      </c>
      <c r="G2292" t="s">
        <v>7936</v>
      </c>
      <c r="J2292">
        <v>4806556788</v>
      </c>
      <c r="K2292" t="s">
        <v>7937</v>
      </c>
      <c r="M2292" t="s">
        <v>1634</v>
      </c>
    </row>
    <row r="2293" spans="1:13" x14ac:dyDescent="0.25">
      <c r="A2293">
        <v>91175</v>
      </c>
      <c r="B2293" t="s">
        <v>7942</v>
      </c>
      <c r="C2293" t="s">
        <v>7943</v>
      </c>
      <c r="D2293" t="s">
        <v>2605</v>
      </c>
      <c r="E2293" t="s">
        <v>7934</v>
      </c>
      <c r="F2293" t="s">
        <v>7944</v>
      </c>
      <c r="G2293" t="s">
        <v>7945</v>
      </c>
      <c r="H2293">
        <v>4808821631</v>
      </c>
      <c r="J2293">
        <v>4806556787</v>
      </c>
      <c r="K2293" t="s">
        <v>7946</v>
      </c>
      <c r="M2293" t="s">
        <v>1634</v>
      </c>
    </row>
    <row r="2294" spans="1:13" x14ac:dyDescent="0.25">
      <c r="A2294">
        <v>91175</v>
      </c>
      <c r="B2294" t="s">
        <v>7942</v>
      </c>
      <c r="C2294" t="s">
        <v>7943</v>
      </c>
      <c r="D2294" t="s">
        <v>2605</v>
      </c>
      <c r="E2294" t="s">
        <v>7934</v>
      </c>
      <c r="F2294" t="s">
        <v>2997</v>
      </c>
      <c r="G2294" t="s">
        <v>7947</v>
      </c>
      <c r="K2294" t="s">
        <v>7948</v>
      </c>
      <c r="L2294" t="s">
        <v>1721</v>
      </c>
      <c r="M2294" t="s">
        <v>1634</v>
      </c>
    </row>
    <row r="2295" spans="1:13" x14ac:dyDescent="0.25">
      <c r="A2295">
        <v>91175</v>
      </c>
      <c r="B2295" t="s">
        <v>7942</v>
      </c>
      <c r="C2295" t="s">
        <v>7943</v>
      </c>
      <c r="D2295" t="s">
        <v>2605</v>
      </c>
      <c r="E2295" t="s">
        <v>7934</v>
      </c>
      <c r="F2295" t="s">
        <v>7935</v>
      </c>
      <c r="G2295" t="s">
        <v>7936</v>
      </c>
      <c r="J2295">
        <v>4806556788</v>
      </c>
      <c r="K2295" t="s">
        <v>7937</v>
      </c>
      <c r="M2295" t="s">
        <v>1640</v>
      </c>
    </row>
    <row r="2296" spans="1:13" x14ac:dyDescent="0.25">
      <c r="A2296">
        <v>92250</v>
      </c>
      <c r="B2296" t="s">
        <v>649</v>
      </c>
      <c r="C2296" t="s">
        <v>7949</v>
      </c>
      <c r="D2296" t="s">
        <v>2596</v>
      </c>
      <c r="E2296" t="s">
        <v>1273</v>
      </c>
      <c r="F2296" t="s">
        <v>5808</v>
      </c>
      <c r="G2296" t="s">
        <v>3299</v>
      </c>
      <c r="H2296">
        <v>6022437788</v>
      </c>
      <c r="K2296" t="s">
        <v>7950</v>
      </c>
      <c r="L2296" t="s">
        <v>3043</v>
      </c>
      <c r="M2296" t="s">
        <v>1634</v>
      </c>
    </row>
    <row r="2297" spans="1:13" x14ac:dyDescent="0.25">
      <c r="A2297">
        <v>92250</v>
      </c>
      <c r="B2297" t="s">
        <v>649</v>
      </c>
      <c r="C2297" t="s">
        <v>7949</v>
      </c>
      <c r="D2297" t="s">
        <v>2596</v>
      </c>
      <c r="E2297" t="s">
        <v>1273</v>
      </c>
      <c r="F2297" t="s">
        <v>6009</v>
      </c>
      <c r="G2297" t="s">
        <v>7951</v>
      </c>
      <c r="H2297">
        <v>6022437788</v>
      </c>
      <c r="I2297">
        <v>244</v>
      </c>
      <c r="K2297" t="s">
        <v>7952</v>
      </c>
      <c r="L2297" t="s">
        <v>2649</v>
      </c>
      <c r="M2297" t="s">
        <v>1634</v>
      </c>
    </row>
    <row r="2298" spans="1:13" x14ac:dyDescent="0.25">
      <c r="A2298">
        <v>92250</v>
      </c>
      <c r="B2298" t="s">
        <v>649</v>
      </c>
      <c r="C2298" t="s">
        <v>7949</v>
      </c>
      <c r="D2298" t="s">
        <v>2596</v>
      </c>
      <c r="E2298" t="s">
        <v>1273</v>
      </c>
      <c r="F2298" t="s">
        <v>7953</v>
      </c>
      <c r="G2298" t="s">
        <v>7954</v>
      </c>
      <c r="H2298">
        <v>6022437788</v>
      </c>
      <c r="I2298">
        <v>245</v>
      </c>
      <c r="K2298" t="s">
        <v>7955</v>
      </c>
      <c r="L2298" t="s">
        <v>7956</v>
      </c>
      <c r="M2298" t="s">
        <v>1634</v>
      </c>
    </row>
    <row r="2299" spans="1:13" x14ac:dyDescent="0.25">
      <c r="A2299">
        <v>92250</v>
      </c>
      <c r="B2299" t="s">
        <v>649</v>
      </c>
      <c r="C2299" t="s">
        <v>7949</v>
      </c>
      <c r="D2299" t="s">
        <v>2596</v>
      </c>
      <c r="E2299" t="s">
        <v>1273</v>
      </c>
      <c r="F2299" t="s">
        <v>7957</v>
      </c>
      <c r="G2299" t="s">
        <v>6519</v>
      </c>
      <c r="H2299">
        <v>6022437788</v>
      </c>
      <c r="I2299">
        <v>244</v>
      </c>
      <c r="K2299" t="s">
        <v>7958</v>
      </c>
      <c r="L2299" t="s">
        <v>2649</v>
      </c>
      <c r="M2299" t="s">
        <v>1640</v>
      </c>
    </row>
    <row r="2300" spans="1:13" x14ac:dyDescent="0.25">
      <c r="A2300">
        <v>92250</v>
      </c>
      <c r="B2300" t="s">
        <v>649</v>
      </c>
      <c r="C2300" t="s">
        <v>7949</v>
      </c>
      <c r="D2300" t="s">
        <v>2596</v>
      </c>
      <c r="E2300" t="s">
        <v>1273</v>
      </c>
      <c r="F2300" t="s">
        <v>6009</v>
      </c>
      <c r="G2300" t="s">
        <v>7951</v>
      </c>
      <c r="H2300">
        <v>6022437788</v>
      </c>
      <c r="I2300">
        <v>244</v>
      </c>
      <c r="K2300" t="s">
        <v>7952</v>
      </c>
      <c r="L2300" t="s">
        <v>2649</v>
      </c>
      <c r="M2300" t="s">
        <v>1640</v>
      </c>
    </row>
    <row r="2301" spans="1:13" x14ac:dyDescent="0.25">
      <c r="A2301">
        <v>92250</v>
      </c>
      <c r="B2301" t="s">
        <v>649</v>
      </c>
      <c r="C2301" t="s">
        <v>7949</v>
      </c>
      <c r="D2301" t="s">
        <v>2596</v>
      </c>
      <c r="E2301" t="s">
        <v>1273</v>
      </c>
      <c r="F2301" t="s">
        <v>5808</v>
      </c>
      <c r="G2301" t="s">
        <v>3299</v>
      </c>
      <c r="H2301">
        <v>6022437788</v>
      </c>
      <c r="K2301" t="s">
        <v>7950</v>
      </c>
      <c r="L2301" t="s">
        <v>3043</v>
      </c>
      <c r="M2301" t="s">
        <v>1765</v>
      </c>
    </row>
    <row r="2302" spans="1:13" x14ac:dyDescent="0.25">
      <c r="A2302">
        <v>92250</v>
      </c>
      <c r="B2302" t="s">
        <v>649</v>
      </c>
      <c r="C2302" t="s">
        <v>7949</v>
      </c>
      <c r="D2302" t="s">
        <v>2596</v>
      </c>
      <c r="E2302" t="s">
        <v>1273</v>
      </c>
      <c r="F2302" t="s">
        <v>2977</v>
      </c>
      <c r="G2302" t="s">
        <v>7959</v>
      </c>
      <c r="K2302" t="s">
        <v>7960</v>
      </c>
      <c r="L2302" t="s">
        <v>7961</v>
      </c>
      <c r="M2302" t="s">
        <v>1765</v>
      </c>
    </row>
    <row r="2303" spans="1:13" x14ac:dyDescent="0.25">
      <c r="A2303">
        <v>85886</v>
      </c>
      <c r="B2303" t="s">
        <v>650</v>
      </c>
      <c r="C2303" t="s">
        <v>7962</v>
      </c>
      <c r="D2303" t="s">
        <v>2605</v>
      </c>
      <c r="E2303" t="s">
        <v>1273</v>
      </c>
      <c r="F2303" t="s">
        <v>5808</v>
      </c>
      <c r="G2303" t="s">
        <v>3299</v>
      </c>
      <c r="H2303">
        <v>6022437788</v>
      </c>
      <c r="J2303">
        <v>6022437799</v>
      </c>
      <c r="K2303" t="s">
        <v>7963</v>
      </c>
      <c r="L2303" t="s">
        <v>1668</v>
      </c>
      <c r="M2303" t="s">
        <v>1634</v>
      </c>
    </row>
    <row r="2304" spans="1:13" x14ac:dyDescent="0.25">
      <c r="A2304">
        <v>85886</v>
      </c>
      <c r="B2304" t="s">
        <v>650</v>
      </c>
      <c r="C2304" t="s">
        <v>7962</v>
      </c>
      <c r="D2304" t="s">
        <v>2605</v>
      </c>
      <c r="E2304" t="s">
        <v>1273</v>
      </c>
      <c r="F2304" t="s">
        <v>2977</v>
      </c>
      <c r="G2304" t="s">
        <v>7959</v>
      </c>
      <c r="K2304" t="s">
        <v>7960</v>
      </c>
      <c r="M2304" t="s">
        <v>1634</v>
      </c>
    </row>
    <row r="2305" spans="1:13" x14ac:dyDescent="0.25">
      <c r="A2305">
        <v>1000291</v>
      </c>
      <c r="B2305" t="s">
        <v>7964</v>
      </c>
      <c r="C2305" t="s">
        <v>7965</v>
      </c>
      <c r="D2305" t="s">
        <v>2596</v>
      </c>
      <c r="E2305" t="s">
        <v>1273</v>
      </c>
      <c r="F2305" t="s">
        <v>5784</v>
      </c>
      <c r="G2305" t="s">
        <v>7966</v>
      </c>
      <c r="H2305">
        <v>6029150563</v>
      </c>
      <c r="K2305" t="s">
        <v>7967</v>
      </c>
      <c r="L2305" t="s">
        <v>7968</v>
      </c>
      <c r="M2305" t="s">
        <v>1634</v>
      </c>
    </row>
    <row r="2306" spans="1:13" x14ac:dyDescent="0.25">
      <c r="A2306">
        <v>1000291</v>
      </c>
      <c r="B2306" t="s">
        <v>7964</v>
      </c>
      <c r="C2306" t="s">
        <v>7965</v>
      </c>
      <c r="D2306" t="s">
        <v>2596</v>
      </c>
      <c r="E2306" t="s">
        <v>1273</v>
      </c>
      <c r="F2306" t="s">
        <v>2429</v>
      </c>
      <c r="G2306" t="s">
        <v>2485</v>
      </c>
      <c r="H2306">
        <v>4802092429</v>
      </c>
      <c r="K2306" t="s">
        <v>7969</v>
      </c>
      <c r="L2306" t="s">
        <v>1668</v>
      </c>
      <c r="M2306" t="s">
        <v>1634</v>
      </c>
    </row>
    <row r="2307" spans="1:13" x14ac:dyDescent="0.25">
      <c r="A2307">
        <v>1000291</v>
      </c>
      <c r="B2307" t="s">
        <v>7964</v>
      </c>
      <c r="C2307" t="s">
        <v>7965</v>
      </c>
      <c r="D2307" t="s">
        <v>2596</v>
      </c>
      <c r="E2307" t="s">
        <v>1273</v>
      </c>
      <c r="F2307" t="s">
        <v>7018</v>
      </c>
      <c r="G2307" t="s">
        <v>2444</v>
      </c>
      <c r="K2307" t="s">
        <v>7970</v>
      </c>
      <c r="M2307" t="s">
        <v>1634</v>
      </c>
    </row>
    <row r="2308" spans="1:13" x14ac:dyDescent="0.25">
      <c r="A2308">
        <v>1000291</v>
      </c>
      <c r="B2308" t="s">
        <v>7964</v>
      </c>
      <c r="C2308" t="s">
        <v>7965</v>
      </c>
      <c r="D2308" t="s">
        <v>2596</v>
      </c>
      <c r="E2308" t="s">
        <v>1273</v>
      </c>
      <c r="F2308" t="s">
        <v>7971</v>
      </c>
      <c r="G2308" t="s">
        <v>7972</v>
      </c>
      <c r="K2308" t="s">
        <v>7973</v>
      </c>
      <c r="L2308" t="s">
        <v>4663</v>
      </c>
      <c r="M2308" t="s">
        <v>1640</v>
      </c>
    </row>
    <row r="2309" spans="1:13" x14ac:dyDescent="0.25">
      <c r="A2309">
        <v>1000291</v>
      </c>
      <c r="B2309" t="s">
        <v>7964</v>
      </c>
      <c r="C2309" t="s">
        <v>7965</v>
      </c>
      <c r="D2309" t="s">
        <v>2596</v>
      </c>
      <c r="E2309" t="s">
        <v>1273</v>
      </c>
      <c r="F2309" t="s">
        <v>4050</v>
      </c>
      <c r="G2309" t="s">
        <v>7974</v>
      </c>
      <c r="K2309" t="s">
        <v>7975</v>
      </c>
      <c r="L2309" t="s">
        <v>1640</v>
      </c>
      <c r="M2309" t="s">
        <v>1640</v>
      </c>
    </row>
    <row r="2310" spans="1:13" x14ac:dyDescent="0.25">
      <c r="A2310">
        <v>1000291</v>
      </c>
      <c r="B2310" t="s">
        <v>7964</v>
      </c>
      <c r="C2310" t="s">
        <v>7965</v>
      </c>
      <c r="D2310" t="s">
        <v>2596</v>
      </c>
      <c r="E2310" t="s">
        <v>1273</v>
      </c>
      <c r="F2310" t="s">
        <v>1787</v>
      </c>
      <c r="G2310" t="s">
        <v>7976</v>
      </c>
      <c r="K2310" t="s">
        <v>7977</v>
      </c>
      <c r="M2310" t="s">
        <v>1640</v>
      </c>
    </row>
    <row r="2311" spans="1:13" x14ac:dyDescent="0.25">
      <c r="A2311">
        <v>1000304</v>
      </c>
      <c r="B2311" t="s">
        <v>7978</v>
      </c>
      <c r="C2311" t="s">
        <v>7979</v>
      </c>
      <c r="D2311" t="s">
        <v>2605</v>
      </c>
      <c r="E2311" t="s">
        <v>1273</v>
      </c>
    </row>
    <row r="2312" spans="1:13" x14ac:dyDescent="0.25">
      <c r="A2312">
        <v>91170</v>
      </c>
      <c r="B2312" t="s">
        <v>7980</v>
      </c>
      <c r="C2312" t="s">
        <v>7981</v>
      </c>
      <c r="D2312" t="s">
        <v>2596</v>
      </c>
      <c r="E2312" t="s">
        <v>1273</v>
      </c>
      <c r="F2312" t="s">
        <v>2249</v>
      </c>
      <c r="G2312" t="s">
        <v>2705</v>
      </c>
      <c r="K2312" t="s">
        <v>7982</v>
      </c>
      <c r="M2312" t="s">
        <v>1634</v>
      </c>
    </row>
    <row r="2313" spans="1:13" x14ac:dyDescent="0.25">
      <c r="A2313">
        <v>91170</v>
      </c>
      <c r="B2313" t="s">
        <v>7980</v>
      </c>
      <c r="C2313" t="s">
        <v>7981</v>
      </c>
      <c r="D2313" t="s">
        <v>2596</v>
      </c>
      <c r="E2313" t="s">
        <v>1273</v>
      </c>
      <c r="F2313" t="s">
        <v>3113</v>
      </c>
      <c r="G2313" t="s">
        <v>7983</v>
      </c>
      <c r="H2313">
        <v>2625429546</v>
      </c>
      <c r="I2313">
        <v>16106</v>
      </c>
      <c r="K2313" t="s">
        <v>7984</v>
      </c>
      <c r="L2313" t="s">
        <v>7985</v>
      </c>
      <c r="M2313" t="s">
        <v>1640</v>
      </c>
    </row>
    <row r="2314" spans="1:13" x14ac:dyDescent="0.25">
      <c r="A2314">
        <v>91170</v>
      </c>
      <c r="B2314" t="s">
        <v>7980</v>
      </c>
      <c r="C2314" t="s">
        <v>7981</v>
      </c>
      <c r="D2314" t="s">
        <v>2596</v>
      </c>
      <c r="E2314" t="s">
        <v>1273</v>
      </c>
      <c r="F2314" t="s">
        <v>3113</v>
      </c>
      <c r="G2314" t="s">
        <v>7983</v>
      </c>
      <c r="H2314">
        <v>6022681212</v>
      </c>
      <c r="M2314" t="s">
        <v>1640</v>
      </c>
    </row>
    <row r="2315" spans="1:13" x14ac:dyDescent="0.25">
      <c r="A2315">
        <v>91170</v>
      </c>
      <c r="B2315" t="s">
        <v>7980</v>
      </c>
      <c r="C2315" t="s">
        <v>7981</v>
      </c>
      <c r="D2315" t="s">
        <v>2596</v>
      </c>
      <c r="E2315" t="s">
        <v>1273</v>
      </c>
      <c r="F2315" t="s">
        <v>3113</v>
      </c>
      <c r="G2315" t="s">
        <v>7983</v>
      </c>
      <c r="H2315">
        <v>2625429546</v>
      </c>
      <c r="I2315">
        <v>16106</v>
      </c>
      <c r="K2315" t="s">
        <v>7984</v>
      </c>
      <c r="L2315" t="s">
        <v>7985</v>
      </c>
      <c r="M2315" t="s">
        <v>1765</v>
      </c>
    </row>
    <row r="2316" spans="1:13" x14ac:dyDescent="0.25">
      <c r="A2316">
        <v>91171</v>
      </c>
      <c r="B2316" t="s">
        <v>7986</v>
      </c>
      <c r="C2316" t="s">
        <v>7987</v>
      </c>
      <c r="D2316" t="s">
        <v>2605</v>
      </c>
      <c r="E2316" t="s">
        <v>1273</v>
      </c>
      <c r="F2316" t="s">
        <v>7988</v>
      </c>
      <c r="G2316" t="s">
        <v>7989</v>
      </c>
      <c r="K2316" t="s">
        <v>7990</v>
      </c>
      <c r="L2316" t="s">
        <v>1721</v>
      </c>
      <c r="M2316" t="s">
        <v>1634</v>
      </c>
    </row>
    <row r="2317" spans="1:13" x14ac:dyDescent="0.25">
      <c r="A2317">
        <v>91275</v>
      </c>
      <c r="B2317" t="s">
        <v>706</v>
      </c>
      <c r="C2317" t="s">
        <v>7991</v>
      </c>
      <c r="D2317" t="s">
        <v>2596</v>
      </c>
      <c r="E2317" t="s">
        <v>1273</v>
      </c>
      <c r="F2317" t="s">
        <v>7318</v>
      </c>
      <c r="G2317" t="s">
        <v>7992</v>
      </c>
      <c r="H2317">
        <v>4804780748</v>
      </c>
      <c r="K2317" t="s">
        <v>7993</v>
      </c>
      <c r="L2317" t="s">
        <v>1746</v>
      </c>
      <c r="M2317" t="s">
        <v>1634</v>
      </c>
    </row>
    <row r="2318" spans="1:13" x14ac:dyDescent="0.25">
      <c r="A2318">
        <v>91275</v>
      </c>
      <c r="B2318" t="s">
        <v>706</v>
      </c>
      <c r="C2318" t="s">
        <v>7991</v>
      </c>
      <c r="D2318" t="s">
        <v>2596</v>
      </c>
      <c r="E2318" t="s">
        <v>1273</v>
      </c>
      <c r="F2318" t="s">
        <v>7994</v>
      </c>
      <c r="G2318" t="s">
        <v>2202</v>
      </c>
      <c r="H2318" t="s">
        <v>7995</v>
      </c>
      <c r="K2318" t="s">
        <v>7996</v>
      </c>
      <c r="L2318" t="s">
        <v>7997</v>
      </c>
      <c r="M2318" t="s">
        <v>1640</v>
      </c>
    </row>
    <row r="2319" spans="1:13" x14ac:dyDescent="0.25">
      <c r="A2319">
        <v>92223</v>
      </c>
      <c r="B2319" t="s">
        <v>706</v>
      </c>
      <c r="C2319" t="s">
        <v>7998</v>
      </c>
      <c r="D2319" t="s">
        <v>2605</v>
      </c>
      <c r="E2319" t="s">
        <v>1273</v>
      </c>
      <c r="F2319" t="s">
        <v>7999</v>
      </c>
      <c r="G2319" t="s">
        <v>6795</v>
      </c>
      <c r="H2319">
        <v>4804889362</v>
      </c>
      <c r="K2319" t="s">
        <v>8000</v>
      </c>
      <c r="L2319" t="s">
        <v>1640</v>
      </c>
      <c r="M2319" t="s">
        <v>1640</v>
      </c>
    </row>
    <row r="2320" spans="1:13" x14ac:dyDescent="0.25">
      <c r="A2320">
        <v>91307</v>
      </c>
      <c r="B2320" t="s">
        <v>8001</v>
      </c>
      <c r="C2320" t="s">
        <v>8002</v>
      </c>
      <c r="D2320" t="s">
        <v>2596</v>
      </c>
      <c r="E2320" t="s">
        <v>1273</v>
      </c>
      <c r="F2320" t="s">
        <v>8003</v>
      </c>
      <c r="G2320" t="s">
        <v>8004</v>
      </c>
      <c r="H2320">
        <v>4807276215</v>
      </c>
      <c r="K2320" t="s">
        <v>8005</v>
      </c>
      <c r="M2320" t="s">
        <v>1634</v>
      </c>
    </row>
    <row r="2321" spans="1:13" x14ac:dyDescent="0.25">
      <c r="A2321">
        <v>91307</v>
      </c>
      <c r="B2321" t="s">
        <v>8001</v>
      </c>
      <c r="C2321" t="s">
        <v>8002</v>
      </c>
      <c r="D2321" t="s">
        <v>2596</v>
      </c>
      <c r="E2321" t="s">
        <v>1273</v>
      </c>
      <c r="F2321" t="s">
        <v>1732</v>
      </c>
      <c r="G2321" t="s">
        <v>1976</v>
      </c>
      <c r="K2321" t="s">
        <v>8006</v>
      </c>
      <c r="M2321" t="s">
        <v>1634</v>
      </c>
    </row>
    <row r="2322" spans="1:13" x14ac:dyDescent="0.25">
      <c r="A2322">
        <v>91307</v>
      </c>
      <c r="B2322" t="s">
        <v>8001</v>
      </c>
      <c r="C2322" t="s">
        <v>8002</v>
      </c>
      <c r="D2322" t="s">
        <v>2596</v>
      </c>
      <c r="E2322" t="s">
        <v>1273</v>
      </c>
      <c r="F2322" t="s">
        <v>7508</v>
      </c>
      <c r="G2322" t="s">
        <v>8007</v>
      </c>
      <c r="H2322">
        <v>4809654470</v>
      </c>
      <c r="K2322" t="s">
        <v>8008</v>
      </c>
      <c r="L2322" t="s">
        <v>8009</v>
      </c>
      <c r="M2322" t="s">
        <v>1634</v>
      </c>
    </row>
    <row r="2323" spans="1:13" x14ac:dyDescent="0.25">
      <c r="A2323">
        <v>91307</v>
      </c>
      <c r="B2323" t="s">
        <v>8001</v>
      </c>
      <c r="C2323" t="s">
        <v>8002</v>
      </c>
      <c r="D2323" t="s">
        <v>2596</v>
      </c>
      <c r="E2323" t="s">
        <v>1273</v>
      </c>
      <c r="F2323" t="s">
        <v>6792</v>
      </c>
      <c r="G2323" t="s">
        <v>8010</v>
      </c>
      <c r="K2323" t="s">
        <v>8011</v>
      </c>
      <c r="L2323" t="s">
        <v>8012</v>
      </c>
      <c r="M2323" t="s">
        <v>1640</v>
      </c>
    </row>
    <row r="2324" spans="1:13" x14ac:dyDescent="0.25">
      <c r="A2324">
        <v>91307</v>
      </c>
      <c r="B2324" t="s">
        <v>8001</v>
      </c>
      <c r="C2324" t="s">
        <v>8002</v>
      </c>
      <c r="D2324" t="s">
        <v>2596</v>
      </c>
      <c r="E2324" t="s">
        <v>1273</v>
      </c>
      <c r="F2324" t="s">
        <v>8013</v>
      </c>
      <c r="G2324" t="s">
        <v>8014</v>
      </c>
      <c r="H2324">
        <v>4807275805</v>
      </c>
      <c r="M2324" t="s">
        <v>1640</v>
      </c>
    </row>
    <row r="2325" spans="1:13" x14ac:dyDescent="0.25">
      <c r="A2325">
        <v>91307</v>
      </c>
      <c r="B2325" t="s">
        <v>8001</v>
      </c>
      <c r="C2325" t="s">
        <v>8002</v>
      </c>
      <c r="D2325" t="s">
        <v>2596</v>
      </c>
      <c r="E2325" t="s">
        <v>1273</v>
      </c>
      <c r="F2325" t="s">
        <v>2009</v>
      </c>
      <c r="G2325" t="s">
        <v>3419</v>
      </c>
      <c r="H2325">
        <v>4807276223</v>
      </c>
      <c r="K2325" t="s">
        <v>8015</v>
      </c>
      <c r="M2325" t="s">
        <v>1765</v>
      </c>
    </row>
    <row r="2326" spans="1:13" x14ac:dyDescent="0.25">
      <c r="A2326">
        <v>91308</v>
      </c>
      <c r="B2326" t="s">
        <v>8016</v>
      </c>
      <c r="C2326" t="s">
        <v>8017</v>
      </c>
      <c r="D2326" t="s">
        <v>2605</v>
      </c>
      <c r="E2326" t="s">
        <v>1273</v>
      </c>
      <c r="F2326" t="s">
        <v>2313</v>
      </c>
      <c r="G2326" t="s">
        <v>7083</v>
      </c>
      <c r="H2326">
        <v>4807275700</v>
      </c>
      <c r="K2326" t="s">
        <v>8018</v>
      </c>
      <c r="L2326" t="s">
        <v>8019</v>
      </c>
      <c r="M2326" t="s">
        <v>1634</v>
      </c>
    </row>
    <row r="2327" spans="1:13" x14ac:dyDescent="0.25">
      <c r="A2327">
        <v>91308</v>
      </c>
      <c r="B2327" t="s">
        <v>8016</v>
      </c>
      <c r="C2327" t="s">
        <v>8017</v>
      </c>
      <c r="D2327" t="s">
        <v>2605</v>
      </c>
      <c r="E2327" t="s">
        <v>1273</v>
      </c>
      <c r="F2327" t="s">
        <v>2672</v>
      </c>
      <c r="G2327" t="s">
        <v>8020</v>
      </c>
      <c r="H2327">
        <v>4807275737</v>
      </c>
      <c r="K2327" t="s">
        <v>8021</v>
      </c>
      <c r="L2327" t="s">
        <v>2180</v>
      </c>
      <c r="M2327" t="s">
        <v>1634</v>
      </c>
    </row>
    <row r="2328" spans="1:13" x14ac:dyDescent="0.25">
      <c r="A2328">
        <v>91250</v>
      </c>
      <c r="B2328" t="s">
        <v>8022</v>
      </c>
      <c r="C2328" t="s">
        <v>8023</v>
      </c>
      <c r="D2328" t="s">
        <v>2596</v>
      </c>
      <c r="E2328" t="s">
        <v>1273</v>
      </c>
    </row>
    <row r="2329" spans="1:13" x14ac:dyDescent="0.25">
      <c r="A2329">
        <v>91775</v>
      </c>
      <c r="B2329" t="s">
        <v>8024</v>
      </c>
      <c r="C2329" t="s">
        <v>8025</v>
      </c>
      <c r="D2329" t="s">
        <v>2605</v>
      </c>
      <c r="E2329" t="s">
        <v>1273</v>
      </c>
    </row>
    <row r="2330" spans="1:13" x14ac:dyDescent="0.25">
      <c r="A2330">
        <v>1001182</v>
      </c>
      <c r="B2330" t="s">
        <v>8026</v>
      </c>
      <c r="C2330" t="s">
        <v>8027</v>
      </c>
      <c r="D2330" t="s">
        <v>2605</v>
      </c>
      <c r="E2330" t="s">
        <v>1273</v>
      </c>
    </row>
    <row r="2331" spans="1:13" x14ac:dyDescent="0.25">
      <c r="A2331">
        <v>91303</v>
      </c>
      <c r="B2331" t="s">
        <v>8001</v>
      </c>
      <c r="C2331" t="s">
        <v>8028</v>
      </c>
      <c r="D2331" t="s">
        <v>2596</v>
      </c>
      <c r="E2331" t="s">
        <v>1273</v>
      </c>
      <c r="F2331" t="s">
        <v>8003</v>
      </c>
      <c r="G2331" t="s">
        <v>8004</v>
      </c>
      <c r="H2331">
        <v>4807276215</v>
      </c>
      <c r="K2331" t="s">
        <v>8005</v>
      </c>
      <c r="M2331" t="s">
        <v>1634</v>
      </c>
    </row>
    <row r="2332" spans="1:13" x14ac:dyDescent="0.25">
      <c r="A2332">
        <v>91303</v>
      </c>
      <c r="B2332" t="s">
        <v>8001</v>
      </c>
      <c r="C2332" t="s">
        <v>8028</v>
      </c>
      <c r="D2332" t="s">
        <v>2596</v>
      </c>
      <c r="E2332" t="s">
        <v>1273</v>
      </c>
      <c r="F2332" t="s">
        <v>1732</v>
      </c>
      <c r="G2332" t="s">
        <v>1976</v>
      </c>
      <c r="K2332" t="s">
        <v>8006</v>
      </c>
      <c r="M2332" t="s">
        <v>1634</v>
      </c>
    </row>
    <row r="2333" spans="1:13" x14ac:dyDescent="0.25">
      <c r="A2333">
        <v>91303</v>
      </c>
      <c r="B2333" t="s">
        <v>8001</v>
      </c>
      <c r="C2333" t="s">
        <v>8028</v>
      </c>
      <c r="D2333" t="s">
        <v>2596</v>
      </c>
      <c r="E2333" t="s">
        <v>1273</v>
      </c>
      <c r="F2333" t="s">
        <v>6792</v>
      </c>
      <c r="G2333" t="s">
        <v>8010</v>
      </c>
      <c r="K2333" t="s">
        <v>8011</v>
      </c>
      <c r="L2333" t="s">
        <v>8012</v>
      </c>
      <c r="M2333" t="s">
        <v>1640</v>
      </c>
    </row>
    <row r="2334" spans="1:13" x14ac:dyDescent="0.25">
      <c r="A2334">
        <v>91303</v>
      </c>
      <c r="B2334" t="s">
        <v>8001</v>
      </c>
      <c r="C2334" t="s">
        <v>8028</v>
      </c>
      <c r="D2334" t="s">
        <v>2596</v>
      </c>
      <c r="E2334" t="s">
        <v>1273</v>
      </c>
      <c r="F2334" t="s">
        <v>8013</v>
      </c>
      <c r="G2334" t="s">
        <v>8014</v>
      </c>
      <c r="H2334">
        <v>4807276215</v>
      </c>
      <c r="M2334" t="s">
        <v>1640</v>
      </c>
    </row>
    <row r="2335" spans="1:13" x14ac:dyDescent="0.25">
      <c r="A2335">
        <v>91304</v>
      </c>
      <c r="B2335" t="s">
        <v>8029</v>
      </c>
      <c r="C2335" t="s">
        <v>8030</v>
      </c>
      <c r="D2335" t="s">
        <v>2605</v>
      </c>
      <c r="E2335" t="s">
        <v>1273</v>
      </c>
    </row>
    <row r="2336" spans="1:13" x14ac:dyDescent="0.25">
      <c r="A2336">
        <v>91305</v>
      </c>
      <c r="B2336" t="s">
        <v>8001</v>
      </c>
      <c r="C2336" t="s">
        <v>8031</v>
      </c>
      <c r="D2336" t="s">
        <v>2596</v>
      </c>
      <c r="E2336" t="s">
        <v>1273</v>
      </c>
      <c r="F2336" t="s">
        <v>8003</v>
      </c>
      <c r="G2336" t="s">
        <v>8004</v>
      </c>
      <c r="H2336">
        <v>4807276215</v>
      </c>
      <c r="K2336" t="s">
        <v>8005</v>
      </c>
      <c r="L2336" t="s">
        <v>8032</v>
      </c>
      <c r="M2336" t="s">
        <v>1634</v>
      </c>
    </row>
    <row r="2337" spans="1:13" x14ac:dyDescent="0.25">
      <c r="A2337">
        <v>91305</v>
      </c>
      <c r="B2337" t="s">
        <v>8001</v>
      </c>
      <c r="C2337" t="s">
        <v>8031</v>
      </c>
      <c r="D2337" t="s">
        <v>2596</v>
      </c>
      <c r="E2337" t="s">
        <v>1273</v>
      </c>
      <c r="F2337" t="s">
        <v>6792</v>
      </c>
      <c r="G2337" t="s">
        <v>8010</v>
      </c>
      <c r="K2337" t="s">
        <v>8011</v>
      </c>
      <c r="L2337" t="s">
        <v>8012</v>
      </c>
      <c r="M2337" t="s">
        <v>1640</v>
      </c>
    </row>
    <row r="2338" spans="1:13" x14ac:dyDescent="0.25">
      <c r="A2338">
        <v>91305</v>
      </c>
      <c r="B2338" t="s">
        <v>8001</v>
      </c>
      <c r="C2338" t="s">
        <v>8031</v>
      </c>
      <c r="D2338" t="s">
        <v>2596</v>
      </c>
      <c r="E2338" t="s">
        <v>1273</v>
      </c>
      <c r="F2338" t="s">
        <v>8013</v>
      </c>
      <c r="G2338" t="s">
        <v>8014</v>
      </c>
      <c r="H2338">
        <v>4807275805</v>
      </c>
      <c r="M2338" t="s">
        <v>1640</v>
      </c>
    </row>
    <row r="2339" spans="1:13" x14ac:dyDescent="0.25">
      <c r="A2339">
        <v>91306</v>
      </c>
      <c r="B2339" t="s">
        <v>8033</v>
      </c>
      <c r="C2339" t="s">
        <v>8034</v>
      </c>
      <c r="D2339" t="s">
        <v>2605</v>
      </c>
      <c r="E2339" t="s">
        <v>1273</v>
      </c>
      <c r="F2339" t="s">
        <v>8035</v>
      </c>
      <c r="G2339" t="s">
        <v>8036</v>
      </c>
      <c r="H2339">
        <v>4807275769</v>
      </c>
      <c r="K2339" t="s">
        <v>8037</v>
      </c>
      <c r="L2339" t="s">
        <v>8038</v>
      </c>
      <c r="M2339" t="s">
        <v>1634</v>
      </c>
    </row>
    <row r="2340" spans="1:13" x14ac:dyDescent="0.25">
      <c r="A2340">
        <v>91306</v>
      </c>
      <c r="B2340" t="s">
        <v>8033</v>
      </c>
      <c r="C2340" t="s">
        <v>8034</v>
      </c>
      <c r="D2340" t="s">
        <v>2605</v>
      </c>
      <c r="E2340" t="s">
        <v>1273</v>
      </c>
      <c r="F2340" t="s">
        <v>4581</v>
      </c>
      <c r="G2340" t="s">
        <v>8039</v>
      </c>
      <c r="H2340">
        <v>4807275725</v>
      </c>
      <c r="K2340" t="s">
        <v>8040</v>
      </c>
      <c r="L2340" t="s">
        <v>8041</v>
      </c>
      <c r="M2340" t="s">
        <v>1634</v>
      </c>
    </row>
    <row r="2341" spans="1:13" x14ac:dyDescent="0.25">
      <c r="A2341">
        <v>91317</v>
      </c>
      <c r="B2341" t="s">
        <v>8042</v>
      </c>
      <c r="C2341" t="s">
        <v>8043</v>
      </c>
      <c r="D2341" t="s">
        <v>2596</v>
      </c>
      <c r="E2341" t="s">
        <v>1273</v>
      </c>
      <c r="F2341" t="s">
        <v>3760</v>
      </c>
      <c r="G2341" t="s">
        <v>1905</v>
      </c>
      <c r="H2341">
        <v>6234782344</v>
      </c>
      <c r="K2341" t="s">
        <v>8044</v>
      </c>
      <c r="L2341" t="s">
        <v>8045</v>
      </c>
      <c r="M2341" t="s">
        <v>1634</v>
      </c>
    </row>
    <row r="2342" spans="1:13" x14ac:dyDescent="0.25">
      <c r="A2342">
        <v>91317</v>
      </c>
      <c r="B2342" t="s">
        <v>8042</v>
      </c>
      <c r="C2342" t="s">
        <v>8043</v>
      </c>
      <c r="D2342" t="s">
        <v>2596</v>
      </c>
      <c r="E2342" t="s">
        <v>1273</v>
      </c>
      <c r="F2342" t="s">
        <v>2189</v>
      </c>
      <c r="G2342" t="s">
        <v>8046</v>
      </c>
      <c r="H2342">
        <v>6234668855</v>
      </c>
      <c r="I2342">
        <v>109</v>
      </c>
      <c r="K2342" t="s">
        <v>8047</v>
      </c>
      <c r="L2342" t="s">
        <v>1634</v>
      </c>
      <c r="M2342" t="s">
        <v>1634</v>
      </c>
    </row>
    <row r="2343" spans="1:13" x14ac:dyDescent="0.25">
      <c r="A2343">
        <v>91317</v>
      </c>
      <c r="B2343" t="s">
        <v>8042</v>
      </c>
      <c r="C2343" t="s">
        <v>8043</v>
      </c>
      <c r="D2343" t="s">
        <v>2596</v>
      </c>
      <c r="E2343" t="s">
        <v>1273</v>
      </c>
      <c r="F2343" t="s">
        <v>8048</v>
      </c>
      <c r="G2343" t="s">
        <v>8049</v>
      </c>
      <c r="H2343">
        <v>6234668855</v>
      </c>
      <c r="I2343">
        <v>179</v>
      </c>
      <c r="K2343" t="s">
        <v>8050</v>
      </c>
      <c r="L2343" t="s">
        <v>8051</v>
      </c>
      <c r="M2343" t="s">
        <v>1634</v>
      </c>
    </row>
    <row r="2344" spans="1:13" x14ac:dyDescent="0.25">
      <c r="A2344">
        <v>91317</v>
      </c>
      <c r="B2344" t="s">
        <v>8042</v>
      </c>
      <c r="C2344" t="s">
        <v>8043</v>
      </c>
      <c r="D2344" t="s">
        <v>2596</v>
      </c>
      <c r="E2344" t="s">
        <v>1273</v>
      </c>
      <c r="F2344" t="s">
        <v>1914</v>
      </c>
      <c r="G2344" t="s">
        <v>2927</v>
      </c>
      <c r="H2344">
        <v>6234782344</v>
      </c>
      <c r="I2344">
        <v>108</v>
      </c>
      <c r="K2344" t="s">
        <v>8052</v>
      </c>
      <c r="L2344" t="s">
        <v>1923</v>
      </c>
      <c r="M2344" t="s">
        <v>1765</v>
      </c>
    </row>
    <row r="2345" spans="1:13" x14ac:dyDescent="0.25">
      <c r="A2345">
        <v>91318</v>
      </c>
      <c r="B2345" t="s">
        <v>8053</v>
      </c>
      <c r="C2345" t="s">
        <v>8054</v>
      </c>
      <c r="D2345" t="s">
        <v>2605</v>
      </c>
      <c r="E2345" t="s">
        <v>1273</v>
      </c>
      <c r="F2345" t="s">
        <v>3760</v>
      </c>
      <c r="G2345" t="s">
        <v>1905</v>
      </c>
      <c r="H2345">
        <v>6234782344</v>
      </c>
      <c r="K2345" t="s">
        <v>8044</v>
      </c>
      <c r="L2345" t="s">
        <v>8045</v>
      </c>
      <c r="M2345" t="s">
        <v>1634</v>
      </c>
    </row>
    <row r="2346" spans="1:13" x14ac:dyDescent="0.25">
      <c r="A2346">
        <v>91318</v>
      </c>
      <c r="B2346" t="s">
        <v>8053</v>
      </c>
      <c r="C2346" t="s">
        <v>8054</v>
      </c>
      <c r="D2346" t="s">
        <v>2605</v>
      </c>
      <c r="E2346" t="s">
        <v>1273</v>
      </c>
      <c r="F2346" t="s">
        <v>7224</v>
      </c>
      <c r="G2346" t="s">
        <v>8055</v>
      </c>
      <c r="H2346">
        <v>6234668855</v>
      </c>
      <c r="J2346">
        <v>6234553270</v>
      </c>
      <c r="K2346" t="s">
        <v>8056</v>
      </c>
      <c r="L2346" t="s">
        <v>1647</v>
      </c>
      <c r="M2346" t="s">
        <v>1634</v>
      </c>
    </row>
    <row r="2347" spans="1:13" x14ac:dyDescent="0.25">
      <c r="A2347">
        <v>91318</v>
      </c>
      <c r="B2347" t="s">
        <v>8053</v>
      </c>
      <c r="C2347" t="s">
        <v>8054</v>
      </c>
      <c r="D2347" t="s">
        <v>2605</v>
      </c>
      <c r="E2347" t="s">
        <v>1273</v>
      </c>
      <c r="F2347" t="s">
        <v>3778</v>
      </c>
      <c r="G2347" t="s">
        <v>8057</v>
      </c>
      <c r="H2347">
        <v>6234668855</v>
      </c>
      <c r="K2347" t="s">
        <v>8058</v>
      </c>
      <c r="L2347" t="s">
        <v>1647</v>
      </c>
      <c r="M2347" t="s">
        <v>1634</v>
      </c>
    </row>
    <row r="2348" spans="1:13" x14ac:dyDescent="0.25">
      <c r="A2348">
        <v>91318</v>
      </c>
      <c r="B2348" t="s">
        <v>8053</v>
      </c>
      <c r="C2348" t="s">
        <v>8054</v>
      </c>
      <c r="D2348" t="s">
        <v>2605</v>
      </c>
      <c r="E2348" t="s">
        <v>1273</v>
      </c>
      <c r="F2348" t="s">
        <v>7224</v>
      </c>
      <c r="G2348" t="s">
        <v>8055</v>
      </c>
      <c r="H2348">
        <v>6234668855</v>
      </c>
      <c r="J2348">
        <v>6234553270</v>
      </c>
      <c r="K2348" t="s">
        <v>8056</v>
      </c>
      <c r="L2348" t="s">
        <v>1647</v>
      </c>
      <c r="M2348" t="s">
        <v>1640</v>
      </c>
    </row>
    <row r="2349" spans="1:13" x14ac:dyDescent="0.25">
      <c r="A2349">
        <v>91318</v>
      </c>
      <c r="B2349" t="s">
        <v>8053</v>
      </c>
      <c r="C2349" t="s">
        <v>8054</v>
      </c>
      <c r="D2349" t="s">
        <v>2605</v>
      </c>
      <c r="E2349" t="s">
        <v>1273</v>
      </c>
      <c r="F2349" t="s">
        <v>1914</v>
      </c>
      <c r="G2349" t="s">
        <v>2927</v>
      </c>
      <c r="H2349">
        <v>6234782344</v>
      </c>
      <c r="I2349">
        <v>108</v>
      </c>
      <c r="K2349" t="s">
        <v>8052</v>
      </c>
      <c r="L2349" t="s">
        <v>1923</v>
      </c>
      <c r="M2349" t="s">
        <v>1765</v>
      </c>
    </row>
    <row r="2350" spans="1:13" x14ac:dyDescent="0.25">
      <c r="A2350">
        <v>91326</v>
      </c>
      <c r="B2350" t="s">
        <v>8059</v>
      </c>
      <c r="C2350" t="s">
        <v>8060</v>
      </c>
      <c r="D2350" t="s">
        <v>2596</v>
      </c>
      <c r="E2350" t="s">
        <v>1273</v>
      </c>
      <c r="F2350" t="s">
        <v>6014</v>
      </c>
      <c r="G2350" t="s">
        <v>8061</v>
      </c>
      <c r="K2350" t="s">
        <v>8062</v>
      </c>
      <c r="L2350" t="s">
        <v>8063</v>
      </c>
      <c r="M2350" t="s">
        <v>1634</v>
      </c>
    </row>
    <row r="2351" spans="1:13" x14ac:dyDescent="0.25">
      <c r="A2351">
        <v>91326</v>
      </c>
      <c r="B2351" t="s">
        <v>8059</v>
      </c>
      <c r="C2351" t="s">
        <v>8060</v>
      </c>
      <c r="D2351" t="s">
        <v>2596</v>
      </c>
      <c r="E2351" t="s">
        <v>1273</v>
      </c>
      <c r="F2351" t="s">
        <v>3838</v>
      </c>
      <c r="G2351" t="s">
        <v>8064</v>
      </c>
      <c r="K2351" t="s">
        <v>8065</v>
      </c>
      <c r="L2351" t="s">
        <v>1640</v>
      </c>
      <c r="M2351" t="s">
        <v>1640</v>
      </c>
    </row>
    <row r="2352" spans="1:13" x14ac:dyDescent="0.25">
      <c r="A2352">
        <v>91326</v>
      </c>
      <c r="B2352" t="s">
        <v>8059</v>
      </c>
      <c r="C2352" t="s">
        <v>8060</v>
      </c>
      <c r="D2352" t="s">
        <v>2596</v>
      </c>
      <c r="E2352" t="s">
        <v>1273</v>
      </c>
      <c r="F2352" t="s">
        <v>8066</v>
      </c>
      <c r="G2352" t="s">
        <v>2926</v>
      </c>
      <c r="M2352" t="s">
        <v>1640</v>
      </c>
    </row>
    <row r="2353" spans="1:13" x14ac:dyDescent="0.25">
      <c r="A2353">
        <v>92230</v>
      </c>
      <c r="B2353" t="s">
        <v>8059</v>
      </c>
      <c r="C2353" t="s">
        <v>8067</v>
      </c>
      <c r="D2353" t="s">
        <v>2605</v>
      </c>
      <c r="E2353" t="s">
        <v>1273</v>
      </c>
      <c r="F2353" t="s">
        <v>6014</v>
      </c>
      <c r="G2353" t="s">
        <v>8061</v>
      </c>
      <c r="H2353">
        <v>4802166110</v>
      </c>
      <c r="K2353" t="s">
        <v>8068</v>
      </c>
      <c r="L2353" t="s">
        <v>3043</v>
      </c>
      <c r="M2353" t="s">
        <v>1634</v>
      </c>
    </row>
    <row r="2354" spans="1:13" x14ac:dyDescent="0.25">
      <c r="A2354">
        <v>92230</v>
      </c>
      <c r="B2354" t="s">
        <v>8059</v>
      </c>
      <c r="C2354" t="s">
        <v>8067</v>
      </c>
      <c r="D2354" t="s">
        <v>2605</v>
      </c>
      <c r="E2354" t="s">
        <v>1273</v>
      </c>
      <c r="F2354" t="s">
        <v>3772</v>
      </c>
      <c r="G2354" t="s">
        <v>5175</v>
      </c>
      <c r="H2354">
        <v>6233986968</v>
      </c>
      <c r="K2354" t="s">
        <v>8069</v>
      </c>
      <c r="L2354" t="s">
        <v>1647</v>
      </c>
      <c r="M2354" t="s">
        <v>1634</v>
      </c>
    </row>
    <row r="2355" spans="1:13" x14ac:dyDescent="0.25">
      <c r="A2355">
        <v>92230</v>
      </c>
      <c r="B2355" t="s">
        <v>8059</v>
      </c>
      <c r="C2355" t="s">
        <v>8067</v>
      </c>
      <c r="D2355" t="s">
        <v>2605</v>
      </c>
      <c r="E2355" t="s">
        <v>1273</v>
      </c>
      <c r="F2355" t="s">
        <v>8066</v>
      </c>
      <c r="G2355" t="s">
        <v>2926</v>
      </c>
      <c r="H2355">
        <v>6233986968</v>
      </c>
      <c r="K2355" t="s">
        <v>8070</v>
      </c>
      <c r="L2355" t="s">
        <v>6030</v>
      </c>
      <c r="M2355" t="s">
        <v>1640</v>
      </c>
    </row>
    <row r="2356" spans="1:13" x14ac:dyDescent="0.25">
      <c r="A2356">
        <v>92230</v>
      </c>
      <c r="B2356" t="s">
        <v>8059</v>
      </c>
      <c r="C2356" t="s">
        <v>8067</v>
      </c>
      <c r="D2356" t="s">
        <v>2605</v>
      </c>
      <c r="E2356" t="s">
        <v>1273</v>
      </c>
      <c r="F2356" t="s">
        <v>1820</v>
      </c>
      <c r="G2356" t="s">
        <v>8071</v>
      </c>
      <c r="K2356" t="s">
        <v>8072</v>
      </c>
      <c r="L2356" t="s">
        <v>6030</v>
      </c>
      <c r="M2356" t="s">
        <v>1640</v>
      </c>
    </row>
    <row r="2357" spans="1:13" x14ac:dyDescent="0.25">
      <c r="A2357">
        <v>1000253</v>
      </c>
      <c r="B2357" t="s">
        <v>8073</v>
      </c>
      <c r="C2357" t="s">
        <v>8074</v>
      </c>
      <c r="D2357" t="s">
        <v>2605</v>
      </c>
      <c r="E2357" t="s">
        <v>1273</v>
      </c>
    </row>
    <row r="2358" spans="1:13" x14ac:dyDescent="0.25">
      <c r="A2358">
        <v>91339</v>
      </c>
      <c r="B2358" t="s">
        <v>3049</v>
      </c>
      <c r="C2358" t="s">
        <v>8075</v>
      </c>
      <c r="D2358" t="s">
        <v>2596</v>
      </c>
      <c r="E2358" t="s">
        <v>1273</v>
      </c>
      <c r="F2358" t="s">
        <v>3051</v>
      </c>
      <c r="G2358" t="s">
        <v>3052</v>
      </c>
      <c r="K2358" t="s">
        <v>3053</v>
      </c>
      <c r="M2358" t="s">
        <v>1634</v>
      </c>
    </row>
    <row r="2359" spans="1:13" x14ac:dyDescent="0.25">
      <c r="A2359">
        <v>91339</v>
      </c>
      <c r="B2359" t="s">
        <v>3049</v>
      </c>
      <c r="C2359" t="s">
        <v>8075</v>
      </c>
      <c r="D2359" t="s">
        <v>2596</v>
      </c>
      <c r="E2359" t="s">
        <v>1273</v>
      </c>
      <c r="F2359" t="s">
        <v>3057</v>
      </c>
      <c r="G2359" t="s">
        <v>2969</v>
      </c>
      <c r="H2359">
        <v>4802892088</v>
      </c>
      <c r="K2359" t="s">
        <v>3058</v>
      </c>
      <c r="L2359" t="s">
        <v>3059</v>
      </c>
      <c r="M2359" t="s">
        <v>1634</v>
      </c>
    </row>
    <row r="2360" spans="1:13" x14ac:dyDescent="0.25">
      <c r="A2360">
        <v>91339</v>
      </c>
      <c r="B2360" t="s">
        <v>3049</v>
      </c>
      <c r="C2360" t="s">
        <v>8075</v>
      </c>
      <c r="D2360" t="s">
        <v>2596</v>
      </c>
      <c r="E2360" t="s">
        <v>1273</v>
      </c>
      <c r="F2360" t="s">
        <v>1848</v>
      </c>
      <c r="G2360" t="s">
        <v>3060</v>
      </c>
      <c r="K2360" t="s">
        <v>3061</v>
      </c>
      <c r="L2360" t="s">
        <v>3062</v>
      </c>
      <c r="M2360" t="s">
        <v>1634</v>
      </c>
    </row>
    <row r="2361" spans="1:13" x14ac:dyDescent="0.25">
      <c r="A2361">
        <v>91339</v>
      </c>
      <c r="B2361" t="s">
        <v>3049</v>
      </c>
      <c r="C2361" t="s">
        <v>8075</v>
      </c>
      <c r="D2361" t="s">
        <v>2596</v>
      </c>
      <c r="E2361" t="s">
        <v>1273</v>
      </c>
      <c r="F2361" t="s">
        <v>2261</v>
      </c>
      <c r="G2361" t="s">
        <v>3063</v>
      </c>
      <c r="K2361" t="s">
        <v>3064</v>
      </c>
      <c r="L2361" t="s">
        <v>3065</v>
      </c>
      <c r="M2361" t="s">
        <v>1634</v>
      </c>
    </row>
    <row r="2362" spans="1:13" x14ac:dyDescent="0.25">
      <c r="A2362">
        <v>92030</v>
      </c>
      <c r="B2362" t="s">
        <v>8076</v>
      </c>
      <c r="C2362" t="s">
        <v>8077</v>
      </c>
      <c r="D2362" t="s">
        <v>2605</v>
      </c>
      <c r="E2362" t="s">
        <v>1273</v>
      </c>
      <c r="F2362" t="s">
        <v>7018</v>
      </c>
      <c r="G2362" t="s">
        <v>8078</v>
      </c>
      <c r="H2362">
        <v>4806592294</v>
      </c>
      <c r="K2362" t="s">
        <v>8079</v>
      </c>
      <c r="L2362" t="s">
        <v>8080</v>
      </c>
      <c r="M2362" t="s">
        <v>1640</v>
      </c>
    </row>
    <row r="2363" spans="1:13" x14ac:dyDescent="0.25">
      <c r="A2363">
        <v>91340</v>
      </c>
      <c r="B2363" t="s">
        <v>8081</v>
      </c>
      <c r="C2363" t="s">
        <v>8082</v>
      </c>
      <c r="D2363" t="s">
        <v>2596</v>
      </c>
      <c r="E2363" t="s">
        <v>1273</v>
      </c>
      <c r="F2363" t="s">
        <v>8083</v>
      </c>
      <c r="G2363" t="s">
        <v>8084</v>
      </c>
      <c r="H2363">
        <v>4808604330</v>
      </c>
      <c r="K2363" t="s">
        <v>8085</v>
      </c>
      <c r="L2363" t="s">
        <v>8086</v>
      </c>
      <c r="M2363" t="s">
        <v>1634</v>
      </c>
    </row>
    <row r="2364" spans="1:13" x14ac:dyDescent="0.25">
      <c r="A2364">
        <v>92247</v>
      </c>
      <c r="B2364" t="s">
        <v>8081</v>
      </c>
      <c r="C2364" t="s">
        <v>8087</v>
      </c>
      <c r="D2364" t="s">
        <v>2605</v>
      </c>
      <c r="E2364" t="s">
        <v>1273</v>
      </c>
      <c r="F2364" t="s">
        <v>8083</v>
      </c>
      <c r="G2364" t="s">
        <v>8084</v>
      </c>
      <c r="K2364" t="s">
        <v>8085</v>
      </c>
      <c r="L2364" t="s">
        <v>8086</v>
      </c>
      <c r="M2364" t="s">
        <v>1634</v>
      </c>
    </row>
    <row r="2365" spans="1:13" x14ac:dyDescent="0.25">
      <c r="A2365">
        <v>91758</v>
      </c>
      <c r="B2365" t="s">
        <v>8088</v>
      </c>
      <c r="C2365" t="s">
        <v>8089</v>
      </c>
      <c r="D2365" t="s">
        <v>2596</v>
      </c>
      <c r="E2365" t="s">
        <v>1273</v>
      </c>
      <c r="F2365" t="s">
        <v>2307</v>
      </c>
      <c r="G2365" t="s">
        <v>8090</v>
      </c>
      <c r="H2365">
        <v>4802977676</v>
      </c>
      <c r="K2365" t="s">
        <v>8091</v>
      </c>
      <c r="M2365" t="s">
        <v>1634</v>
      </c>
    </row>
    <row r="2366" spans="1:13" x14ac:dyDescent="0.25">
      <c r="A2366">
        <v>91758</v>
      </c>
      <c r="B2366" t="s">
        <v>8088</v>
      </c>
      <c r="C2366" t="s">
        <v>8089</v>
      </c>
      <c r="D2366" t="s">
        <v>2596</v>
      </c>
      <c r="E2366" t="s">
        <v>1273</v>
      </c>
      <c r="F2366" t="s">
        <v>6014</v>
      </c>
      <c r="G2366" t="s">
        <v>8092</v>
      </c>
      <c r="H2366">
        <v>6024387045</v>
      </c>
      <c r="K2366" t="s">
        <v>8093</v>
      </c>
      <c r="M2366" t="s">
        <v>1640</v>
      </c>
    </row>
    <row r="2367" spans="1:13" x14ac:dyDescent="0.25">
      <c r="A2367">
        <v>91758</v>
      </c>
      <c r="B2367" t="s">
        <v>8088</v>
      </c>
      <c r="C2367" t="s">
        <v>8089</v>
      </c>
      <c r="D2367" t="s">
        <v>2596</v>
      </c>
      <c r="E2367" t="s">
        <v>1273</v>
      </c>
      <c r="F2367" t="s">
        <v>7318</v>
      </c>
      <c r="G2367" t="s">
        <v>8094</v>
      </c>
      <c r="H2367">
        <v>6024387045</v>
      </c>
      <c r="K2367" t="s">
        <v>8095</v>
      </c>
      <c r="L2367" t="s">
        <v>8096</v>
      </c>
      <c r="M2367" t="s">
        <v>1640</v>
      </c>
    </row>
    <row r="2368" spans="1:13" x14ac:dyDescent="0.25">
      <c r="A2368">
        <v>91758</v>
      </c>
      <c r="B2368" t="s">
        <v>8088</v>
      </c>
      <c r="C2368" t="s">
        <v>8089</v>
      </c>
      <c r="D2368" t="s">
        <v>2596</v>
      </c>
      <c r="E2368" t="s">
        <v>1273</v>
      </c>
      <c r="F2368" t="s">
        <v>8097</v>
      </c>
      <c r="G2368" t="s">
        <v>8098</v>
      </c>
      <c r="H2368">
        <v>4807216818</v>
      </c>
      <c r="K2368" t="s">
        <v>8099</v>
      </c>
      <c r="M2368" t="s">
        <v>1640</v>
      </c>
    </row>
    <row r="2369" spans="1:13" x14ac:dyDescent="0.25">
      <c r="A2369">
        <v>91758</v>
      </c>
      <c r="B2369" t="s">
        <v>8088</v>
      </c>
      <c r="C2369" t="s">
        <v>8089</v>
      </c>
      <c r="D2369" t="s">
        <v>2596</v>
      </c>
      <c r="E2369" t="s">
        <v>1273</v>
      </c>
      <c r="F2369" t="s">
        <v>1935</v>
      </c>
      <c r="G2369" t="s">
        <v>8100</v>
      </c>
      <c r="H2369" t="s">
        <v>8101</v>
      </c>
      <c r="J2369">
        <v>6024387242</v>
      </c>
      <c r="K2369" t="s">
        <v>8102</v>
      </c>
      <c r="L2369" t="s">
        <v>8103</v>
      </c>
      <c r="M2369" t="s">
        <v>1765</v>
      </c>
    </row>
    <row r="2370" spans="1:13" x14ac:dyDescent="0.25">
      <c r="A2370">
        <v>91758</v>
      </c>
      <c r="B2370" t="s">
        <v>8088</v>
      </c>
      <c r="C2370" t="s">
        <v>8089</v>
      </c>
      <c r="D2370" t="s">
        <v>2596</v>
      </c>
      <c r="E2370" t="s">
        <v>1273</v>
      </c>
      <c r="F2370" t="s">
        <v>6014</v>
      </c>
      <c r="G2370" t="s">
        <v>8104</v>
      </c>
      <c r="H2370" t="s">
        <v>8105</v>
      </c>
      <c r="K2370" t="s">
        <v>8106</v>
      </c>
      <c r="L2370" t="s">
        <v>8107</v>
      </c>
      <c r="M2370" t="s">
        <v>1765</v>
      </c>
    </row>
    <row r="2371" spans="1:13" x14ac:dyDescent="0.25">
      <c r="A2371">
        <v>91785</v>
      </c>
      <c r="B2371" t="s">
        <v>8108</v>
      </c>
      <c r="C2371" t="s">
        <v>8109</v>
      </c>
      <c r="D2371" t="s">
        <v>2605</v>
      </c>
      <c r="E2371" t="s">
        <v>1273</v>
      </c>
    </row>
    <row r="2372" spans="1:13" x14ac:dyDescent="0.25">
      <c r="A2372">
        <v>91763</v>
      </c>
      <c r="B2372" t="s">
        <v>8110</v>
      </c>
      <c r="C2372" t="s">
        <v>8111</v>
      </c>
      <c r="D2372" t="s">
        <v>2596</v>
      </c>
      <c r="E2372" t="s">
        <v>1273</v>
      </c>
      <c r="F2372" t="s">
        <v>4162</v>
      </c>
      <c r="G2372" t="s">
        <v>3775</v>
      </c>
      <c r="M2372" t="s">
        <v>1634</v>
      </c>
    </row>
    <row r="2373" spans="1:13" x14ac:dyDescent="0.25">
      <c r="A2373">
        <v>91763</v>
      </c>
      <c r="B2373" t="s">
        <v>8110</v>
      </c>
      <c r="C2373" t="s">
        <v>8111</v>
      </c>
      <c r="D2373" t="s">
        <v>2596</v>
      </c>
      <c r="E2373" t="s">
        <v>1273</v>
      </c>
      <c r="F2373" t="s">
        <v>2896</v>
      </c>
      <c r="G2373" t="s">
        <v>8112</v>
      </c>
      <c r="K2373" t="s">
        <v>8113</v>
      </c>
      <c r="L2373" t="s">
        <v>8114</v>
      </c>
      <c r="M2373" t="s">
        <v>1634</v>
      </c>
    </row>
    <row r="2374" spans="1:13" x14ac:dyDescent="0.25">
      <c r="A2374">
        <v>91763</v>
      </c>
      <c r="B2374" t="s">
        <v>8110</v>
      </c>
      <c r="C2374" t="s">
        <v>8111</v>
      </c>
      <c r="D2374" t="s">
        <v>2596</v>
      </c>
      <c r="E2374" t="s">
        <v>1273</v>
      </c>
      <c r="F2374" t="s">
        <v>4986</v>
      </c>
      <c r="G2374" t="s">
        <v>8115</v>
      </c>
      <c r="H2374">
        <v>4802705438</v>
      </c>
      <c r="I2374">
        <v>1091</v>
      </c>
      <c r="J2374">
        <v>4802375197</v>
      </c>
      <c r="K2374" t="s">
        <v>8116</v>
      </c>
      <c r="L2374" t="s">
        <v>8117</v>
      </c>
      <c r="M2374" t="s">
        <v>1640</v>
      </c>
    </row>
    <row r="2375" spans="1:13" x14ac:dyDescent="0.25">
      <c r="A2375">
        <v>91764</v>
      </c>
      <c r="B2375" t="s">
        <v>8110</v>
      </c>
      <c r="C2375" t="s">
        <v>8118</v>
      </c>
      <c r="D2375" t="s">
        <v>2605</v>
      </c>
      <c r="E2375" t="s">
        <v>1273</v>
      </c>
      <c r="F2375" t="s">
        <v>5369</v>
      </c>
      <c r="G2375" t="s">
        <v>8119</v>
      </c>
      <c r="H2375">
        <v>4802705438</v>
      </c>
      <c r="J2375">
        <v>4803650606</v>
      </c>
      <c r="K2375" t="s">
        <v>8120</v>
      </c>
      <c r="L2375" t="s">
        <v>8121</v>
      </c>
      <c r="M2375" t="s">
        <v>1634</v>
      </c>
    </row>
    <row r="2376" spans="1:13" x14ac:dyDescent="0.25">
      <c r="A2376">
        <v>91764</v>
      </c>
      <c r="B2376" t="s">
        <v>8110</v>
      </c>
      <c r="C2376" t="s">
        <v>8118</v>
      </c>
      <c r="D2376" t="s">
        <v>2605</v>
      </c>
      <c r="E2376" t="s">
        <v>1273</v>
      </c>
      <c r="F2376" t="s">
        <v>3075</v>
      </c>
      <c r="G2376" t="s">
        <v>4000</v>
      </c>
      <c r="M2376" t="s">
        <v>1634</v>
      </c>
    </row>
    <row r="2377" spans="1:13" x14ac:dyDescent="0.25">
      <c r="A2377">
        <v>92983</v>
      </c>
      <c r="B2377" t="s">
        <v>8122</v>
      </c>
      <c r="C2377" t="s">
        <v>8123</v>
      </c>
      <c r="D2377" t="s">
        <v>2596</v>
      </c>
      <c r="E2377" t="s">
        <v>1273</v>
      </c>
      <c r="F2377" t="s">
        <v>4816</v>
      </c>
      <c r="G2377" t="s">
        <v>5575</v>
      </c>
      <c r="H2377">
        <v>6262042550</v>
      </c>
      <c r="K2377" t="s">
        <v>8124</v>
      </c>
      <c r="M2377" t="s">
        <v>1634</v>
      </c>
    </row>
    <row r="2378" spans="1:13" x14ac:dyDescent="0.25">
      <c r="A2378">
        <v>92983</v>
      </c>
      <c r="B2378" t="s">
        <v>8122</v>
      </c>
      <c r="C2378" t="s">
        <v>8123</v>
      </c>
      <c r="D2378" t="s">
        <v>2596</v>
      </c>
      <c r="E2378" t="s">
        <v>1273</v>
      </c>
      <c r="F2378" t="s">
        <v>2361</v>
      </c>
      <c r="G2378" t="s">
        <v>8125</v>
      </c>
      <c r="H2378">
        <v>6262042550</v>
      </c>
      <c r="K2378" t="s">
        <v>8126</v>
      </c>
      <c r="L2378" t="s">
        <v>2613</v>
      </c>
      <c r="M2378" t="s">
        <v>1634</v>
      </c>
    </row>
    <row r="2379" spans="1:13" x14ac:dyDescent="0.25">
      <c r="A2379">
        <v>850102</v>
      </c>
      <c r="B2379" t="s">
        <v>8127</v>
      </c>
      <c r="C2379" t="s">
        <v>8128</v>
      </c>
      <c r="D2379" t="s">
        <v>2605</v>
      </c>
      <c r="E2379" t="s">
        <v>1273</v>
      </c>
    </row>
    <row r="2380" spans="1:13" x14ac:dyDescent="0.25">
      <c r="A2380">
        <v>91934</v>
      </c>
      <c r="B2380" t="s">
        <v>8129</v>
      </c>
      <c r="C2380" t="s">
        <v>8130</v>
      </c>
      <c r="D2380" t="s">
        <v>2596</v>
      </c>
      <c r="E2380" t="s">
        <v>1273</v>
      </c>
      <c r="F2380" t="s">
        <v>8131</v>
      </c>
      <c r="G2380" t="s">
        <v>8132</v>
      </c>
      <c r="H2380">
        <v>6028422681</v>
      </c>
      <c r="K2380" t="s">
        <v>8133</v>
      </c>
      <c r="L2380" t="s">
        <v>8134</v>
      </c>
      <c r="M2380" t="s">
        <v>1634</v>
      </c>
    </row>
    <row r="2381" spans="1:13" x14ac:dyDescent="0.25">
      <c r="A2381">
        <v>91934</v>
      </c>
      <c r="B2381" t="s">
        <v>8129</v>
      </c>
      <c r="C2381" t="s">
        <v>8130</v>
      </c>
      <c r="D2381" t="s">
        <v>2596</v>
      </c>
      <c r="E2381" t="s">
        <v>1273</v>
      </c>
      <c r="F2381" t="s">
        <v>2156</v>
      </c>
      <c r="G2381" t="s">
        <v>8135</v>
      </c>
      <c r="K2381" t="s">
        <v>8136</v>
      </c>
      <c r="M2381" t="s">
        <v>1634</v>
      </c>
    </row>
    <row r="2382" spans="1:13" x14ac:dyDescent="0.25">
      <c r="A2382">
        <v>91934</v>
      </c>
      <c r="B2382" t="s">
        <v>8129</v>
      </c>
      <c r="C2382" t="s">
        <v>8130</v>
      </c>
      <c r="D2382" t="s">
        <v>2596</v>
      </c>
      <c r="E2382" t="s">
        <v>1273</v>
      </c>
      <c r="F2382" t="s">
        <v>2381</v>
      </c>
      <c r="G2382" t="s">
        <v>1901</v>
      </c>
      <c r="H2382">
        <v>6028812483</v>
      </c>
      <c r="K2382" t="s">
        <v>8137</v>
      </c>
      <c r="M2382" t="s">
        <v>1634</v>
      </c>
    </row>
    <row r="2383" spans="1:13" x14ac:dyDescent="0.25">
      <c r="A2383">
        <v>91934</v>
      </c>
      <c r="B2383" t="s">
        <v>8129</v>
      </c>
      <c r="C2383" t="s">
        <v>8130</v>
      </c>
      <c r="D2383" t="s">
        <v>2596</v>
      </c>
      <c r="E2383" t="s">
        <v>1273</v>
      </c>
      <c r="F2383" t="s">
        <v>8131</v>
      </c>
      <c r="G2383" t="s">
        <v>8132</v>
      </c>
      <c r="H2383">
        <v>6028422681</v>
      </c>
      <c r="K2383" t="s">
        <v>8133</v>
      </c>
      <c r="L2383" t="s">
        <v>8134</v>
      </c>
      <c r="M2383" t="s">
        <v>1640</v>
      </c>
    </row>
    <row r="2384" spans="1:13" x14ac:dyDescent="0.25">
      <c r="A2384">
        <v>91934</v>
      </c>
      <c r="B2384" t="s">
        <v>8129</v>
      </c>
      <c r="C2384" t="s">
        <v>8130</v>
      </c>
      <c r="D2384" t="s">
        <v>2596</v>
      </c>
      <c r="E2384" t="s">
        <v>1273</v>
      </c>
      <c r="F2384" t="s">
        <v>2381</v>
      </c>
      <c r="G2384" t="s">
        <v>1901</v>
      </c>
      <c r="H2384">
        <v>6028812483</v>
      </c>
      <c r="K2384" t="s">
        <v>8137</v>
      </c>
      <c r="M2384" t="s">
        <v>1640</v>
      </c>
    </row>
    <row r="2385" spans="1:13" x14ac:dyDescent="0.25">
      <c r="A2385">
        <v>92498</v>
      </c>
      <c r="B2385" t="s">
        <v>8129</v>
      </c>
      <c r="C2385" t="s">
        <v>8138</v>
      </c>
      <c r="D2385" t="s">
        <v>2605</v>
      </c>
      <c r="E2385" t="s">
        <v>1273</v>
      </c>
    </row>
    <row r="2386" spans="1:13" x14ac:dyDescent="0.25">
      <c r="A2386">
        <v>91935</v>
      </c>
      <c r="B2386" t="s">
        <v>8139</v>
      </c>
      <c r="C2386" t="s">
        <v>8140</v>
      </c>
      <c r="D2386" t="s">
        <v>2596</v>
      </c>
      <c r="E2386" t="s">
        <v>1273</v>
      </c>
      <c r="F2386" t="s">
        <v>8141</v>
      </c>
      <c r="G2386" t="s">
        <v>3341</v>
      </c>
      <c r="H2386">
        <v>6027453800</v>
      </c>
      <c r="K2386" t="s">
        <v>8142</v>
      </c>
      <c r="L2386" t="s">
        <v>3043</v>
      </c>
      <c r="M2386" t="s">
        <v>1634</v>
      </c>
    </row>
    <row r="2387" spans="1:13" x14ac:dyDescent="0.25">
      <c r="A2387">
        <v>91935</v>
      </c>
      <c r="B2387" t="s">
        <v>8139</v>
      </c>
      <c r="C2387" t="s">
        <v>8140</v>
      </c>
      <c r="D2387" t="s">
        <v>2596</v>
      </c>
      <c r="E2387" t="s">
        <v>1273</v>
      </c>
      <c r="F2387" t="s">
        <v>2027</v>
      </c>
      <c r="G2387" t="s">
        <v>3576</v>
      </c>
      <c r="H2387">
        <v>6027453800</v>
      </c>
      <c r="K2387" t="s">
        <v>8143</v>
      </c>
      <c r="M2387" t="s">
        <v>1634</v>
      </c>
    </row>
    <row r="2388" spans="1:13" x14ac:dyDescent="0.25">
      <c r="A2388">
        <v>91935</v>
      </c>
      <c r="B2388" t="s">
        <v>8139</v>
      </c>
      <c r="C2388" t="s">
        <v>8140</v>
      </c>
      <c r="D2388" t="s">
        <v>2596</v>
      </c>
      <c r="E2388" t="s">
        <v>1273</v>
      </c>
      <c r="F2388" t="s">
        <v>2027</v>
      </c>
      <c r="G2388" t="s">
        <v>3576</v>
      </c>
      <c r="H2388">
        <v>6027453800</v>
      </c>
      <c r="K2388" t="s">
        <v>8143</v>
      </c>
      <c r="M2388" t="s">
        <v>1640</v>
      </c>
    </row>
    <row r="2389" spans="1:13" x14ac:dyDescent="0.25">
      <c r="A2389">
        <v>91935</v>
      </c>
      <c r="B2389" t="s">
        <v>8139</v>
      </c>
      <c r="C2389" t="s">
        <v>8140</v>
      </c>
      <c r="D2389" t="s">
        <v>2596</v>
      </c>
      <c r="E2389" t="s">
        <v>1273</v>
      </c>
      <c r="F2389" t="s">
        <v>2027</v>
      </c>
      <c r="G2389" t="s">
        <v>3576</v>
      </c>
      <c r="H2389">
        <v>6027453800</v>
      </c>
      <c r="K2389" t="s">
        <v>8143</v>
      </c>
      <c r="M2389" t="s">
        <v>1765</v>
      </c>
    </row>
    <row r="2390" spans="1:13" x14ac:dyDescent="0.25">
      <c r="A2390">
        <v>92605</v>
      </c>
      <c r="B2390" t="s">
        <v>8139</v>
      </c>
      <c r="C2390" t="s">
        <v>8144</v>
      </c>
      <c r="D2390" t="s">
        <v>2605</v>
      </c>
      <c r="E2390" t="s">
        <v>1273</v>
      </c>
      <c r="F2390" t="s">
        <v>8141</v>
      </c>
      <c r="G2390" t="s">
        <v>3341</v>
      </c>
      <c r="H2390">
        <v>6027453800</v>
      </c>
      <c r="K2390" t="s">
        <v>8142</v>
      </c>
      <c r="L2390" t="s">
        <v>1647</v>
      </c>
      <c r="M2390" t="s">
        <v>1634</v>
      </c>
    </row>
    <row r="2391" spans="1:13" x14ac:dyDescent="0.25">
      <c r="A2391">
        <v>92605</v>
      </c>
      <c r="B2391" t="s">
        <v>8139</v>
      </c>
      <c r="C2391" t="s">
        <v>8144</v>
      </c>
      <c r="D2391" t="s">
        <v>2605</v>
      </c>
      <c r="E2391" t="s">
        <v>1273</v>
      </c>
      <c r="F2391" t="s">
        <v>2027</v>
      </c>
      <c r="G2391" t="s">
        <v>3576</v>
      </c>
      <c r="H2391">
        <v>6027453800</v>
      </c>
      <c r="K2391" t="s">
        <v>8143</v>
      </c>
      <c r="L2391" t="s">
        <v>1640</v>
      </c>
      <c r="M2391" t="s">
        <v>1640</v>
      </c>
    </row>
    <row r="2392" spans="1:13" x14ac:dyDescent="0.25">
      <c r="A2392">
        <v>91937</v>
      </c>
      <c r="B2392" t="s">
        <v>8145</v>
      </c>
      <c r="C2392" t="s">
        <v>8146</v>
      </c>
      <c r="D2392" t="s">
        <v>2596</v>
      </c>
      <c r="E2392" t="s">
        <v>1273</v>
      </c>
      <c r="F2392" t="s">
        <v>2156</v>
      </c>
      <c r="G2392" t="s">
        <v>4730</v>
      </c>
      <c r="K2392" t="s">
        <v>8147</v>
      </c>
      <c r="L2392" t="s">
        <v>8148</v>
      </c>
      <c r="M2392" t="s">
        <v>1634</v>
      </c>
    </row>
    <row r="2393" spans="1:13" x14ac:dyDescent="0.25">
      <c r="A2393">
        <v>92619</v>
      </c>
      <c r="B2393" t="s">
        <v>8149</v>
      </c>
      <c r="C2393" t="s">
        <v>8150</v>
      </c>
      <c r="D2393" t="s">
        <v>2605</v>
      </c>
      <c r="E2393" t="s">
        <v>1273</v>
      </c>
    </row>
    <row r="2394" spans="1:13" x14ac:dyDescent="0.25">
      <c r="A2394">
        <v>91938</v>
      </c>
      <c r="B2394" t="s">
        <v>8151</v>
      </c>
      <c r="C2394" t="s">
        <v>8152</v>
      </c>
      <c r="D2394" t="s">
        <v>2596</v>
      </c>
      <c r="E2394" t="s">
        <v>1273</v>
      </c>
      <c r="F2394" t="s">
        <v>8153</v>
      </c>
      <c r="G2394" t="s">
        <v>8154</v>
      </c>
      <c r="K2394" t="s">
        <v>8155</v>
      </c>
      <c r="L2394" t="s">
        <v>1647</v>
      </c>
      <c r="M2394" t="s">
        <v>1634</v>
      </c>
    </row>
    <row r="2395" spans="1:13" x14ac:dyDescent="0.25">
      <c r="A2395">
        <v>91938</v>
      </c>
      <c r="B2395" t="s">
        <v>8151</v>
      </c>
      <c r="C2395" t="s">
        <v>8152</v>
      </c>
      <c r="D2395" t="s">
        <v>2596</v>
      </c>
      <c r="E2395" t="s">
        <v>1273</v>
      </c>
      <c r="F2395" t="s">
        <v>2249</v>
      </c>
      <c r="G2395" t="s">
        <v>2705</v>
      </c>
      <c r="K2395" t="s">
        <v>7982</v>
      </c>
      <c r="M2395" t="s">
        <v>1634</v>
      </c>
    </row>
    <row r="2396" spans="1:13" x14ac:dyDescent="0.25">
      <c r="A2396">
        <v>91938</v>
      </c>
      <c r="B2396" t="s">
        <v>8151</v>
      </c>
      <c r="C2396" t="s">
        <v>8152</v>
      </c>
      <c r="D2396" t="s">
        <v>2596</v>
      </c>
      <c r="E2396" t="s">
        <v>1273</v>
      </c>
      <c r="F2396" t="s">
        <v>3113</v>
      </c>
      <c r="G2396" t="s">
        <v>7983</v>
      </c>
      <c r="H2396">
        <v>6022681212</v>
      </c>
      <c r="K2396" t="s">
        <v>8156</v>
      </c>
      <c r="L2396" t="s">
        <v>8157</v>
      </c>
      <c r="M2396" t="s">
        <v>1640</v>
      </c>
    </row>
    <row r="2397" spans="1:13" x14ac:dyDescent="0.25">
      <c r="A2397">
        <v>91938</v>
      </c>
      <c r="B2397" t="s">
        <v>8151</v>
      </c>
      <c r="C2397" t="s">
        <v>8152</v>
      </c>
      <c r="D2397" t="s">
        <v>2596</v>
      </c>
      <c r="E2397" t="s">
        <v>1273</v>
      </c>
      <c r="F2397" t="s">
        <v>3113</v>
      </c>
      <c r="G2397" t="s">
        <v>7983</v>
      </c>
      <c r="H2397">
        <v>6022681212</v>
      </c>
      <c r="K2397" t="s">
        <v>8156</v>
      </c>
      <c r="L2397" t="s">
        <v>8157</v>
      </c>
      <c r="M2397" t="s">
        <v>1765</v>
      </c>
    </row>
    <row r="2398" spans="1:13" x14ac:dyDescent="0.25">
      <c r="A2398">
        <v>92563</v>
      </c>
      <c r="B2398" t="s">
        <v>8158</v>
      </c>
      <c r="C2398" t="s">
        <v>8159</v>
      </c>
      <c r="D2398" t="s">
        <v>2605</v>
      </c>
      <c r="E2398" t="s">
        <v>1273</v>
      </c>
      <c r="F2398" t="s">
        <v>2249</v>
      </c>
      <c r="G2398" t="s">
        <v>2705</v>
      </c>
      <c r="K2398" t="s">
        <v>7982</v>
      </c>
      <c r="M2398" t="s">
        <v>1634</v>
      </c>
    </row>
    <row r="2399" spans="1:13" x14ac:dyDescent="0.25">
      <c r="A2399">
        <v>92563</v>
      </c>
      <c r="B2399" t="s">
        <v>8158</v>
      </c>
      <c r="C2399" t="s">
        <v>8159</v>
      </c>
      <c r="D2399" t="s">
        <v>2605</v>
      </c>
      <c r="E2399" t="s">
        <v>1273</v>
      </c>
      <c r="F2399" t="s">
        <v>6120</v>
      </c>
      <c r="G2399" t="s">
        <v>8160</v>
      </c>
      <c r="K2399" t="s">
        <v>8161</v>
      </c>
      <c r="M2399" t="s">
        <v>1640</v>
      </c>
    </row>
    <row r="2400" spans="1:13" x14ac:dyDescent="0.25">
      <c r="A2400">
        <v>91939</v>
      </c>
      <c r="B2400" t="s">
        <v>741</v>
      </c>
      <c r="C2400" t="s">
        <v>8162</v>
      </c>
      <c r="D2400" t="s">
        <v>2596</v>
      </c>
      <c r="E2400" t="s">
        <v>1273</v>
      </c>
      <c r="F2400" t="s">
        <v>8163</v>
      </c>
      <c r="G2400" t="s">
        <v>8164</v>
      </c>
      <c r="K2400" t="s">
        <v>8165</v>
      </c>
      <c r="M2400" t="s">
        <v>1634</v>
      </c>
    </row>
    <row r="2401" spans="1:13" x14ac:dyDescent="0.25">
      <c r="A2401">
        <v>91939</v>
      </c>
      <c r="B2401" t="s">
        <v>741</v>
      </c>
      <c r="C2401" t="s">
        <v>8162</v>
      </c>
      <c r="D2401" t="s">
        <v>2596</v>
      </c>
      <c r="E2401" t="s">
        <v>1273</v>
      </c>
      <c r="F2401" t="s">
        <v>2249</v>
      </c>
      <c r="G2401" t="s">
        <v>2705</v>
      </c>
      <c r="K2401" t="s">
        <v>7982</v>
      </c>
      <c r="M2401" t="s">
        <v>1634</v>
      </c>
    </row>
    <row r="2402" spans="1:13" x14ac:dyDescent="0.25">
      <c r="A2402">
        <v>91939</v>
      </c>
      <c r="B2402" t="s">
        <v>741</v>
      </c>
      <c r="C2402" t="s">
        <v>8162</v>
      </c>
      <c r="D2402" t="s">
        <v>2596</v>
      </c>
      <c r="E2402" t="s">
        <v>1273</v>
      </c>
      <c r="F2402" t="s">
        <v>8166</v>
      </c>
      <c r="G2402" t="s">
        <v>8167</v>
      </c>
      <c r="H2402">
        <v>6026380802</v>
      </c>
      <c r="K2402" t="s">
        <v>8168</v>
      </c>
      <c r="L2402" t="s">
        <v>1647</v>
      </c>
      <c r="M2402" t="s">
        <v>1634</v>
      </c>
    </row>
    <row r="2403" spans="1:13" x14ac:dyDescent="0.25">
      <c r="A2403">
        <v>91939</v>
      </c>
      <c r="B2403" t="s">
        <v>741</v>
      </c>
      <c r="C2403" t="s">
        <v>8162</v>
      </c>
      <c r="D2403" t="s">
        <v>2596</v>
      </c>
      <c r="E2403" t="s">
        <v>1273</v>
      </c>
      <c r="F2403" t="s">
        <v>3113</v>
      </c>
      <c r="G2403" t="s">
        <v>7983</v>
      </c>
      <c r="H2403">
        <v>6022681212</v>
      </c>
      <c r="K2403" t="s">
        <v>8156</v>
      </c>
      <c r="L2403" t="s">
        <v>7985</v>
      </c>
      <c r="M2403" t="s">
        <v>1640</v>
      </c>
    </row>
    <row r="2404" spans="1:13" x14ac:dyDescent="0.25">
      <c r="A2404">
        <v>91939</v>
      </c>
      <c r="B2404" t="s">
        <v>741</v>
      </c>
      <c r="C2404" t="s">
        <v>8162</v>
      </c>
      <c r="D2404" t="s">
        <v>2596</v>
      </c>
      <c r="E2404" t="s">
        <v>1273</v>
      </c>
      <c r="F2404" t="s">
        <v>8169</v>
      </c>
      <c r="G2404" t="s">
        <v>8170</v>
      </c>
      <c r="H2404">
        <v>6026380802</v>
      </c>
      <c r="K2404" t="s">
        <v>8171</v>
      </c>
      <c r="M2404" t="s">
        <v>1765</v>
      </c>
    </row>
    <row r="2405" spans="1:13" x14ac:dyDescent="0.25">
      <c r="A2405">
        <v>91939</v>
      </c>
      <c r="B2405" t="s">
        <v>741</v>
      </c>
      <c r="C2405" t="s">
        <v>8162</v>
      </c>
      <c r="D2405" t="s">
        <v>2596</v>
      </c>
      <c r="E2405" t="s">
        <v>1273</v>
      </c>
      <c r="F2405" t="s">
        <v>3113</v>
      </c>
      <c r="G2405" t="s">
        <v>7983</v>
      </c>
      <c r="H2405">
        <v>6022681212</v>
      </c>
      <c r="K2405" t="s">
        <v>8156</v>
      </c>
      <c r="L2405" t="s">
        <v>7985</v>
      </c>
      <c r="M2405" t="s">
        <v>1765</v>
      </c>
    </row>
    <row r="2406" spans="1:13" x14ac:dyDescent="0.25">
      <c r="A2406">
        <v>92601</v>
      </c>
      <c r="B2406" t="s">
        <v>742</v>
      </c>
      <c r="C2406" t="s">
        <v>8172</v>
      </c>
      <c r="D2406" t="s">
        <v>2605</v>
      </c>
      <c r="E2406" t="s">
        <v>1273</v>
      </c>
    </row>
    <row r="2407" spans="1:13" x14ac:dyDescent="0.25">
      <c r="A2407">
        <v>91948</v>
      </c>
      <c r="B2407" t="s">
        <v>8173</v>
      </c>
      <c r="C2407" t="s">
        <v>8174</v>
      </c>
      <c r="D2407" t="s">
        <v>2596</v>
      </c>
      <c r="E2407" t="s">
        <v>1273</v>
      </c>
      <c r="F2407" t="s">
        <v>6765</v>
      </c>
      <c r="G2407" t="s">
        <v>8175</v>
      </c>
      <c r="K2407" t="s">
        <v>8176</v>
      </c>
      <c r="L2407" t="s">
        <v>3043</v>
      </c>
      <c r="M2407" t="s">
        <v>1634</v>
      </c>
    </row>
    <row r="2408" spans="1:13" x14ac:dyDescent="0.25">
      <c r="A2408">
        <v>91948</v>
      </c>
      <c r="B2408" t="s">
        <v>8173</v>
      </c>
      <c r="C2408" t="s">
        <v>8174</v>
      </c>
      <c r="D2408" t="s">
        <v>2596</v>
      </c>
      <c r="E2408" t="s">
        <v>1273</v>
      </c>
      <c r="F2408" t="s">
        <v>8177</v>
      </c>
      <c r="G2408" t="s">
        <v>3661</v>
      </c>
      <c r="K2408" t="s">
        <v>8178</v>
      </c>
      <c r="M2408" t="s">
        <v>1634</v>
      </c>
    </row>
    <row r="2409" spans="1:13" x14ac:dyDescent="0.25">
      <c r="A2409">
        <v>91948</v>
      </c>
      <c r="B2409" t="s">
        <v>8173</v>
      </c>
      <c r="C2409" t="s">
        <v>8174</v>
      </c>
      <c r="D2409" t="s">
        <v>2596</v>
      </c>
      <c r="E2409" t="s">
        <v>1273</v>
      </c>
      <c r="F2409" t="s">
        <v>3057</v>
      </c>
      <c r="G2409" t="s">
        <v>4907</v>
      </c>
      <c r="K2409" t="s">
        <v>8179</v>
      </c>
      <c r="L2409" t="s">
        <v>4663</v>
      </c>
      <c r="M2409" t="s">
        <v>1634</v>
      </c>
    </row>
    <row r="2410" spans="1:13" x14ac:dyDescent="0.25">
      <c r="A2410">
        <v>91948</v>
      </c>
      <c r="B2410" t="s">
        <v>8173</v>
      </c>
      <c r="C2410" t="s">
        <v>8174</v>
      </c>
      <c r="D2410" t="s">
        <v>2596</v>
      </c>
      <c r="E2410" t="s">
        <v>1273</v>
      </c>
      <c r="F2410" t="s">
        <v>3113</v>
      </c>
      <c r="G2410" t="s">
        <v>7983</v>
      </c>
      <c r="K2410" t="s">
        <v>8180</v>
      </c>
      <c r="L2410" t="s">
        <v>8181</v>
      </c>
      <c r="M2410" t="s">
        <v>1634</v>
      </c>
    </row>
    <row r="2411" spans="1:13" x14ac:dyDescent="0.25">
      <c r="A2411">
        <v>91948</v>
      </c>
      <c r="B2411" t="s">
        <v>8173</v>
      </c>
      <c r="C2411" t="s">
        <v>8174</v>
      </c>
      <c r="D2411" t="s">
        <v>2596</v>
      </c>
      <c r="E2411" t="s">
        <v>1273</v>
      </c>
      <c r="F2411" t="s">
        <v>4483</v>
      </c>
      <c r="G2411" t="s">
        <v>8182</v>
      </c>
      <c r="K2411" t="s">
        <v>8183</v>
      </c>
      <c r="L2411" t="s">
        <v>2358</v>
      </c>
      <c r="M2411" t="s">
        <v>1640</v>
      </c>
    </row>
    <row r="2412" spans="1:13" x14ac:dyDescent="0.25">
      <c r="A2412">
        <v>91948</v>
      </c>
      <c r="B2412" t="s">
        <v>8173</v>
      </c>
      <c r="C2412" t="s">
        <v>8174</v>
      </c>
      <c r="D2412" t="s">
        <v>2596</v>
      </c>
      <c r="E2412" t="s">
        <v>1273</v>
      </c>
      <c r="F2412" t="s">
        <v>3057</v>
      </c>
      <c r="G2412" t="s">
        <v>4907</v>
      </c>
      <c r="K2412" t="s">
        <v>8179</v>
      </c>
      <c r="L2412" t="s">
        <v>4663</v>
      </c>
      <c r="M2412" t="s">
        <v>1640</v>
      </c>
    </row>
    <row r="2413" spans="1:13" x14ac:dyDescent="0.25">
      <c r="A2413">
        <v>91948</v>
      </c>
      <c r="B2413" t="s">
        <v>8173</v>
      </c>
      <c r="C2413" t="s">
        <v>8174</v>
      </c>
      <c r="D2413" t="s">
        <v>2596</v>
      </c>
      <c r="E2413" t="s">
        <v>1273</v>
      </c>
      <c r="F2413" t="s">
        <v>3113</v>
      </c>
      <c r="G2413" t="s">
        <v>7983</v>
      </c>
      <c r="K2413" t="s">
        <v>8180</v>
      </c>
      <c r="L2413" t="s">
        <v>8181</v>
      </c>
      <c r="M2413" t="s">
        <v>1640</v>
      </c>
    </row>
    <row r="2414" spans="1:13" x14ac:dyDescent="0.25">
      <c r="A2414">
        <v>92177</v>
      </c>
      <c r="B2414" t="s">
        <v>8184</v>
      </c>
      <c r="C2414" t="s">
        <v>8185</v>
      </c>
      <c r="D2414" t="s">
        <v>2605</v>
      </c>
      <c r="E2414" t="s">
        <v>1273</v>
      </c>
      <c r="F2414" t="s">
        <v>6765</v>
      </c>
      <c r="G2414" t="s">
        <v>8175</v>
      </c>
      <c r="K2414" t="s">
        <v>8176</v>
      </c>
      <c r="M2414" t="s">
        <v>1634</v>
      </c>
    </row>
    <row r="2415" spans="1:13" x14ac:dyDescent="0.25">
      <c r="A2415">
        <v>551692</v>
      </c>
      <c r="B2415" t="s">
        <v>8186</v>
      </c>
      <c r="C2415" t="s">
        <v>8187</v>
      </c>
      <c r="D2415" t="s">
        <v>2605</v>
      </c>
      <c r="E2415" t="s">
        <v>1273</v>
      </c>
      <c r="F2415" t="s">
        <v>6765</v>
      </c>
      <c r="G2415" t="s">
        <v>8175</v>
      </c>
      <c r="J2415">
        <v>6023748201</v>
      </c>
      <c r="K2415" t="s">
        <v>8176</v>
      </c>
      <c r="M2415" t="s">
        <v>1634</v>
      </c>
    </row>
    <row r="2416" spans="1:13" x14ac:dyDescent="0.25">
      <c r="A2416">
        <v>551692</v>
      </c>
      <c r="B2416" t="s">
        <v>8186</v>
      </c>
      <c r="C2416" t="s">
        <v>8187</v>
      </c>
      <c r="D2416" t="s">
        <v>2605</v>
      </c>
      <c r="E2416" t="s">
        <v>1273</v>
      </c>
      <c r="F2416" t="s">
        <v>6765</v>
      </c>
      <c r="G2416" t="s">
        <v>8175</v>
      </c>
      <c r="J2416">
        <v>6023748201</v>
      </c>
      <c r="K2416" t="s">
        <v>8176</v>
      </c>
      <c r="M2416" t="s">
        <v>1640</v>
      </c>
    </row>
    <row r="2417" spans="1:13" x14ac:dyDescent="0.25">
      <c r="A2417">
        <v>425015</v>
      </c>
      <c r="B2417" t="s">
        <v>8188</v>
      </c>
      <c r="C2417" t="s">
        <v>8189</v>
      </c>
      <c r="D2417" t="s">
        <v>2605</v>
      </c>
      <c r="E2417" t="s">
        <v>1273</v>
      </c>
    </row>
    <row r="2418" spans="1:13" x14ac:dyDescent="0.25">
      <c r="A2418">
        <v>91949</v>
      </c>
      <c r="B2418" t="s">
        <v>3049</v>
      </c>
      <c r="C2418" t="s">
        <v>8190</v>
      </c>
      <c r="D2418" t="s">
        <v>2596</v>
      </c>
      <c r="E2418" t="s">
        <v>1273</v>
      </c>
      <c r="F2418" t="s">
        <v>3051</v>
      </c>
      <c r="G2418" t="s">
        <v>3052</v>
      </c>
      <c r="I2418">
        <v>109</v>
      </c>
      <c r="J2418">
        <v>5202196006</v>
      </c>
      <c r="K2418" t="s">
        <v>8191</v>
      </c>
      <c r="L2418" t="s">
        <v>8192</v>
      </c>
      <c r="M2418" t="s">
        <v>1634</v>
      </c>
    </row>
    <row r="2419" spans="1:13" x14ac:dyDescent="0.25">
      <c r="A2419">
        <v>91949</v>
      </c>
      <c r="B2419" t="s">
        <v>3049</v>
      </c>
      <c r="C2419" t="s">
        <v>8190</v>
      </c>
      <c r="D2419" t="s">
        <v>2596</v>
      </c>
      <c r="E2419" t="s">
        <v>1273</v>
      </c>
      <c r="F2419" t="s">
        <v>3057</v>
      </c>
      <c r="G2419" t="s">
        <v>2969</v>
      </c>
      <c r="H2419">
        <v>4802892088</v>
      </c>
      <c r="K2419" t="s">
        <v>3058</v>
      </c>
      <c r="L2419" t="s">
        <v>3059</v>
      </c>
      <c r="M2419" t="s">
        <v>1634</v>
      </c>
    </row>
    <row r="2420" spans="1:13" x14ac:dyDescent="0.25">
      <c r="A2420">
        <v>91949</v>
      </c>
      <c r="B2420" t="s">
        <v>3049</v>
      </c>
      <c r="C2420" t="s">
        <v>8190</v>
      </c>
      <c r="D2420" t="s">
        <v>2596</v>
      </c>
      <c r="E2420" t="s">
        <v>1273</v>
      </c>
      <c r="F2420" t="s">
        <v>1848</v>
      </c>
      <c r="G2420" t="s">
        <v>3060</v>
      </c>
      <c r="K2420" t="s">
        <v>3061</v>
      </c>
      <c r="L2420" t="s">
        <v>3062</v>
      </c>
      <c r="M2420" t="s">
        <v>1634</v>
      </c>
    </row>
    <row r="2421" spans="1:13" x14ac:dyDescent="0.25">
      <c r="A2421">
        <v>91949</v>
      </c>
      <c r="B2421" t="s">
        <v>3049</v>
      </c>
      <c r="C2421" t="s">
        <v>8190</v>
      </c>
      <c r="D2421" t="s">
        <v>2596</v>
      </c>
      <c r="E2421" t="s">
        <v>1273</v>
      </c>
      <c r="F2421" t="s">
        <v>2261</v>
      </c>
      <c r="G2421" t="s">
        <v>3063</v>
      </c>
      <c r="K2421" t="s">
        <v>3064</v>
      </c>
      <c r="L2421" t="s">
        <v>3065</v>
      </c>
      <c r="M2421" t="s">
        <v>1634</v>
      </c>
    </row>
    <row r="2422" spans="1:13" x14ac:dyDescent="0.25">
      <c r="A2422">
        <v>91997</v>
      </c>
      <c r="B2422" t="s">
        <v>8193</v>
      </c>
      <c r="C2422" t="s">
        <v>8194</v>
      </c>
      <c r="D2422" t="s">
        <v>2605</v>
      </c>
      <c r="E2422" t="s">
        <v>1273</v>
      </c>
    </row>
    <row r="2423" spans="1:13" x14ac:dyDescent="0.25">
      <c r="A2423">
        <v>91958</v>
      </c>
      <c r="B2423" t="s">
        <v>8195</v>
      </c>
      <c r="C2423" t="s">
        <v>8196</v>
      </c>
      <c r="D2423" t="s">
        <v>2596</v>
      </c>
      <c r="E2423" t="s">
        <v>1273</v>
      </c>
      <c r="F2423" t="s">
        <v>4811</v>
      </c>
      <c r="G2423" t="s">
        <v>8197</v>
      </c>
      <c r="H2423" t="s">
        <v>8198</v>
      </c>
      <c r="K2423" t="s">
        <v>8199</v>
      </c>
      <c r="L2423" t="s">
        <v>1668</v>
      </c>
      <c r="M2423" t="s">
        <v>1634</v>
      </c>
    </row>
    <row r="2424" spans="1:13" x14ac:dyDescent="0.25">
      <c r="A2424">
        <v>91958</v>
      </c>
      <c r="B2424" t="s">
        <v>8195</v>
      </c>
      <c r="C2424" t="s">
        <v>8196</v>
      </c>
      <c r="D2424" t="s">
        <v>2596</v>
      </c>
      <c r="E2424" t="s">
        <v>1273</v>
      </c>
      <c r="F2424" t="s">
        <v>8200</v>
      </c>
      <c r="G2424" t="s">
        <v>5132</v>
      </c>
      <c r="H2424">
        <v>6028825544</v>
      </c>
      <c r="K2424" t="s">
        <v>8201</v>
      </c>
      <c r="M2424" t="s">
        <v>1634</v>
      </c>
    </row>
    <row r="2425" spans="1:13" x14ac:dyDescent="0.25">
      <c r="A2425">
        <v>91958</v>
      </c>
      <c r="B2425" t="s">
        <v>8195</v>
      </c>
      <c r="C2425" t="s">
        <v>8196</v>
      </c>
      <c r="D2425" t="s">
        <v>2596</v>
      </c>
      <c r="E2425" t="s">
        <v>1273</v>
      </c>
      <c r="F2425" t="s">
        <v>2587</v>
      </c>
      <c r="G2425" t="s">
        <v>2326</v>
      </c>
      <c r="K2425" t="s">
        <v>8202</v>
      </c>
      <c r="M2425" t="s">
        <v>1634</v>
      </c>
    </row>
    <row r="2426" spans="1:13" x14ac:dyDescent="0.25">
      <c r="A2426">
        <v>91958</v>
      </c>
      <c r="B2426" t="s">
        <v>8195</v>
      </c>
      <c r="C2426" t="s">
        <v>8196</v>
      </c>
      <c r="D2426" t="s">
        <v>2596</v>
      </c>
      <c r="E2426" t="s">
        <v>1273</v>
      </c>
      <c r="F2426" t="s">
        <v>4811</v>
      </c>
      <c r="G2426" t="s">
        <v>8197</v>
      </c>
      <c r="H2426" t="s">
        <v>8198</v>
      </c>
      <c r="K2426" t="s">
        <v>8199</v>
      </c>
      <c r="L2426" t="s">
        <v>1668</v>
      </c>
      <c r="M2426" t="s">
        <v>1634</v>
      </c>
    </row>
    <row r="2427" spans="1:13" x14ac:dyDescent="0.25">
      <c r="A2427">
        <v>92598</v>
      </c>
      <c r="B2427" t="s">
        <v>8203</v>
      </c>
      <c r="C2427" t="s">
        <v>8204</v>
      </c>
      <c r="D2427" t="s">
        <v>2605</v>
      </c>
      <c r="E2427" t="s">
        <v>1273</v>
      </c>
      <c r="F2427" t="s">
        <v>2587</v>
      </c>
      <c r="G2427" t="s">
        <v>2326</v>
      </c>
      <c r="K2427" t="s">
        <v>8202</v>
      </c>
      <c r="L2427" t="s">
        <v>2613</v>
      </c>
      <c r="M2427" t="s">
        <v>1634</v>
      </c>
    </row>
    <row r="2428" spans="1:13" x14ac:dyDescent="0.25">
      <c r="A2428">
        <v>92984</v>
      </c>
      <c r="B2428" t="s">
        <v>8205</v>
      </c>
      <c r="C2428" t="s">
        <v>8206</v>
      </c>
      <c r="D2428" t="s">
        <v>2605</v>
      </c>
      <c r="E2428" t="s">
        <v>1273</v>
      </c>
      <c r="F2428" t="s">
        <v>4811</v>
      </c>
      <c r="G2428" t="s">
        <v>8197</v>
      </c>
      <c r="H2428" t="s">
        <v>8198</v>
      </c>
      <c r="K2428" t="s">
        <v>8207</v>
      </c>
      <c r="L2428" t="s">
        <v>8208</v>
      </c>
      <c r="M2428" t="s">
        <v>1634</v>
      </c>
    </row>
    <row r="2429" spans="1:13" x14ac:dyDescent="0.25">
      <c r="A2429">
        <v>92043</v>
      </c>
      <c r="B2429" t="s">
        <v>939</v>
      </c>
      <c r="C2429" t="s">
        <v>8209</v>
      </c>
      <c r="D2429" t="s">
        <v>2596</v>
      </c>
      <c r="E2429" t="s">
        <v>1273</v>
      </c>
      <c r="F2429" t="s">
        <v>8210</v>
      </c>
      <c r="G2429" t="s">
        <v>8211</v>
      </c>
      <c r="H2429">
        <v>5303140105</v>
      </c>
      <c r="K2429" t="s">
        <v>8212</v>
      </c>
      <c r="L2429" t="s">
        <v>8213</v>
      </c>
      <c r="M2429" t="s">
        <v>1634</v>
      </c>
    </row>
    <row r="2430" spans="1:13" x14ac:dyDescent="0.25">
      <c r="A2430">
        <v>92043</v>
      </c>
      <c r="B2430" t="s">
        <v>939</v>
      </c>
      <c r="C2430" t="s">
        <v>8209</v>
      </c>
      <c r="D2430" t="s">
        <v>2596</v>
      </c>
      <c r="E2430" t="s">
        <v>1273</v>
      </c>
      <c r="F2430" t="s">
        <v>1925</v>
      </c>
      <c r="G2430" t="s">
        <v>8214</v>
      </c>
      <c r="H2430">
        <v>7752679411</v>
      </c>
      <c r="J2430">
        <v>4809879701</v>
      </c>
      <c r="K2430" t="s">
        <v>8215</v>
      </c>
      <c r="L2430" t="s">
        <v>8216</v>
      </c>
      <c r="M2430" t="s">
        <v>1634</v>
      </c>
    </row>
    <row r="2431" spans="1:13" x14ac:dyDescent="0.25">
      <c r="A2431">
        <v>92043</v>
      </c>
      <c r="B2431" t="s">
        <v>939</v>
      </c>
      <c r="C2431" t="s">
        <v>8209</v>
      </c>
      <c r="D2431" t="s">
        <v>2596</v>
      </c>
      <c r="E2431" t="s">
        <v>1273</v>
      </c>
      <c r="F2431" t="s">
        <v>3648</v>
      </c>
      <c r="G2431" t="s">
        <v>8217</v>
      </c>
      <c r="H2431">
        <v>6022652000</v>
      </c>
      <c r="K2431" t="s">
        <v>8218</v>
      </c>
      <c r="L2431" t="s">
        <v>1668</v>
      </c>
      <c r="M2431" t="s">
        <v>1634</v>
      </c>
    </row>
    <row r="2432" spans="1:13" x14ac:dyDescent="0.25">
      <c r="A2432">
        <v>92043</v>
      </c>
      <c r="B2432" t="s">
        <v>939</v>
      </c>
      <c r="C2432" t="s">
        <v>8209</v>
      </c>
      <c r="D2432" t="s">
        <v>2596</v>
      </c>
      <c r="E2432" t="s">
        <v>1273</v>
      </c>
      <c r="F2432" t="s">
        <v>8210</v>
      </c>
      <c r="G2432" t="s">
        <v>8211</v>
      </c>
      <c r="H2432">
        <v>5303140105</v>
      </c>
      <c r="K2432" t="s">
        <v>8212</v>
      </c>
      <c r="L2432" t="s">
        <v>8213</v>
      </c>
      <c r="M2432" t="s">
        <v>1640</v>
      </c>
    </row>
    <row r="2433" spans="1:13" x14ac:dyDescent="0.25">
      <c r="A2433">
        <v>92043</v>
      </c>
      <c r="B2433" t="s">
        <v>939</v>
      </c>
      <c r="C2433" t="s">
        <v>8209</v>
      </c>
      <c r="D2433" t="s">
        <v>2596</v>
      </c>
      <c r="E2433" t="s">
        <v>1273</v>
      </c>
      <c r="F2433" t="s">
        <v>3018</v>
      </c>
      <c r="G2433" t="s">
        <v>8219</v>
      </c>
      <c r="H2433">
        <v>4809872049</v>
      </c>
      <c r="K2433" t="s">
        <v>8220</v>
      </c>
      <c r="M2433" t="s">
        <v>1640</v>
      </c>
    </row>
    <row r="2434" spans="1:13" x14ac:dyDescent="0.25">
      <c r="A2434">
        <v>92043</v>
      </c>
      <c r="B2434" t="s">
        <v>939</v>
      </c>
      <c r="C2434" t="s">
        <v>8209</v>
      </c>
      <c r="D2434" t="s">
        <v>2596</v>
      </c>
      <c r="E2434" t="s">
        <v>1273</v>
      </c>
      <c r="F2434" t="s">
        <v>1690</v>
      </c>
      <c r="G2434" t="s">
        <v>8221</v>
      </c>
      <c r="K2434" t="s">
        <v>8222</v>
      </c>
      <c r="L2434" t="s">
        <v>8223</v>
      </c>
      <c r="M2434" t="s">
        <v>1765</v>
      </c>
    </row>
    <row r="2435" spans="1:13" x14ac:dyDescent="0.25">
      <c r="A2435">
        <v>92044</v>
      </c>
      <c r="B2435" t="s">
        <v>939</v>
      </c>
      <c r="C2435" t="s">
        <v>8224</v>
      </c>
      <c r="D2435" t="s">
        <v>2605</v>
      </c>
      <c r="E2435" t="s">
        <v>1273</v>
      </c>
      <c r="F2435" t="s">
        <v>8210</v>
      </c>
      <c r="G2435" t="s">
        <v>8211</v>
      </c>
      <c r="H2435">
        <v>5303140105</v>
      </c>
      <c r="I2435">
        <v>2304</v>
      </c>
      <c r="K2435" t="s">
        <v>8212</v>
      </c>
      <c r="L2435" t="s">
        <v>1640</v>
      </c>
      <c r="M2435" t="s">
        <v>1640</v>
      </c>
    </row>
    <row r="2436" spans="1:13" x14ac:dyDescent="0.25">
      <c r="A2436">
        <v>92047</v>
      </c>
      <c r="B2436" t="s">
        <v>8225</v>
      </c>
      <c r="C2436" t="s">
        <v>8226</v>
      </c>
      <c r="D2436" t="s">
        <v>2596</v>
      </c>
      <c r="E2436" t="s">
        <v>1273</v>
      </c>
      <c r="F2436" t="s">
        <v>3075</v>
      </c>
      <c r="G2436" t="s">
        <v>4000</v>
      </c>
      <c r="H2436">
        <v>4802705438</v>
      </c>
      <c r="I2436">
        <v>1140</v>
      </c>
      <c r="J2436">
        <v>4803650606</v>
      </c>
      <c r="K2436" t="s">
        <v>8227</v>
      </c>
      <c r="L2436" t="s">
        <v>2368</v>
      </c>
      <c r="M2436" t="s">
        <v>1634</v>
      </c>
    </row>
    <row r="2437" spans="1:13" x14ac:dyDescent="0.25">
      <c r="A2437">
        <v>92047</v>
      </c>
      <c r="B2437" t="s">
        <v>8225</v>
      </c>
      <c r="C2437" t="s">
        <v>8226</v>
      </c>
      <c r="D2437" t="s">
        <v>2596</v>
      </c>
      <c r="E2437" t="s">
        <v>1273</v>
      </c>
      <c r="F2437" t="s">
        <v>1679</v>
      </c>
      <c r="G2437" t="s">
        <v>5734</v>
      </c>
      <c r="H2437">
        <v>5204239999</v>
      </c>
      <c r="K2437" t="s">
        <v>8228</v>
      </c>
      <c r="L2437" t="s">
        <v>8229</v>
      </c>
      <c r="M2437" t="s">
        <v>1634</v>
      </c>
    </row>
    <row r="2438" spans="1:13" x14ac:dyDescent="0.25">
      <c r="A2438">
        <v>92047</v>
      </c>
      <c r="B2438" t="s">
        <v>8225</v>
      </c>
      <c r="C2438" t="s">
        <v>8226</v>
      </c>
      <c r="D2438" t="s">
        <v>2596</v>
      </c>
      <c r="E2438" t="s">
        <v>1273</v>
      </c>
      <c r="F2438" t="s">
        <v>2381</v>
      </c>
      <c r="G2438" t="s">
        <v>8230</v>
      </c>
      <c r="K2438" t="s">
        <v>8231</v>
      </c>
      <c r="M2438" t="s">
        <v>1634</v>
      </c>
    </row>
    <row r="2439" spans="1:13" x14ac:dyDescent="0.25">
      <c r="A2439">
        <v>92047</v>
      </c>
      <c r="B2439" t="s">
        <v>8225</v>
      </c>
      <c r="C2439" t="s">
        <v>8226</v>
      </c>
      <c r="D2439" t="s">
        <v>2596</v>
      </c>
      <c r="E2439" t="s">
        <v>1273</v>
      </c>
      <c r="F2439" t="s">
        <v>2204</v>
      </c>
      <c r="G2439" t="s">
        <v>8232</v>
      </c>
      <c r="M2439" t="s">
        <v>1634</v>
      </c>
    </row>
    <row r="2440" spans="1:13" x14ac:dyDescent="0.25">
      <c r="A2440">
        <v>92047</v>
      </c>
      <c r="B2440" t="s">
        <v>8225</v>
      </c>
      <c r="C2440" t="s">
        <v>8226</v>
      </c>
      <c r="D2440" t="s">
        <v>2596</v>
      </c>
      <c r="E2440" t="s">
        <v>1273</v>
      </c>
      <c r="F2440" t="s">
        <v>4162</v>
      </c>
      <c r="G2440" t="s">
        <v>3775</v>
      </c>
      <c r="M2440" t="s">
        <v>1634</v>
      </c>
    </row>
    <row r="2441" spans="1:13" x14ac:dyDescent="0.25">
      <c r="A2441">
        <v>92047</v>
      </c>
      <c r="B2441" t="s">
        <v>8225</v>
      </c>
      <c r="C2441" t="s">
        <v>8226</v>
      </c>
      <c r="D2441" t="s">
        <v>2596</v>
      </c>
      <c r="E2441" t="s">
        <v>1273</v>
      </c>
      <c r="F2441" t="s">
        <v>2896</v>
      </c>
      <c r="G2441" t="s">
        <v>8112</v>
      </c>
      <c r="K2441" t="s">
        <v>8113</v>
      </c>
      <c r="L2441" t="s">
        <v>8114</v>
      </c>
      <c r="M2441" t="s">
        <v>1634</v>
      </c>
    </row>
    <row r="2442" spans="1:13" x14ac:dyDescent="0.25">
      <c r="A2442">
        <v>92048</v>
      </c>
      <c r="B2442" t="s">
        <v>8233</v>
      </c>
      <c r="C2442" t="s">
        <v>8234</v>
      </c>
      <c r="D2442" t="s">
        <v>2605</v>
      </c>
      <c r="E2442" t="s">
        <v>1273</v>
      </c>
      <c r="F2442" t="s">
        <v>5369</v>
      </c>
      <c r="G2442" t="s">
        <v>8119</v>
      </c>
      <c r="H2442">
        <v>4802705438</v>
      </c>
      <c r="J2442">
        <v>4803650606</v>
      </c>
      <c r="K2442" t="s">
        <v>8120</v>
      </c>
      <c r="L2442" t="s">
        <v>8235</v>
      </c>
      <c r="M2442" t="s">
        <v>1634</v>
      </c>
    </row>
    <row r="2443" spans="1:13" x14ac:dyDescent="0.25">
      <c r="A2443">
        <v>92048</v>
      </c>
      <c r="B2443" t="s">
        <v>8233</v>
      </c>
      <c r="C2443" t="s">
        <v>8234</v>
      </c>
      <c r="D2443" t="s">
        <v>2605</v>
      </c>
      <c r="E2443" t="s">
        <v>1273</v>
      </c>
      <c r="F2443" t="s">
        <v>3018</v>
      </c>
      <c r="G2443" t="s">
        <v>1960</v>
      </c>
      <c r="K2443" t="s">
        <v>8236</v>
      </c>
      <c r="M2443" t="s">
        <v>1634</v>
      </c>
    </row>
    <row r="2444" spans="1:13" x14ac:dyDescent="0.25">
      <c r="A2444">
        <v>92048</v>
      </c>
      <c r="B2444" t="s">
        <v>8233</v>
      </c>
      <c r="C2444" t="s">
        <v>8234</v>
      </c>
      <c r="D2444" t="s">
        <v>2605</v>
      </c>
      <c r="E2444" t="s">
        <v>1273</v>
      </c>
      <c r="F2444" t="s">
        <v>3075</v>
      </c>
      <c r="G2444" t="s">
        <v>4000</v>
      </c>
      <c r="M2444" t="s">
        <v>1634</v>
      </c>
    </row>
    <row r="2445" spans="1:13" x14ac:dyDescent="0.25">
      <c r="A2445">
        <v>91328</v>
      </c>
      <c r="B2445" t="s">
        <v>8237</v>
      </c>
      <c r="C2445" t="s">
        <v>8238</v>
      </c>
      <c r="D2445" t="s">
        <v>2596</v>
      </c>
      <c r="E2445" t="s">
        <v>1273</v>
      </c>
      <c r="F2445" t="s">
        <v>3570</v>
      </c>
      <c r="G2445" t="s">
        <v>5188</v>
      </c>
      <c r="K2445" t="s">
        <v>8239</v>
      </c>
      <c r="L2445" t="s">
        <v>8240</v>
      </c>
      <c r="M2445" t="s">
        <v>1634</v>
      </c>
    </row>
    <row r="2446" spans="1:13" x14ac:dyDescent="0.25">
      <c r="A2446">
        <v>91328</v>
      </c>
      <c r="B2446" t="s">
        <v>8237</v>
      </c>
      <c r="C2446" t="s">
        <v>8238</v>
      </c>
      <c r="D2446" t="s">
        <v>2596</v>
      </c>
      <c r="E2446" t="s">
        <v>1273</v>
      </c>
      <c r="F2446" t="s">
        <v>1679</v>
      </c>
      <c r="G2446" t="s">
        <v>8241</v>
      </c>
      <c r="L2446" t="s">
        <v>8242</v>
      </c>
      <c r="M2446" t="s">
        <v>1634</v>
      </c>
    </row>
    <row r="2447" spans="1:13" x14ac:dyDescent="0.25">
      <c r="A2447">
        <v>91328</v>
      </c>
      <c r="B2447" t="s">
        <v>8237</v>
      </c>
      <c r="C2447" t="s">
        <v>8238</v>
      </c>
      <c r="D2447" t="s">
        <v>2596</v>
      </c>
      <c r="E2447" t="s">
        <v>1273</v>
      </c>
      <c r="F2447" t="s">
        <v>2053</v>
      </c>
      <c r="G2447" t="s">
        <v>6310</v>
      </c>
      <c r="L2447" t="s">
        <v>1746</v>
      </c>
      <c r="M2447" t="s">
        <v>1640</v>
      </c>
    </row>
    <row r="2448" spans="1:13" x14ac:dyDescent="0.25">
      <c r="A2448">
        <v>91328</v>
      </c>
      <c r="B2448" t="s">
        <v>8237</v>
      </c>
      <c r="C2448" t="s">
        <v>8238</v>
      </c>
      <c r="D2448" t="s">
        <v>2596</v>
      </c>
      <c r="E2448" t="s">
        <v>1273</v>
      </c>
      <c r="F2448" t="s">
        <v>1848</v>
      </c>
      <c r="G2448" t="s">
        <v>2927</v>
      </c>
      <c r="K2448" t="s">
        <v>8243</v>
      </c>
      <c r="M2448" t="s">
        <v>1765</v>
      </c>
    </row>
    <row r="2449" spans="1:13" x14ac:dyDescent="0.25">
      <c r="A2449">
        <v>92224</v>
      </c>
      <c r="B2449" t="s">
        <v>8244</v>
      </c>
      <c r="C2449" t="s">
        <v>8245</v>
      </c>
      <c r="D2449" t="s">
        <v>2605</v>
      </c>
      <c r="E2449" t="s">
        <v>1273</v>
      </c>
      <c r="F2449" t="s">
        <v>2053</v>
      </c>
      <c r="G2449" t="s">
        <v>6310</v>
      </c>
      <c r="K2449" t="s">
        <v>8246</v>
      </c>
      <c r="M2449" t="s">
        <v>1634</v>
      </c>
    </row>
    <row r="2450" spans="1:13" x14ac:dyDescent="0.25">
      <c r="A2450">
        <v>92349</v>
      </c>
      <c r="B2450" t="s">
        <v>3049</v>
      </c>
      <c r="C2450" t="s">
        <v>8247</v>
      </c>
      <c r="D2450" t="s">
        <v>2596</v>
      </c>
      <c r="E2450" t="s">
        <v>1273</v>
      </c>
      <c r="F2450" t="s">
        <v>3051</v>
      </c>
      <c r="G2450" t="s">
        <v>3052</v>
      </c>
      <c r="J2450">
        <v>5206196006</v>
      </c>
      <c r="K2450" t="s">
        <v>8248</v>
      </c>
      <c r="L2450" t="s">
        <v>8249</v>
      </c>
      <c r="M2450" t="s">
        <v>1634</v>
      </c>
    </row>
    <row r="2451" spans="1:13" x14ac:dyDescent="0.25">
      <c r="A2451">
        <v>92349</v>
      </c>
      <c r="B2451" t="s">
        <v>3049</v>
      </c>
      <c r="C2451" t="s">
        <v>8247</v>
      </c>
      <c r="D2451" t="s">
        <v>2596</v>
      </c>
      <c r="E2451" t="s">
        <v>1273</v>
      </c>
      <c r="F2451" t="s">
        <v>3057</v>
      </c>
      <c r="G2451" t="s">
        <v>2969</v>
      </c>
      <c r="H2451">
        <v>4802892088</v>
      </c>
      <c r="K2451" t="s">
        <v>3058</v>
      </c>
      <c r="L2451" t="s">
        <v>3059</v>
      </c>
      <c r="M2451" t="s">
        <v>1634</v>
      </c>
    </row>
    <row r="2452" spans="1:13" x14ac:dyDescent="0.25">
      <c r="A2452">
        <v>92349</v>
      </c>
      <c r="B2452" t="s">
        <v>3049</v>
      </c>
      <c r="C2452" t="s">
        <v>8247</v>
      </c>
      <c r="D2452" t="s">
        <v>2596</v>
      </c>
      <c r="E2452" t="s">
        <v>1273</v>
      </c>
      <c r="F2452" t="s">
        <v>1848</v>
      </c>
      <c r="G2452" t="s">
        <v>3060</v>
      </c>
      <c r="K2452" t="s">
        <v>3061</v>
      </c>
      <c r="L2452" t="s">
        <v>3062</v>
      </c>
      <c r="M2452" t="s">
        <v>1634</v>
      </c>
    </row>
    <row r="2453" spans="1:13" x14ac:dyDescent="0.25">
      <c r="A2453">
        <v>92349</v>
      </c>
      <c r="B2453" t="s">
        <v>3049</v>
      </c>
      <c r="C2453" t="s">
        <v>8247</v>
      </c>
      <c r="D2453" t="s">
        <v>2596</v>
      </c>
      <c r="E2453" t="s">
        <v>1273</v>
      </c>
      <c r="F2453" t="s">
        <v>2261</v>
      </c>
      <c r="G2453" t="s">
        <v>3063</v>
      </c>
      <c r="K2453" t="s">
        <v>3064</v>
      </c>
      <c r="L2453" t="s">
        <v>3065</v>
      </c>
      <c r="M2453" t="s">
        <v>1634</v>
      </c>
    </row>
    <row r="2454" spans="1:13" x14ac:dyDescent="0.25">
      <c r="A2454">
        <v>92350</v>
      </c>
      <c r="B2454" t="s">
        <v>8250</v>
      </c>
      <c r="C2454" t="s">
        <v>8251</v>
      </c>
      <c r="D2454" t="s">
        <v>2605</v>
      </c>
      <c r="E2454" t="s">
        <v>1273</v>
      </c>
    </row>
    <row r="2455" spans="1:13" x14ac:dyDescent="0.25">
      <c r="A2455">
        <v>92620</v>
      </c>
      <c r="B2455" t="s">
        <v>8252</v>
      </c>
      <c r="C2455" t="s">
        <v>8253</v>
      </c>
      <c r="D2455" t="s">
        <v>2596</v>
      </c>
      <c r="E2455" t="s">
        <v>1273</v>
      </c>
      <c r="F2455" t="s">
        <v>3910</v>
      </c>
      <c r="G2455" t="s">
        <v>1840</v>
      </c>
      <c r="H2455">
        <v>4806593009</v>
      </c>
      <c r="K2455" t="s">
        <v>8254</v>
      </c>
      <c r="L2455" t="s">
        <v>1639</v>
      </c>
      <c r="M2455" t="s">
        <v>1634</v>
      </c>
    </row>
    <row r="2456" spans="1:13" x14ac:dyDescent="0.25">
      <c r="A2456">
        <v>92621</v>
      </c>
      <c r="B2456" t="s">
        <v>8255</v>
      </c>
      <c r="C2456" t="s">
        <v>8256</v>
      </c>
      <c r="D2456" t="s">
        <v>2605</v>
      </c>
      <c r="E2456" t="s">
        <v>1273</v>
      </c>
      <c r="F2456" t="s">
        <v>3910</v>
      </c>
      <c r="G2456" t="s">
        <v>1840</v>
      </c>
      <c r="H2456">
        <v>4806593009</v>
      </c>
      <c r="J2456">
        <v>4806593043</v>
      </c>
      <c r="K2456" t="s">
        <v>8254</v>
      </c>
      <c r="L2456" t="s">
        <v>1639</v>
      </c>
      <c r="M2456" t="s">
        <v>1634</v>
      </c>
    </row>
    <row r="2457" spans="1:13" x14ac:dyDescent="0.25">
      <c r="A2457">
        <v>92656</v>
      </c>
      <c r="B2457" t="s">
        <v>8257</v>
      </c>
      <c r="C2457" t="s">
        <v>8258</v>
      </c>
      <c r="D2457" t="s">
        <v>2596</v>
      </c>
      <c r="E2457" t="s">
        <v>1273</v>
      </c>
      <c r="F2457" t="s">
        <v>6014</v>
      </c>
      <c r="G2457" t="s">
        <v>8104</v>
      </c>
      <c r="H2457" t="s">
        <v>8105</v>
      </c>
      <c r="K2457" t="s">
        <v>8106</v>
      </c>
      <c r="L2457" t="s">
        <v>8107</v>
      </c>
      <c r="M2457" t="s">
        <v>1634</v>
      </c>
    </row>
    <row r="2458" spans="1:13" x14ac:dyDescent="0.25">
      <c r="A2458">
        <v>92656</v>
      </c>
      <c r="B2458" t="s">
        <v>8257</v>
      </c>
      <c r="C2458" t="s">
        <v>8258</v>
      </c>
      <c r="D2458" t="s">
        <v>2596</v>
      </c>
      <c r="E2458" t="s">
        <v>1273</v>
      </c>
      <c r="F2458" t="s">
        <v>2307</v>
      </c>
      <c r="G2458" t="s">
        <v>8090</v>
      </c>
      <c r="H2458">
        <v>4802977676</v>
      </c>
      <c r="K2458" t="s">
        <v>8091</v>
      </c>
      <c r="M2458" t="s">
        <v>1634</v>
      </c>
    </row>
    <row r="2459" spans="1:13" x14ac:dyDescent="0.25">
      <c r="A2459">
        <v>92656</v>
      </c>
      <c r="B2459" t="s">
        <v>8257</v>
      </c>
      <c r="C2459" t="s">
        <v>8258</v>
      </c>
      <c r="D2459" t="s">
        <v>2596</v>
      </c>
      <c r="E2459" t="s">
        <v>1273</v>
      </c>
      <c r="F2459" t="s">
        <v>8097</v>
      </c>
      <c r="G2459" t="s">
        <v>8098</v>
      </c>
      <c r="H2459">
        <v>4807216818</v>
      </c>
      <c r="K2459" t="s">
        <v>8099</v>
      </c>
      <c r="L2459" t="s">
        <v>5266</v>
      </c>
      <c r="M2459" t="s">
        <v>1634</v>
      </c>
    </row>
    <row r="2460" spans="1:13" x14ac:dyDescent="0.25">
      <c r="A2460">
        <v>92656</v>
      </c>
      <c r="B2460" t="s">
        <v>8257</v>
      </c>
      <c r="C2460" t="s">
        <v>8258</v>
      </c>
      <c r="D2460" t="s">
        <v>2596</v>
      </c>
      <c r="E2460" t="s">
        <v>1273</v>
      </c>
      <c r="F2460" t="s">
        <v>7318</v>
      </c>
      <c r="G2460" t="s">
        <v>8094</v>
      </c>
      <c r="H2460">
        <v>6024387045</v>
      </c>
      <c r="K2460" t="s">
        <v>8095</v>
      </c>
      <c r="L2460" t="s">
        <v>8096</v>
      </c>
      <c r="M2460" t="s">
        <v>1640</v>
      </c>
    </row>
    <row r="2461" spans="1:13" x14ac:dyDescent="0.25">
      <c r="A2461">
        <v>92656</v>
      </c>
      <c r="B2461" t="s">
        <v>8257</v>
      </c>
      <c r="C2461" t="s">
        <v>8258</v>
      </c>
      <c r="D2461" t="s">
        <v>2596</v>
      </c>
      <c r="E2461" t="s">
        <v>1273</v>
      </c>
      <c r="F2461" t="s">
        <v>1935</v>
      </c>
      <c r="G2461" t="s">
        <v>8100</v>
      </c>
      <c r="H2461" t="s">
        <v>8101</v>
      </c>
      <c r="K2461" t="s">
        <v>8102</v>
      </c>
      <c r="L2461" t="s">
        <v>8259</v>
      </c>
      <c r="M2461" t="s">
        <v>1765</v>
      </c>
    </row>
    <row r="2462" spans="1:13" x14ac:dyDescent="0.25">
      <c r="A2462">
        <v>92708</v>
      </c>
      <c r="B2462" t="s">
        <v>8260</v>
      </c>
      <c r="C2462" t="s">
        <v>8261</v>
      </c>
      <c r="D2462" t="s">
        <v>2605</v>
      </c>
      <c r="E2462" t="s">
        <v>1273</v>
      </c>
      <c r="F2462" t="s">
        <v>6014</v>
      </c>
      <c r="G2462" t="s">
        <v>8104</v>
      </c>
      <c r="L2462" t="s">
        <v>8262</v>
      </c>
      <c r="M2462" t="s">
        <v>1634</v>
      </c>
    </row>
    <row r="2463" spans="1:13" x14ac:dyDescent="0.25">
      <c r="A2463">
        <v>92657</v>
      </c>
      <c r="B2463" t="s">
        <v>8263</v>
      </c>
      <c r="C2463" t="s">
        <v>8264</v>
      </c>
      <c r="D2463" t="s">
        <v>2596</v>
      </c>
      <c r="E2463" t="s">
        <v>1273</v>
      </c>
      <c r="F2463" t="s">
        <v>6014</v>
      </c>
      <c r="G2463" t="s">
        <v>8104</v>
      </c>
      <c r="H2463" t="s">
        <v>8105</v>
      </c>
      <c r="K2463" t="s">
        <v>8106</v>
      </c>
      <c r="L2463" t="s">
        <v>8107</v>
      </c>
      <c r="M2463" t="s">
        <v>1634</v>
      </c>
    </row>
    <row r="2464" spans="1:13" x14ac:dyDescent="0.25">
      <c r="A2464">
        <v>92657</v>
      </c>
      <c r="B2464" t="s">
        <v>8263</v>
      </c>
      <c r="C2464" t="s">
        <v>8264</v>
      </c>
      <c r="D2464" t="s">
        <v>2596</v>
      </c>
      <c r="E2464" t="s">
        <v>1273</v>
      </c>
      <c r="F2464" t="s">
        <v>2307</v>
      </c>
      <c r="G2464" t="s">
        <v>8090</v>
      </c>
      <c r="H2464">
        <v>4802977676</v>
      </c>
      <c r="K2464" t="s">
        <v>8091</v>
      </c>
      <c r="M2464" t="s">
        <v>1634</v>
      </c>
    </row>
    <row r="2465" spans="1:13" x14ac:dyDescent="0.25">
      <c r="A2465">
        <v>92657</v>
      </c>
      <c r="B2465" t="s">
        <v>8263</v>
      </c>
      <c r="C2465" t="s">
        <v>8264</v>
      </c>
      <c r="D2465" t="s">
        <v>2596</v>
      </c>
      <c r="E2465" t="s">
        <v>1273</v>
      </c>
      <c r="F2465" t="s">
        <v>8097</v>
      </c>
      <c r="G2465" t="s">
        <v>8098</v>
      </c>
      <c r="H2465">
        <v>4807216818</v>
      </c>
      <c r="K2465" t="s">
        <v>8099</v>
      </c>
      <c r="L2465" t="s">
        <v>5266</v>
      </c>
      <c r="M2465" t="s">
        <v>1634</v>
      </c>
    </row>
    <row r="2466" spans="1:13" x14ac:dyDescent="0.25">
      <c r="A2466">
        <v>92657</v>
      </c>
      <c r="B2466" t="s">
        <v>8263</v>
      </c>
      <c r="C2466" t="s">
        <v>8264</v>
      </c>
      <c r="D2466" t="s">
        <v>2596</v>
      </c>
      <c r="E2466" t="s">
        <v>1273</v>
      </c>
      <c r="F2466" t="s">
        <v>7318</v>
      </c>
      <c r="G2466" t="s">
        <v>8094</v>
      </c>
      <c r="H2466">
        <v>6024387045</v>
      </c>
      <c r="K2466" t="s">
        <v>8095</v>
      </c>
      <c r="L2466" t="s">
        <v>8096</v>
      </c>
      <c r="M2466" t="s">
        <v>1640</v>
      </c>
    </row>
    <row r="2467" spans="1:13" x14ac:dyDescent="0.25">
      <c r="A2467">
        <v>92657</v>
      </c>
      <c r="B2467" t="s">
        <v>8263</v>
      </c>
      <c r="C2467" t="s">
        <v>8264</v>
      </c>
      <c r="D2467" t="s">
        <v>2596</v>
      </c>
      <c r="E2467" t="s">
        <v>1273</v>
      </c>
      <c r="F2467" t="s">
        <v>1935</v>
      </c>
      <c r="G2467" t="s">
        <v>8100</v>
      </c>
      <c r="H2467" t="s">
        <v>8101</v>
      </c>
      <c r="K2467" t="s">
        <v>8102</v>
      </c>
      <c r="L2467" t="s">
        <v>8103</v>
      </c>
      <c r="M2467" t="s">
        <v>1765</v>
      </c>
    </row>
    <row r="2468" spans="1:13" x14ac:dyDescent="0.25">
      <c r="A2468">
        <v>92657</v>
      </c>
      <c r="B2468" t="s">
        <v>8263</v>
      </c>
      <c r="C2468" t="s">
        <v>8264</v>
      </c>
      <c r="D2468" t="s">
        <v>2596</v>
      </c>
      <c r="E2468" t="s">
        <v>1273</v>
      </c>
      <c r="F2468" t="s">
        <v>6014</v>
      </c>
      <c r="G2468" t="s">
        <v>8104</v>
      </c>
      <c r="H2468" t="s">
        <v>8105</v>
      </c>
      <c r="K2468" t="s">
        <v>8106</v>
      </c>
      <c r="L2468" t="s">
        <v>8107</v>
      </c>
      <c r="M2468" t="s">
        <v>1765</v>
      </c>
    </row>
    <row r="2469" spans="1:13" x14ac:dyDescent="0.25">
      <c r="A2469">
        <v>92732</v>
      </c>
      <c r="B2469" t="s">
        <v>8265</v>
      </c>
      <c r="C2469" t="s">
        <v>8266</v>
      </c>
      <c r="D2469" t="s">
        <v>2605</v>
      </c>
      <c r="E2469" t="s">
        <v>1273</v>
      </c>
    </row>
    <row r="2470" spans="1:13" x14ac:dyDescent="0.25">
      <c r="A2470">
        <v>92997</v>
      </c>
      <c r="B2470" t="s">
        <v>3049</v>
      </c>
      <c r="C2470" t="s">
        <v>8267</v>
      </c>
      <c r="D2470" t="s">
        <v>2596</v>
      </c>
      <c r="E2470" t="s">
        <v>1273</v>
      </c>
      <c r="F2470" t="s">
        <v>1925</v>
      </c>
      <c r="G2470" t="s">
        <v>3072</v>
      </c>
      <c r="H2470">
        <v>5202196000</v>
      </c>
      <c r="K2470" t="s">
        <v>3073</v>
      </c>
      <c r="L2470" t="s">
        <v>8268</v>
      </c>
      <c r="M2470" t="s">
        <v>1634</v>
      </c>
    </row>
    <row r="2471" spans="1:13" x14ac:dyDescent="0.25">
      <c r="A2471">
        <v>92997</v>
      </c>
      <c r="B2471" t="s">
        <v>3049</v>
      </c>
      <c r="C2471" t="s">
        <v>8267</v>
      </c>
      <c r="D2471" t="s">
        <v>2596</v>
      </c>
      <c r="E2471" t="s">
        <v>1273</v>
      </c>
      <c r="F2471" t="s">
        <v>3057</v>
      </c>
      <c r="G2471" t="s">
        <v>2969</v>
      </c>
      <c r="H2471">
        <v>4802892088</v>
      </c>
      <c r="K2471" t="s">
        <v>3058</v>
      </c>
      <c r="L2471" t="s">
        <v>8269</v>
      </c>
      <c r="M2471" t="s">
        <v>1634</v>
      </c>
    </row>
    <row r="2472" spans="1:13" x14ac:dyDescent="0.25">
      <c r="A2472">
        <v>92997</v>
      </c>
      <c r="B2472" t="s">
        <v>3049</v>
      </c>
      <c r="C2472" t="s">
        <v>8267</v>
      </c>
      <c r="D2472" t="s">
        <v>2596</v>
      </c>
      <c r="E2472" t="s">
        <v>1273</v>
      </c>
      <c r="F2472" t="s">
        <v>3051</v>
      </c>
      <c r="G2472" t="s">
        <v>3052</v>
      </c>
      <c r="L2472" t="s">
        <v>8235</v>
      </c>
      <c r="M2472" t="s">
        <v>1634</v>
      </c>
    </row>
    <row r="2473" spans="1:13" x14ac:dyDescent="0.25">
      <c r="A2473">
        <v>92997</v>
      </c>
      <c r="B2473" t="s">
        <v>3049</v>
      </c>
      <c r="C2473" t="s">
        <v>8267</v>
      </c>
      <c r="D2473" t="s">
        <v>2596</v>
      </c>
      <c r="E2473" t="s">
        <v>1273</v>
      </c>
      <c r="F2473" t="s">
        <v>3051</v>
      </c>
      <c r="G2473" t="s">
        <v>3052</v>
      </c>
      <c r="K2473" t="s">
        <v>8270</v>
      </c>
      <c r="L2473" t="s">
        <v>8235</v>
      </c>
      <c r="M2473" t="s">
        <v>1634</v>
      </c>
    </row>
    <row r="2474" spans="1:13" x14ac:dyDescent="0.25">
      <c r="A2474">
        <v>92997</v>
      </c>
      <c r="B2474" t="s">
        <v>3049</v>
      </c>
      <c r="C2474" t="s">
        <v>8267</v>
      </c>
      <c r="D2474" t="s">
        <v>2596</v>
      </c>
      <c r="E2474" t="s">
        <v>1273</v>
      </c>
      <c r="F2474" t="s">
        <v>1848</v>
      </c>
      <c r="G2474" t="s">
        <v>3060</v>
      </c>
      <c r="K2474" t="s">
        <v>3061</v>
      </c>
      <c r="L2474" t="s">
        <v>3062</v>
      </c>
      <c r="M2474" t="s">
        <v>1634</v>
      </c>
    </row>
    <row r="2475" spans="1:13" x14ac:dyDescent="0.25">
      <c r="A2475">
        <v>92997</v>
      </c>
      <c r="B2475" t="s">
        <v>3049</v>
      </c>
      <c r="C2475" t="s">
        <v>8267</v>
      </c>
      <c r="D2475" t="s">
        <v>2596</v>
      </c>
      <c r="E2475" t="s">
        <v>1273</v>
      </c>
      <c r="F2475" t="s">
        <v>2261</v>
      </c>
      <c r="G2475" t="s">
        <v>3063</v>
      </c>
      <c r="K2475" t="s">
        <v>3064</v>
      </c>
      <c r="L2475" t="s">
        <v>3065</v>
      </c>
      <c r="M2475" t="s">
        <v>1634</v>
      </c>
    </row>
    <row r="2476" spans="1:13" x14ac:dyDescent="0.25">
      <c r="A2476">
        <v>93010</v>
      </c>
      <c r="B2476" t="s">
        <v>8271</v>
      </c>
      <c r="C2476" t="s">
        <v>8272</v>
      </c>
      <c r="D2476" t="s">
        <v>2605</v>
      </c>
      <c r="E2476" t="s">
        <v>1273</v>
      </c>
    </row>
    <row r="2477" spans="1:13" x14ac:dyDescent="0.25">
      <c r="A2477">
        <v>92981</v>
      </c>
      <c r="B2477" t="s">
        <v>8273</v>
      </c>
      <c r="C2477" t="s">
        <v>8274</v>
      </c>
      <c r="D2477" t="s">
        <v>2596</v>
      </c>
      <c r="E2477" t="s">
        <v>1273</v>
      </c>
      <c r="F2477" t="s">
        <v>1935</v>
      </c>
      <c r="G2477" t="s">
        <v>7148</v>
      </c>
      <c r="H2477">
        <v>4804161070</v>
      </c>
      <c r="K2477" t="s">
        <v>8275</v>
      </c>
      <c r="L2477" t="s">
        <v>8134</v>
      </c>
      <c r="M2477" t="s">
        <v>1634</v>
      </c>
    </row>
    <row r="2478" spans="1:13" x14ac:dyDescent="0.25">
      <c r="A2478">
        <v>962403</v>
      </c>
      <c r="B2478" t="s">
        <v>8276</v>
      </c>
      <c r="C2478" t="s">
        <v>8277</v>
      </c>
      <c r="D2478" t="s">
        <v>2605</v>
      </c>
      <c r="E2478" t="s">
        <v>1273</v>
      </c>
    </row>
    <row r="2479" spans="1:13" x14ac:dyDescent="0.25">
      <c r="A2479">
        <v>92972</v>
      </c>
      <c r="B2479" t="s">
        <v>8278</v>
      </c>
      <c r="C2479" t="s">
        <v>8279</v>
      </c>
      <c r="D2479" t="s">
        <v>2596</v>
      </c>
      <c r="E2479" t="s">
        <v>1273</v>
      </c>
      <c r="F2479" t="s">
        <v>1931</v>
      </c>
      <c r="G2479" t="s">
        <v>8280</v>
      </c>
      <c r="H2479">
        <v>6023834013</v>
      </c>
      <c r="K2479" t="s">
        <v>8281</v>
      </c>
      <c r="L2479" t="s">
        <v>1668</v>
      </c>
      <c r="M2479" t="s">
        <v>1634</v>
      </c>
    </row>
    <row r="2480" spans="1:13" x14ac:dyDescent="0.25">
      <c r="A2480">
        <v>92972</v>
      </c>
      <c r="B2480" t="s">
        <v>8278</v>
      </c>
      <c r="C2480" t="s">
        <v>8279</v>
      </c>
      <c r="D2480" t="s">
        <v>2596</v>
      </c>
      <c r="E2480" t="s">
        <v>1273</v>
      </c>
      <c r="F2480" t="s">
        <v>6615</v>
      </c>
      <c r="G2480" t="s">
        <v>2506</v>
      </c>
      <c r="H2480">
        <v>6023834013</v>
      </c>
      <c r="K2480" t="s">
        <v>8282</v>
      </c>
      <c r="L2480" t="s">
        <v>8283</v>
      </c>
      <c r="M2480" t="s">
        <v>1634</v>
      </c>
    </row>
    <row r="2481" spans="1:13" x14ac:dyDescent="0.25">
      <c r="A2481">
        <v>92972</v>
      </c>
      <c r="B2481" t="s">
        <v>8278</v>
      </c>
      <c r="C2481" t="s">
        <v>8279</v>
      </c>
      <c r="D2481" t="s">
        <v>2596</v>
      </c>
      <c r="E2481" t="s">
        <v>1273</v>
      </c>
      <c r="F2481" t="s">
        <v>1690</v>
      </c>
      <c r="G2481" t="s">
        <v>8284</v>
      </c>
      <c r="H2481">
        <v>6028811585</v>
      </c>
      <c r="K2481" t="s">
        <v>8285</v>
      </c>
      <c r="L2481" t="s">
        <v>8286</v>
      </c>
      <c r="M2481" t="s">
        <v>1640</v>
      </c>
    </row>
    <row r="2482" spans="1:13" x14ac:dyDescent="0.25">
      <c r="A2482">
        <v>92972</v>
      </c>
      <c r="B2482" t="s">
        <v>8278</v>
      </c>
      <c r="C2482" t="s">
        <v>8279</v>
      </c>
      <c r="D2482" t="s">
        <v>2596</v>
      </c>
      <c r="E2482" t="s">
        <v>1273</v>
      </c>
      <c r="F2482" t="s">
        <v>2381</v>
      </c>
      <c r="G2482" t="s">
        <v>1909</v>
      </c>
      <c r="H2482">
        <v>4075296029</v>
      </c>
      <c r="K2482" t="s">
        <v>8287</v>
      </c>
      <c r="L2482" t="s">
        <v>8288</v>
      </c>
      <c r="M2482" t="s">
        <v>1765</v>
      </c>
    </row>
    <row r="2483" spans="1:13" x14ac:dyDescent="0.25">
      <c r="A2483">
        <v>126443</v>
      </c>
      <c r="B2483" t="s">
        <v>8278</v>
      </c>
      <c r="C2483" t="s">
        <v>8289</v>
      </c>
      <c r="D2483" t="s">
        <v>2605</v>
      </c>
      <c r="E2483" t="s">
        <v>1273</v>
      </c>
    </row>
    <row r="2484" spans="1:13" x14ac:dyDescent="0.25">
      <c r="A2484">
        <v>92988</v>
      </c>
      <c r="B2484" t="s">
        <v>8290</v>
      </c>
      <c r="C2484" t="s">
        <v>8291</v>
      </c>
      <c r="D2484" t="s">
        <v>2596</v>
      </c>
      <c r="E2484" t="s">
        <v>1273</v>
      </c>
      <c r="F2484" t="s">
        <v>5834</v>
      </c>
      <c r="G2484" t="s">
        <v>2746</v>
      </c>
      <c r="H2484">
        <v>6233124029</v>
      </c>
      <c r="K2484" t="s">
        <v>5845</v>
      </c>
      <c r="M2484" t="s">
        <v>1634</v>
      </c>
    </row>
    <row r="2485" spans="1:13" x14ac:dyDescent="0.25">
      <c r="A2485">
        <v>92988</v>
      </c>
      <c r="B2485" t="s">
        <v>8290</v>
      </c>
      <c r="C2485" t="s">
        <v>8291</v>
      </c>
      <c r="D2485" t="s">
        <v>2596</v>
      </c>
      <c r="E2485" t="s">
        <v>1273</v>
      </c>
      <c r="F2485" t="s">
        <v>5846</v>
      </c>
      <c r="G2485" t="s">
        <v>5847</v>
      </c>
      <c r="H2485">
        <v>6024772780</v>
      </c>
      <c r="K2485" t="s">
        <v>8292</v>
      </c>
      <c r="M2485" t="s">
        <v>1634</v>
      </c>
    </row>
    <row r="2486" spans="1:13" x14ac:dyDescent="0.25">
      <c r="A2486">
        <v>181823</v>
      </c>
      <c r="B2486" t="s">
        <v>8293</v>
      </c>
      <c r="C2486" t="s">
        <v>8294</v>
      </c>
      <c r="D2486" t="s">
        <v>2605</v>
      </c>
      <c r="E2486" t="s">
        <v>1273</v>
      </c>
      <c r="F2486" t="s">
        <v>5834</v>
      </c>
      <c r="G2486" t="s">
        <v>2746</v>
      </c>
      <c r="K2486" t="s">
        <v>8295</v>
      </c>
      <c r="M2486" t="s">
        <v>1634</v>
      </c>
    </row>
    <row r="2487" spans="1:13" x14ac:dyDescent="0.25">
      <c r="A2487">
        <v>181823</v>
      </c>
      <c r="B2487" t="s">
        <v>8293</v>
      </c>
      <c r="C2487" t="s">
        <v>8294</v>
      </c>
      <c r="D2487" t="s">
        <v>2605</v>
      </c>
      <c r="E2487" t="s">
        <v>1273</v>
      </c>
      <c r="F2487" t="s">
        <v>5846</v>
      </c>
      <c r="G2487" t="s">
        <v>5847</v>
      </c>
      <c r="H2487">
        <v>6024772780</v>
      </c>
      <c r="K2487" t="s">
        <v>8292</v>
      </c>
      <c r="L2487" t="s">
        <v>1647</v>
      </c>
      <c r="M2487" t="s">
        <v>1634</v>
      </c>
    </row>
    <row r="2488" spans="1:13" x14ac:dyDescent="0.25">
      <c r="A2488">
        <v>91329</v>
      </c>
      <c r="B2488" t="s">
        <v>8296</v>
      </c>
      <c r="C2488" t="s">
        <v>8297</v>
      </c>
      <c r="D2488" t="s">
        <v>2596</v>
      </c>
      <c r="E2488" t="s">
        <v>1273</v>
      </c>
      <c r="F2488" t="s">
        <v>3570</v>
      </c>
      <c r="G2488" t="s">
        <v>5188</v>
      </c>
      <c r="K2488" t="s">
        <v>8239</v>
      </c>
      <c r="L2488" t="s">
        <v>8240</v>
      </c>
      <c r="M2488" t="s">
        <v>1634</v>
      </c>
    </row>
    <row r="2489" spans="1:13" x14ac:dyDescent="0.25">
      <c r="A2489">
        <v>91329</v>
      </c>
      <c r="B2489" t="s">
        <v>8296</v>
      </c>
      <c r="C2489" t="s">
        <v>8297</v>
      </c>
      <c r="D2489" t="s">
        <v>2596</v>
      </c>
      <c r="E2489" t="s">
        <v>1273</v>
      </c>
      <c r="F2489" t="s">
        <v>1690</v>
      </c>
      <c r="G2489" t="s">
        <v>3884</v>
      </c>
      <c r="K2489" t="s">
        <v>8298</v>
      </c>
      <c r="M2489" t="s">
        <v>1634</v>
      </c>
    </row>
    <row r="2490" spans="1:13" x14ac:dyDescent="0.25">
      <c r="A2490">
        <v>91329</v>
      </c>
      <c r="B2490" t="s">
        <v>8296</v>
      </c>
      <c r="C2490" t="s">
        <v>8297</v>
      </c>
      <c r="D2490" t="s">
        <v>2596</v>
      </c>
      <c r="E2490" t="s">
        <v>1273</v>
      </c>
      <c r="F2490" t="s">
        <v>2053</v>
      </c>
      <c r="G2490" t="s">
        <v>6310</v>
      </c>
      <c r="J2490">
        <v>6029530831</v>
      </c>
      <c r="K2490" t="s">
        <v>8246</v>
      </c>
      <c r="L2490" t="s">
        <v>8299</v>
      </c>
      <c r="M2490" t="s">
        <v>1634</v>
      </c>
    </row>
    <row r="2491" spans="1:13" x14ac:dyDescent="0.25">
      <c r="A2491">
        <v>91329</v>
      </c>
      <c r="B2491" t="s">
        <v>8296</v>
      </c>
      <c r="C2491" t="s">
        <v>8297</v>
      </c>
      <c r="D2491" t="s">
        <v>2596</v>
      </c>
      <c r="E2491" t="s">
        <v>1273</v>
      </c>
      <c r="F2491" t="s">
        <v>1679</v>
      </c>
      <c r="G2491" t="s">
        <v>8241</v>
      </c>
      <c r="L2491" t="s">
        <v>2596</v>
      </c>
      <c r="M2491" t="s">
        <v>1634</v>
      </c>
    </row>
    <row r="2492" spans="1:13" x14ac:dyDescent="0.25">
      <c r="A2492">
        <v>91329</v>
      </c>
      <c r="B2492" t="s">
        <v>8296</v>
      </c>
      <c r="C2492" t="s">
        <v>8297</v>
      </c>
      <c r="D2492" t="s">
        <v>2596</v>
      </c>
      <c r="E2492" t="s">
        <v>1273</v>
      </c>
      <c r="F2492" t="s">
        <v>8300</v>
      </c>
      <c r="G2492" t="s">
        <v>8301</v>
      </c>
      <c r="H2492">
        <v>6029532933</v>
      </c>
      <c r="K2492" t="s">
        <v>8302</v>
      </c>
      <c r="L2492" t="s">
        <v>8303</v>
      </c>
      <c r="M2492" t="s">
        <v>1634</v>
      </c>
    </row>
    <row r="2493" spans="1:13" x14ac:dyDescent="0.25">
      <c r="A2493">
        <v>91329</v>
      </c>
      <c r="B2493" t="s">
        <v>8296</v>
      </c>
      <c r="C2493" t="s">
        <v>8297</v>
      </c>
      <c r="D2493" t="s">
        <v>2596</v>
      </c>
      <c r="E2493" t="s">
        <v>1273</v>
      </c>
      <c r="F2493" t="s">
        <v>1848</v>
      </c>
      <c r="G2493" t="s">
        <v>2927</v>
      </c>
      <c r="H2493">
        <v>6029532933</v>
      </c>
      <c r="K2493" t="s">
        <v>8243</v>
      </c>
      <c r="M2493" t="s">
        <v>1765</v>
      </c>
    </row>
    <row r="2494" spans="1:13" x14ac:dyDescent="0.25">
      <c r="A2494">
        <v>92225</v>
      </c>
      <c r="B2494" t="s">
        <v>8304</v>
      </c>
      <c r="C2494" t="s">
        <v>8305</v>
      </c>
      <c r="D2494" t="s">
        <v>2605</v>
      </c>
      <c r="E2494" t="s">
        <v>1273</v>
      </c>
    </row>
    <row r="2495" spans="1:13" x14ac:dyDescent="0.25">
      <c r="A2495">
        <v>90878</v>
      </c>
      <c r="B2495" t="s">
        <v>1484</v>
      </c>
      <c r="C2495" t="s">
        <v>8306</v>
      </c>
      <c r="D2495" t="s">
        <v>2596</v>
      </c>
      <c r="E2495" t="s">
        <v>3494</v>
      </c>
      <c r="F2495" t="s">
        <v>1750</v>
      </c>
      <c r="G2495" t="s">
        <v>8307</v>
      </c>
      <c r="H2495">
        <v>5208875392</v>
      </c>
      <c r="K2495" t="s">
        <v>8308</v>
      </c>
      <c r="L2495" t="s">
        <v>8309</v>
      </c>
      <c r="M2495" t="s">
        <v>1634</v>
      </c>
    </row>
    <row r="2496" spans="1:13" x14ac:dyDescent="0.25">
      <c r="A2496">
        <v>90878</v>
      </c>
      <c r="B2496" t="s">
        <v>1484</v>
      </c>
      <c r="C2496" t="s">
        <v>8306</v>
      </c>
      <c r="D2496" t="s">
        <v>2596</v>
      </c>
      <c r="E2496" t="s">
        <v>3494</v>
      </c>
      <c r="F2496" t="s">
        <v>2027</v>
      </c>
      <c r="G2496" t="s">
        <v>8310</v>
      </c>
      <c r="H2496">
        <v>5208875392</v>
      </c>
      <c r="I2496">
        <v>1004</v>
      </c>
      <c r="K2496" t="s">
        <v>8311</v>
      </c>
      <c r="L2496" t="s">
        <v>8309</v>
      </c>
      <c r="M2496" t="s">
        <v>1634</v>
      </c>
    </row>
    <row r="2497" spans="1:13" x14ac:dyDescent="0.25">
      <c r="A2497">
        <v>90878</v>
      </c>
      <c r="B2497" t="s">
        <v>1484</v>
      </c>
      <c r="C2497" t="s">
        <v>8306</v>
      </c>
      <c r="D2497" t="s">
        <v>2596</v>
      </c>
      <c r="E2497" t="s">
        <v>3494</v>
      </c>
      <c r="F2497" t="s">
        <v>6345</v>
      </c>
      <c r="G2497" t="s">
        <v>2162</v>
      </c>
      <c r="H2497">
        <v>5208875392</v>
      </c>
      <c r="K2497" t="s">
        <v>8312</v>
      </c>
      <c r="L2497" t="s">
        <v>1668</v>
      </c>
      <c r="M2497" t="s">
        <v>1634</v>
      </c>
    </row>
    <row r="2498" spans="1:13" x14ac:dyDescent="0.25">
      <c r="A2498">
        <v>90878</v>
      </c>
      <c r="B2498" t="s">
        <v>1484</v>
      </c>
      <c r="C2498" t="s">
        <v>8306</v>
      </c>
      <c r="D2498" t="s">
        <v>2596</v>
      </c>
      <c r="E2498" t="s">
        <v>3494</v>
      </c>
      <c r="F2498" t="s">
        <v>8313</v>
      </c>
      <c r="G2498" t="s">
        <v>8314</v>
      </c>
      <c r="H2498" t="s">
        <v>8315</v>
      </c>
      <c r="K2498" t="s">
        <v>8316</v>
      </c>
      <c r="L2498" t="s">
        <v>1640</v>
      </c>
      <c r="M2498" t="s">
        <v>1640</v>
      </c>
    </row>
    <row r="2499" spans="1:13" x14ac:dyDescent="0.25">
      <c r="A2499">
        <v>90878</v>
      </c>
      <c r="B2499" t="s">
        <v>1484</v>
      </c>
      <c r="C2499" t="s">
        <v>8306</v>
      </c>
      <c r="D2499" t="s">
        <v>2596</v>
      </c>
      <c r="E2499" t="s">
        <v>3494</v>
      </c>
      <c r="F2499" t="s">
        <v>2587</v>
      </c>
      <c r="G2499" t="s">
        <v>8317</v>
      </c>
      <c r="H2499">
        <v>5208875392</v>
      </c>
      <c r="I2499">
        <v>11039</v>
      </c>
      <c r="K2499" t="s">
        <v>8318</v>
      </c>
      <c r="L2499" t="s">
        <v>2696</v>
      </c>
      <c r="M2499" t="s">
        <v>1765</v>
      </c>
    </row>
    <row r="2500" spans="1:13" x14ac:dyDescent="0.25">
      <c r="A2500">
        <v>92197</v>
      </c>
      <c r="B2500" t="s">
        <v>1485</v>
      </c>
      <c r="C2500" t="s">
        <v>8319</v>
      </c>
      <c r="D2500" t="s">
        <v>2605</v>
      </c>
      <c r="E2500" t="s">
        <v>1273</v>
      </c>
      <c r="F2500" t="s">
        <v>4050</v>
      </c>
      <c r="G2500" t="s">
        <v>2571</v>
      </c>
      <c r="H2500">
        <v>6028889572</v>
      </c>
      <c r="K2500" t="s">
        <v>8320</v>
      </c>
      <c r="L2500" t="s">
        <v>1647</v>
      </c>
      <c r="M2500" t="s">
        <v>1634</v>
      </c>
    </row>
    <row r="2501" spans="1:13" x14ac:dyDescent="0.25">
      <c r="A2501">
        <v>911531</v>
      </c>
      <c r="B2501" t="s">
        <v>8321</v>
      </c>
      <c r="C2501" t="s">
        <v>8322</v>
      </c>
      <c r="D2501" t="s">
        <v>2605</v>
      </c>
      <c r="E2501" t="s">
        <v>1273</v>
      </c>
      <c r="F2501" t="s">
        <v>2027</v>
      </c>
      <c r="G2501" t="s">
        <v>8310</v>
      </c>
      <c r="H2501">
        <v>5208875392</v>
      </c>
      <c r="J2501">
        <v>5208811732</v>
      </c>
      <c r="K2501" t="s">
        <v>8311</v>
      </c>
      <c r="L2501" t="s">
        <v>4663</v>
      </c>
      <c r="M2501" t="s">
        <v>1634</v>
      </c>
    </row>
    <row r="2502" spans="1:13" x14ac:dyDescent="0.25">
      <c r="A2502">
        <v>1000118</v>
      </c>
      <c r="B2502" t="s">
        <v>8323</v>
      </c>
      <c r="C2502" t="s">
        <v>8324</v>
      </c>
      <c r="D2502" t="s">
        <v>2605</v>
      </c>
      <c r="E2502" t="s">
        <v>1273</v>
      </c>
    </row>
    <row r="2503" spans="1:13" x14ac:dyDescent="0.25">
      <c r="A2503">
        <v>1000119</v>
      </c>
      <c r="B2503" t="s">
        <v>8325</v>
      </c>
      <c r="C2503" t="s">
        <v>8326</v>
      </c>
      <c r="D2503" t="s">
        <v>2605</v>
      </c>
      <c r="E2503" t="s">
        <v>1273</v>
      </c>
    </row>
    <row r="2504" spans="1:13" x14ac:dyDescent="0.25">
      <c r="A2504">
        <v>1000378</v>
      </c>
      <c r="B2504" t="s">
        <v>8327</v>
      </c>
      <c r="C2504" t="s">
        <v>8328</v>
      </c>
      <c r="D2504" t="s">
        <v>2605</v>
      </c>
      <c r="E2504" t="s">
        <v>1273</v>
      </c>
    </row>
    <row r="2505" spans="1:13" x14ac:dyDescent="0.25">
      <c r="A2505">
        <v>1000379</v>
      </c>
      <c r="B2505" t="s">
        <v>8329</v>
      </c>
      <c r="C2505" t="s">
        <v>8330</v>
      </c>
      <c r="D2505" t="s">
        <v>2605</v>
      </c>
      <c r="E2505" t="s">
        <v>1273</v>
      </c>
    </row>
    <row r="2506" spans="1:13" x14ac:dyDescent="0.25">
      <c r="A2506">
        <v>91110</v>
      </c>
      <c r="B2506" t="s">
        <v>8331</v>
      </c>
      <c r="C2506" t="s">
        <v>8332</v>
      </c>
      <c r="D2506" t="s">
        <v>2596</v>
      </c>
      <c r="E2506" t="s">
        <v>1273</v>
      </c>
      <c r="F2506" t="s">
        <v>2997</v>
      </c>
      <c r="G2506" t="s">
        <v>8333</v>
      </c>
      <c r="K2506" t="s">
        <v>8334</v>
      </c>
      <c r="L2506" t="s">
        <v>1647</v>
      </c>
      <c r="M2506" t="s">
        <v>1634</v>
      </c>
    </row>
    <row r="2507" spans="1:13" x14ac:dyDescent="0.25">
      <c r="A2507">
        <v>91111</v>
      </c>
      <c r="B2507" t="s">
        <v>8331</v>
      </c>
      <c r="C2507" t="s">
        <v>8335</v>
      </c>
      <c r="D2507" t="s">
        <v>2605</v>
      </c>
      <c r="E2507" t="s">
        <v>1273</v>
      </c>
    </row>
    <row r="2508" spans="1:13" x14ac:dyDescent="0.25">
      <c r="A2508">
        <v>92982</v>
      </c>
      <c r="B2508" t="s">
        <v>8336</v>
      </c>
      <c r="C2508" t="s">
        <v>8337</v>
      </c>
      <c r="D2508" t="s">
        <v>2596</v>
      </c>
      <c r="E2508" t="s">
        <v>1273</v>
      </c>
      <c r="F2508" t="s">
        <v>8338</v>
      </c>
      <c r="G2508" t="s">
        <v>4834</v>
      </c>
      <c r="H2508" t="s">
        <v>8339</v>
      </c>
      <c r="K2508" t="s">
        <v>8340</v>
      </c>
      <c r="M2508" t="s">
        <v>1634</v>
      </c>
    </row>
    <row r="2509" spans="1:13" x14ac:dyDescent="0.25">
      <c r="A2509">
        <v>92982</v>
      </c>
      <c r="B2509" t="s">
        <v>8336</v>
      </c>
      <c r="C2509" t="s">
        <v>8337</v>
      </c>
      <c r="D2509" t="s">
        <v>2596</v>
      </c>
      <c r="E2509" t="s">
        <v>1273</v>
      </c>
      <c r="F2509" t="s">
        <v>7040</v>
      </c>
      <c r="G2509" t="s">
        <v>8341</v>
      </c>
      <c r="H2509">
        <v>6233008385</v>
      </c>
      <c r="K2509" t="s">
        <v>8342</v>
      </c>
      <c r="L2509" t="s">
        <v>1647</v>
      </c>
      <c r="M2509" t="s">
        <v>1634</v>
      </c>
    </row>
    <row r="2510" spans="1:13" x14ac:dyDescent="0.25">
      <c r="A2510">
        <v>92982</v>
      </c>
      <c r="B2510" t="s">
        <v>8336</v>
      </c>
      <c r="C2510" t="s">
        <v>8337</v>
      </c>
      <c r="D2510" t="s">
        <v>2596</v>
      </c>
      <c r="E2510" t="s">
        <v>1273</v>
      </c>
      <c r="F2510" t="s">
        <v>2020</v>
      </c>
      <c r="G2510" t="s">
        <v>3198</v>
      </c>
      <c r="K2510" t="s">
        <v>8343</v>
      </c>
      <c r="L2510" t="s">
        <v>8344</v>
      </c>
      <c r="M2510" t="s">
        <v>1634</v>
      </c>
    </row>
    <row r="2511" spans="1:13" x14ac:dyDescent="0.25">
      <c r="A2511">
        <v>92982</v>
      </c>
      <c r="B2511" t="s">
        <v>8336</v>
      </c>
      <c r="C2511" t="s">
        <v>8337</v>
      </c>
      <c r="D2511" t="s">
        <v>2596</v>
      </c>
      <c r="E2511" t="s">
        <v>1273</v>
      </c>
      <c r="F2511" t="s">
        <v>7318</v>
      </c>
      <c r="G2511" t="s">
        <v>7992</v>
      </c>
      <c r="H2511">
        <v>4804780748</v>
      </c>
      <c r="K2511" t="s">
        <v>8345</v>
      </c>
      <c r="M2511" t="s">
        <v>1634</v>
      </c>
    </row>
    <row r="2512" spans="1:13" x14ac:dyDescent="0.25">
      <c r="A2512">
        <v>92982</v>
      </c>
      <c r="B2512" t="s">
        <v>8336</v>
      </c>
      <c r="C2512" t="s">
        <v>8337</v>
      </c>
      <c r="D2512" t="s">
        <v>2596</v>
      </c>
      <c r="E2512" t="s">
        <v>1273</v>
      </c>
      <c r="F2512" t="s">
        <v>8338</v>
      </c>
      <c r="G2512" t="s">
        <v>4834</v>
      </c>
      <c r="H2512" t="s">
        <v>8339</v>
      </c>
      <c r="K2512" t="s">
        <v>8340</v>
      </c>
      <c r="M2512" t="s">
        <v>1640</v>
      </c>
    </row>
    <row r="2513" spans="1:13" x14ac:dyDescent="0.25">
      <c r="A2513">
        <v>92982</v>
      </c>
      <c r="B2513" t="s">
        <v>8336</v>
      </c>
      <c r="C2513" t="s">
        <v>8337</v>
      </c>
      <c r="D2513" t="s">
        <v>2596</v>
      </c>
      <c r="E2513" t="s">
        <v>1273</v>
      </c>
      <c r="F2513" t="s">
        <v>8338</v>
      </c>
      <c r="G2513" t="s">
        <v>4834</v>
      </c>
      <c r="H2513" t="s">
        <v>8339</v>
      </c>
      <c r="K2513" t="s">
        <v>8340</v>
      </c>
      <c r="M2513" t="s">
        <v>1765</v>
      </c>
    </row>
    <row r="2514" spans="1:13" x14ac:dyDescent="0.25">
      <c r="A2514">
        <v>92982</v>
      </c>
      <c r="B2514" t="s">
        <v>8336</v>
      </c>
      <c r="C2514" t="s">
        <v>8337</v>
      </c>
      <c r="D2514" t="s">
        <v>2596</v>
      </c>
      <c r="E2514" t="s">
        <v>1273</v>
      </c>
      <c r="F2514" t="s">
        <v>8346</v>
      </c>
      <c r="G2514" t="s">
        <v>8347</v>
      </c>
      <c r="H2514">
        <v>6233008385</v>
      </c>
      <c r="K2514" t="s">
        <v>8348</v>
      </c>
      <c r="L2514" t="s">
        <v>2446</v>
      </c>
      <c r="M2514" t="s">
        <v>1765</v>
      </c>
    </row>
    <row r="2515" spans="1:13" x14ac:dyDescent="0.25">
      <c r="A2515">
        <v>92982</v>
      </c>
      <c r="B2515" t="s">
        <v>8336</v>
      </c>
      <c r="C2515" t="s">
        <v>8337</v>
      </c>
      <c r="D2515" t="s">
        <v>2596</v>
      </c>
      <c r="E2515" t="s">
        <v>1273</v>
      </c>
      <c r="F2515" t="s">
        <v>6836</v>
      </c>
      <c r="G2515" t="s">
        <v>8349</v>
      </c>
      <c r="H2515">
        <v>6233008385</v>
      </c>
      <c r="K2515" t="s">
        <v>8350</v>
      </c>
      <c r="L2515" t="s">
        <v>2446</v>
      </c>
      <c r="M2515" t="s">
        <v>1765</v>
      </c>
    </row>
    <row r="2516" spans="1:13" x14ac:dyDescent="0.25">
      <c r="A2516">
        <v>703390</v>
      </c>
      <c r="B2516" t="s">
        <v>8336</v>
      </c>
      <c r="C2516" t="s">
        <v>8351</v>
      </c>
      <c r="D2516" t="s">
        <v>2605</v>
      </c>
      <c r="E2516" t="s">
        <v>1273</v>
      </c>
      <c r="F2516" t="s">
        <v>8346</v>
      </c>
      <c r="G2516" t="s">
        <v>8347</v>
      </c>
      <c r="H2516">
        <v>6233008385</v>
      </c>
      <c r="K2516" t="s">
        <v>8348</v>
      </c>
      <c r="L2516" t="s">
        <v>2446</v>
      </c>
      <c r="M2516" t="s">
        <v>1640</v>
      </c>
    </row>
    <row r="2517" spans="1:13" x14ac:dyDescent="0.25">
      <c r="A2517">
        <v>703390</v>
      </c>
      <c r="B2517" t="s">
        <v>8336</v>
      </c>
      <c r="C2517" t="s">
        <v>8351</v>
      </c>
      <c r="D2517" t="s">
        <v>2605</v>
      </c>
      <c r="E2517" t="s">
        <v>1273</v>
      </c>
      <c r="F2517" t="s">
        <v>8346</v>
      </c>
      <c r="G2517" t="s">
        <v>8347</v>
      </c>
      <c r="H2517">
        <v>6233008385</v>
      </c>
      <c r="K2517" t="s">
        <v>8348</v>
      </c>
      <c r="L2517" t="s">
        <v>2446</v>
      </c>
      <c r="M2517" t="s">
        <v>1765</v>
      </c>
    </row>
    <row r="2518" spans="1:13" x14ac:dyDescent="0.25">
      <c r="A2518">
        <v>92226</v>
      </c>
      <c r="B2518" t="s">
        <v>8352</v>
      </c>
      <c r="C2518" t="s">
        <v>8353</v>
      </c>
      <c r="D2518" t="s">
        <v>2596</v>
      </c>
      <c r="E2518" t="s">
        <v>1273</v>
      </c>
      <c r="F2518" t="s">
        <v>4154</v>
      </c>
      <c r="G2518" t="s">
        <v>6980</v>
      </c>
      <c r="I2518">
        <v>10632</v>
      </c>
      <c r="K2518" t="s">
        <v>8354</v>
      </c>
      <c r="L2518" t="s">
        <v>8355</v>
      </c>
      <c r="M2518" t="s">
        <v>1634</v>
      </c>
    </row>
    <row r="2519" spans="1:13" x14ac:dyDescent="0.25">
      <c r="A2519">
        <v>92226</v>
      </c>
      <c r="B2519" t="s">
        <v>8352</v>
      </c>
      <c r="C2519" t="s">
        <v>8353</v>
      </c>
      <c r="D2519" t="s">
        <v>2596</v>
      </c>
      <c r="E2519" t="s">
        <v>1273</v>
      </c>
      <c r="F2519" t="s">
        <v>2082</v>
      </c>
      <c r="G2519" t="s">
        <v>8356</v>
      </c>
      <c r="H2519">
        <v>4804613200</v>
      </c>
      <c r="K2519" t="s">
        <v>8357</v>
      </c>
      <c r="L2519" t="s">
        <v>8358</v>
      </c>
      <c r="M2519" t="s">
        <v>1634</v>
      </c>
    </row>
    <row r="2520" spans="1:13" x14ac:dyDescent="0.25">
      <c r="A2520">
        <v>92226</v>
      </c>
      <c r="B2520" t="s">
        <v>8352</v>
      </c>
      <c r="C2520" t="s">
        <v>8353</v>
      </c>
      <c r="D2520" t="s">
        <v>2596</v>
      </c>
      <c r="E2520" t="s">
        <v>1273</v>
      </c>
      <c r="F2520" t="s">
        <v>2408</v>
      </c>
      <c r="G2520" t="s">
        <v>3346</v>
      </c>
      <c r="M2520" t="s">
        <v>1634</v>
      </c>
    </row>
    <row r="2521" spans="1:13" x14ac:dyDescent="0.25">
      <c r="A2521">
        <v>90377</v>
      </c>
      <c r="B2521" t="s">
        <v>8359</v>
      </c>
      <c r="C2521" t="s">
        <v>8360</v>
      </c>
      <c r="D2521" t="s">
        <v>2605</v>
      </c>
      <c r="E2521" t="s">
        <v>1273</v>
      </c>
    </row>
    <row r="2522" spans="1:13" x14ac:dyDescent="0.25">
      <c r="A2522">
        <v>92312</v>
      </c>
      <c r="B2522" t="s">
        <v>8361</v>
      </c>
      <c r="C2522" t="s">
        <v>8362</v>
      </c>
      <c r="D2522" t="s">
        <v>2596</v>
      </c>
      <c r="E2522" t="s">
        <v>1273</v>
      </c>
      <c r="F2522" t="s">
        <v>6014</v>
      </c>
      <c r="G2522" t="s">
        <v>8104</v>
      </c>
      <c r="H2522" t="s">
        <v>8105</v>
      </c>
      <c r="K2522" t="s">
        <v>8106</v>
      </c>
      <c r="L2522" t="s">
        <v>8363</v>
      </c>
      <c r="M2522" t="s">
        <v>1634</v>
      </c>
    </row>
    <row r="2523" spans="1:13" x14ac:dyDescent="0.25">
      <c r="A2523">
        <v>92312</v>
      </c>
      <c r="B2523" t="s">
        <v>8361</v>
      </c>
      <c r="C2523" t="s">
        <v>8362</v>
      </c>
      <c r="D2523" t="s">
        <v>2596</v>
      </c>
      <c r="E2523" t="s">
        <v>1273</v>
      </c>
      <c r="F2523" t="s">
        <v>2307</v>
      </c>
      <c r="G2523" t="s">
        <v>8090</v>
      </c>
      <c r="H2523">
        <v>4802977676</v>
      </c>
      <c r="K2523" t="s">
        <v>8091</v>
      </c>
      <c r="M2523" t="s">
        <v>1634</v>
      </c>
    </row>
    <row r="2524" spans="1:13" x14ac:dyDescent="0.25">
      <c r="A2524">
        <v>92312</v>
      </c>
      <c r="B2524" t="s">
        <v>8361</v>
      </c>
      <c r="C2524" t="s">
        <v>8362</v>
      </c>
      <c r="D2524" t="s">
        <v>2596</v>
      </c>
      <c r="E2524" t="s">
        <v>1273</v>
      </c>
      <c r="F2524" t="s">
        <v>8097</v>
      </c>
      <c r="G2524" t="s">
        <v>8098</v>
      </c>
      <c r="H2524">
        <v>4807216818</v>
      </c>
      <c r="K2524" t="s">
        <v>8099</v>
      </c>
      <c r="L2524" t="s">
        <v>5266</v>
      </c>
      <c r="M2524" t="s">
        <v>1634</v>
      </c>
    </row>
    <row r="2525" spans="1:13" x14ac:dyDescent="0.25">
      <c r="A2525">
        <v>92312</v>
      </c>
      <c r="B2525" t="s">
        <v>8361</v>
      </c>
      <c r="C2525" t="s">
        <v>8362</v>
      </c>
      <c r="D2525" t="s">
        <v>2596</v>
      </c>
      <c r="E2525" t="s">
        <v>1273</v>
      </c>
      <c r="F2525" t="s">
        <v>7318</v>
      </c>
      <c r="G2525" t="s">
        <v>8094</v>
      </c>
      <c r="H2525">
        <v>6024387045</v>
      </c>
      <c r="K2525" t="s">
        <v>8095</v>
      </c>
      <c r="L2525" t="s">
        <v>8096</v>
      </c>
      <c r="M2525" t="s">
        <v>1640</v>
      </c>
    </row>
    <row r="2526" spans="1:13" x14ac:dyDescent="0.25">
      <c r="A2526">
        <v>92312</v>
      </c>
      <c r="B2526" t="s">
        <v>8361</v>
      </c>
      <c r="C2526" t="s">
        <v>8362</v>
      </c>
      <c r="D2526" t="s">
        <v>2596</v>
      </c>
      <c r="E2526" t="s">
        <v>1273</v>
      </c>
      <c r="F2526" t="s">
        <v>1935</v>
      </c>
      <c r="G2526" t="s">
        <v>8100</v>
      </c>
      <c r="H2526" t="s">
        <v>8101</v>
      </c>
      <c r="K2526" t="s">
        <v>8102</v>
      </c>
      <c r="L2526" t="s">
        <v>8364</v>
      </c>
      <c r="M2526" t="s">
        <v>1765</v>
      </c>
    </row>
    <row r="2527" spans="1:13" x14ac:dyDescent="0.25">
      <c r="A2527">
        <v>92313</v>
      </c>
      <c r="B2527" t="s">
        <v>8365</v>
      </c>
      <c r="C2527" t="s">
        <v>8366</v>
      </c>
      <c r="D2527" t="s">
        <v>2605</v>
      </c>
      <c r="E2527" t="s">
        <v>1273</v>
      </c>
      <c r="F2527" t="s">
        <v>6014</v>
      </c>
      <c r="G2527" t="s">
        <v>8367</v>
      </c>
      <c r="L2527" t="s">
        <v>8262</v>
      </c>
      <c r="M2527" t="s">
        <v>1634</v>
      </c>
    </row>
    <row r="2528" spans="1:13" x14ac:dyDescent="0.25">
      <c r="A2528">
        <v>92314</v>
      </c>
      <c r="B2528" t="s">
        <v>8368</v>
      </c>
      <c r="C2528" t="s">
        <v>8369</v>
      </c>
      <c r="D2528" t="s">
        <v>2596</v>
      </c>
      <c r="E2528" t="s">
        <v>1273</v>
      </c>
      <c r="F2528" t="s">
        <v>3428</v>
      </c>
      <c r="G2528" t="s">
        <v>5142</v>
      </c>
      <c r="H2528">
        <v>6023861867</v>
      </c>
      <c r="K2528" t="s">
        <v>8370</v>
      </c>
      <c r="M2528" t="s">
        <v>1634</v>
      </c>
    </row>
    <row r="2529" spans="1:13" x14ac:dyDescent="0.25">
      <c r="A2529">
        <v>92314</v>
      </c>
      <c r="B2529" t="s">
        <v>8368</v>
      </c>
      <c r="C2529" t="s">
        <v>8369</v>
      </c>
      <c r="D2529" t="s">
        <v>2596</v>
      </c>
      <c r="E2529" t="s">
        <v>1273</v>
      </c>
      <c r="F2529" t="s">
        <v>2307</v>
      </c>
      <c r="G2529" t="s">
        <v>8090</v>
      </c>
      <c r="H2529">
        <v>6022977676</v>
      </c>
      <c r="K2529" t="s">
        <v>8091</v>
      </c>
      <c r="M2529" t="s">
        <v>1634</v>
      </c>
    </row>
    <row r="2530" spans="1:13" x14ac:dyDescent="0.25">
      <c r="A2530">
        <v>92314</v>
      </c>
      <c r="B2530" t="s">
        <v>8368</v>
      </c>
      <c r="C2530" t="s">
        <v>8369</v>
      </c>
      <c r="D2530" t="s">
        <v>2596</v>
      </c>
      <c r="E2530" t="s">
        <v>1273</v>
      </c>
      <c r="F2530" t="s">
        <v>8097</v>
      </c>
      <c r="G2530" t="s">
        <v>8098</v>
      </c>
      <c r="H2530">
        <v>4807216818</v>
      </c>
      <c r="K2530" t="s">
        <v>8099</v>
      </c>
      <c r="L2530" t="s">
        <v>5266</v>
      </c>
      <c r="M2530" t="s">
        <v>1634</v>
      </c>
    </row>
    <row r="2531" spans="1:13" x14ac:dyDescent="0.25">
      <c r="A2531">
        <v>92314</v>
      </c>
      <c r="B2531" t="s">
        <v>8368</v>
      </c>
      <c r="C2531" t="s">
        <v>8369</v>
      </c>
      <c r="D2531" t="s">
        <v>2596</v>
      </c>
      <c r="E2531" t="s">
        <v>1273</v>
      </c>
      <c r="F2531" t="s">
        <v>6014</v>
      </c>
      <c r="G2531" t="s">
        <v>8092</v>
      </c>
      <c r="H2531">
        <v>6024387045</v>
      </c>
      <c r="K2531" t="s">
        <v>8093</v>
      </c>
      <c r="M2531" t="s">
        <v>1640</v>
      </c>
    </row>
    <row r="2532" spans="1:13" x14ac:dyDescent="0.25">
      <c r="A2532">
        <v>92314</v>
      </c>
      <c r="B2532" t="s">
        <v>8368</v>
      </c>
      <c r="C2532" t="s">
        <v>8369</v>
      </c>
      <c r="D2532" t="s">
        <v>2596</v>
      </c>
      <c r="E2532" t="s">
        <v>1273</v>
      </c>
      <c r="F2532" t="s">
        <v>7318</v>
      </c>
      <c r="G2532" t="s">
        <v>8094</v>
      </c>
      <c r="H2532">
        <v>6024387045</v>
      </c>
      <c r="K2532" t="s">
        <v>8095</v>
      </c>
      <c r="L2532" t="s">
        <v>8096</v>
      </c>
      <c r="M2532" t="s">
        <v>1640</v>
      </c>
    </row>
    <row r="2533" spans="1:13" x14ac:dyDescent="0.25">
      <c r="A2533">
        <v>92314</v>
      </c>
      <c r="B2533" t="s">
        <v>8368</v>
      </c>
      <c r="C2533" t="s">
        <v>8369</v>
      </c>
      <c r="D2533" t="s">
        <v>2596</v>
      </c>
      <c r="E2533" t="s">
        <v>1273</v>
      </c>
      <c r="F2533" t="s">
        <v>1935</v>
      </c>
      <c r="G2533" t="s">
        <v>8100</v>
      </c>
      <c r="H2533" t="s">
        <v>8101</v>
      </c>
      <c r="K2533" t="s">
        <v>8102</v>
      </c>
      <c r="L2533" t="s">
        <v>8371</v>
      </c>
      <c r="M2533" t="s">
        <v>1765</v>
      </c>
    </row>
    <row r="2534" spans="1:13" x14ac:dyDescent="0.25">
      <c r="A2534">
        <v>92314</v>
      </c>
      <c r="B2534" t="s">
        <v>8368</v>
      </c>
      <c r="C2534" t="s">
        <v>8369</v>
      </c>
      <c r="D2534" t="s">
        <v>2596</v>
      </c>
      <c r="E2534" t="s">
        <v>1273</v>
      </c>
      <c r="F2534" t="s">
        <v>6014</v>
      </c>
      <c r="G2534" t="s">
        <v>8104</v>
      </c>
      <c r="H2534" t="s">
        <v>8105</v>
      </c>
      <c r="K2534" t="s">
        <v>8106</v>
      </c>
      <c r="L2534" t="s">
        <v>8107</v>
      </c>
      <c r="M2534" t="s">
        <v>1765</v>
      </c>
    </row>
    <row r="2535" spans="1:13" x14ac:dyDescent="0.25">
      <c r="A2535">
        <v>92315</v>
      </c>
      <c r="B2535" t="s">
        <v>8372</v>
      </c>
      <c r="C2535" t="s">
        <v>8373</v>
      </c>
      <c r="D2535" t="s">
        <v>2605</v>
      </c>
      <c r="E2535" t="s">
        <v>1273</v>
      </c>
    </row>
    <row r="2536" spans="1:13" x14ac:dyDescent="0.25">
      <c r="A2536">
        <v>92316</v>
      </c>
      <c r="B2536" t="s">
        <v>8374</v>
      </c>
      <c r="C2536" t="s">
        <v>8375</v>
      </c>
      <c r="D2536" t="s">
        <v>2596</v>
      </c>
      <c r="E2536" t="s">
        <v>1273</v>
      </c>
      <c r="F2536" t="s">
        <v>6014</v>
      </c>
      <c r="G2536" t="s">
        <v>8104</v>
      </c>
      <c r="H2536" t="s">
        <v>8105</v>
      </c>
      <c r="K2536" t="s">
        <v>8106</v>
      </c>
      <c r="L2536" t="s">
        <v>8107</v>
      </c>
      <c r="M2536" t="s">
        <v>1634</v>
      </c>
    </row>
    <row r="2537" spans="1:13" x14ac:dyDescent="0.25">
      <c r="A2537">
        <v>92316</v>
      </c>
      <c r="B2537" t="s">
        <v>8374</v>
      </c>
      <c r="C2537" t="s">
        <v>8375</v>
      </c>
      <c r="D2537" t="s">
        <v>2596</v>
      </c>
      <c r="E2537" t="s">
        <v>1273</v>
      </c>
      <c r="F2537" t="s">
        <v>2307</v>
      </c>
      <c r="G2537" t="s">
        <v>8090</v>
      </c>
      <c r="H2537">
        <v>4802977676</v>
      </c>
      <c r="K2537" t="s">
        <v>8091</v>
      </c>
      <c r="M2537" t="s">
        <v>1634</v>
      </c>
    </row>
    <row r="2538" spans="1:13" x14ac:dyDescent="0.25">
      <c r="A2538">
        <v>92316</v>
      </c>
      <c r="B2538" t="s">
        <v>8374</v>
      </c>
      <c r="C2538" t="s">
        <v>8375</v>
      </c>
      <c r="D2538" t="s">
        <v>2596</v>
      </c>
      <c r="E2538" t="s">
        <v>1273</v>
      </c>
      <c r="F2538" t="s">
        <v>6014</v>
      </c>
      <c r="G2538" t="s">
        <v>8092</v>
      </c>
      <c r="H2538">
        <v>6024387045</v>
      </c>
      <c r="K2538" t="s">
        <v>8093</v>
      </c>
      <c r="M2538" t="s">
        <v>1640</v>
      </c>
    </row>
    <row r="2539" spans="1:13" x14ac:dyDescent="0.25">
      <c r="A2539">
        <v>92316</v>
      </c>
      <c r="B2539" t="s">
        <v>8374</v>
      </c>
      <c r="C2539" t="s">
        <v>8375</v>
      </c>
      <c r="D2539" t="s">
        <v>2596</v>
      </c>
      <c r="E2539" t="s">
        <v>1273</v>
      </c>
      <c r="F2539" t="s">
        <v>7318</v>
      </c>
      <c r="G2539" t="s">
        <v>8094</v>
      </c>
      <c r="H2539">
        <v>6024387045</v>
      </c>
      <c r="K2539" t="s">
        <v>8095</v>
      </c>
      <c r="L2539" t="s">
        <v>8096</v>
      </c>
      <c r="M2539" t="s">
        <v>1640</v>
      </c>
    </row>
    <row r="2540" spans="1:13" x14ac:dyDescent="0.25">
      <c r="A2540">
        <v>92316</v>
      </c>
      <c r="B2540" t="s">
        <v>8374</v>
      </c>
      <c r="C2540" t="s">
        <v>8375</v>
      </c>
      <c r="D2540" t="s">
        <v>2596</v>
      </c>
      <c r="E2540" t="s">
        <v>1273</v>
      </c>
      <c r="F2540" t="s">
        <v>8097</v>
      </c>
      <c r="G2540" t="s">
        <v>8098</v>
      </c>
      <c r="H2540">
        <v>4807216818</v>
      </c>
      <c r="K2540" t="s">
        <v>8099</v>
      </c>
      <c r="M2540" t="s">
        <v>1640</v>
      </c>
    </row>
    <row r="2541" spans="1:13" x14ac:dyDescent="0.25">
      <c r="A2541">
        <v>92316</v>
      </c>
      <c r="B2541" t="s">
        <v>8374</v>
      </c>
      <c r="C2541" t="s">
        <v>8375</v>
      </c>
      <c r="D2541" t="s">
        <v>2596</v>
      </c>
      <c r="E2541" t="s">
        <v>1273</v>
      </c>
      <c r="F2541" t="s">
        <v>1935</v>
      </c>
      <c r="G2541" t="s">
        <v>8100</v>
      </c>
      <c r="H2541" t="s">
        <v>8101</v>
      </c>
      <c r="K2541" t="s">
        <v>8102</v>
      </c>
      <c r="L2541" t="s">
        <v>8371</v>
      </c>
      <c r="M2541" t="s">
        <v>1765</v>
      </c>
    </row>
    <row r="2542" spans="1:13" x14ac:dyDescent="0.25">
      <c r="A2542">
        <v>92316</v>
      </c>
      <c r="B2542" t="s">
        <v>8374</v>
      </c>
      <c r="C2542" t="s">
        <v>8375</v>
      </c>
      <c r="D2542" t="s">
        <v>2596</v>
      </c>
      <c r="E2542" t="s">
        <v>1273</v>
      </c>
      <c r="F2542" t="s">
        <v>6014</v>
      </c>
      <c r="G2542" t="s">
        <v>8104</v>
      </c>
      <c r="H2542" t="s">
        <v>8105</v>
      </c>
      <c r="K2542" t="s">
        <v>8106</v>
      </c>
      <c r="L2542" t="s">
        <v>8107</v>
      </c>
      <c r="M2542" t="s">
        <v>1765</v>
      </c>
    </row>
    <row r="2543" spans="1:13" x14ac:dyDescent="0.25">
      <c r="A2543">
        <v>92317</v>
      </c>
      <c r="B2543" t="s">
        <v>8376</v>
      </c>
      <c r="C2543" t="s">
        <v>8377</v>
      </c>
      <c r="D2543" t="s">
        <v>2605</v>
      </c>
      <c r="E2543" t="s">
        <v>1273</v>
      </c>
    </row>
    <row r="2544" spans="1:13" x14ac:dyDescent="0.25">
      <c r="A2544">
        <v>92325</v>
      </c>
      <c r="B2544" t="s">
        <v>8001</v>
      </c>
      <c r="C2544" t="s">
        <v>8378</v>
      </c>
      <c r="D2544" t="s">
        <v>2596</v>
      </c>
      <c r="E2544" t="s">
        <v>1273</v>
      </c>
      <c r="F2544" t="s">
        <v>8003</v>
      </c>
      <c r="G2544" t="s">
        <v>8004</v>
      </c>
      <c r="H2544">
        <v>4807276215</v>
      </c>
      <c r="K2544" t="s">
        <v>8005</v>
      </c>
      <c r="M2544" t="s">
        <v>1634</v>
      </c>
    </row>
    <row r="2545" spans="1:13" x14ac:dyDescent="0.25">
      <c r="A2545">
        <v>92325</v>
      </c>
      <c r="B2545" t="s">
        <v>8001</v>
      </c>
      <c r="C2545" t="s">
        <v>8378</v>
      </c>
      <c r="D2545" t="s">
        <v>2596</v>
      </c>
      <c r="E2545" t="s">
        <v>1273</v>
      </c>
      <c r="F2545" t="s">
        <v>1732</v>
      </c>
      <c r="G2545" t="s">
        <v>1976</v>
      </c>
      <c r="K2545" t="s">
        <v>8006</v>
      </c>
      <c r="M2545" t="s">
        <v>1634</v>
      </c>
    </row>
    <row r="2546" spans="1:13" x14ac:dyDescent="0.25">
      <c r="A2546">
        <v>92325</v>
      </c>
      <c r="B2546" t="s">
        <v>8001</v>
      </c>
      <c r="C2546" t="s">
        <v>8378</v>
      </c>
      <c r="D2546" t="s">
        <v>2596</v>
      </c>
      <c r="E2546" t="s">
        <v>1273</v>
      </c>
      <c r="F2546" t="s">
        <v>6350</v>
      </c>
      <c r="G2546" t="s">
        <v>8379</v>
      </c>
      <c r="H2546">
        <v>4807275803</v>
      </c>
      <c r="K2546" t="s">
        <v>8380</v>
      </c>
      <c r="M2546" t="s">
        <v>1634</v>
      </c>
    </row>
    <row r="2547" spans="1:13" x14ac:dyDescent="0.25">
      <c r="A2547">
        <v>92325</v>
      </c>
      <c r="B2547" t="s">
        <v>8001</v>
      </c>
      <c r="C2547" t="s">
        <v>8378</v>
      </c>
      <c r="D2547" t="s">
        <v>2596</v>
      </c>
      <c r="E2547" t="s">
        <v>1273</v>
      </c>
      <c r="F2547" t="s">
        <v>6792</v>
      </c>
      <c r="G2547" t="s">
        <v>8010</v>
      </c>
      <c r="K2547" t="s">
        <v>8011</v>
      </c>
      <c r="L2547" t="s">
        <v>8012</v>
      </c>
      <c r="M2547" t="s">
        <v>1640</v>
      </c>
    </row>
    <row r="2548" spans="1:13" x14ac:dyDescent="0.25">
      <c r="A2548">
        <v>92325</v>
      </c>
      <c r="B2548" t="s">
        <v>8001</v>
      </c>
      <c r="C2548" t="s">
        <v>8378</v>
      </c>
      <c r="D2548" t="s">
        <v>2596</v>
      </c>
      <c r="E2548" t="s">
        <v>1273</v>
      </c>
      <c r="F2548" t="s">
        <v>8013</v>
      </c>
      <c r="G2548" t="s">
        <v>8014</v>
      </c>
      <c r="H2548">
        <v>4807275805</v>
      </c>
      <c r="M2548" t="s">
        <v>1640</v>
      </c>
    </row>
    <row r="2549" spans="1:13" x14ac:dyDescent="0.25">
      <c r="A2549">
        <v>92326</v>
      </c>
      <c r="B2549" t="s">
        <v>8381</v>
      </c>
      <c r="C2549" t="s">
        <v>8382</v>
      </c>
      <c r="D2549" t="s">
        <v>2605</v>
      </c>
      <c r="E2549" t="s">
        <v>1273</v>
      </c>
    </row>
    <row r="2550" spans="1:13" x14ac:dyDescent="0.25">
      <c r="A2550">
        <v>92327</v>
      </c>
      <c r="B2550" t="s">
        <v>8001</v>
      </c>
      <c r="C2550" t="s">
        <v>8383</v>
      </c>
      <c r="D2550" t="s">
        <v>2596</v>
      </c>
      <c r="E2550" t="s">
        <v>1273</v>
      </c>
      <c r="F2550" t="s">
        <v>8003</v>
      </c>
      <c r="G2550" t="s">
        <v>8004</v>
      </c>
      <c r="H2550">
        <v>4807276215</v>
      </c>
      <c r="K2550" t="s">
        <v>8005</v>
      </c>
      <c r="L2550" t="s">
        <v>8032</v>
      </c>
      <c r="M2550" t="s">
        <v>1634</v>
      </c>
    </row>
    <row r="2551" spans="1:13" x14ac:dyDescent="0.25">
      <c r="A2551">
        <v>92327</v>
      </c>
      <c r="B2551" t="s">
        <v>8001</v>
      </c>
      <c r="C2551" t="s">
        <v>8383</v>
      </c>
      <c r="D2551" t="s">
        <v>2596</v>
      </c>
      <c r="E2551" t="s">
        <v>1273</v>
      </c>
      <c r="F2551" t="s">
        <v>7508</v>
      </c>
      <c r="G2551" t="s">
        <v>8007</v>
      </c>
      <c r="H2551">
        <v>4809654470</v>
      </c>
      <c r="K2551" t="s">
        <v>8008</v>
      </c>
      <c r="L2551" t="s">
        <v>8009</v>
      </c>
      <c r="M2551" t="s">
        <v>1634</v>
      </c>
    </row>
    <row r="2552" spans="1:13" x14ac:dyDescent="0.25">
      <c r="A2552">
        <v>92327</v>
      </c>
      <c r="B2552" t="s">
        <v>8001</v>
      </c>
      <c r="C2552" t="s">
        <v>8383</v>
      </c>
      <c r="D2552" t="s">
        <v>2596</v>
      </c>
      <c r="E2552" t="s">
        <v>1273</v>
      </c>
      <c r="F2552" t="s">
        <v>6792</v>
      </c>
      <c r="G2552" t="s">
        <v>8010</v>
      </c>
      <c r="K2552" t="s">
        <v>8011</v>
      </c>
      <c r="L2552" t="s">
        <v>8012</v>
      </c>
      <c r="M2552" t="s">
        <v>1640</v>
      </c>
    </row>
    <row r="2553" spans="1:13" x14ac:dyDescent="0.25">
      <c r="A2553">
        <v>92327</v>
      </c>
      <c r="B2553" t="s">
        <v>8001</v>
      </c>
      <c r="C2553" t="s">
        <v>8383</v>
      </c>
      <c r="D2553" t="s">
        <v>2596</v>
      </c>
      <c r="E2553" t="s">
        <v>1273</v>
      </c>
      <c r="F2553" t="s">
        <v>8013</v>
      </c>
      <c r="G2553" t="s">
        <v>8014</v>
      </c>
      <c r="H2553">
        <v>4807275805</v>
      </c>
      <c r="M2553" t="s">
        <v>1640</v>
      </c>
    </row>
    <row r="2554" spans="1:13" x14ac:dyDescent="0.25">
      <c r="A2554">
        <v>91323</v>
      </c>
      <c r="B2554" t="s">
        <v>8384</v>
      </c>
      <c r="C2554" t="s">
        <v>8385</v>
      </c>
      <c r="D2554" t="s">
        <v>2605</v>
      </c>
      <c r="E2554" t="s">
        <v>1273</v>
      </c>
    </row>
    <row r="2555" spans="1:13" x14ac:dyDescent="0.25">
      <c r="A2555">
        <v>92379</v>
      </c>
      <c r="B2555" t="s">
        <v>8386</v>
      </c>
      <c r="C2555" t="s">
        <v>8387</v>
      </c>
      <c r="D2555" t="s">
        <v>2596</v>
      </c>
      <c r="E2555" t="s">
        <v>1273</v>
      </c>
      <c r="F2555" t="s">
        <v>2429</v>
      </c>
      <c r="G2555" t="s">
        <v>8388</v>
      </c>
      <c r="H2555">
        <v>6232492701</v>
      </c>
      <c r="K2555" t="s">
        <v>8389</v>
      </c>
      <c r="L2555" t="s">
        <v>8390</v>
      </c>
      <c r="M2555" t="s">
        <v>1634</v>
      </c>
    </row>
    <row r="2556" spans="1:13" x14ac:dyDescent="0.25">
      <c r="A2556">
        <v>92379</v>
      </c>
      <c r="B2556" t="s">
        <v>8386</v>
      </c>
      <c r="C2556" t="s">
        <v>8387</v>
      </c>
      <c r="D2556" t="s">
        <v>2596</v>
      </c>
      <c r="E2556" t="s">
        <v>1273</v>
      </c>
      <c r="F2556" t="s">
        <v>8391</v>
      </c>
      <c r="G2556" t="s">
        <v>5439</v>
      </c>
      <c r="H2556">
        <v>6232493211</v>
      </c>
      <c r="K2556" t="s">
        <v>8392</v>
      </c>
      <c r="L2556" t="s">
        <v>8393</v>
      </c>
      <c r="M2556" t="s">
        <v>1634</v>
      </c>
    </row>
    <row r="2557" spans="1:13" x14ac:dyDescent="0.25">
      <c r="A2557">
        <v>92893</v>
      </c>
      <c r="B2557" t="s">
        <v>8394</v>
      </c>
      <c r="C2557" t="s">
        <v>8395</v>
      </c>
      <c r="D2557" t="s">
        <v>2605</v>
      </c>
      <c r="E2557" t="s">
        <v>1273</v>
      </c>
    </row>
    <row r="2558" spans="1:13" x14ac:dyDescent="0.25">
      <c r="A2558">
        <v>92381</v>
      </c>
      <c r="B2558" t="s">
        <v>8396</v>
      </c>
      <c r="C2558" t="s">
        <v>8397</v>
      </c>
      <c r="D2558" t="s">
        <v>2596</v>
      </c>
      <c r="E2558" t="s">
        <v>1273</v>
      </c>
      <c r="F2558" t="s">
        <v>8398</v>
      </c>
      <c r="G2558" t="s">
        <v>8399</v>
      </c>
      <c r="K2558" t="s">
        <v>8400</v>
      </c>
      <c r="M2558" t="s">
        <v>1634</v>
      </c>
    </row>
    <row r="2559" spans="1:13" x14ac:dyDescent="0.25">
      <c r="A2559">
        <v>92381</v>
      </c>
      <c r="B2559" t="s">
        <v>8396</v>
      </c>
      <c r="C2559" t="s">
        <v>8397</v>
      </c>
      <c r="D2559" t="s">
        <v>2596</v>
      </c>
      <c r="E2559" t="s">
        <v>1273</v>
      </c>
      <c r="F2559" t="s">
        <v>8401</v>
      </c>
      <c r="G2559" t="s">
        <v>8399</v>
      </c>
      <c r="H2559">
        <v>4806412640</v>
      </c>
      <c r="K2559" t="s">
        <v>8402</v>
      </c>
      <c r="M2559" t="s">
        <v>1634</v>
      </c>
    </row>
    <row r="2560" spans="1:13" x14ac:dyDescent="0.25">
      <c r="A2560">
        <v>92381</v>
      </c>
      <c r="B2560" t="s">
        <v>8396</v>
      </c>
      <c r="C2560" t="s">
        <v>8397</v>
      </c>
      <c r="D2560" t="s">
        <v>2596</v>
      </c>
      <c r="E2560" t="s">
        <v>1273</v>
      </c>
      <c r="F2560" t="s">
        <v>8398</v>
      </c>
      <c r="G2560" t="s">
        <v>8399</v>
      </c>
      <c r="K2560" t="s">
        <v>8400</v>
      </c>
      <c r="M2560" t="s">
        <v>1640</v>
      </c>
    </row>
    <row r="2561" spans="1:13" x14ac:dyDescent="0.25">
      <c r="A2561">
        <v>92890</v>
      </c>
      <c r="B2561" t="s">
        <v>8396</v>
      </c>
      <c r="C2561" t="s">
        <v>8403</v>
      </c>
      <c r="D2561" t="s">
        <v>2605</v>
      </c>
      <c r="E2561" t="s">
        <v>1273</v>
      </c>
    </row>
    <row r="2562" spans="1:13" x14ac:dyDescent="0.25">
      <c r="A2562">
        <v>92519</v>
      </c>
      <c r="B2562" t="s">
        <v>8404</v>
      </c>
      <c r="C2562" t="s">
        <v>8405</v>
      </c>
      <c r="D2562" t="s">
        <v>2596</v>
      </c>
      <c r="E2562" t="s">
        <v>1273</v>
      </c>
      <c r="F2562" t="s">
        <v>4035</v>
      </c>
      <c r="G2562" t="s">
        <v>1588</v>
      </c>
      <c r="H2562">
        <v>4809695641</v>
      </c>
      <c r="J2562">
        <v>4809695641</v>
      </c>
      <c r="K2562" t="s">
        <v>8406</v>
      </c>
      <c r="M2562" t="s">
        <v>1634</v>
      </c>
    </row>
    <row r="2563" spans="1:13" x14ac:dyDescent="0.25">
      <c r="A2563">
        <v>92519</v>
      </c>
      <c r="B2563" t="s">
        <v>8404</v>
      </c>
      <c r="C2563" t="s">
        <v>8405</v>
      </c>
      <c r="D2563" t="s">
        <v>2596</v>
      </c>
      <c r="E2563" t="s">
        <v>1273</v>
      </c>
      <c r="F2563" t="s">
        <v>8407</v>
      </c>
      <c r="G2563" t="s">
        <v>8408</v>
      </c>
      <c r="K2563" t="s">
        <v>8409</v>
      </c>
      <c r="M2563" t="s">
        <v>1634</v>
      </c>
    </row>
    <row r="2564" spans="1:13" x14ac:dyDescent="0.25">
      <c r="A2564">
        <v>92519</v>
      </c>
      <c r="B2564" t="s">
        <v>8404</v>
      </c>
      <c r="C2564" t="s">
        <v>8405</v>
      </c>
      <c r="D2564" t="s">
        <v>2596</v>
      </c>
      <c r="E2564" t="s">
        <v>1273</v>
      </c>
      <c r="F2564" t="s">
        <v>4035</v>
      </c>
      <c r="G2564" t="s">
        <v>1588</v>
      </c>
      <c r="H2564">
        <v>4809695641</v>
      </c>
      <c r="J2564">
        <v>4809695641</v>
      </c>
      <c r="K2564" t="s">
        <v>8406</v>
      </c>
      <c r="M2564" t="s">
        <v>1640</v>
      </c>
    </row>
    <row r="2565" spans="1:13" x14ac:dyDescent="0.25">
      <c r="A2565">
        <v>92522</v>
      </c>
      <c r="B2565" t="s">
        <v>8410</v>
      </c>
      <c r="C2565" t="s">
        <v>8411</v>
      </c>
      <c r="D2565" t="s">
        <v>2605</v>
      </c>
      <c r="E2565" t="s">
        <v>1273</v>
      </c>
      <c r="F2565" t="s">
        <v>4035</v>
      </c>
      <c r="G2565" t="s">
        <v>1588</v>
      </c>
      <c r="H2565">
        <v>4809695641</v>
      </c>
      <c r="J2565">
        <v>4809696972</v>
      </c>
      <c r="K2565" t="s">
        <v>8406</v>
      </c>
      <c r="M2565" t="s">
        <v>1634</v>
      </c>
    </row>
    <row r="2566" spans="1:13" x14ac:dyDescent="0.25">
      <c r="A2566">
        <v>92522</v>
      </c>
      <c r="B2566" t="s">
        <v>8410</v>
      </c>
      <c r="C2566" t="s">
        <v>8411</v>
      </c>
      <c r="D2566" t="s">
        <v>2605</v>
      </c>
      <c r="E2566" t="s">
        <v>1273</v>
      </c>
      <c r="F2566" t="s">
        <v>4035</v>
      </c>
      <c r="G2566" t="s">
        <v>1588</v>
      </c>
      <c r="H2566">
        <v>4809695641</v>
      </c>
      <c r="J2566">
        <v>4809696972</v>
      </c>
      <c r="K2566" t="s">
        <v>8406</v>
      </c>
      <c r="M2566" t="s">
        <v>1640</v>
      </c>
    </row>
    <row r="2567" spans="1:13" x14ac:dyDescent="0.25">
      <c r="A2567">
        <v>92520</v>
      </c>
      <c r="B2567" t="s">
        <v>8412</v>
      </c>
      <c r="C2567" t="s">
        <v>8413</v>
      </c>
      <c r="D2567" t="s">
        <v>2596</v>
      </c>
      <c r="E2567" t="s">
        <v>1273</v>
      </c>
      <c r="F2567" t="s">
        <v>4035</v>
      </c>
      <c r="G2567" t="s">
        <v>1588</v>
      </c>
      <c r="H2567">
        <v>4809695641</v>
      </c>
      <c r="J2567">
        <v>4806966972</v>
      </c>
      <c r="K2567" t="s">
        <v>8406</v>
      </c>
      <c r="L2567" t="s">
        <v>1640</v>
      </c>
      <c r="M2567" t="s">
        <v>1634</v>
      </c>
    </row>
    <row r="2568" spans="1:13" x14ac:dyDescent="0.25">
      <c r="A2568">
        <v>92520</v>
      </c>
      <c r="B2568" t="s">
        <v>8412</v>
      </c>
      <c r="C2568" t="s">
        <v>8413</v>
      </c>
      <c r="D2568" t="s">
        <v>2596</v>
      </c>
      <c r="E2568" t="s">
        <v>1273</v>
      </c>
      <c r="F2568" t="s">
        <v>8407</v>
      </c>
      <c r="G2568" t="s">
        <v>8408</v>
      </c>
      <c r="K2568" t="s">
        <v>8409</v>
      </c>
      <c r="M2568" t="s">
        <v>1634</v>
      </c>
    </row>
    <row r="2569" spans="1:13" x14ac:dyDescent="0.25">
      <c r="A2569">
        <v>92520</v>
      </c>
      <c r="B2569" t="s">
        <v>8412</v>
      </c>
      <c r="C2569" t="s">
        <v>8413</v>
      </c>
      <c r="D2569" t="s">
        <v>2596</v>
      </c>
      <c r="E2569" t="s">
        <v>1273</v>
      </c>
      <c r="F2569" t="s">
        <v>4035</v>
      </c>
      <c r="G2569" t="s">
        <v>1588</v>
      </c>
      <c r="H2569">
        <v>4809695641</v>
      </c>
      <c r="J2569">
        <v>4806966972</v>
      </c>
      <c r="K2569" t="s">
        <v>8406</v>
      </c>
      <c r="L2569" t="s">
        <v>1640</v>
      </c>
      <c r="M2569" t="s">
        <v>1640</v>
      </c>
    </row>
    <row r="2570" spans="1:13" x14ac:dyDescent="0.25">
      <c r="A2570">
        <v>92521</v>
      </c>
      <c r="B2570" t="s">
        <v>8414</v>
      </c>
      <c r="C2570" t="s">
        <v>8415</v>
      </c>
      <c r="D2570" t="s">
        <v>2605</v>
      </c>
      <c r="E2570" t="s">
        <v>1273</v>
      </c>
      <c r="F2570" t="s">
        <v>4035</v>
      </c>
      <c r="G2570" t="s">
        <v>1588</v>
      </c>
      <c r="H2570">
        <v>4809695641</v>
      </c>
      <c r="J2570">
        <v>4809696972</v>
      </c>
      <c r="K2570" t="s">
        <v>8406</v>
      </c>
      <c r="M2570" t="s">
        <v>1640</v>
      </c>
    </row>
    <row r="2571" spans="1:13" x14ac:dyDescent="0.25">
      <c r="A2571">
        <v>92566</v>
      </c>
      <c r="B2571" t="s">
        <v>8416</v>
      </c>
      <c r="C2571" t="s">
        <v>8417</v>
      </c>
      <c r="D2571" t="s">
        <v>2596</v>
      </c>
      <c r="E2571" t="s">
        <v>1273</v>
      </c>
      <c r="F2571" t="s">
        <v>1772</v>
      </c>
      <c r="G2571" t="s">
        <v>4078</v>
      </c>
      <c r="H2571">
        <v>6029961595</v>
      </c>
      <c r="K2571" t="s">
        <v>8418</v>
      </c>
      <c r="L2571" t="s">
        <v>1647</v>
      </c>
      <c r="M2571" t="s">
        <v>1634</v>
      </c>
    </row>
    <row r="2572" spans="1:13" x14ac:dyDescent="0.25">
      <c r="A2572">
        <v>92567</v>
      </c>
      <c r="B2572" t="s">
        <v>8416</v>
      </c>
      <c r="C2572" t="s">
        <v>8419</v>
      </c>
      <c r="D2572" t="s">
        <v>2605</v>
      </c>
      <c r="E2572" t="s">
        <v>1273</v>
      </c>
    </row>
    <row r="2573" spans="1:13" x14ac:dyDescent="0.25">
      <c r="A2573">
        <v>92374</v>
      </c>
      <c r="B2573" t="s">
        <v>1313</v>
      </c>
      <c r="C2573" t="s">
        <v>8420</v>
      </c>
      <c r="D2573" t="s">
        <v>2596</v>
      </c>
      <c r="E2573" t="s">
        <v>1273</v>
      </c>
      <c r="F2573" t="s">
        <v>2361</v>
      </c>
      <c r="G2573" t="s">
        <v>8421</v>
      </c>
      <c r="H2573">
        <v>4809862335</v>
      </c>
      <c r="K2573" t="s">
        <v>8422</v>
      </c>
      <c r="L2573" t="s">
        <v>8423</v>
      </c>
      <c r="M2573" t="s">
        <v>1634</v>
      </c>
    </row>
    <row r="2574" spans="1:13" x14ac:dyDescent="0.25">
      <c r="A2574">
        <v>92374</v>
      </c>
      <c r="B2574" t="s">
        <v>1313</v>
      </c>
      <c r="C2574" t="s">
        <v>8420</v>
      </c>
      <c r="D2574" t="s">
        <v>2596</v>
      </c>
      <c r="E2574" t="s">
        <v>1273</v>
      </c>
      <c r="F2574" t="s">
        <v>1820</v>
      </c>
      <c r="G2574" t="s">
        <v>8424</v>
      </c>
      <c r="H2574">
        <v>4802916900</v>
      </c>
      <c r="I2574">
        <v>3103</v>
      </c>
      <c r="K2574" t="s">
        <v>8425</v>
      </c>
      <c r="L2574" t="s">
        <v>1647</v>
      </c>
      <c r="M2574" t="s">
        <v>1634</v>
      </c>
    </row>
    <row r="2575" spans="1:13" x14ac:dyDescent="0.25">
      <c r="A2575">
        <v>92374</v>
      </c>
      <c r="B2575" t="s">
        <v>1313</v>
      </c>
      <c r="C2575" t="s">
        <v>8420</v>
      </c>
      <c r="D2575" t="s">
        <v>2596</v>
      </c>
      <c r="E2575" t="s">
        <v>1273</v>
      </c>
      <c r="F2575" t="s">
        <v>3826</v>
      </c>
      <c r="G2575" t="s">
        <v>8426</v>
      </c>
      <c r="H2575" t="s">
        <v>8427</v>
      </c>
      <c r="I2575">
        <v>103</v>
      </c>
      <c r="K2575" t="s">
        <v>8428</v>
      </c>
      <c r="M2575" t="s">
        <v>1640</v>
      </c>
    </row>
    <row r="2576" spans="1:13" x14ac:dyDescent="0.25">
      <c r="A2576">
        <v>92345</v>
      </c>
      <c r="B2576" t="s">
        <v>1313</v>
      </c>
      <c r="C2576" t="s">
        <v>8429</v>
      </c>
      <c r="D2576" t="s">
        <v>2605</v>
      </c>
      <c r="E2576" t="s">
        <v>1273</v>
      </c>
      <c r="F2576" t="s">
        <v>2361</v>
      </c>
      <c r="G2576" t="s">
        <v>8421</v>
      </c>
      <c r="H2576">
        <v>4809862335</v>
      </c>
      <c r="K2576" t="s">
        <v>8422</v>
      </c>
      <c r="M2576" t="s">
        <v>1634</v>
      </c>
    </row>
    <row r="2577" spans="1:13" x14ac:dyDescent="0.25">
      <c r="A2577">
        <v>92345</v>
      </c>
      <c r="B2577" t="s">
        <v>1313</v>
      </c>
      <c r="C2577" t="s">
        <v>8429</v>
      </c>
      <c r="D2577" t="s">
        <v>2605</v>
      </c>
      <c r="E2577" t="s">
        <v>1273</v>
      </c>
      <c r="F2577" t="s">
        <v>3826</v>
      </c>
      <c r="G2577" t="s">
        <v>8426</v>
      </c>
      <c r="H2577" t="s">
        <v>8427</v>
      </c>
      <c r="I2577">
        <v>3127</v>
      </c>
      <c r="K2577" t="s">
        <v>8428</v>
      </c>
      <c r="M2577" t="s">
        <v>1634</v>
      </c>
    </row>
    <row r="2578" spans="1:13" x14ac:dyDescent="0.25">
      <c r="A2578">
        <v>92345</v>
      </c>
      <c r="B2578" t="s">
        <v>1313</v>
      </c>
      <c r="C2578" t="s">
        <v>8429</v>
      </c>
      <c r="D2578" t="s">
        <v>2605</v>
      </c>
      <c r="E2578" t="s">
        <v>1273</v>
      </c>
      <c r="F2578" t="s">
        <v>1820</v>
      </c>
      <c r="G2578" t="s">
        <v>8424</v>
      </c>
      <c r="H2578">
        <v>4802916900</v>
      </c>
      <c r="K2578" t="s">
        <v>8425</v>
      </c>
      <c r="L2578" t="s">
        <v>1647</v>
      </c>
      <c r="M2578" t="s">
        <v>1634</v>
      </c>
    </row>
    <row r="2579" spans="1:13" x14ac:dyDescent="0.25">
      <c r="A2579">
        <v>92345</v>
      </c>
      <c r="B2579" t="s">
        <v>1313</v>
      </c>
      <c r="C2579" t="s">
        <v>8429</v>
      </c>
      <c r="D2579" t="s">
        <v>2605</v>
      </c>
      <c r="E2579" t="s">
        <v>1273</v>
      </c>
      <c r="F2579" t="s">
        <v>3826</v>
      </c>
      <c r="G2579" t="s">
        <v>8426</v>
      </c>
      <c r="H2579" t="s">
        <v>8427</v>
      </c>
      <c r="I2579">
        <v>3127</v>
      </c>
      <c r="K2579" t="s">
        <v>8428</v>
      </c>
      <c r="M2579" t="s">
        <v>1640</v>
      </c>
    </row>
    <row r="2580" spans="1:13" x14ac:dyDescent="0.25">
      <c r="A2580">
        <v>92596</v>
      </c>
      <c r="B2580" t="s">
        <v>775</v>
      </c>
      <c r="C2580" t="s">
        <v>8430</v>
      </c>
      <c r="D2580" t="s">
        <v>2596</v>
      </c>
      <c r="E2580" t="s">
        <v>1273</v>
      </c>
      <c r="F2580" t="s">
        <v>3040</v>
      </c>
      <c r="G2580" t="s">
        <v>5860</v>
      </c>
      <c r="H2580">
        <v>9287756747</v>
      </c>
      <c r="J2580">
        <v>9287756740</v>
      </c>
      <c r="K2580" t="s">
        <v>8431</v>
      </c>
      <c r="M2580" t="s">
        <v>1634</v>
      </c>
    </row>
    <row r="2581" spans="1:13" x14ac:dyDescent="0.25">
      <c r="A2581">
        <v>92596</v>
      </c>
      <c r="B2581" t="s">
        <v>775</v>
      </c>
      <c r="C2581" t="s">
        <v>8430</v>
      </c>
      <c r="D2581" t="s">
        <v>2596</v>
      </c>
      <c r="E2581" t="s">
        <v>1273</v>
      </c>
      <c r="F2581" t="s">
        <v>2977</v>
      </c>
      <c r="G2581" t="s">
        <v>8432</v>
      </c>
      <c r="H2581">
        <v>9287756747</v>
      </c>
      <c r="K2581" t="s">
        <v>8433</v>
      </c>
      <c r="L2581" t="s">
        <v>2096</v>
      </c>
      <c r="M2581" t="s">
        <v>1634</v>
      </c>
    </row>
    <row r="2582" spans="1:13" x14ac:dyDescent="0.25">
      <c r="A2582">
        <v>92596</v>
      </c>
      <c r="B2582" t="s">
        <v>775</v>
      </c>
      <c r="C2582" t="s">
        <v>8430</v>
      </c>
      <c r="D2582" t="s">
        <v>2596</v>
      </c>
      <c r="E2582" t="s">
        <v>1273</v>
      </c>
      <c r="F2582" t="s">
        <v>2458</v>
      </c>
      <c r="G2582" t="s">
        <v>7686</v>
      </c>
      <c r="K2582" t="s">
        <v>8434</v>
      </c>
      <c r="L2582" t="s">
        <v>8435</v>
      </c>
      <c r="M2582" t="s">
        <v>1634</v>
      </c>
    </row>
    <row r="2583" spans="1:13" x14ac:dyDescent="0.25">
      <c r="A2583">
        <v>92596</v>
      </c>
      <c r="B2583" t="s">
        <v>775</v>
      </c>
      <c r="C2583" t="s">
        <v>8430</v>
      </c>
      <c r="D2583" t="s">
        <v>2596</v>
      </c>
      <c r="E2583" t="s">
        <v>1273</v>
      </c>
      <c r="F2583" t="s">
        <v>3391</v>
      </c>
      <c r="G2583" t="s">
        <v>8436</v>
      </c>
      <c r="H2583">
        <v>8017593111</v>
      </c>
      <c r="K2583" t="s">
        <v>8437</v>
      </c>
      <c r="L2583" t="s">
        <v>1640</v>
      </c>
      <c r="M2583" t="s">
        <v>1640</v>
      </c>
    </row>
    <row r="2584" spans="1:13" x14ac:dyDescent="0.25">
      <c r="A2584">
        <v>92597</v>
      </c>
      <c r="B2584" t="s">
        <v>776</v>
      </c>
      <c r="C2584" t="s">
        <v>8438</v>
      </c>
      <c r="D2584" t="s">
        <v>2605</v>
      </c>
      <c r="E2584" t="s">
        <v>1273</v>
      </c>
      <c r="F2584" t="s">
        <v>4443</v>
      </c>
      <c r="G2584" t="s">
        <v>8439</v>
      </c>
      <c r="H2584">
        <v>6028706674</v>
      </c>
      <c r="L2584" t="s">
        <v>1647</v>
      </c>
      <c r="M2584" t="s">
        <v>1634</v>
      </c>
    </row>
    <row r="2585" spans="1:13" x14ac:dyDescent="0.25">
      <c r="A2585">
        <v>92597</v>
      </c>
      <c r="B2585" t="s">
        <v>776</v>
      </c>
      <c r="C2585" t="s">
        <v>8438</v>
      </c>
      <c r="D2585" t="s">
        <v>2605</v>
      </c>
      <c r="E2585" t="s">
        <v>1273</v>
      </c>
      <c r="F2585" t="s">
        <v>3391</v>
      </c>
      <c r="G2585" t="s">
        <v>8436</v>
      </c>
      <c r="H2585">
        <v>8017593111</v>
      </c>
      <c r="J2585">
        <v>9287756740</v>
      </c>
      <c r="K2585" t="s">
        <v>8437</v>
      </c>
      <c r="L2585" t="s">
        <v>1640</v>
      </c>
      <c r="M2585" t="s">
        <v>1640</v>
      </c>
    </row>
    <row r="2586" spans="1:13" x14ac:dyDescent="0.25">
      <c r="A2586">
        <v>92704</v>
      </c>
      <c r="B2586" t="s">
        <v>8440</v>
      </c>
      <c r="C2586" t="s">
        <v>8441</v>
      </c>
      <c r="D2586" t="s">
        <v>2596</v>
      </c>
      <c r="E2586" t="s">
        <v>1273</v>
      </c>
      <c r="F2586" t="s">
        <v>2307</v>
      </c>
      <c r="G2586" t="s">
        <v>8090</v>
      </c>
      <c r="H2586">
        <v>4802977676</v>
      </c>
      <c r="K2586" t="s">
        <v>8091</v>
      </c>
      <c r="M2586" t="s">
        <v>1634</v>
      </c>
    </row>
    <row r="2587" spans="1:13" x14ac:dyDescent="0.25">
      <c r="A2587">
        <v>92704</v>
      </c>
      <c r="B2587" t="s">
        <v>8440</v>
      </c>
      <c r="C2587" t="s">
        <v>8441</v>
      </c>
      <c r="D2587" t="s">
        <v>2596</v>
      </c>
      <c r="E2587" t="s">
        <v>1273</v>
      </c>
      <c r="F2587" t="s">
        <v>8097</v>
      </c>
      <c r="G2587" t="s">
        <v>8098</v>
      </c>
      <c r="H2587">
        <v>4807216818</v>
      </c>
      <c r="K2587" t="s">
        <v>8099</v>
      </c>
      <c r="L2587" t="s">
        <v>5266</v>
      </c>
      <c r="M2587" t="s">
        <v>1634</v>
      </c>
    </row>
    <row r="2588" spans="1:13" x14ac:dyDescent="0.25">
      <c r="A2588">
        <v>92704</v>
      </c>
      <c r="B2588" t="s">
        <v>8440</v>
      </c>
      <c r="C2588" t="s">
        <v>8441</v>
      </c>
      <c r="D2588" t="s">
        <v>2596</v>
      </c>
      <c r="E2588" t="s">
        <v>1273</v>
      </c>
      <c r="F2588" t="s">
        <v>6014</v>
      </c>
      <c r="G2588" t="s">
        <v>8092</v>
      </c>
      <c r="H2588">
        <v>6024387045</v>
      </c>
      <c r="K2588" t="s">
        <v>8093</v>
      </c>
      <c r="M2588" t="s">
        <v>1640</v>
      </c>
    </row>
    <row r="2589" spans="1:13" x14ac:dyDescent="0.25">
      <c r="A2589">
        <v>92704</v>
      </c>
      <c r="B2589" t="s">
        <v>8440</v>
      </c>
      <c r="C2589" t="s">
        <v>8441</v>
      </c>
      <c r="D2589" t="s">
        <v>2596</v>
      </c>
      <c r="E2589" t="s">
        <v>1273</v>
      </c>
      <c r="F2589" t="s">
        <v>7318</v>
      </c>
      <c r="G2589" t="s">
        <v>8094</v>
      </c>
      <c r="H2589">
        <v>6024387045</v>
      </c>
      <c r="K2589" t="s">
        <v>8095</v>
      </c>
      <c r="L2589" t="s">
        <v>8096</v>
      </c>
      <c r="M2589" t="s">
        <v>1640</v>
      </c>
    </row>
    <row r="2590" spans="1:13" x14ac:dyDescent="0.25">
      <c r="A2590">
        <v>92704</v>
      </c>
      <c r="B2590" t="s">
        <v>8440</v>
      </c>
      <c r="C2590" t="s">
        <v>8441</v>
      </c>
      <c r="D2590" t="s">
        <v>2596</v>
      </c>
      <c r="E2590" t="s">
        <v>1273</v>
      </c>
      <c r="F2590" t="s">
        <v>6014</v>
      </c>
      <c r="G2590" t="s">
        <v>8104</v>
      </c>
      <c r="H2590" t="s">
        <v>8105</v>
      </c>
      <c r="K2590" t="s">
        <v>8106</v>
      </c>
      <c r="L2590" t="s">
        <v>8107</v>
      </c>
      <c r="M2590" t="s">
        <v>1765</v>
      </c>
    </row>
    <row r="2591" spans="1:13" x14ac:dyDescent="0.25">
      <c r="A2591">
        <v>92704</v>
      </c>
      <c r="B2591" t="s">
        <v>8440</v>
      </c>
      <c r="C2591" t="s">
        <v>8441</v>
      </c>
      <c r="D2591" t="s">
        <v>2596</v>
      </c>
      <c r="E2591" t="s">
        <v>1273</v>
      </c>
      <c r="F2591" t="s">
        <v>1935</v>
      </c>
      <c r="G2591" t="s">
        <v>8100</v>
      </c>
      <c r="M2591" t="s">
        <v>1765</v>
      </c>
    </row>
    <row r="2592" spans="1:13" x14ac:dyDescent="0.25">
      <c r="A2592">
        <v>92707</v>
      </c>
      <c r="B2592" t="s">
        <v>8442</v>
      </c>
      <c r="C2592" t="s">
        <v>8443</v>
      </c>
      <c r="D2592" t="s">
        <v>2605</v>
      </c>
      <c r="E2592" t="s">
        <v>1273</v>
      </c>
      <c r="F2592" t="s">
        <v>3720</v>
      </c>
      <c r="G2592" t="s">
        <v>8444</v>
      </c>
      <c r="K2592" t="s">
        <v>8445</v>
      </c>
      <c r="M2592" t="s">
        <v>1634</v>
      </c>
    </row>
    <row r="2593" spans="1:13" x14ac:dyDescent="0.25">
      <c r="A2593">
        <v>92716</v>
      </c>
      <c r="B2593" t="s">
        <v>8001</v>
      </c>
      <c r="C2593" t="s">
        <v>8446</v>
      </c>
      <c r="D2593" t="s">
        <v>2596</v>
      </c>
      <c r="E2593" t="s">
        <v>1273</v>
      </c>
      <c r="F2593" t="s">
        <v>2361</v>
      </c>
      <c r="G2593" t="s">
        <v>3336</v>
      </c>
      <c r="K2593" t="s">
        <v>8447</v>
      </c>
      <c r="L2593" t="s">
        <v>8448</v>
      </c>
      <c r="M2593" t="s">
        <v>1634</v>
      </c>
    </row>
    <row r="2594" spans="1:13" x14ac:dyDescent="0.25">
      <c r="A2594">
        <v>92716</v>
      </c>
      <c r="B2594" t="s">
        <v>8001</v>
      </c>
      <c r="C2594" t="s">
        <v>8446</v>
      </c>
      <c r="D2594" t="s">
        <v>2596</v>
      </c>
      <c r="E2594" t="s">
        <v>1273</v>
      </c>
      <c r="F2594" t="s">
        <v>6101</v>
      </c>
      <c r="G2594" t="s">
        <v>6308</v>
      </c>
      <c r="H2594">
        <v>4807276249</v>
      </c>
      <c r="K2594" t="s">
        <v>8449</v>
      </c>
      <c r="L2594" t="s">
        <v>8450</v>
      </c>
      <c r="M2594" t="s">
        <v>1634</v>
      </c>
    </row>
    <row r="2595" spans="1:13" x14ac:dyDescent="0.25">
      <c r="A2595">
        <v>92716</v>
      </c>
      <c r="B2595" t="s">
        <v>8001</v>
      </c>
      <c r="C2595" t="s">
        <v>8446</v>
      </c>
      <c r="D2595" t="s">
        <v>2596</v>
      </c>
      <c r="E2595" t="s">
        <v>1273</v>
      </c>
      <c r="F2595" t="s">
        <v>8003</v>
      </c>
      <c r="G2595" t="s">
        <v>8004</v>
      </c>
      <c r="H2595">
        <v>4807276215</v>
      </c>
      <c r="K2595" t="s">
        <v>8451</v>
      </c>
      <c r="L2595" t="s">
        <v>8452</v>
      </c>
      <c r="M2595" t="s">
        <v>1634</v>
      </c>
    </row>
    <row r="2596" spans="1:13" x14ac:dyDescent="0.25">
      <c r="A2596">
        <v>92716</v>
      </c>
      <c r="B2596" t="s">
        <v>8001</v>
      </c>
      <c r="C2596" t="s">
        <v>8446</v>
      </c>
      <c r="D2596" t="s">
        <v>2596</v>
      </c>
      <c r="E2596" t="s">
        <v>1273</v>
      </c>
      <c r="F2596" t="s">
        <v>1732</v>
      </c>
      <c r="G2596" t="s">
        <v>1976</v>
      </c>
      <c r="K2596" t="s">
        <v>8453</v>
      </c>
      <c r="L2596" t="s">
        <v>4466</v>
      </c>
      <c r="M2596" t="s">
        <v>1634</v>
      </c>
    </row>
    <row r="2597" spans="1:13" x14ac:dyDescent="0.25">
      <c r="A2597">
        <v>92716</v>
      </c>
      <c r="B2597" t="s">
        <v>8001</v>
      </c>
      <c r="C2597" t="s">
        <v>8446</v>
      </c>
      <c r="D2597" t="s">
        <v>2596</v>
      </c>
      <c r="E2597" t="s">
        <v>1273</v>
      </c>
      <c r="F2597" t="s">
        <v>1732</v>
      </c>
      <c r="G2597" t="s">
        <v>1976</v>
      </c>
      <c r="K2597" t="s">
        <v>8453</v>
      </c>
      <c r="L2597" t="s">
        <v>4466</v>
      </c>
      <c r="M2597" t="s">
        <v>1640</v>
      </c>
    </row>
    <row r="2598" spans="1:13" x14ac:dyDescent="0.25">
      <c r="A2598">
        <v>92716</v>
      </c>
      <c r="B2598" t="s">
        <v>8001</v>
      </c>
      <c r="C2598" t="s">
        <v>8446</v>
      </c>
      <c r="D2598" t="s">
        <v>2596</v>
      </c>
      <c r="E2598" t="s">
        <v>1273</v>
      </c>
      <c r="F2598" t="s">
        <v>6792</v>
      </c>
      <c r="G2598" t="s">
        <v>8010</v>
      </c>
      <c r="K2598" t="s">
        <v>8011</v>
      </c>
      <c r="L2598" t="s">
        <v>8012</v>
      </c>
      <c r="M2598" t="s">
        <v>1640</v>
      </c>
    </row>
    <row r="2599" spans="1:13" x14ac:dyDescent="0.25">
      <c r="A2599">
        <v>92716</v>
      </c>
      <c r="B2599" t="s">
        <v>8001</v>
      </c>
      <c r="C2599" t="s">
        <v>8446</v>
      </c>
      <c r="D2599" t="s">
        <v>2596</v>
      </c>
      <c r="E2599" t="s">
        <v>1273</v>
      </c>
      <c r="F2599" t="s">
        <v>8013</v>
      </c>
      <c r="G2599" t="s">
        <v>8014</v>
      </c>
      <c r="H2599">
        <v>4807275805</v>
      </c>
      <c r="M2599" t="s">
        <v>1640</v>
      </c>
    </row>
    <row r="2600" spans="1:13" x14ac:dyDescent="0.25">
      <c r="A2600">
        <v>70692</v>
      </c>
      <c r="B2600" t="s">
        <v>8454</v>
      </c>
      <c r="C2600" t="s">
        <v>8455</v>
      </c>
      <c r="D2600" t="s">
        <v>2605</v>
      </c>
      <c r="E2600" t="s">
        <v>1273</v>
      </c>
      <c r="F2600" t="s">
        <v>2361</v>
      </c>
      <c r="G2600" t="s">
        <v>3336</v>
      </c>
      <c r="M2600" t="s">
        <v>1634</v>
      </c>
    </row>
    <row r="2601" spans="1:13" x14ac:dyDescent="0.25">
      <c r="A2601">
        <v>70692</v>
      </c>
      <c r="B2601" t="s">
        <v>8454</v>
      </c>
      <c r="C2601" t="s">
        <v>8455</v>
      </c>
      <c r="D2601" t="s">
        <v>2605</v>
      </c>
      <c r="E2601" t="s">
        <v>1273</v>
      </c>
      <c r="F2601" t="s">
        <v>8003</v>
      </c>
      <c r="G2601" t="s">
        <v>8004</v>
      </c>
      <c r="H2601">
        <v>4807276215</v>
      </c>
      <c r="K2601" t="s">
        <v>8456</v>
      </c>
      <c r="L2601" t="s">
        <v>8452</v>
      </c>
      <c r="M2601" t="s">
        <v>1634</v>
      </c>
    </row>
    <row r="2602" spans="1:13" x14ac:dyDescent="0.25">
      <c r="A2602">
        <v>92736</v>
      </c>
      <c r="B2602" t="s">
        <v>3049</v>
      </c>
      <c r="C2602" t="s">
        <v>8457</v>
      </c>
      <c r="D2602" t="s">
        <v>2596</v>
      </c>
      <c r="E2602" t="s">
        <v>1273</v>
      </c>
      <c r="F2602" t="s">
        <v>2204</v>
      </c>
      <c r="G2602" t="s">
        <v>6913</v>
      </c>
      <c r="H2602">
        <v>4802892088</v>
      </c>
      <c r="K2602" t="s">
        <v>8458</v>
      </c>
      <c r="L2602" t="s">
        <v>8459</v>
      </c>
      <c r="M2602" t="s">
        <v>1634</v>
      </c>
    </row>
    <row r="2603" spans="1:13" x14ac:dyDescent="0.25">
      <c r="A2603">
        <v>92736</v>
      </c>
      <c r="B2603" t="s">
        <v>3049</v>
      </c>
      <c r="C2603" t="s">
        <v>8457</v>
      </c>
      <c r="D2603" t="s">
        <v>2596</v>
      </c>
      <c r="E2603" t="s">
        <v>1273</v>
      </c>
      <c r="F2603" t="s">
        <v>3057</v>
      </c>
      <c r="G2603" t="s">
        <v>2969</v>
      </c>
      <c r="H2603">
        <v>4802892088</v>
      </c>
      <c r="K2603" t="s">
        <v>3058</v>
      </c>
      <c r="L2603" t="s">
        <v>8269</v>
      </c>
      <c r="M2603" t="s">
        <v>1634</v>
      </c>
    </row>
    <row r="2604" spans="1:13" x14ac:dyDescent="0.25">
      <c r="A2604">
        <v>92736</v>
      </c>
      <c r="B2604" t="s">
        <v>3049</v>
      </c>
      <c r="C2604" t="s">
        <v>8457</v>
      </c>
      <c r="D2604" t="s">
        <v>2596</v>
      </c>
      <c r="E2604" t="s">
        <v>1273</v>
      </c>
      <c r="F2604" t="s">
        <v>2261</v>
      </c>
      <c r="G2604" t="s">
        <v>3063</v>
      </c>
      <c r="K2604" t="s">
        <v>3064</v>
      </c>
      <c r="L2604" t="s">
        <v>3065</v>
      </c>
      <c r="M2604" t="s">
        <v>1634</v>
      </c>
    </row>
    <row r="2605" spans="1:13" x14ac:dyDescent="0.25">
      <c r="A2605">
        <v>92736</v>
      </c>
      <c r="B2605" t="s">
        <v>3049</v>
      </c>
      <c r="C2605" t="s">
        <v>8457</v>
      </c>
      <c r="D2605" t="s">
        <v>2596</v>
      </c>
      <c r="E2605" t="s">
        <v>1273</v>
      </c>
      <c r="F2605" t="s">
        <v>1848</v>
      </c>
      <c r="G2605" t="s">
        <v>3060</v>
      </c>
      <c r="K2605" t="s">
        <v>3061</v>
      </c>
      <c r="L2605" t="s">
        <v>3062</v>
      </c>
      <c r="M2605" t="s">
        <v>1634</v>
      </c>
    </row>
    <row r="2606" spans="1:13" x14ac:dyDescent="0.25">
      <c r="A2606">
        <v>92736</v>
      </c>
      <c r="B2606" t="s">
        <v>3049</v>
      </c>
      <c r="C2606" t="s">
        <v>8457</v>
      </c>
      <c r="D2606" t="s">
        <v>2596</v>
      </c>
      <c r="E2606" t="s">
        <v>1273</v>
      </c>
      <c r="F2606" t="s">
        <v>2876</v>
      </c>
      <c r="G2606" t="s">
        <v>7172</v>
      </c>
      <c r="K2606" t="s">
        <v>8460</v>
      </c>
      <c r="L2606" t="s">
        <v>8461</v>
      </c>
      <c r="M2606" t="s">
        <v>1634</v>
      </c>
    </row>
    <row r="2607" spans="1:13" x14ac:dyDescent="0.25">
      <c r="A2607">
        <v>92737</v>
      </c>
      <c r="B2607" t="s">
        <v>8462</v>
      </c>
      <c r="C2607" t="s">
        <v>8463</v>
      </c>
      <c r="D2607" t="s">
        <v>2605</v>
      </c>
      <c r="E2607" t="s">
        <v>1273</v>
      </c>
    </row>
    <row r="2608" spans="1:13" x14ac:dyDescent="0.25">
      <c r="A2608">
        <v>92734</v>
      </c>
      <c r="B2608" t="s">
        <v>3049</v>
      </c>
      <c r="C2608" t="s">
        <v>8464</v>
      </c>
      <c r="D2608" t="s">
        <v>2596</v>
      </c>
      <c r="E2608" t="s">
        <v>1273</v>
      </c>
      <c r="F2608" t="s">
        <v>2204</v>
      </c>
      <c r="G2608" t="s">
        <v>6913</v>
      </c>
      <c r="H2608">
        <v>4802892088</v>
      </c>
      <c r="K2608" t="s">
        <v>8458</v>
      </c>
      <c r="L2608" t="s">
        <v>8459</v>
      </c>
      <c r="M2608" t="s">
        <v>1634</v>
      </c>
    </row>
    <row r="2609" spans="1:13" x14ac:dyDescent="0.25">
      <c r="A2609">
        <v>92734</v>
      </c>
      <c r="B2609" t="s">
        <v>3049</v>
      </c>
      <c r="C2609" t="s">
        <v>8464</v>
      </c>
      <c r="D2609" t="s">
        <v>2596</v>
      </c>
      <c r="E2609" t="s">
        <v>1273</v>
      </c>
      <c r="F2609" t="s">
        <v>3057</v>
      </c>
      <c r="G2609" t="s">
        <v>2969</v>
      </c>
      <c r="H2609">
        <v>4802892088</v>
      </c>
      <c r="K2609" t="s">
        <v>3058</v>
      </c>
      <c r="L2609" t="s">
        <v>8269</v>
      </c>
      <c r="M2609" t="s">
        <v>1634</v>
      </c>
    </row>
    <row r="2610" spans="1:13" x14ac:dyDescent="0.25">
      <c r="A2610">
        <v>92734</v>
      </c>
      <c r="B2610" t="s">
        <v>3049</v>
      </c>
      <c r="C2610" t="s">
        <v>8464</v>
      </c>
      <c r="D2610" t="s">
        <v>2596</v>
      </c>
      <c r="E2610" t="s">
        <v>1273</v>
      </c>
      <c r="F2610" t="s">
        <v>2261</v>
      </c>
      <c r="G2610" t="s">
        <v>3063</v>
      </c>
      <c r="K2610" t="s">
        <v>3064</v>
      </c>
      <c r="L2610" t="s">
        <v>3065</v>
      </c>
      <c r="M2610" t="s">
        <v>1634</v>
      </c>
    </row>
    <row r="2611" spans="1:13" x14ac:dyDescent="0.25">
      <c r="A2611">
        <v>92734</v>
      </c>
      <c r="B2611" t="s">
        <v>3049</v>
      </c>
      <c r="C2611" t="s">
        <v>8464</v>
      </c>
      <c r="D2611" t="s">
        <v>2596</v>
      </c>
      <c r="E2611" t="s">
        <v>1273</v>
      </c>
      <c r="F2611" t="s">
        <v>1848</v>
      </c>
      <c r="G2611" t="s">
        <v>3060</v>
      </c>
      <c r="K2611" t="s">
        <v>3061</v>
      </c>
      <c r="L2611" t="s">
        <v>3062</v>
      </c>
      <c r="M2611" t="s">
        <v>1634</v>
      </c>
    </row>
    <row r="2612" spans="1:13" x14ac:dyDescent="0.25">
      <c r="A2612">
        <v>92735</v>
      </c>
      <c r="B2612" t="s">
        <v>8465</v>
      </c>
      <c r="C2612" t="s">
        <v>8466</v>
      </c>
      <c r="D2612" t="s">
        <v>2605</v>
      </c>
      <c r="E2612" t="s">
        <v>1273</v>
      </c>
    </row>
    <row r="2613" spans="1:13" x14ac:dyDescent="0.25">
      <c r="A2613">
        <v>92768</v>
      </c>
      <c r="B2613" t="s">
        <v>8467</v>
      </c>
      <c r="C2613" t="s">
        <v>8468</v>
      </c>
      <c r="D2613" t="s">
        <v>2596</v>
      </c>
      <c r="E2613" t="s">
        <v>1273</v>
      </c>
      <c r="F2613" t="s">
        <v>1690</v>
      </c>
      <c r="G2613" t="s">
        <v>8469</v>
      </c>
      <c r="H2613" t="s">
        <v>8315</v>
      </c>
      <c r="K2613" t="s">
        <v>8470</v>
      </c>
      <c r="M2613" t="s">
        <v>1634</v>
      </c>
    </row>
    <row r="2614" spans="1:13" x14ac:dyDescent="0.25">
      <c r="A2614">
        <v>92768</v>
      </c>
      <c r="B2614" t="s">
        <v>8467</v>
      </c>
      <c r="C2614" t="s">
        <v>8468</v>
      </c>
      <c r="D2614" t="s">
        <v>2596</v>
      </c>
      <c r="E2614" t="s">
        <v>1273</v>
      </c>
      <c r="F2614" t="s">
        <v>8048</v>
      </c>
      <c r="G2614" t="s">
        <v>8471</v>
      </c>
      <c r="H2614">
        <v>5208875392</v>
      </c>
      <c r="I2614">
        <v>11016</v>
      </c>
      <c r="K2614" t="s">
        <v>8472</v>
      </c>
      <c r="L2614" t="s">
        <v>8473</v>
      </c>
      <c r="M2614" t="s">
        <v>1634</v>
      </c>
    </row>
    <row r="2615" spans="1:13" x14ac:dyDescent="0.25">
      <c r="A2615">
        <v>92768</v>
      </c>
      <c r="B2615" t="s">
        <v>8467</v>
      </c>
      <c r="C2615" t="s">
        <v>8468</v>
      </c>
      <c r="D2615" t="s">
        <v>2596</v>
      </c>
      <c r="E2615" t="s">
        <v>1273</v>
      </c>
      <c r="F2615" t="s">
        <v>2587</v>
      </c>
      <c r="G2615" t="s">
        <v>8317</v>
      </c>
      <c r="H2615">
        <v>5208875392</v>
      </c>
      <c r="I2615">
        <v>11039</v>
      </c>
      <c r="K2615" t="s">
        <v>8318</v>
      </c>
      <c r="L2615" t="s">
        <v>2696</v>
      </c>
      <c r="M2615" t="s">
        <v>1634</v>
      </c>
    </row>
    <row r="2616" spans="1:13" x14ac:dyDescent="0.25">
      <c r="A2616">
        <v>92768</v>
      </c>
      <c r="B2616" t="s">
        <v>8467</v>
      </c>
      <c r="C2616" t="s">
        <v>8468</v>
      </c>
      <c r="D2616" t="s">
        <v>2596</v>
      </c>
      <c r="E2616" t="s">
        <v>1273</v>
      </c>
      <c r="F2616" t="s">
        <v>6345</v>
      </c>
      <c r="G2616" t="s">
        <v>2162</v>
      </c>
      <c r="H2616">
        <v>5208875392</v>
      </c>
      <c r="K2616" t="s">
        <v>8474</v>
      </c>
      <c r="L2616" t="s">
        <v>1668</v>
      </c>
      <c r="M2616" t="s">
        <v>1634</v>
      </c>
    </row>
    <row r="2617" spans="1:13" x14ac:dyDescent="0.25">
      <c r="A2617">
        <v>92768</v>
      </c>
      <c r="B2617" t="s">
        <v>8467</v>
      </c>
      <c r="C2617" t="s">
        <v>8468</v>
      </c>
      <c r="D2617" t="s">
        <v>2596</v>
      </c>
      <c r="E2617" t="s">
        <v>1273</v>
      </c>
      <c r="F2617" t="s">
        <v>5973</v>
      </c>
      <c r="G2617" t="s">
        <v>5974</v>
      </c>
      <c r="H2617">
        <v>6235475587</v>
      </c>
      <c r="K2617" t="s">
        <v>8475</v>
      </c>
      <c r="L2617" t="s">
        <v>1647</v>
      </c>
      <c r="M2617" t="s">
        <v>1634</v>
      </c>
    </row>
    <row r="2618" spans="1:13" x14ac:dyDescent="0.25">
      <c r="A2618">
        <v>92768</v>
      </c>
      <c r="B2618" t="s">
        <v>8467</v>
      </c>
      <c r="C2618" t="s">
        <v>8468</v>
      </c>
      <c r="D2618" t="s">
        <v>2596</v>
      </c>
      <c r="E2618" t="s">
        <v>1273</v>
      </c>
      <c r="F2618" t="s">
        <v>7018</v>
      </c>
      <c r="G2618" t="s">
        <v>8476</v>
      </c>
      <c r="H2618">
        <v>5208875392</v>
      </c>
      <c r="K2618" t="s">
        <v>8477</v>
      </c>
      <c r="L2618" t="s">
        <v>8478</v>
      </c>
      <c r="M2618" t="s">
        <v>1640</v>
      </c>
    </row>
    <row r="2619" spans="1:13" x14ac:dyDescent="0.25">
      <c r="A2619">
        <v>92769</v>
      </c>
      <c r="B2619" t="s">
        <v>8479</v>
      </c>
      <c r="C2619" t="s">
        <v>8480</v>
      </c>
      <c r="D2619" t="s">
        <v>2605</v>
      </c>
      <c r="E2619" t="s">
        <v>1273</v>
      </c>
    </row>
    <row r="2620" spans="1:13" x14ac:dyDescent="0.25">
      <c r="A2620">
        <v>92863</v>
      </c>
      <c r="B2620" t="s">
        <v>3049</v>
      </c>
      <c r="C2620" t="s">
        <v>8481</v>
      </c>
      <c r="D2620" t="s">
        <v>2596</v>
      </c>
      <c r="E2620" t="s">
        <v>1273</v>
      </c>
      <c r="F2620" t="s">
        <v>1925</v>
      </c>
      <c r="G2620" t="s">
        <v>3072</v>
      </c>
      <c r="H2620">
        <v>5202196000</v>
      </c>
      <c r="K2620" t="s">
        <v>3073</v>
      </c>
      <c r="M2620" t="s">
        <v>1634</v>
      </c>
    </row>
    <row r="2621" spans="1:13" x14ac:dyDescent="0.25">
      <c r="A2621">
        <v>92863</v>
      </c>
      <c r="B2621" t="s">
        <v>3049</v>
      </c>
      <c r="C2621" t="s">
        <v>8481</v>
      </c>
      <c r="D2621" t="s">
        <v>2596</v>
      </c>
      <c r="E2621" t="s">
        <v>1273</v>
      </c>
      <c r="F2621" t="s">
        <v>2204</v>
      </c>
      <c r="G2621" t="s">
        <v>6913</v>
      </c>
      <c r="H2621">
        <v>4802892088</v>
      </c>
      <c r="K2621" t="s">
        <v>8458</v>
      </c>
      <c r="L2621" t="s">
        <v>8459</v>
      </c>
      <c r="M2621" t="s">
        <v>1634</v>
      </c>
    </row>
    <row r="2622" spans="1:13" x14ac:dyDescent="0.25">
      <c r="A2622">
        <v>92863</v>
      </c>
      <c r="B2622" t="s">
        <v>3049</v>
      </c>
      <c r="C2622" t="s">
        <v>8481</v>
      </c>
      <c r="D2622" t="s">
        <v>2596</v>
      </c>
      <c r="E2622" t="s">
        <v>1273</v>
      </c>
      <c r="F2622" t="s">
        <v>3057</v>
      </c>
      <c r="G2622" t="s">
        <v>2969</v>
      </c>
      <c r="H2622">
        <v>4802892088</v>
      </c>
      <c r="K2622" t="s">
        <v>3058</v>
      </c>
      <c r="L2622" t="s">
        <v>8269</v>
      </c>
      <c r="M2622" t="s">
        <v>1634</v>
      </c>
    </row>
    <row r="2623" spans="1:13" x14ac:dyDescent="0.25">
      <c r="A2623">
        <v>92863</v>
      </c>
      <c r="B2623" t="s">
        <v>3049</v>
      </c>
      <c r="C2623" t="s">
        <v>8481</v>
      </c>
      <c r="D2623" t="s">
        <v>2596</v>
      </c>
      <c r="E2623" t="s">
        <v>1273</v>
      </c>
      <c r="F2623" t="s">
        <v>2261</v>
      </c>
      <c r="G2623" t="s">
        <v>3063</v>
      </c>
      <c r="K2623" t="s">
        <v>3064</v>
      </c>
      <c r="L2623" t="s">
        <v>3065</v>
      </c>
      <c r="M2623" t="s">
        <v>1634</v>
      </c>
    </row>
    <row r="2624" spans="1:13" x14ac:dyDescent="0.25">
      <c r="A2624">
        <v>92863</v>
      </c>
      <c r="B2624" t="s">
        <v>3049</v>
      </c>
      <c r="C2624" t="s">
        <v>8481</v>
      </c>
      <c r="D2624" t="s">
        <v>2596</v>
      </c>
      <c r="E2624" t="s">
        <v>1273</v>
      </c>
      <c r="F2624" t="s">
        <v>1848</v>
      </c>
      <c r="G2624" t="s">
        <v>3060</v>
      </c>
      <c r="K2624" t="s">
        <v>3061</v>
      </c>
      <c r="L2624" t="s">
        <v>3062</v>
      </c>
      <c r="M2624" t="s">
        <v>1634</v>
      </c>
    </row>
    <row r="2625" spans="1:13" x14ac:dyDescent="0.25">
      <c r="A2625">
        <v>92864</v>
      </c>
      <c r="B2625" t="s">
        <v>8482</v>
      </c>
      <c r="C2625" t="s">
        <v>8483</v>
      </c>
      <c r="D2625" t="s">
        <v>2605</v>
      </c>
      <c r="E2625" t="s">
        <v>1273</v>
      </c>
    </row>
    <row r="2626" spans="1:13" x14ac:dyDescent="0.25">
      <c r="A2626">
        <v>92865</v>
      </c>
      <c r="B2626" t="s">
        <v>3049</v>
      </c>
      <c r="C2626" t="s">
        <v>8484</v>
      </c>
      <c r="D2626" t="s">
        <v>2596</v>
      </c>
      <c r="E2626" t="s">
        <v>1273</v>
      </c>
      <c r="F2626" t="s">
        <v>1925</v>
      </c>
      <c r="G2626" t="s">
        <v>3072</v>
      </c>
      <c r="H2626">
        <v>5202196000</v>
      </c>
      <c r="K2626" t="s">
        <v>3073</v>
      </c>
      <c r="M2626" t="s">
        <v>1634</v>
      </c>
    </row>
    <row r="2627" spans="1:13" x14ac:dyDescent="0.25">
      <c r="A2627">
        <v>92865</v>
      </c>
      <c r="B2627" t="s">
        <v>3049</v>
      </c>
      <c r="C2627" t="s">
        <v>8484</v>
      </c>
      <c r="D2627" t="s">
        <v>2596</v>
      </c>
      <c r="E2627" t="s">
        <v>1273</v>
      </c>
      <c r="F2627" t="s">
        <v>2204</v>
      </c>
      <c r="G2627" t="s">
        <v>6913</v>
      </c>
      <c r="H2627">
        <v>4802892088</v>
      </c>
      <c r="K2627" t="s">
        <v>8458</v>
      </c>
      <c r="L2627" t="s">
        <v>8459</v>
      </c>
      <c r="M2627" t="s">
        <v>1634</v>
      </c>
    </row>
    <row r="2628" spans="1:13" x14ac:dyDescent="0.25">
      <c r="A2628">
        <v>92865</v>
      </c>
      <c r="B2628" t="s">
        <v>3049</v>
      </c>
      <c r="C2628" t="s">
        <v>8484</v>
      </c>
      <c r="D2628" t="s">
        <v>2596</v>
      </c>
      <c r="E2628" t="s">
        <v>1273</v>
      </c>
      <c r="F2628" t="s">
        <v>3057</v>
      </c>
      <c r="G2628" t="s">
        <v>2969</v>
      </c>
      <c r="H2628">
        <v>4802892088</v>
      </c>
      <c r="K2628" t="s">
        <v>3058</v>
      </c>
      <c r="L2628" t="s">
        <v>8269</v>
      </c>
      <c r="M2628" t="s">
        <v>1634</v>
      </c>
    </row>
    <row r="2629" spans="1:13" x14ac:dyDescent="0.25">
      <c r="A2629">
        <v>92865</v>
      </c>
      <c r="B2629" t="s">
        <v>3049</v>
      </c>
      <c r="C2629" t="s">
        <v>8484</v>
      </c>
      <c r="D2629" t="s">
        <v>2596</v>
      </c>
      <c r="E2629" t="s">
        <v>1273</v>
      </c>
      <c r="F2629" t="s">
        <v>2261</v>
      </c>
      <c r="G2629" t="s">
        <v>3063</v>
      </c>
      <c r="K2629" t="s">
        <v>3064</v>
      </c>
      <c r="L2629" t="s">
        <v>3065</v>
      </c>
      <c r="M2629" t="s">
        <v>1634</v>
      </c>
    </row>
    <row r="2630" spans="1:13" x14ac:dyDescent="0.25">
      <c r="A2630">
        <v>92865</v>
      </c>
      <c r="B2630" t="s">
        <v>3049</v>
      </c>
      <c r="C2630" t="s">
        <v>8484</v>
      </c>
      <c r="D2630" t="s">
        <v>2596</v>
      </c>
      <c r="E2630" t="s">
        <v>1273</v>
      </c>
      <c r="F2630" t="s">
        <v>1848</v>
      </c>
      <c r="G2630" t="s">
        <v>3060</v>
      </c>
      <c r="K2630" t="s">
        <v>3061</v>
      </c>
      <c r="L2630" t="s">
        <v>3062</v>
      </c>
      <c r="M2630" t="s">
        <v>1634</v>
      </c>
    </row>
    <row r="2631" spans="1:13" x14ac:dyDescent="0.25">
      <c r="A2631">
        <v>92866</v>
      </c>
      <c r="B2631" t="s">
        <v>8485</v>
      </c>
      <c r="C2631" t="s">
        <v>8486</v>
      </c>
      <c r="D2631" t="s">
        <v>2605</v>
      </c>
      <c r="E2631" t="s">
        <v>1273</v>
      </c>
      <c r="F2631" t="s">
        <v>3057</v>
      </c>
      <c r="G2631" t="s">
        <v>2969</v>
      </c>
      <c r="H2631">
        <v>4802892088</v>
      </c>
      <c r="K2631" t="s">
        <v>3058</v>
      </c>
      <c r="L2631" t="s">
        <v>8269</v>
      </c>
      <c r="M2631" t="s">
        <v>1634</v>
      </c>
    </row>
    <row r="2632" spans="1:13" x14ac:dyDescent="0.25">
      <c r="A2632">
        <v>92879</v>
      </c>
      <c r="B2632" t="s">
        <v>8487</v>
      </c>
      <c r="C2632" t="s">
        <v>8488</v>
      </c>
      <c r="D2632" t="s">
        <v>2596</v>
      </c>
      <c r="E2632" t="s">
        <v>1273</v>
      </c>
      <c r="F2632" t="s">
        <v>1679</v>
      </c>
      <c r="G2632" t="s">
        <v>5734</v>
      </c>
      <c r="H2632">
        <v>4802705438</v>
      </c>
      <c r="K2632" t="s">
        <v>8228</v>
      </c>
      <c r="M2632" t="s">
        <v>1634</v>
      </c>
    </row>
    <row r="2633" spans="1:13" x14ac:dyDescent="0.25">
      <c r="A2633">
        <v>92879</v>
      </c>
      <c r="B2633" t="s">
        <v>8487</v>
      </c>
      <c r="C2633" t="s">
        <v>8488</v>
      </c>
      <c r="D2633" t="s">
        <v>2596</v>
      </c>
      <c r="E2633" t="s">
        <v>1273</v>
      </c>
      <c r="F2633" t="s">
        <v>3075</v>
      </c>
      <c r="G2633" t="s">
        <v>4000</v>
      </c>
      <c r="M2633" t="s">
        <v>1634</v>
      </c>
    </row>
    <row r="2634" spans="1:13" x14ac:dyDescent="0.25">
      <c r="A2634">
        <v>92879</v>
      </c>
      <c r="B2634" t="s">
        <v>8487</v>
      </c>
      <c r="C2634" t="s">
        <v>8488</v>
      </c>
      <c r="D2634" t="s">
        <v>2596</v>
      </c>
      <c r="E2634" t="s">
        <v>1273</v>
      </c>
      <c r="F2634" t="s">
        <v>4162</v>
      </c>
      <c r="G2634" t="s">
        <v>3775</v>
      </c>
      <c r="K2634" t="s">
        <v>8489</v>
      </c>
      <c r="M2634" t="s">
        <v>1634</v>
      </c>
    </row>
    <row r="2635" spans="1:13" x14ac:dyDescent="0.25">
      <c r="A2635">
        <v>92879</v>
      </c>
      <c r="B2635" t="s">
        <v>8487</v>
      </c>
      <c r="C2635" t="s">
        <v>8488</v>
      </c>
      <c r="D2635" t="s">
        <v>2596</v>
      </c>
      <c r="E2635" t="s">
        <v>1273</v>
      </c>
      <c r="F2635" t="s">
        <v>2896</v>
      </c>
      <c r="G2635" t="s">
        <v>8112</v>
      </c>
      <c r="H2635">
        <v>4802705438</v>
      </c>
      <c r="I2635">
        <v>1046</v>
      </c>
      <c r="K2635" t="s">
        <v>8490</v>
      </c>
      <c r="M2635" t="s">
        <v>1634</v>
      </c>
    </row>
    <row r="2636" spans="1:13" x14ac:dyDescent="0.25">
      <c r="A2636">
        <v>92880</v>
      </c>
      <c r="B2636" t="s">
        <v>8487</v>
      </c>
      <c r="C2636" t="s">
        <v>8491</v>
      </c>
      <c r="D2636" t="s">
        <v>2605</v>
      </c>
      <c r="E2636" t="s">
        <v>1273</v>
      </c>
    </row>
    <row r="2637" spans="1:13" x14ac:dyDescent="0.25">
      <c r="A2637">
        <v>92902</v>
      </c>
      <c r="B2637" t="s">
        <v>8492</v>
      </c>
      <c r="C2637" t="s">
        <v>8493</v>
      </c>
      <c r="D2637" t="s">
        <v>2596</v>
      </c>
      <c r="E2637" t="s">
        <v>1273</v>
      </c>
      <c r="F2637" t="s">
        <v>2977</v>
      </c>
      <c r="G2637" t="s">
        <v>7959</v>
      </c>
      <c r="I2637">
        <v>215</v>
      </c>
      <c r="J2637">
        <v>6022437799</v>
      </c>
      <c r="K2637" t="s">
        <v>7960</v>
      </c>
      <c r="L2637" t="s">
        <v>8494</v>
      </c>
      <c r="M2637" t="s">
        <v>1634</v>
      </c>
    </row>
    <row r="2638" spans="1:13" x14ac:dyDescent="0.25">
      <c r="A2638">
        <v>92902</v>
      </c>
      <c r="B2638" t="s">
        <v>8492</v>
      </c>
      <c r="C2638" t="s">
        <v>8493</v>
      </c>
      <c r="D2638" t="s">
        <v>2596</v>
      </c>
      <c r="E2638" t="s">
        <v>1273</v>
      </c>
      <c r="F2638" t="s">
        <v>7957</v>
      </c>
      <c r="G2638" t="s">
        <v>6519</v>
      </c>
      <c r="H2638">
        <v>6022437788</v>
      </c>
      <c r="I2638">
        <v>244</v>
      </c>
      <c r="K2638" t="s">
        <v>7958</v>
      </c>
      <c r="L2638" t="s">
        <v>2649</v>
      </c>
      <c r="M2638" t="s">
        <v>1634</v>
      </c>
    </row>
    <row r="2639" spans="1:13" x14ac:dyDescent="0.25">
      <c r="A2639">
        <v>92902</v>
      </c>
      <c r="B2639" t="s">
        <v>8492</v>
      </c>
      <c r="C2639" t="s">
        <v>8493</v>
      </c>
      <c r="D2639" t="s">
        <v>2596</v>
      </c>
      <c r="E2639" t="s">
        <v>1273</v>
      </c>
      <c r="F2639" t="s">
        <v>6009</v>
      </c>
      <c r="G2639" t="s">
        <v>8495</v>
      </c>
      <c r="H2639">
        <v>6022437788</v>
      </c>
      <c r="I2639">
        <v>244</v>
      </c>
      <c r="K2639" t="s">
        <v>7952</v>
      </c>
      <c r="L2639" t="s">
        <v>2649</v>
      </c>
      <c r="M2639" t="s">
        <v>1634</v>
      </c>
    </row>
    <row r="2640" spans="1:13" x14ac:dyDescent="0.25">
      <c r="A2640">
        <v>92902</v>
      </c>
      <c r="B2640" t="s">
        <v>8492</v>
      </c>
      <c r="C2640" t="s">
        <v>8493</v>
      </c>
      <c r="D2640" t="s">
        <v>2596</v>
      </c>
      <c r="E2640" t="s">
        <v>1273</v>
      </c>
      <c r="F2640" t="s">
        <v>7953</v>
      </c>
      <c r="G2640" t="s">
        <v>7954</v>
      </c>
      <c r="H2640">
        <v>6022437788</v>
      </c>
      <c r="I2640">
        <v>245</v>
      </c>
      <c r="K2640" t="s">
        <v>7955</v>
      </c>
      <c r="L2640" t="s">
        <v>7956</v>
      </c>
      <c r="M2640" t="s">
        <v>1634</v>
      </c>
    </row>
    <row r="2641" spans="1:13" x14ac:dyDescent="0.25">
      <c r="A2641">
        <v>92902</v>
      </c>
      <c r="B2641" t="s">
        <v>8492</v>
      </c>
      <c r="C2641" t="s">
        <v>8493</v>
      </c>
      <c r="D2641" t="s">
        <v>2596</v>
      </c>
      <c r="E2641" t="s">
        <v>1273</v>
      </c>
      <c r="F2641" t="s">
        <v>5808</v>
      </c>
      <c r="G2641" t="s">
        <v>3299</v>
      </c>
      <c r="H2641">
        <v>6022437788</v>
      </c>
      <c r="J2641">
        <v>6022437799</v>
      </c>
      <c r="K2641" t="s">
        <v>8496</v>
      </c>
      <c r="L2641" t="s">
        <v>3043</v>
      </c>
      <c r="M2641" t="s">
        <v>1640</v>
      </c>
    </row>
    <row r="2642" spans="1:13" x14ac:dyDescent="0.25">
      <c r="A2642">
        <v>92902</v>
      </c>
      <c r="B2642" t="s">
        <v>8492</v>
      </c>
      <c r="C2642" t="s">
        <v>8493</v>
      </c>
      <c r="D2642" t="s">
        <v>2596</v>
      </c>
      <c r="E2642" t="s">
        <v>1273</v>
      </c>
      <c r="F2642" t="s">
        <v>7957</v>
      </c>
      <c r="G2642" t="s">
        <v>6519</v>
      </c>
      <c r="H2642">
        <v>6022437788</v>
      </c>
      <c r="I2642">
        <v>244</v>
      </c>
      <c r="K2642" t="s">
        <v>7958</v>
      </c>
      <c r="L2642" t="s">
        <v>2649</v>
      </c>
      <c r="M2642" t="s">
        <v>1640</v>
      </c>
    </row>
    <row r="2643" spans="1:13" x14ac:dyDescent="0.25">
      <c r="A2643">
        <v>92902</v>
      </c>
      <c r="B2643" t="s">
        <v>8492</v>
      </c>
      <c r="C2643" t="s">
        <v>8493</v>
      </c>
      <c r="D2643" t="s">
        <v>2596</v>
      </c>
      <c r="E2643" t="s">
        <v>1273</v>
      </c>
      <c r="F2643" t="s">
        <v>6009</v>
      </c>
      <c r="G2643" t="s">
        <v>8495</v>
      </c>
      <c r="H2643">
        <v>6022437788</v>
      </c>
      <c r="I2643">
        <v>244</v>
      </c>
      <c r="K2643" t="s">
        <v>7952</v>
      </c>
      <c r="L2643" t="s">
        <v>2649</v>
      </c>
      <c r="M2643" t="s">
        <v>1640</v>
      </c>
    </row>
    <row r="2644" spans="1:13" x14ac:dyDescent="0.25">
      <c r="A2644">
        <v>92903</v>
      </c>
      <c r="B2644" t="s">
        <v>8497</v>
      </c>
      <c r="C2644" t="s">
        <v>8498</v>
      </c>
      <c r="D2644" t="s">
        <v>2605</v>
      </c>
      <c r="E2644" t="s">
        <v>1273</v>
      </c>
      <c r="F2644" t="s">
        <v>2977</v>
      </c>
      <c r="G2644" t="s">
        <v>7959</v>
      </c>
      <c r="I2644">
        <v>215</v>
      </c>
      <c r="K2644" t="s">
        <v>7960</v>
      </c>
      <c r="M2644" t="s">
        <v>1634</v>
      </c>
    </row>
    <row r="2645" spans="1:13" x14ac:dyDescent="0.25">
      <c r="A2645">
        <v>346763</v>
      </c>
      <c r="B2645" t="s">
        <v>8001</v>
      </c>
      <c r="C2645" t="s">
        <v>8499</v>
      </c>
      <c r="D2645" t="s">
        <v>2596</v>
      </c>
      <c r="E2645" t="s">
        <v>1273</v>
      </c>
      <c r="F2645" t="s">
        <v>6101</v>
      </c>
      <c r="G2645" t="s">
        <v>6308</v>
      </c>
      <c r="H2645">
        <v>4807276249</v>
      </c>
      <c r="K2645" t="s">
        <v>8449</v>
      </c>
      <c r="L2645" t="s">
        <v>8450</v>
      </c>
      <c r="M2645" t="s">
        <v>1634</v>
      </c>
    </row>
    <row r="2646" spans="1:13" x14ac:dyDescent="0.25">
      <c r="A2646">
        <v>346763</v>
      </c>
      <c r="B2646" t="s">
        <v>8001</v>
      </c>
      <c r="C2646" t="s">
        <v>8499</v>
      </c>
      <c r="D2646" t="s">
        <v>2596</v>
      </c>
      <c r="E2646" t="s">
        <v>1273</v>
      </c>
      <c r="F2646" t="s">
        <v>8500</v>
      </c>
      <c r="G2646" t="s">
        <v>8004</v>
      </c>
      <c r="H2646">
        <v>4807276215</v>
      </c>
      <c r="K2646" t="s">
        <v>8501</v>
      </c>
      <c r="M2646" t="s">
        <v>1634</v>
      </c>
    </row>
    <row r="2647" spans="1:13" x14ac:dyDescent="0.25">
      <c r="A2647">
        <v>346763</v>
      </c>
      <c r="B2647" t="s">
        <v>8001</v>
      </c>
      <c r="C2647" t="s">
        <v>8499</v>
      </c>
      <c r="D2647" t="s">
        <v>2596</v>
      </c>
      <c r="E2647" t="s">
        <v>1273</v>
      </c>
      <c r="F2647" t="s">
        <v>1732</v>
      </c>
      <c r="G2647" t="s">
        <v>1976</v>
      </c>
      <c r="K2647" t="s">
        <v>8453</v>
      </c>
      <c r="L2647" t="s">
        <v>4466</v>
      </c>
      <c r="M2647" t="s">
        <v>1634</v>
      </c>
    </row>
    <row r="2648" spans="1:13" x14ac:dyDescent="0.25">
      <c r="A2648">
        <v>346763</v>
      </c>
      <c r="B2648" t="s">
        <v>8001</v>
      </c>
      <c r="C2648" t="s">
        <v>8499</v>
      </c>
      <c r="D2648" t="s">
        <v>2596</v>
      </c>
      <c r="E2648" t="s">
        <v>1273</v>
      </c>
      <c r="F2648" t="s">
        <v>6792</v>
      </c>
      <c r="G2648" t="s">
        <v>8010</v>
      </c>
      <c r="K2648" t="s">
        <v>8011</v>
      </c>
      <c r="L2648" t="s">
        <v>8012</v>
      </c>
      <c r="M2648" t="s">
        <v>1640</v>
      </c>
    </row>
    <row r="2649" spans="1:13" x14ac:dyDescent="0.25">
      <c r="A2649">
        <v>346763</v>
      </c>
      <c r="B2649" t="s">
        <v>8001</v>
      </c>
      <c r="C2649" t="s">
        <v>8499</v>
      </c>
      <c r="D2649" t="s">
        <v>2596</v>
      </c>
      <c r="E2649" t="s">
        <v>1273</v>
      </c>
      <c r="F2649" t="s">
        <v>8013</v>
      </c>
      <c r="G2649" t="s">
        <v>8014</v>
      </c>
      <c r="H2649">
        <v>4807275805</v>
      </c>
      <c r="M2649" t="s">
        <v>1640</v>
      </c>
    </row>
    <row r="2650" spans="1:13" x14ac:dyDescent="0.25">
      <c r="A2650">
        <v>92248</v>
      </c>
      <c r="B2650" t="s">
        <v>8502</v>
      </c>
      <c r="C2650" t="s">
        <v>8503</v>
      </c>
      <c r="D2650" t="s">
        <v>2605</v>
      </c>
      <c r="E2650" t="s">
        <v>1273</v>
      </c>
      <c r="F2650" t="s">
        <v>8003</v>
      </c>
      <c r="G2650" t="s">
        <v>8004</v>
      </c>
      <c r="H2650">
        <v>4807276215</v>
      </c>
      <c r="K2650" t="s">
        <v>8456</v>
      </c>
      <c r="L2650" t="s">
        <v>8452</v>
      </c>
      <c r="M2650" t="s">
        <v>1634</v>
      </c>
    </row>
    <row r="2651" spans="1:13" x14ac:dyDescent="0.25">
      <c r="A2651">
        <v>123733</v>
      </c>
      <c r="B2651" t="s">
        <v>8504</v>
      </c>
      <c r="C2651" t="s">
        <v>8505</v>
      </c>
      <c r="D2651" t="s">
        <v>2596</v>
      </c>
      <c r="E2651" t="s">
        <v>1273</v>
      </c>
      <c r="F2651" t="s">
        <v>2089</v>
      </c>
      <c r="G2651" t="s">
        <v>8506</v>
      </c>
      <c r="H2651">
        <v>6024024090</v>
      </c>
      <c r="J2651">
        <v>6233273040</v>
      </c>
      <c r="K2651" t="s">
        <v>8507</v>
      </c>
      <c r="L2651" t="s">
        <v>8508</v>
      </c>
      <c r="M2651" t="s">
        <v>1634</v>
      </c>
    </row>
    <row r="2652" spans="1:13" x14ac:dyDescent="0.25">
      <c r="A2652">
        <v>123733</v>
      </c>
      <c r="B2652" t="s">
        <v>8504</v>
      </c>
      <c r="C2652" t="s">
        <v>8505</v>
      </c>
      <c r="D2652" t="s">
        <v>2596</v>
      </c>
      <c r="E2652" t="s">
        <v>1273</v>
      </c>
      <c r="F2652" t="s">
        <v>1775</v>
      </c>
      <c r="G2652" t="s">
        <v>8509</v>
      </c>
      <c r="H2652">
        <v>6233323684</v>
      </c>
      <c r="K2652" t="s">
        <v>8510</v>
      </c>
      <c r="M2652" t="s">
        <v>1634</v>
      </c>
    </row>
    <row r="2653" spans="1:13" x14ac:dyDescent="0.25">
      <c r="A2653">
        <v>123733</v>
      </c>
      <c r="B2653" t="s">
        <v>8504</v>
      </c>
      <c r="C2653" t="s">
        <v>8505</v>
      </c>
      <c r="D2653" t="s">
        <v>2596</v>
      </c>
      <c r="E2653" t="s">
        <v>1273</v>
      </c>
      <c r="F2653" t="s">
        <v>3551</v>
      </c>
      <c r="G2653" t="s">
        <v>7006</v>
      </c>
      <c r="H2653">
        <v>6239800383</v>
      </c>
      <c r="K2653" t="s">
        <v>8511</v>
      </c>
      <c r="L2653" t="s">
        <v>3043</v>
      </c>
      <c r="M2653" t="s">
        <v>1634</v>
      </c>
    </row>
    <row r="2654" spans="1:13" x14ac:dyDescent="0.25">
      <c r="A2654">
        <v>123733</v>
      </c>
      <c r="B2654" t="s">
        <v>8504</v>
      </c>
      <c r="C2654" t="s">
        <v>8505</v>
      </c>
      <c r="D2654" t="s">
        <v>2596</v>
      </c>
      <c r="E2654" t="s">
        <v>1273</v>
      </c>
      <c r="F2654" t="s">
        <v>3551</v>
      </c>
      <c r="G2654" t="s">
        <v>7006</v>
      </c>
      <c r="H2654">
        <v>6239800383</v>
      </c>
      <c r="K2654" t="s">
        <v>8511</v>
      </c>
      <c r="L2654" t="s">
        <v>3043</v>
      </c>
      <c r="M2654" t="s">
        <v>1640</v>
      </c>
    </row>
    <row r="2655" spans="1:13" x14ac:dyDescent="0.25">
      <c r="A2655">
        <v>123733</v>
      </c>
      <c r="B2655" t="s">
        <v>8504</v>
      </c>
      <c r="C2655" t="s">
        <v>8505</v>
      </c>
      <c r="D2655" t="s">
        <v>2596</v>
      </c>
      <c r="E2655" t="s">
        <v>1273</v>
      </c>
      <c r="F2655" t="s">
        <v>3551</v>
      </c>
      <c r="G2655" t="s">
        <v>7006</v>
      </c>
      <c r="H2655">
        <v>6239800383</v>
      </c>
      <c r="K2655" t="s">
        <v>8511</v>
      </c>
      <c r="L2655" t="s">
        <v>3043</v>
      </c>
      <c r="M2655" t="s">
        <v>1765</v>
      </c>
    </row>
    <row r="2656" spans="1:13" x14ac:dyDescent="0.25">
      <c r="A2656">
        <v>991308</v>
      </c>
      <c r="B2656" t="s">
        <v>8504</v>
      </c>
      <c r="C2656" t="s">
        <v>8512</v>
      </c>
      <c r="D2656" t="s">
        <v>2605</v>
      </c>
      <c r="E2656" t="s">
        <v>1273</v>
      </c>
    </row>
    <row r="2657" spans="1:13" x14ac:dyDescent="0.25">
      <c r="A2657">
        <v>549803</v>
      </c>
      <c r="B2657" t="s">
        <v>3049</v>
      </c>
      <c r="C2657" t="s">
        <v>8513</v>
      </c>
      <c r="D2657" t="s">
        <v>2596</v>
      </c>
      <c r="E2657" t="s">
        <v>1273</v>
      </c>
      <c r="F2657" t="s">
        <v>3057</v>
      </c>
      <c r="G2657" t="s">
        <v>2969</v>
      </c>
      <c r="H2657">
        <v>4802892088</v>
      </c>
      <c r="K2657" t="s">
        <v>3058</v>
      </c>
      <c r="M2657" t="s">
        <v>1634</v>
      </c>
    </row>
    <row r="2658" spans="1:13" x14ac:dyDescent="0.25">
      <c r="A2658">
        <v>549803</v>
      </c>
      <c r="B2658" t="s">
        <v>3049</v>
      </c>
      <c r="C2658" t="s">
        <v>8513</v>
      </c>
      <c r="D2658" t="s">
        <v>2596</v>
      </c>
      <c r="E2658" t="s">
        <v>1273</v>
      </c>
      <c r="F2658" t="s">
        <v>2261</v>
      </c>
      <c r="G2658" t="s">
        <v>3063</v>
      </c>
      <c r="K2658" t="s">
        <v>3064</v>
      </c>
      <c r="L2658" t="s">
        <v>3065</v>
      </c>
      <c r="M2658" t="s">
        <v>1634</v>
      </c>
    </row>
    <row r="2659" spans="1:13" x14ac:dyDescent="0.25">
      <c r="A2659">
        <v>549803</v>
      </c>
      <c r="B2659" t="s">
        <v>3049</v>
      </c>
      <c r="C2659" t="s">
        <v>8513</v>
      </c>
      <c r="D2659" t="s">
        <v>2596</v>
      </c>
      <c r="E2659" t="s">
        <v>1273</v>
      </c>
      <c r="F2659" t="s">
        <v>1848</v>
      </c>
      <c r="G2659" t="s">
        <v>3060</v>
      </c>
      <c r="K2659" t="s">
        <v>3061</v>
      </c>
      <c r="L2659" t="s">
        <v>3062</v>
      </c>
      <c r="M2659" t="s">
        <v>1634</v>
      </c>
    </row>
    <row r="2660" spans="1:13" x14ac:dyDescent="0.25">
      <c r="A2660">
        <v>139682</v>
      </c>
      <c r="B2660" t="s">
        <v>8514</v>
      </c>
      <c r="C2660" t="s">
        <v>8515</v>
      </c>
      <c r="D2660" t="s">
        <v>2605</v>
      </c>
      <c r="E2660" t="s">
        <v>1273</v>
      </c>
      <c r="F2660" t="s">
        <v>3051</v>
      </c>
      <c r="G2660" t="s">
        <v>3052</v>
      </c>
      <c r="K2660" t="s">
        <v>8270</v>
      </c>
      <c r="L2660" t="s">
        <v>8235</v>
      </c>
      <c r="M2660" t="s">
        <v>1634</v>
      </c>
    </row>
    <row r="2661" spans="1:13" x14ac:dyDescent="0.25">
      <c r="A2661">
        <v>273398</v>
      </c>
      <c r="B2661" t="s">
        <v>3049</v>
      </c>
      <c r="C2661" t="s">
        <v>8516</v>
      </c>
      <c r="D2661" t="s">
        <v>2596</v>
      </c>
      <c r="E2661" t="s">
        <v>1273</v>
      </c>
      <c r="F2661" t="s">
        <v>3057</v>
      </c>
      <c r="G2661" t="s">
        <v>2969</v>
      </c>
      <c r="H2661">
        <v>4802892088</v>
      </c>
      <c r="K2661" t="s">
        <v>3058</v>
      </c>
      <c r="L2661" t="s">
        <v>8269</v>
      </c>
      <c r="M2661" t="s">
        <v>1634</v>
      </c>
    </row>
    <row r="2662" spans="1:13" x14ac:dyDescent="0.25">
      <c r="A2662">
        <v>273398</v>
      </c>
      <c r="B2662" t="s">
        <v>3049</v>
      </c>
      <c r="C2662" t="s">
        <v>8516</v>
      </c>
      <c r="D2662" t="s">
        <v>2596</v>
      </c>
      <c r="E2662" t="s">
        <v>1273</v>
      </c>
      <c r="F2662" t="s">
        <v>1848</v>
      </c>
      <c r="G2662" t="s">
        <v>3060</v>
      </c>
      <c r="K2662" t="s">
        <v>3061</v>
      </c>
      <c r="L2662" t="s">
        <v>3062</v>
      </c>
      <c r="M2662" t="s">
        <v>1634</v>
      </c>
    </row>
    <row r="2663" spans="1:13" x14ac:dyDescent="0.25">
      <c r="A2663">
        <v>273398</v>
      </c>
      <c r="B2663" t="s">
        <v>3049</v>
      </c>
      <c r="C2663" t="s">
        <v>8516</v>
      </c>
      <c r="D2663" t="s">
        <v>2596</v>
      </c>
      <c r="E2663" t="s">
        <v>1273</v>
      </c>
      <c r="F2663" t="s">
        <v>2261</v>
      </c>
      <c r="G2663" t="s">
        <v>3063</v>
      </c>
      <c r="K2663" t="s">
        <v>3064</v>
      </c>
      <c r="L2663" t="s">
        <v>3065</v>
      </c>
      <c r="M2663" t="s">
        <v>1634</v>
      </c>
    </row>
    <row r="2664" spans="1:13" x14ac:dyDescent="0.25">
      <c r="A2664">
        <v>103670</v>
      </c>
      <c r="B2664" t="s">
        <v>8517</v>
      </c>
      <c r="C2664" t="s">
        <v>8518</v>
      </c>
      <c r="D2664" t="s">
        <v>2605</v>
      </c>
      <c r="E2664" t="s">
        <v>1273</v>
      </c>
    </row>
    <row r="2665" spans="1:13" x14ac:dyDescent="0.25">
      <c r="A2665">
        <v>522074</v>
      </c>
      <c r="B2665" t="s">
        <v>8519</v>
      </c>
      <c r="C2665" t="s">
        <v>8520</v>
      </c>
      <c r="D2665" t="s">
        <v>2596</v>
      </c>
      <c r="E2665" t="s">
        <v>1273</v>
      </c>
      <c r="F2665" t="s">
        <v>4121</v>
      </c>
      <c r="G2665" t="s">
        <v>8521</v>
      </c>
      <c r="H2665">
        <v>4802664406</v>
      </c>
      <c r="K2665" t="s">
        <v>8522</v>
      </c>
      <c r="L2665" t="s">
        <v>3043</v>
      </c>
      <c r="M2665" t="s">
        <v>1634</v>
      </c>
    </row>
    <row r="2666" spans="1:13" x14ac:dyDescent="0.25">
      <c r="A2666">
        <v>522074</v>
      </c>
      <c r="B2666" t="s">
        <v>8519</v>
      </c>
      <c r="C2666" t="s">
        <v>8520</v>
      </c>
      <c r="D2666" t="s">
        <v>2596</v>
      </c>
      <c r="E2666" t="s">
        <v>1273</v>
      </c>
      <c r="F2666" t="s">
        <v>8003</v>
      </c>
      <c r="G2666" t="s">
        <v>8004</v>
      </c>
      <c r="H2666">
        <v>4807276215</v>
      </c>
      <c r="K2666" t="s">
        <v>8005</v>
      </c>
      <c r="L2666" t="s">
        <v>6355</v>
      </c>
      <c r="M2666" t="s">
        <v>1634</v>
      </c>
    </row>
    <row r="2667" spans="1:13" x14ac:dyDescent="0.25">
      <c r="A2667">
        <v>522074</v>
      </c>
      <c r="B2667" t="s">
        <v>8519</v>
      </c>
      <c r="C2667" t="s">
        <v>8520</v>
      </c>
      <c r="D2667" t="s">
        <v>2596</v>
      </c>
      <c r="E2667" t="s">
        <v>1273</v>
      </c>
      <c r="F2667" t="s">
        <v>1732</v>
      </c>
      <c r="G2667" t="s">
        <v>1976</v>
      </c>
      <c r="K2667" t="s">
        <v>8453</v>
      </c>
      <c r="L2667" t="s">
        <v>4466</v>
      </c>
      <c r="M2667" t="s">
        <v>1634</v>
      </c>
    </row>
    <row r="2668" spans="1:13" x14ac:dyDescent="0.25">
      <c r="A2668">
        <v>522074</v>
      </c>
      <c r="B2668" t="s">
        <v>8519</v>
      </c>
      <c r="C2668" t="s">
        <v>8520</v>
      </c>
      <c r="D2668" t="s">
        <v>2596</v>
      </c>
      <c r="E2668" t="s">
        <v>1273</v>
      </c>
      <c r="F2668" t="s">
        <v>6792</v>
      </c>
      <c r="G2668" t="s">
        <v>8010</v>
      </c>
      <c r="K2668" t="s">
        <v>8011</v>
      </c>
      <c r="L2668" t="s">
        <v>8012</v>
      </c>
      <c r="M2668" t="s">
        <v>1640</v>
      </c>
    </row>
    <row r="2669" spans="1:13" x14ac:dyDescent="0.25">
      <c r="A2669">
        <v>522074</v>
      </c>
      <c r="B2669" t="s">
        <v>8519</v>
      </c>
      <c r="C2669" t="s">
        <v>8520</v>
      </c>
      <c r="D2669" t="s">
        <v>2596</v>
      </c>
      <c r="E2669" t="s">
        <v>1273</v>
      </c>
      <c r="F2669" t="s">
        <v>8013</v>
      </c>
      <c r="G2669" t="s">
        <v>8014</v>
      </c>
      <c r="H2669">
        <v>4807275805</v>
      </c>
      <c r="M2669" t="s">
        <v>1640</v>
      </c>
    </row>
    <row r="2670" spans="1:13" x14ac:dyDescent="0.25">
      <c r="A2670">
        <v>860177</v>
      </c>
      <c r="B2670" t="s">
        <v>8519</v>
      </c>
      <c r="C2670" t="s">
        <v>8523</v>
      </c>
      <c r="D2670" t="s">
        <v>2605</v>
      </c>
      <c r="E2670" t="s">
        <v>1273</v>
      </c>
      <c r="F2670" t="s">
        <v>4121</v>
      </c>
      <c r="G2670" t="s">
        <v>8521</v>
      </c>
      <c r="H2670">
        <v>4802664406</v>
      </c>
      <c r="K2670" t="s">
        <v>8522</v>
      </c>
      <c r="L2670" t="s">
        <v>3043</v>
      </c>
      <c r="M2670" t="s">
        <v>1634</v>
      </c>
    </row>
    <row r="2671" spans="1:13" x14ac:dyDescent="0.25">
      <c r="A2671">
        <v>860177</v>
      </c>
      <c r="B2671" t="s">
        <v>8519</v>
      </c>
      <c r="C2671" t="s">
        <v>8523</v>
      </c>
      <c r="D2671" t="s">
        <v>2605</v>
      </c>
      <c r="E2671" t="s">
        <v>1273</v>
      </c>
      <c r="F2671" t="s">
        <v>1783</v>
      </c>
      <c r="G2671" t="s">
        <v>2162</v>
      </c>
      <c r="K2671" t="s">
        <v>8524</v>
      </c>
      <c r="L2671" t="s">
        <v>1640</v>
      </c>
      <c r="M2671" t="s">
        <v>1634</v>
      </c>
    </row>
    <row r="2672" spans="1:13" x14ac:dyDescent="0.25">
      <c r="A2672">
        <v>449790</v>
      </c>
      <c r="B2672" t="s">
        <v>8525</v>
      </c>
      <c r="C2672" t="s">
        <v>8526</v>
      </c>
      <c r="D2672" t="s">
        <v>2596</v>
      </c>
      <c r="E2672" t="s">
        <v>1273</v>
      </c>
      <c r="F2672" t="s">
        <v>2997</v>
      </c>
      <c r="G2672" t="s">
        <v>8527</v>
      </c>
      <c r="K2672" t="s">
        <v>8528</v>
      </c>
      <c r="M2672" t="s">
        <v>1634</v>
      </c>
    </row>
    <row r="2673" spans="1:13" x14ac:dyDescent="0.25">
      <c r="A2673">
        <v>449790</v>
      </c>
      <c r="B2673" t="s">
        <v>8525</v>
      </c>
      <c r="C2673" t="s">
        <v>8526</v>
      </c>
      <c r="D2673" t="s">
        <v>2596</v>
      </c>
      <c r="E2673" t="s">
        <v>1273</v>
      </c>
      <c r="F2673" t="s">
        <v>2508</v>
      </c>
      <c r="G2673" t="s">
        <v>1298</v>
      </c>
      <c r="H2673" t="s">
        <v>2509</v>
      </c>
      <c r="K2673" t="s">
        <v>8529</v>
      </c>
      <c r="M2673" t="s">
        <v>1640</v>
      </c>
    </row>
    <row r="2674" spans="1:13" x14ac:dyDescent="0.25">
      <c r="A2674">
        <v>449790</v>
      </c>
      <c r="B2674" t="s">
        <v>8525</v>
      </c>
      <c r="C2674" t="s">
        <v>8526</v>
      </c>
      <c r="D2674" t="s">
        <v>2596</v>
      </c>
      <c r="E2674" t="s">
        <v>1273</v>
      </c>
      <c r="F2674" t="s">
        <v>1679</v>
      </c>
      <c r="G2674" t="s">
        <v>8530</v>
      </c>
      <c r="K2674" t="s">
        <v>8531</v>
      </c>
      <c r="M2674" t="s">
        <v>1640</v>
      </c>
    </row>
    <row r="2675" spans="1:13" x14ac:dyDescent="0.25">
      <c r="A2675">
        <v>449790</v>
      </c>
      <c r="B2675" t="s">
        <v>8525</v>
      </c>
      <c r="C2675" t="s">
        <v>8526</v>
      </c>
      <c r="D2675" t="s">
        <v>2596</v>
      </c>
      <c r="E2675" t="s">
        <v>1273</v>
      </c>
      <c r="F2675" t="s">
        <v>4149</v>
      </c>
      <c r="G2675" t="s">
        <v>2402</v>
      </c>
      <c r="H2675">
        <v>6023884444</v>
      </c>
      <c r="K2675" t="s">
        <v>8532</v>
      </c>
      <c r="L2675" t="s">
        <v>1640</v>
      </c>
      <c r="M2675" t="s">
        <v>1640</v>
      </c>
    </row>
    <row r="2676" spans="1:13" x14ac:dyDescent="0.25">
      <c r="A2676">
        <v>742847</v>
      </c>
      <c r="B2676" t="s">
        <v>8533</v>
      </c>
      <c r="C2676" t="s">
        <v>8534</v>
      </c>
      <c r="D2676" t="s">
        <v>2605</v>
      </c>
      <c r="E2676" t="s">
        <v>1273</v>
      </c>
      <c r="F2676" t="s">
        <v>2997</v>
      </c>
      <c r="G2676" t="s">
        <v>8527</v>
      </c>
      <c r="K2676" t="s">
        <v>8528</v>
      </c>
      <c r="L2676" t="s">
        <v>2584</v>
      </c>
      <c r="M2676" t="s">
        <v>1634</v>
      </c>
    </row>
    <row r="2677" spans="1:13" x14ac:dyDescent="0.25">
      <c r="A2677">
        <v>742847</v>
      </c>
      <c r="B2677" t="s">
        <v>8533</v>
      </c>
      <c r="C2677" t="s">
        <v>8534</v>
      </c>
      <c r="D2677" t="s">
        <v>2605</v>
      </c>
      <c r="E2677" t="s">
        <v>1273</v>
      </c>
      <c r="F2677" t="s">
        <v>4799</v>
      </c>
      <c r="G2677" t="s">
        <v>8535</v>
      </c>
      <c r="K2677" t="s">
        <v>8536</v>
      </c>
      <c r="M2677" t="s">
        <v>1634</v>
      </c>
    </row>
    <row r="2678" spans="1:13" x14ac:dyDescent="0.25">
      <c r="A2678">
        <v>742847</v>
      </c>
      <c r="B2678" t="s">
        <v>8533</v>
      </c>
      <c r="C2678" t="s">
        <v>8534</v>
      </c>
      <c r="D2678" t="s">
        <v>2605</v>
      </c>
      <c r="E2678" t="s">
        <v>1273</v>
      </c>
      <c r="F2678" t="s">
        <v>1679</v>
      </c>
      <c r="G2678" t="s">
        <v>8530</v>
      </c>
      <c r="K2678" t="s">
        <v>8531</v>
      </c>
      <c r="M2678" t="s">
        <v>1634</v>
      </c>
    </row>
    <row r="2679" spans="1:13" x14ac:dyDescent="0.25">
      <c r="A2679">
        <v>742847</v>
      </c>
      <c r="B2679" t="s">
        <v>8533</v>
      </c>
      <c r="C2679" t="s">
        <v>8534</v>
      </c>
      <c r="D2679" t="s">
        <v>2605</v>
      </c>
      <c r="E2679" t="s">
        <v>1273</v>
      </c>
      <c r="F2679" t="s">
        <v>2508</v>
      </c>
      <c r="G2679" t="s">
        <v>1298</v>
      </c>
      <c r="H2679" t="s">
        <v>2509</v>
      </c>
      <c r="K2679" t="s">
        <v>8529</v>
      </c>
      <c r="M2679" t="s">
        <v>1640</v>
      </c>
    </row>
    <row r="2680" spans="1:13" x14ac:dyDescent="0.25">
      <c r="A2680">
        <v>783027</v>
      </c>
      <c r="B2680" t="s">
        <v>3049</v>
      </c>
      <c r="C2680" t="s">
        <v>8537</v>
      </c>
      <c r="D2680" t="s">
        <v>2596</v>
      </c>
      <c r="E2680" t="s">
        <v>1273</v>
      </c>
      <c r="F2680" t="s">
        <v>3051</v>
      </c>
      <c r="G2680" t="s">
        <v>3052</v>
      </c>
      <c r="H2680">
        <v>4802892088</v>
      </c>
      <c r="K2680" t="s">
        <v>8538</v>
      </c>
      <c r="L2680" t="s">
        <v>8539</v>
      </c>
      <c r="M2680" t="s">
        <v>1634</v>
      </c>
    </row>
    <row r="2681" spans="1:13" x14ac:dyDescent="0.25">
      <c r="A2681">
        <v>783027</v>
      </c>
      <c r="B2681" t="s">
        <v>3049</v>
      </c>
      <c r="C2681" t="s">
        <v>8537</v>
      </c>
      <c r="D2681" t="s">
        <v>2596</v>
      </c>
      <c r="E2681" t="s">
        <v>1273</v>
      </c>
      <c r="F2681" t="s">
        <v>3057</v>
      </c>
      <c r="G2681" t="s">
        <v>2969</v>
      </c>
      <c r="H2681">
        <v>4802892088</v>
      </c>
      <c r="I2681">
        <v>261</v>
      </c>
      <c r="K2681" t="s">
        <v>3058</v>
      </c>
      <c r="L2681" t="s">
        <v>8269</v>
      </c>
      <c r="M2681" t="s">
        <v>1634</v>
      </c>
    </row>
    <row r="2682" spans="1:13" x14ac:dyDescent="0.25">
      <c r="A2682">
        <v>783027</v>
      </c>
      <c r="B2682" t="s">
        <v>3049</v>
      </c>
      <c r="C2682" t="s">
        <v>8537</v>
      </c>
      <c r="D2682" t="s">
        <v>2596</v>
      </c>
      <c r="E2682" t="s">
        <v>1273</v>
      </c>
      <c r="F2682" t="s">
        <v>1848</v>
      </c>
      <c r="G2682" t="s">
        <v>3060</v>
      </c>
      <c r="K2682" t="s">
        <v>3061</v>
      </c>
      <c r="L2682" t="s">
        <v>3062</v>
      </c>
      <c r="M2682" t="s">
        <v>1634</v>
      </c>
    </row>
    <row r="2683" spans="1:13" x14ac:dyDescent="0.25">
      <c r="A2683">
        <v>783027</v>
      </c>
      <c r="B2683" t="s">
        <v>3049</v>
      </c>
      <c r="C2683" t="s">
        <v>8537</v>
      </c>
      <c r="D2683" t="s">
        <v>2596</v>
      </c>
      <c r="E2683" t="s">
        <v>1273</v>
      </c>
      <c r="F2683" t="s">
        <v>2261</v>
      </c>
      <c r="G2683" t="s">
        <v>3063</v>
      </c>
      <c r="K2683" t="s">
        <v>3064</v>
      </c>
      <c r="L2683" t="s">
        <v>3065</v>
      </c>
      <c r="M2683" t="s">
        <v>1634</v>
      </c>
    </row>
    <row r="2684" spans="1:13" x14ac:dyDescent="0.25">
      <c r="A2684">
        <v>893297</v>
      </c>
      <c r="B2684" t="s">
        <v>8540</v>
      </c>
      <c r="C2684" t="s">
        <v>8541</v>
      </c>
      <c r="D2684" t="s">
        <v>2605</v>
      </c>
      <c r="E2684" t="s">
        <v>1273</v>
      </c>
      <c r="F2684" t="s">
        <v>3051</v>
      </c>
      <c r="G2684" t="s">
        <v>3052</v>
      </c>
      <c r="K2684" t="s">
        <v>8270</v>
      </c>
      <c r="L2684" t="s">
        <v>8539</v>
      </c>
      <c r="M2684" t="s">
        <v>1634</v>
      </c>
    </row>
    <row r="2685" spans="1:13" x14ac:dyDescent="0.25">
      <c r="A2685">
        <v>91277</v>
      </c>
      <c r="B2685" t="s">
        <v>8542</v>
      </c>
      <c r="C2685" t="s">
        <v>8543</v>
      </c>
      <c r="D2685" t="s">
        <v>2596</v>
      </c>
      <c r="E2685" t="s">
        <v>1273</v>
      </c>
      <c r="F2685" t="s">
        <v>3193</v>
      </c>
      <c r="G2685" t="s">
        <v>8544</v>
      </c>
      <c r="J2685">
        <v>6022835009</v>
      </c>
      <c r="K2685" t="s">
        <v>8545</v>
      </c>
      <c r="M2685" t="s">
        <v>1634</v>
      </c>
    </row>
    <row r="2686" spans="1:13" x14ac:dyDescent="0.25">
      <c r="A2686">
        <v>91277</v>
      </c>
      <c r="B2686" t="s">
        <v>8542</v>
      </c>
      <c r="C2686" t="s">
        <v>8543</v>
      </c>
      <c r="D2686" t="s">
        <v>2596</v>
      </c>
      <c r="E2686" t="s">
        <v>1273</v>
      </c>
      <c r="F2686" t="s">
        <v>2189</v>
      </c>
      <c r="G2686" t="s">
        <v>8546</v>
      </c>
      <c r="I2686">
        <v>1001</v>
      </c>
      <c r="K2686" t="s">
        <v>8547</v>
      </c>
      <c r="L2686" t="s">
        <v>8548</v>
      </c>
      <c r="M2686" t="s">
        <v>1634</v>
      </c>
    </row>
    <row r="2687" spans="1:13" x14ac:dyDescent="0.25">
      <c r="A2687">
        <v>91277</v>
      </c>
      <c r="B2687" t="s">
        <v>8542</v>
      </c>
      <c r="C2687" t="s">
        <v>8543</v>
      </c>
      <c r="D2687" t="s">
        <v>2596</v>
      </c>
      <c r="E2687" t="s">
        <v>1273</v>
      </c>
      <c r="F2687" t="s">
        <v>2189</v>
      </c>
      <c r="G2687" t="s">
        <v>8546</v>
      </c>
      <c r="I2687">
        <v>1001</v>
      </c>
      <c r="K2687" t="s">
        <v>8547</v>
      </c>
      <c r="L2687" t="s">
        <v>8548</v>
      </c>
      <c r="M2687" t="s">
        <v>1640</v>
      </c>
    </row>
    <row r="2688" spans="1:13" x14ac:dyDescent="0.25">
      <c r="A2688">
        <v>91783</v>
      </c>
      <c r="B2688" t="s">
        <v>8542</v>
      </c>
      <c r="C2688" t="s">
        <v>8549</v>
      </c>
      <c r="D2688" t="s">
        <v>2605</v>
      </c>
      <c r="E2688" t="s">
        <v>1273</v>
      </c>
      <c r="F2688" t="s">
        <v>3193</v>
      </c>
      <c r="G2688" t="s">
        <v>8544</v>
      </c>
      <c r="K2688" t="s">
        <v>8545</v>
      </c>
      <c r="L2688" t="s">
        <v>1647</v>
      </c>
      <c r="M2688" t="s">
        <v>1634</v>
      </c>
    </row>
    <row r="2689" spans="1:13" x14ac:dyDescent="0.25">
      <c r="A2689">
        <v>91783</v>
      </c>
      <c r="B2689" t="s">
        <v>8542</v>
      </c>
      <c r="C2689" t="s">
        <v>8549</v>
      </c>
      <c r="D2689" t="s">
        <v>2605</v>
      </c>
      <c r="E2689" t="s">
        <v>1273</v>
      </c>
      <c r="F2689" t="s">
        <v>2189</v>
      </c>
      <c r="G2689" t="s">
        <v>2305</v>
      </c>
      <c r="H2689">
        <v>6025717395</v>
      </c>
      <c r="K2689" t="s">
        <v>8550</v>
      </c>
      <c r="L2689" t="s">
        <v>8551</v>
      </c>
      <c r="M2689" t="s">
        <v>1640</v>
      </c>
    </row>
    <row r="2690" spans="1:13" x14ac:dyDescent="0.25">
      <c r="A2690">
        <v>91783</v>
      </c>
      <c r="B2690" t="s">
        <v>8542</v>
      </c>
      <c r="C2690" t="s">
        <v>8549</v>
      </c>
      <c r="D2690" t="s">
        <v>2605</v>
      </c>
      <c r="E2690" t="s">
        <v>1273</v>
      </c>
      <c r="F2690" t="s">
        <v>2189</v>
      </c>
      <c r="G2690" t="s">
        <v>8552</v>
      </c>
      <c r="H2690">
        <v>6022835720</v>
      </c>
      <c r="K2690" t="s">
        <v>8553</v>
      </c>
      <c r="L2690" t="s">
        <v>8548</v>
      </c>
      <c r="M2690" t="s">
        <v>1640</v>
      </c>
    </row>
    <row r="2691" spans="1:13" x14ac:dyDescent="0.25">
      <c r="A2691">
        <v>92975</v>
      </c>
      <c r="B2691" t="s">
        <v>8554</v>
      </c>
      <c r="C2691" t="s">
        <v>8555</v>
      </c>
      <c r="D2691" t="s">
        <v>2605</v>
      </c>
      <c r="E2691" t="s">
        <v>1273</v>
      </c>
      <c r="F2691" t="s">
        <v>2189</v>
      </c>
      <c r="G2691" t="s">
        <v>8552</v>
      </c>
      <c r="H2691">
        <v>6025718792</v>
      </c>
      <c r="K2691" t="s">
        <v>8556</v>
      </c>
      <c r="L2691" t="s">
        <v>8557</v>
      </c>
      <c r="M2691" t="s">
        <v>1634</v>
      </c>
    </row>
    <row r="2692" spans="1:13" x14ac:dyDescent="0.25">
      <c r="A2692">
        <v>91280</v>
      </c>
      <c r="B2692" t="s">
        <v>3049</v>
      </c>
      <c r="C2692" t="s">
        <v>8558</v>
      </c>
      <c r="D2692" t="s">
        <v>2596</v>
      </c>
      <c r="E2692" t="s">
        <v>1273</v>
      </c>
      <c r="F2692" t="s">
        <v>3051</v>
      </c>
      <c r="G2692" t="s">
        <v>3052</v>
      </c>
      <c r="K2692" t="s">
        <v>3053</v>
      </c>
      <c r="M2692" t="s">
        <v>1634</v>
      </c>
    </row>
    <row r="2693" spans="1:13" x14ac:dyDescent="0.25">
      <c r="A2693">
        <v>91280</v>
      </c>
      <c r="B2693" t="s">
        <v>3049</v>
      </c>
      <c r="C2693" t="s">
        <v>8558</v>
      </c>
      <c r="D2693" t="s">
        <v>2596</v>
      </c>
      <c r="E2693" t="s">
        <v>1273</v>
      </c>
      <c r="F2693" t="s">
        <v>3057</v>
      </c>
      <c r="G2693" t="s">
        <v>2969</v>
      </c>
      <c r="H2693">
        <v>4802892088</v>
      </c>
      <c r="I2693">
        <v>261</v>
      </c>
      <c r="K2693" t="s">
        <v>3058</v>
      </c>
      <c r="L2693" t="s">
        <v>8269</v>
      </c>
      <c r="M2693" t="s">
        <v>1634</v>
      </c>
    </row>
    <row r="2694" spans="1:13" x14ac:dyDescent="0.25">
      <c r="A2694">
        <v>91280</v>
      </c>
      <c r="B2694" t="s">
        <v>3049</v>
      </c>
      <c r="C2694" t="s">
        <v>8558</v>
      </c>
      <c r="D2694" t="s">
        <v>2596</v>
      </c>
      <c r="E2694" t="s">
        <v>1273</v>
      </c>
      <c r="F2694" t="s">
        <v>2261</v>
      </c>
      <c r="G2694" t="s">
        <v>3063</v>
      </c>
      <c r="K2694" t="s">
        <v>3064</v>
      </c>
      <c r="L2694" t="s">
        <v>3065</v>
      </c>
      <c r="M2694" t="s">
        <v>1634</v>
      </c>
    </row>
    <row r="2695" spans="1:13" x14ac:dyDescent="0.25">
      <c r="A2695">
        <v>91280</v>
      </c>
      <c r="B2695" t="s">
        <v>3049</v>
      </c>
      <c r="C2695" t="s">
        <v>8558</v>
      </c>
      <c r="D2695" t="s">
        <v>2596</v>
      </c>
      <c r="E2695" t="s">
        <v>1273</v>
      </c>
      <c r="F2695" t="s">
        <v>1848</v>
      </c>
      <c r="G2695" t="s">
        <v>3060</v>
      </c>
      <c r="K2695" t="s">
        <v>3061</v>
      </c>
      <c r="L2695" t="s">
        <v>3062</v>
      </c>
      <c r="M2695" t="s">
        <v>1634</v>
      </c>
    </row>
    <row r="2696" spans="1:13" x14ac:dyDescent="0.25">
      <c r="A2696">
        <v>91343</v>
      </c>
      <c r="B2696" t="s">
        <v>8559</v>
      </c>
      <c r="C2696" t="s">
        <v>8560</v>
      </c>
      <c r="D2696" t="s">
        <v>2605</v>
      </c>
      <c r="E2696" t="s">
        <v>1273</v>
      </c>
      <c r="F2696" t="s">
        <v>8561</v>
      </c>
      <c r="G2696" t="s">
        <v>8562</v>
      </c>
      <c r="H2696">
        <v>6025959870</v>
      </c>
      <c r="J2696">
        <v>6025959820</v>
      </c>
      <c r="K2696" t="s">
        <v>8563</v>
      </c>
      <c r="L2696" t="s">
        <v>8080</v>
      </c>
      <c r="M2696" t="s">
        <v>1640</v>
      </c>
    </row>
    <row r="2697" spans="1:13" x14ac:dyDescent="0.25">
      <c r="A2697">
        <v>91878</v>
      </c>
      <c r="B2697" t="s">
        <v>8564</v>
      </c>
      <c r="C2697" t="s">
        <v>8565</v>
      </c>
      <c r="D2697" t="s">
        <v>2596</v>
      </c>
      <c r="E2697" t="s">
        <v>1273</v>
      </c>
      <c r="F2697" t="s">
        <v>6014</v>
      </c>
      <c r="G2697" t="s">
        <v>8104</v>
      </c>
      <c r="H2697" t="s">
        <v>8105</v>
      </c>
      <c r="K2697" t="s">
        <v>8106</v>
      </c>
      <c r="L2697" t="s">
        <v>8107</v>
      </c>
      <c r="M2697" t="s">
        <v>1634</v>
      </c>
    </row>
    <row r="2698" spans="1:13" x14ac:dyDescent="0.25">
      <c r="A2698">
        <v>91878</v>
      </c>
      <c r="B2698" t="s">
        <v>8564</v>
      </c>
      <c r="C2698" t="s">
        <v>8565</v>
      </c>
      <c r="D2698" t="s">
        <v>2596</v>
      </c>
      <c r="E2698" t="s">
        <v>1273</v>
      </c>
      <c r="F2698" t="s">
        <v>2307</v>
      </c>
      <c r="G2698" t="s">
        <v>8090</v>
      </c>
      <c r="H2698">
        <v>4802977676</v>
      </c>
      <c r="K2698" t="s">
        <v>8091</v>
      </c>
      <c r="M2698" t="s">
        <v>1634</v>
      </c>
    </row>
    <row r="2699" spans="1:13" x14ac:dyDescent="0.25">
      <c r="A2699">
        <v>91878</v>
      </c>
      <c r="B2699" t="s">
        <v>8564</v>
      </c>
      <c r="C2699" t="s">
        <v>8565</v>
      </c>
      <c r="D2699" t="s">
        <v>2596</v>
      </c>
      <c r="E2699" t="s">
        <v>1273</v>
      </c>
      <c r="F2699" t="s">
        <v>8097</v>
      </c>
      <c r="G2699" t="s">
        <v>8098</v>
      </c>
      <c r="H2699">
        <v>4807216818</v>
      </c>
      <c r="K2699" t="s">
        <v>8099</v>
      </c>
      <c r="L2699" t="s">
        <v>5266</v>
      </c>
      <c r="M2699" t="s">
        <v>1634</v>
      </c>
    </row>
    <row r="2700" spans="1:13" x14ac:dyDescent="0.25">
      <c r="A2700">
        <v>91878</v>
      </c>
      <c r="B2700" t="s">
        <v>8564</v>
      </c>
      <c r="C2700" t="s">
        <v>8565</v>
      </c>
      <c r="D2700" t="s">
        <v>2596</v>
      </c>
      <c r="E2700" t="s">
        <v>1273</v>
      </c>
      <c r="F2700" t="s">
        <v>6014</v>
      </c>
      <c r="G2700" t="s">
        <v>8092</v>
      </c>
      <c r="H2700">
        <v>6024387045</v>
      </c>
      <c r="K2700" t="s">
        <v>8093</v>
      </c>
      <c r="M2700" t="s">
        <v>1640</v>
      </c>
    </row>
    <row r="2701" spans="1:13" x14ac:dyDescent="0.25">
      <c r="A2701">
        <v>91878</v>
      </c>
      <c r="B2701" t="s">
        <v>8564</v>
      </c>
      <c r="C2701" t="s">
        <v>8565</v>
      </c>
      <c r="D2701" t="s">
        <v>2596</v>
      </c>
      <c r="E2701" t="s">
        <v>1273</v>
      </c>
      <c r="F2701" t="s">
        <v>7318</v>
      </c>
      <c r="G2701" t="s">
        <v>8094</v>
      </c>
      <c r="H2701">
        <v>6024387045</v>
      </c>
      <c r="K2701" t="s">
        <v>8095</v>
      </c>
      <c r="L2701" t="s">
        <v>8096</v>
      </c>
      <c r="M2701" t="s">
        <v>1640</v>
      </c>
    </row>
    <row r="2702" spans="1:13" x14ac:dyDescent="0.25">
      <c r="A2702">
        <v>91878</v>
      </c>
      <c r="B2702" t="s">
        <v>8564</v>
      </c>
      <c r="C2702" t="s">
        <v>8565</v>
      </c>
      <c r="D2702" t="s">
        <v>2596</v>
      </c>
      <c r="E2702" t="s">
        <v>1273</v>
      </c>
      <c r="F2702" t="s">
        <v>1935</v>
      </c>
      <c r="G2702" t="s">
        <v>8100</v>
      </c>
      <c r="H2702" t="s">
        <v>8101</v>
      </c>
      <c r="J2702">
        <v>6024387242</v>
      </c>
      <c r="K2702" t="s">
        <v>8102</v>
      </c>
      <c r="L2702" t="s">
        <v>8103</v>
      </c>
      <c r="M2702" t="s">
        <v>1765</v>
      </c>
    </row>
    <row r="2703" spans="1:13" x14ac:dyDescent="0.25">
      <c r="A2703">
        <v>91879</v>
      </c>
      <c r="B2703" t="s">
        <v>8566</v>
      </c>
      <c r="C2703" t="s">
        <v>8567</v>
      </c>
      <c r="D2703" t="s">
        <v>2605</v>
      </c>
      <c r="E2703" t="s">
        <v>1273</v>
      </c>
      <c r="F2703" t="s">
        <v>6014</v>
      </c>
      <c r="G2703" t="s">
        <v>8104</v>
      </c>
      <c r="L2703" t="s">
        <v>8262</v>
      </c>
      <c r="M2703" t="s">
        <v>1634</v>
      </c>
    </row>
    <row r="2704" spans="1:13" x14ac:dyDescent="0.25">
      <c r="A2704">
        <v>850099</v>
      </c>
      <c r="B2704" t="s">
        <v>8568</v>
      </c>
      <c r="C2704" t="s">
        <v>8569</v>
      </c>
      <c r="D2704" t="s">
        <v>2596</v>
      </c>
      <c r="E2704" t="s">
        <v>1273</v>
      </c>
      <c r="F2704" t="s">
        <v>3075</v>
      </c>
      <c r="G2704" t="s">
        <v>4000</v>
      </c>
      <c r="H2704">
        <v>4802705438</v>
      </c>
      <c r="K2704" t="s">
        <v>8227</v>
      </c>
      <c r="M2704" t="s">
        <v>1634</v>
      </c>
    </row>
    <row r="2705" spans="1:13" x14ac:dyDescent="0.25">
      <c r="A2705">
        <v>850099</v>
      </c>
      <c r="B2705" t="s">
        <v>8568</v>
      </c>
      <c r="C2705" t="s">
        <v>8569</v>
      </c>
      <c r="D2705" t="s">
        <v>2596</v>
      </c>
      <c r="E2705" t="s">
        <v>1273</v>
      </c>
      <c r="F2705" t="s">
        <v>4162</v>
      </c>
      <c r="G2705" t="s">
        <v>8570</v>
      </c>
      <c r="M2705" t="s">
        <v>1634</v>
      </c>
    </row>
    <row r="2706" spans="1:13" x14ac:dyDescent="0.25">
      <c r="A2706">
        <v>850099</v>
      </c>
      <c r="B2706" t="s">
        <v>8568</v>
      </c>
      <c r="C2706" t="s">
        <v>8569</v>
      </c>
      <c r="D2706" t="s">
        <v>2596</v>
      </c>
      <c r="E2706" t="s">
        <v>1273</v>
      </c>
      <c r="F2706" t="s">
        <v>2896</v>
      </c>
      <c r="G2706" t="s">
        <v>8112</v>
      </c>
      <c r="K2706" t="s">
        <v>8113</v>
      </c>
      <c r="L2706" t="s">
        <v>8114</v>
      </c>
      <c r="M2706" t="s">
        <v>1634</v>
      </c>
    </row>
    <row r="2707" spans="1:13" x14ac:dyDescent="0.25">
      <c r="A2707">
        <v>70018</v>
      </c>
      <c r="B2707" t="s">
        <v>8571</v>
      </c>
      <c r="C2707" t="s">
        <v>8572</v>
      </c>
      <c r="D2707" t="s">
        <v>2605</v>
      </c>
      <c r="E2707" t="s">
        <v>1273</v>
      </c>
    </row>
    <row r="2708" spans="1:13" x14ac:dyDescent="0.25">
      <c r="A2708">
        <v>850100</v>
      </c>
      <c r="B2708" t="s">
        <v>8573</v>
      </c>
      <c r="C2708" t="s">
        <v>8574</v>
      </c>
      <c r="D2708" t="s">
        <v>2596</v>
      </c>
      <c r="E2708" t="s">
        <v>1273</v>
      </c>
      <c r="F2708" t="s">
        <v>3075</v>
      </c>
      <c r="G2708" t="s">
        <v>4000</v>
      </c>
      <c r="H2708">
        <v>4802705438</v>
      </c>
      <c r="K2708" t="s">
        <v>8575</v>
      </c>
      <c r="M2708" t="s">
        <v>1634</v>
      </c>
    </row>
    <row r="2709" spans="1:13" x14ac:dyDescent="0.25">
      <c r="A2709">
        <v>850100</v>
      </c>
      <c r="B2709" t="s">
        <v>8573</v>
      </c>
      <c r="C2709" t="s">
        <v>8574</v>
      </c>
      <c r="D2709" t="s">
        <v>2596</v>
      </c>
      <c r="E2709" t="s">
        <v>1273</v>
      </c>
      <c r="F2709" t="s">
        <v>4162</v>
      </c>
      <c r="G2709" t="s">
        <v>8570</v>
      </c>
      <c r="K2709" t="s">
        <v>8576</v>
      </c>
      <c r="M2709" t="s">
        <v>1634</v>
      </c>
    </row>
    <row r="2710" spans="1:13" x14ac:dyDescent="0.25">
      <c r="A2710">
        <v>850100</v>
      </c>
      <c r="B2710" t="s">
        <v>8573</v>
      </c>
      <c r="C2710" t="s">
        <v>8574</v>
      </c>
      <c r="D2710" t="s">
        <v>2596</v>
      </c>
      <c r="E2710" t="s">
        <v>1273</v>
      </c>
      <c r="F2710" t="s">
        <v>4598</v>
      </c>
      <c r="G2710" t="s">
        <v>8232</v>
      </c>
      <c r="M2710" t="s">
        <v>1634</v>
      </c>
    </row>
    <row r="2711" spans="1:13" x14ac:dyDescent="0.25">
      <c r="A2711">
        <v>850100</v>
      </c>
      <c r="B2711" t="s">
        <v>8573</v>
      </c>
      <c r="C2711" t="s">
        <v>8574</v>
      </c>
      <c r="D2711" t="s">
        <v>2596</v>
      </c>
      <c r="E2711" t="s">
        <v>1273</v>
      </c>
      <c r="F2711" t="s">
        <v>2896</v>
      </c>
      <c r="G2711" t="s">
        <v>8112</v>
      </c>
      <c r="K2711" t="s">
        <v>8113</v>
      </c>
      <c r="L2711" t="s">
        <v>8114</v>
      </c>
      <c r="M2711" t="s">
        <v>1634</v>
      </c>
    </row>
    <row r="2712" spans="1:13" x14ac:dyDescent="0.25">
      <c r="A2712">
        <v>850100</v>
      </c>
      <c r="B2712" t="s">
        <v>8573</v>
      </c>
      <c r="C2712" t="s">
        <v>8574</v>
      </c>
      <c r="D2712" t="s">
        <v>2596</v>
      </c>
      <c r="E2712" t="s">
        <v>1273</v>
      </c>
      <c r="F2712" t="s">
        <v>8577</v>
      </c>
      <c r="G2712" t="s">
        <v>8578</v>
      </c>
      <c r="H2712">
        <v>4802705438</v>
      </c>
      <c r="K2712" t="s">
        <v>8579</v>
      </c>
      <c r="L2712" t="s">
        <v>1764</v>
      </c>
      <c r="M2712" t="s">
        <v>1634</v>
      </c>
    </row>
    <row r="2713" spans="1:13" x14ac:dyDescent="0.25">
      <c r="A2713">
        <v>850100</v>
      </c>
      <c r="B2713" t="s">
        <v>8573</v>
      </c>
      <c r="C2713" t="s">
        <v>8574</v>
      </c>
      <c r="D2713" t="s">
        <v>2596</v>
      </c>
      <c r="E2713" t="s">
        <v>1273</v>
      </c>
      <c r="F2713" t="s">
        <v>6187</v>
      </c>
      <c r="G2713" t="s">
        <v>1840</v>
      </c>
      <c r="H2713">
        <v>4802705438</v>
      </c>
      <c r="I2713">
        <v>1223</v>
      </c>
      <c r="K2713" t="s">
        <v>8580</v>
      </c>
      <c r="M2713" t="s">
        <v>1640</v>
      </c>
    </row>
    <row r="2714" spans="1:13" x14ac:dyDescent="0.25">
      <c r="A2714">
        <v>850100</v>
      </c>
      <c r="B2714" t="s">
        <v>8573</v>
      </c>
      <c r="C2714" t="s">
        <v>8574</v>
      </c>
      <c r="D2714" t="s">
        <v>2596</v>
      </c>
      <c r="E2714" t="s">
        <v>1273</v>
      </c>
      <c r="F2714" t="s">
        <v>2896</v>
      </c>
      <c r="G2714" t="s">
        <v>8112</v>
      </c>
      <c r="K2714" t="s">
        <v>8113</v>
      </c>
      <c r="L2714" t="s">
        <v>8114</v>
      </c>
      <c r="M2714" t="s">
        <v>1765</v>
      </c>
    </row>
    <row r="2715" spans="1:13" x14ac:dyDescent="0.25">
      <c r="A2715">
        <v>229646</v>
      </c>
      <c r="B2715" t="s">
        <v>8581</v>
      </c>
      <c r="C2715" t="s">
        <v>8582</v>
      </c>
      <c r="D2715" t="s">
        <v>2605</v>
      </c>
      <c r="E2715" t="s">
        <v>1273</v>
      </c>
    </row>
    <row r="2716" spans="1:13" x14ac:dyDescent="0.25">
      <c r="A2716">
        <v>850101</v>
      </c>
      <c r="B2716" t="s">
        <v>8583</v>
      </c>
      <c r="C2716" t="s">
        <v>8584</v>
      </c>
      <c r="D2716" t="s">
        <v>2596</v>
      </c>
      <c r="E2716" t="s">
        <v>1273</v>
      </c>
      <c r="F2716" t="s">
        <v>3075</v>
      </c>
      <c r="G2716" t="s">
        <v>4000</v>
      </c>
      <c r="H2716">
        <v>6232705438</v>
      </c>
      <c r="K2716" t="s">
        <v>8227</v>
      </c>
      <c r="M2716" t="s">
        <v>1634</v>
      </c>
    </row>
    <row r="2717" spans="1:13" x14ac:dyDescent="0.25">
      <c r="A2717">
        <v>850101</v>
      </c>
      <c r="B2717" t="s">
        <v>8583</v>
      </c>
      <c r="C2717" t="s">
        <v>8584</v>
      </c>
      <c r="D2717" t="s">
        <v>2596</v>
      </c>
      <c r="E2717" t="s">
        <v>1273</v>
      </c>
      <c r="F2717" t="s">
        <v>4598</v>
      </c>
      <c r="G2717" t="s">
        <v>8232</v>
      </c>
      <c r="K2717" t="s">
        <v>8585</v>
      </c>
      <c r="M2717" t="s">
        <v>1634</v>
      </c>
    </row>
    <row r="2718" spans="1:13" x14ac:dyDescent="0.25">
      <c r="A2718">
        <v>850101</v>
      </c>
      <c r="B2718" t="s">
        <v>8583</v>
      </c>
      <c r="C2718" t="s">
        <v>8584</v>
      </c>
      <c r="D2718" t="s">
        <v>2596</v>
      </c>
      <c r="E2718" t="s">
        <v>1273</v>
      </c>
      <c r="F2718" t="s">
        <v>4162</v>
      </c>
      <c r="G2718" t="s">
        <v>8570</v>
      </c>
      <c r="M2718" t="s">
        <v>1634</v>
      </c>
    </row>
    <row r="2719" spans="1:13" x14ac:dyDescent="0.25">
      <c r="A2719">
        <v>850101</v>
      </c>
      <c r="B2719" t="s">
        <v>8583</v>
      </c>
      <c r="C2719" t="s">
        <v>8584</v>
      </c>
      <c r="D2719" t="s">
        <v>2596</v>
      </c>
      <c r="E2719" t="s">
        <v>1273</v>
      </c>
      <c r="F2719" t="s">
        <v>2896</v>
      </c>
      <c r="G2719" t="s">
        <v>8112</v>
      </c>
      <c r="K2719" t="s">
        <v>8113</v>
      </c>
      <c r="L2719" t="s">
        <v>8114</v>
      </c>
      <c r="M2719" t="s">
        <v>1634</v>
      </c>
    </row>
    <row r="2720" spans="1:13" x14ac:dyDescent="0.25">
      <c r="A2720">
        <v>850101</v>
      </c>
      <c r="B2720" t="s">
        <v>8583</v>
      </c>
      <c r="C2720" t="s">
        <v>8584</v>
      </c>
      <c r="D2720" t="s">
        <v>2596</v>
      </c>
      <c r="E2720" t="s">
        <v>1273</v>
      </c>
      <c r="F2720" t="s">
        <v>8577</v>
      </c>
      <c r="G2720" t="s">
        <v>8578</v>
      </c>
      <c r="H2720">
        <v>4802705438</v>
      </c>
      <c r="I2720">
        <v>1223</v>
      </c>
      <c r="K2720" t="s">
        <v>8579</v>
      </c>
      <c r="M2720" t="s">
        <v>1634</v>
      </c>
    </row>
    <row r="2721" spans="1:13" x14ac:dyDescent="0.25">
      <c r="A2721">
        <v>411380</v>
      </c>
      <c r="B2721" t="s">
        <v>8586</v>
      </c>
      <c r="C2721" t="s">
        <v>8587</v>
      </c>
      <c r="D2721" t="s">
        <v>2605</v>
      </c>
      <c r="E2721" t="s">
        <v>1273</v>
      </c>
    </row>
    <row r="2722" spans="1:13" x14ac:dyDescent="0.25">
      <c r="A2722">
        <v>92985</v>
      </c>
      <c r="B2722" t="s">
        <v>492</v>
      </c>
      <c r="C2722" t="s">
        <v>8588</v>
      </c>
      <c r="D2722" t="s">
        <v>2596</v>
      </c>
      <c r="E2722" t="s">
        <v>1273</v>
      </c>
      <c r="F2722" t="s">
        <v>4483</v>
      </c>
      <c r="G2722" t="s">
        <v>8589</v>
      </c>
      <c r="K2722" t="s">
        <v>8590</v>
      </c>
      <c r="L2722" t="s">
        <v>8591</v>
      </c>
      <c r="M2722" t="s">
        <v>1634</v>
      </c>
    </row>
    <row r="2723" spans="1:13" x14ac:dyDescent="0.25">
      <c r="A2723">
        <v>92985</v>
      </c>
      <c r="B2723" t="s">
        <v>492</v>
      </c>
      <c r="C2723" t="s">
        <v>8588</v>
      </c>
      <c r="D2723" t="s">
        <v>2596</v>
      </c>
      <c r="E2723" t="s">
        <v>1273</v>
      </c>
      <c r="F2723" t="s">
        <v>7935</v>
      </c>
      <c r="G2723" t="s">
        <v>7936</v>
      </c>
      <c r="K2723" t="s">
        <v>8592</v>
      </c>
      <c r="M2723" t="s">
        <v>1634</v>
      </c>
    </row>
    <row r="2724" spans="1:13" x14ac:dyDescent="0.25">
      <c r="A2724">
        <v>92985</v>
      </c>
      <c r="B2724" t="s">
        <v>492</v>
      </c>
      <c r="C2724" t="s">
        <v>8588</v>
      </c>
      <c r="D2724" t="s">
        <v>2596</v>
      </c>
      <c r="E2724" t="s">
        <v>1273</v>
      </c>
      <c r="F2724" t="s">
        <v>7935</v>
      </c>
      <c r="G2724" t="s">
        <v>7936</v>
      </c>
      <c r="K2724" t="s">
        <v>8592</v>
      </c>
      <c r="M2724" t="s">
        <v>1640</v>
      </c>
    </row>
    <row r="2725" spans="1:13" x14ac:dyDescent="0.25">
      <c r="A2725">
        <v>829726</v>
      </c>
      <c r="B2725" t="s">
        <v>493</v>
      </c>
      <c r="C2725" t="s">
        <v>8593</v>
      </c>
      <c r="D2725" t="s">
        <v>2605</v>
      </c>
      <c r="E2725" t="s">
        <v>1273</v>
      </c>
      <c r="F2725" t="s">
        <v>7935</v>
      </c>
      <c r="G2725" t="s">
        <v>7936</v>
      </c>
      <c r="K2725" t="s">
        <v>8592</v>
      </c>
      <c r="L2725" t="s">
        <v>8594</v>
      </c>
      <c r="M2725" t="s">
        <v>1640</v>
      </c>
    </row>
    <row r="2726" spans="1:13" x14ac:dyDescent="0.25">
      <c r="A2726">
        <v>92976</v>
      </c>
      <c r="B2726" t="s">
        <v>8595</v>
      </c>
      <c r="C2726" t="s">
        <v>8596</v>
      </c>
      <c r="D2726" t="s">
        <v>2596</v>
      </c>
      <c r="E2726" t="s">
        <v>1273</v>
      </c>
      <c r="F2726" t="s">
        <v>8597</v>
      </c>
      <c r="G2726" t="s">
        <v>8598</v>
      </c>
      <c r="H2726">
        <v>6237344798</v>
      </c>
      <c r="K2726" t="s">
        <v>8599</v>
      </c>
      <c r="L2726" t="s">
        <v>8181</v>
      </c>
      <c r="M2726" t="s">
        <v>1634</v>
      </c>
    </row>
    <row r="2727" spans="1:13" x14ac:dyDescent="0.25">
      <c r="A2727">
        <v>1000047</v>
      </c>
      <c r="B2727" t="s">
        <v>8595</v>
      </c>
      <c r="C2727" t="s">
        <v>8600</v>
      </c>
      <c r="D2727" t="s">
        <v>2605</v>
      </c>
      <c r="E2727" t="s">
        <v>1273</v>
      </c>
    </row>
    <row r="2728" spans="1:13" x14ac:dyDescent="0.25">
      <c r="A2728">
        <v>134379</v>
      </c>
      <c r="B2728" t="s">
        <v>8601</v>
      </c>
      <c r="C2728" t="s">
        <v>8602</v>
      </c>
      <c r="D2728" t="s">
        <v>2596</v>
      </c>
      <c r="E2728" t="s">
        <v>1273</v>
      </c>
      <c r="F2728" t="s">
        <v>2865</v>
      </c>
      <c r="G2728" t="s">
        <v>8603</v>
      </c>
      <c r="K2728" t="s">
        <v>8604</v>
      </c>
      <c r="M2728" t="s">
        <v>1634</v>
      </c>
    </row>
    <row r="2729" spans="1:13" x14ac:dyDescent="0.25">
      <c r="A2729">
        <v>134379</v>
      </c>
      <c r="B2729" t="s">
        <v>8601</v>
      </c>
      <c r="C2729" t="s">
        <v>8602</v>
      </c>
      <c r="D2729" t="s">
        <v>2596</v>
      </c>
      <c r="E2729" t="s">
        <v>1273</v>
      </c>
      <c r="F2729" t="s">
        <v>8605</v>
      </c>
      <c r="G2729" t="s">
        <v>8606</v>
      </c>
      <c r="H2729">
        <v>6022978500</v>
      </c>
      <c r="K2729" t="s">
        <v>8607</v>
      </c>
      <c r="L2729" t="s">
        <v>2649</v>
      </c>
      <c r="M2729" t="s">
        <v>1640</v>
      </c>
    </row>
    <row r="2730" spans="1:13" x14ac:dyDescent="0.25">
      <c r="A2730">
        <v>156568</v>
      </c>
      <c r="B2730" t="s">
        <v>8608</v>
      </c>
      <c r="C2730" t="s">
        <v>8609</v>
      </c>
      <c r="D2730" t="s">
        <v>2605</v>
      </c>
      <c r="E2730" t="s">
        <v>1273</v>
      </c>
    </row>
    <row r="2731" spans="1:13" x14ac:dyDescent="0.25">
      <c r="A2731">
        <v>834265</v>
      </c>
      <c r="B2731" t="s">
        <v>8610</v>
      </c>
      <c r="C2731" t="s">
        <v>8611</v>
      </c>
      <c r="D2731" t="s">
        <v>2596</v>
      </c>
      <c r="E2731" t="s">
        <v>1273</v>
      </c>
      <c r="F2731" t="s">
        <v>2896</v>
      </c>
      <c r="G2731" t="s">
        <v>8112</v>
      </c>
      <c r="H2731">
        <v>4809094354</v>
      </c>
      <c r="K2731" t="s">
        <v>8612</v>
      </c>
      <c r="M2731" t="s">
        <v>1634</v>
      </c>
    </row>
    <row r="2732" spans="1:13" x14ac:dyDescent="0.25">
      <c r="A2732">
        <v>834265</v>
      </c>
      <c r="B2732" t="s">
        <v>8610</v>
      </c>
      <c r="C2732" t="s">
        <v>8611</v>
      </c>
      <c r="D2732" t="s">
        <v>2596</v>
      </c>
      <c r="E2732" t="s">
        <v>1273</v>
      </c>
      <c r="F2732" t="s">
        <v>3051</v>
      </c>
      <c r="G2732" t="s">
        <v>3502</v>
      </c>
      <c r="H2732">
        <v>4809094478</v>
      </c>
      <c r="K2732" t="s">
        <v>8613</v>
      </c>
      <c r="M2732" t="s">
        <v>1634</v>
      </c>
    </row>
    <row r="2733" spans="1:13" x14ac:dyDescent="0.25">
      <c r="A2733">
        <v>834265</v>
      </c>
      <c r="B2733" t="s">
        <v>8610</v>
      </c>
      <c r="C2733" t="s">
        <v>8611</v>
      </c>
      <c r="D2733" t="s">
        <v>2596</v>
      </c>
      <c r="E2733" t="s">
        <v>1273</v>
      </c>
      <c r="F2733" t="s">
        <v>3075</v>
      </c>
      <c r="G2733" t="s">
        <v>4000</v>
      </c>
      <c r="H2733">
        <v>4802705438</v>
      </c>
      <c r="K2733" t="s">
        <v>8227</v>
      </c>
      <c r="M2733" t="s">
        <v>1640</v>
      </c>
    </row>
    <row r="2734" spans="1:13" x14ac:dyDescent="0.25">
      <c r="A2734">
        <v>834265</v>
      </c>
      <c r="B2734" t="s">
        <v>8610</v>
      </c>
      <c r="C2734" t="s">
        <v>8611</v>
      </c>
      <c r="D2734" t="s">
        <v>2596</v>
      </c>
      <c r="E2734" t="s">
        <v>1273</v>
      </c>
      <c r="F2734" t="s">
        <v>2896</v>
      </c>
      <c r="G2734" t="s">
        <v>8112</v>
      </c>
      <c r="H2734">
        <v>4809094354</v>
      </c>
      <c r="K2734" t="s">
        <v>8612</v>
      </c>
      <c r="M2734" t="s">
        <v>1765</v>
      </c>
    </row>
    <row r="2735" spans="1:13" x14ac:dyDescent="0.25">
      <c r="A2735">
        <v>541763</v>
      </c>
      <c r="B2735" t="s">
        <v>8610</v>
      </c>
      <c r="C2735" t="s">
        <v>8614</v>
      </c>
      <c r="D2735" t="s">
        <v>2605</v>
      </c>
      <c r="E2735" t="s">
        <v>1273</v>
      </c>
    </row>
    <row r="2736" spans="1:13" x14ac:dyDescent="0.25">
      <c r="A2736">
        <v>873957</v>
      </c>
      <c r="B2736" t="s">
        <v>8615</v>
      </c>
      <c r="C2736" t="s">
        <v>8616</v>
      </c>
      <c r="D2736" t="s">
        <v>2596</v>
      </c>
      <c r="E2736" t="s">
        <v>1273</v>
      </c>
      <c r="F2736" t="s">
        <v>2896</v>
      </c>
      <c r="G2736" t="s">
        <v>8112</v>
      </c>
      <c r="K2736" t="s">
        <v>8113</v>
      </c>
      <c r="M2736" t="s">
        <v>1634</v>
      </c>
    </row>
    <row r="2737" spans="1:13" x14ac:dyDescent="0.25">
      <c r="A2737">
        <v>873957</v>
      </c>
      <c r="B2737" t="s">
        <v>8615</v>
      </c>
      <c r="C2737" t="s">
        <v>8616</v>
      </c>
      <c r="D2737" t="s">
        <v>2596</v>
      </c>
      <c r="E2737" t="s">
        <v>1273</v>
      </c>
      <c r="F2737" t="s">
        <v>2896</v>
      </c>
      <c r="G2737" t="s">
        <v>8112</v>
      </c>
      <c r="K2737" t="s">
        <v>8113</v>
      </c>
      <c r="M2737" t="s">
        <v>1765</v>
      </c>
    </row>
    <row r="2738" spans="1:13" x14ac:dyDescent="0.25">
      <c r="A2738">
        <v>112572</v>
      </c>
      <c r="B2738" t="s">
        <v>8615</v>
      </c>
      <c r="C2738" t="s">
        <v>8617</v>
      </c>
      <c r="D2738" t="s">
        <v>2605</v>
      </c>
      <c r="E2738" t="s">
        <v>1273</v>
      </c>
    </row>
    <row r="2739" spans="1:13" x14ac:dyDescent="0.25">
      <c r="A2739">
        <v>91135</v>
      </c>
      <c r="B2739" t="s">
        <v>8618</v>
      </c>
      <c r="C2739" t="s">
        <v>8619</v>
      </c>
      <c r="D2739" t="s">
        <v>2596</v>
      </c>
      <c r="E2739" t="s">
        <v>1273</v>
      </c>
      <c r="F2739" t="s">
        <v>4162</v>
      </c>
      <c r="G2739" t="s">
        <v>3775</v>
      </c>
      <c r="M2739" t="s">
        <v>1634</v>
      </c>
    </row>
    <row r="2740" spans="1:13" x14ac:dyDescent="0.25">
      <c r="A2740">
        <v>91135</v>
      </c>
      <c r="B2740" t="s">
        <v>8618</v>
      </c>
      <c r="C2740" t="s">
        <v>8619</v>
      </c>
      <c r="D2740" t="s">
        <v>2596</v>
      </c>
      <c r="E2740" t="s">
        <v>1273</v>
      </c>
      <c r="F2740" t="s">
        <v>2896</v>
      </c>
      <c r="G2740" t="s">
        <v>8112</v>
      </c>
      <c r="H2740">
        <v>4809094354</v>
      </c>
      <c r="K2740" t="s">
        <v>8620</v>
      </c>
      <c r="M2740" t="s">
        <v>1634</v>
      </c>
    </row>
    <row r="2741" spans="1:13" x14ac:dyDescent="0.25">
      <c r="A2741">
        <v>91135</v>
      </c>
      <c r="B2741" t="s">
        <v>8618</v>
      </c>
      <c r="C2741" t="s">
        <v>8619</v>
      </c>
      <c r="D2741" t="s">
        <v>2596</v>
      </c>
      <c r="E2741" t="s">
        <v>1273</v>
      </c>
      <c r="F2741" t="s">
        <v>3075</v>
      </c>
      <c r="G2741" t="s">
        <v>4000</v>
      </c>
      <c r="H2741">
        <v>4802705438</v>
      </c>
      <c r="K2741" t="s">
        <v>8227</v>
      </c>
      <c r="L2741" t="s">
        <v>4663</v>
      </c>
      <c r="M2741" t="s">
        <v>1640</v>
      </c>
    </row>
    <row r="2742" spans="1:13" x14ac:dyDescent="0.25">
      <c r="A2742">
        <v>91136</v>
      </c>
      <c r="B2742" t="s">
        <v>8618</v>
      </c>
      <c r="C2742" t="s">
        <v>8621</v>
      </c>
      <c r="D2742" t="s">
        <v>2605</v>
      </c>
      <c r="E2742" t="s">
        <v>1273</v>
      </c>
      <c r="F2742" t="s">
        <v>3018</v>
      </c>
      <c r="G2742" t="s">
        <v>1960</v>
      </c>
      <c r="K2742" t="s">
        <v>8236</v>
      </c>
      <c r="M2742" t="s">
        <v>1634</v>
      </c>
    </row>
    <row r="2743" spans="1:13" x14ac:dyDescent="0.25">
      <c r="A2743">
        <v>91133</v>
      </c>
      <c r="B2743" t="s">
        <v>8622</v>
      </c>
      <c r="C2743" t="s">
        <v>8623</v>
      </c>
      <c r="D2743" t="s">
        <v>2596</v>
      </c>
      <c r="E2743" t="s">
        <v>1273</v>
      </c>
      <c r="F2743" t="s">
        <v>7018</v>
      </c>
      <c r="G2743" t="s">
        <v>8624</v>
      </c>
      <c r="H2743">
        <v>4802705422</v>
      </c>
      <c r="J2743">
        <v>4807262383</v>
      </c>
      <c r="K2743" t="s">
        <v>8625</v>
      </c>
      <c r="L2743" t="s">
        <v>1647</v>
      </c>
      <c r="M2743" t="s">
        <v>1634</v>
      </c>
    </row>
    <row r="2744" spans="1:13" x14ac:dyDescent="0.25">
      <c r="A2744">
        <v>91133</v>
      </c>
      <c r="B2744" t="s">
        <v>8622</v>
      </c>
      <c r="C2744" t="s">
        <v>8623</v>
      </c>
      <c r="D2744" t="s">
        <v>2596</v>
      </c>
      <c r="E2744" t="s">
        <v>1273</v>
      </c>
      <c r="F2744" t="s">
        <v>2896</v>
      </c>
      <c r="G2744" t="s">
        <v>8112</v>
      </c>
      <c r="K2744" t="s">
        <v>8113</v>
      </c>
      <c r="L2744" t="s">
        <v>8626</v>
      </c>
      <c r="M2744" t="s">
        <v>1634</v>
      </c>
    </row>
    <row r="2745" spans="1:13" x14ac:dyDescent="0.25">
      <c r="A2745">
        <v>91133</v>
      </c>
      <c r="B2745" t="s">
        <v>8622</v>
      </c>
      <c r="C2745" t="s">
        <v>8623</v>
      </c>
      <c r="D2745" t="s">
        <v>2596</v>
      </c>
      <c r="E2745" t="s">
        <v>1273</v>
      </c>
      <c r="F2745" t="s">
        <v>3075</v>
      </c>
      <c r="G2745" t="s">
        <v>4000</v>
      </c>
      <c r="H2745">
        <v>4802705438</v>
      </c>
      <c r="K2745" t="s">
        <v>8227</v>
      </c>
      <c r="L2745" t="s">
        <v>1640</v>
      </c>
      <c r="M2745" t="s">
        <v>1640</v>
      </c>
    </row>
    <row r="2746" spans="1:13" x14ac:dyDescent="0.25">
      <c r="A2746">
        <v>91134</v>
      </c>
      <c r="B2746" t="s">
        <v>8622</v>
      </c>
      <c r="C2746" t="s">
        <v>8627</v>
      </c>
      <c r="D2746" t="s">
        <v>2605</v>
      </c>
      <c r="E2746" t="s">
        <v>1273</v>
      </c>
      <c r="F2746" t="s">
        <v>3075</v>
      </c>
      <c r="G2746" t="s">
        <v>4000</v>
      </c>
      <c r="M2746" t="s">
        <v>1634</v>
      </c>
    </row>
    <row r="2747" spans="1:13" x14ac:dyDescent="0.25">
      <c r="A2747">
        <v>91134</v>
      </c>
      <c r="B2747" t="s">
        <v>8622</v>
      </c>
      <c r="C2747" t="s">
        <v>8627</v>
      </c>
      <c r="D2747" t="s">
        <v>2605</v>
      </c>
      <c r="E2747" t="s">
        <v>1273</v>
      </c>
      <c r="F2747" t="s">
        <v>2204</v>
      </c>
      <c r="G2747" t="s">
        <v>8232</v>
      </c>
      <c r="M2747" t="s">
        <v>1634</v>
      </c>
    </row>
    <row r="2748" spans="1:13" x14ac:dyDescent="0.25">
      <c r="A2748">
        <v>91134</v>
      </c>
      <c r="B2748" t="s">
        <v>8622</v>
      </c>
      <c r="C2748" t="s">
        <v>8627</v>
      </c>
      <c r="D2748" t="s">
        <v>2605</v>
      </c>
      <c r="E2748" t="s">
        <v>1273</v>
      </c>
      <c r="F2748" t="s">
        <v>4162</v>
      </c>
      <c r="G2748" t="s">
        <v>3775</v>
      </c>
      <c r="M2748" t="s">
        <v>1634</v>
      </c>
    </row>
    <row r="2749" spans="1:13" x14ac:dyDescent="0.25">
      <c r="A2749">
        <v>934316</v>
      </c>
      <c r="B2749" t="s">
        <v>3049</v>
      </c>
      <c r="C2749" t="s">
        <v>8628</v>
      </c>
      <c r="D2749" t="s">
        <v>2596</v>
      </c>
      <c r="E2749" t="s">
        <v>1273</v>
      </c>
      <c r="F2749" t="s">
        <v>3051</v>
      </c>
      <c r="G2749" t="s">
        <v>3052</v>
      </c>
      <c r="K2749" t="s">
        <v>8270</v>
      </c>
      <c r="L2749" t="s">
        <v>8539</v>
      </c>
      <c r="M2749" t="s">
        <v>1634</v>
      </c>
    </row>
    <row r="2750" spans="1:13" x14ac:dyDescent="0.25">
      <c r="A2750">
        <v>934316</v>
      </c>
      <c r="B2750" t="s">
        <v>3049</v>
      </c>
      <c r="C2750" t="s">
        <v>8628</v>
      </c>
      <c r="D2750" t="s">
        <v>2596</v>
      </c>
      <c r="E2750" t="s">
        <v>1273</v>
      </c>
      <c r="F2750" t="s">
        <v>6014</v>
      </c>
      <c r="G2750" t="s">
        <v>8629</v>
      </c>
      <c r="K2750" t="s">
        <v>8630</v>
      </c>
      <c r="M2750" t="s">
        <v>1634</v>
      </c>
    </row>
    <row r="2751" spans="1:13" x14ac:dyDescent="0.25">
      <c r="A2751">
        <v>934316</v>
      </c>
      <c r="B2751" t="s">
        <v>3049</v>
      </c>
      <c r="C2751" t="s">
        <v>8628</v>
      </c>
      <c r="D2751" t="s">
        <v>2596</v>
      </c>
      <c r="E2751" t="s">
        <v>1273</v>
      </c>
      <c r="F2751" t="s">
        <v>2261</v>
      </c>
      <c r="G2751" t="s">
        <v>3063</v>
      </c>
      <c r="K2751" t="s">
        <v>3064</v>
      </c>
      <c r="L2751" t="s">
        <v>3065</v>
      </c>
      <c r="M2751" t="s">
        <v>1634</v>
      </c>
    </row>
    <row r="2752" spans="1:13" x14ac:dyDescent="0.25">
      <c r="A2752">
        <v>934316</v>
      </c>
      <c r="B2752" t="s">
        <v>3049</v>
      </c>
      <c r="C2752" t="s">
        <v>8628</v>
      </c>
      <c r="D2752" t="s">
        <v>2596</v>
      </c>
      <c r="E2752" t="s">
        <v>1273</v>
      </c>
      <c r="F2752" t="s">
        <v>1848</v>
      </c>
      <c r="G2752" t="s">
        <v>3060</v>
      </c>
      <c r="K2752" t="s">
        <v>3061</v>
      </c>
      <c r="L2752" t="s">
        <v>3062</v>
      </c>
      <c r="M2752" t="s">
        <v>1634</v>
      </c>
    </row>
    <row r="2753" spans="1:13" x14ac:dyDescent="0.25">
      <c r="A2753">
        <v>469376</v>
      </c>
      <c r="B2753" t="s">
        <v>8631</v>
      </c>
      <c r="C2753" t="s">
        <v>8632</v>
      </c>
      <c r="D2753" t="s">
        <v>2605</v>
      </c>
      <c r="E2753" t="s">
        <v>1273</v>
      </c>
      <c r="F2753" t="s">
        <v>3057</v>
      </c>
      <c r="G2753" t="s">
        <v>2969</v>
      </c>
      <c r="K2753" t="s">
        <v>3058</v>
      </c>
      <c r="M2753" t="s">
        <v>1634</v>
      </c>
    </row>
    <row r="2754" spans="1:13" x14ac:dyDescent="0.25">
      <c r="A2754">
        <v>87334</v>
      </c>
      <c r="B2754" t="s">
        <v>8633</v>
      </c>
      <c r="C2754" t="s">
        <v>8634</v>
      </c>
      <c r="D2754" t="s">
        <v>2596</v>
      </c>
      <c r="E2754" t="s">
        <v>1273</v>
      </c>
      <c r="F2754" t="s">
        <v>2192</v>
      </c>
      <c r="G2754" t="s">
        <v>3845</v>
      </c>
      <c r="K2754" t="s">
        <v>8635</v>
      </c>
      <c r="L2754" t="s">
        <v>8636</v>
      </c>
      <c r="M2754" t="s">
        <v>1634</v>
      </c>
    </row>
    <row r="2755" spans="1:13" x14ac:dyDescent="0.25">
      <c r="A2755">
        <v>87334</v>
      </c>
      <c r="B2755" t="s">
        <v>8633</v>
      </c>
      <c r="C2755" t="s">
        <v>8634</v>
      </c>
      <c r="D2755" t="s">
        <v>2596</v>
      </c>
      <c r="E2755" t="s">
        <v>1273</v>
      </c>
      <c r="F2755" t="s">
        <v>2192</v>
      </c>
      <c r="G2755" t="s">
        <v>3845</v>
      </c>
      <c r="K2755" t="s">
        <v>8635</v>
      </c>
      <c r="L2755" t="s">
        <v>8636</v>
      </c>
      <c r="M2755" t="s">
        <v>1640</v>
      </c>
    </row>
    <row r="2756" spans="1:13" x14ac:dyDescent="0.25">
      <c r="A2756">
        <v>87334</v>
      </c>
      <c r="B2756" t="s">
        <v>8633</v>
      </c>
      <c r="C2756" t="s">
        <v>8634</v>
      </c>
      <c r="D2756" t="s">
        <v>2596</v>
      </c>
      <c r="E2756" t="s">
        <v>1273</v>
      </c>
      <c r="F2756" t="s">
        <v>2745</v>
      </c>
      <c r="G2756" t="s">
        <v>2647</v>
      </c>
      <c r="K2756" t="s">
        <v>8637</v>
      </c>
      <c r="L2756" t="s">
        <v>1640</v>
      </c>
      <c r="M2756" t="s">
        <v>1640</v>
      </c>
    </row>
    <row r="2757" spans="1:13" x14ac:dyDescent="0.25">
      <c r="A2757">
        <v>87334</v>
      </c>
      <c r="B2757" t="s">
        <v>8633</v>
      </c>
      <c r="C2757" t="s">
        <v>8634</v>
      </c>
      <c r="D2757" t="s">
        <v>2596</v>
      </c>
      <c r="E2757" t="s">
        <v>1273</v>
      </c>
      <c r="F2757" t="s">
        <v>2099</v>
      </c>
      <c r="G2757" t="s">
        <v>8638</v>
      </c>
      <c r="K2757" t="s">
        <v>8639</v>
      </c>
      <c r="L2757" t="s">
        <v>1765</v>
      </c>
      <c r="M2757" t="s">
        <v>1765</v>
      </c>
    </row>
    <row r="2758" spans="1:13" x14ac:dyDescent="0.25">
      <c r="A2758">
        <v>87335</v>
      </c>
      <c r="B2758" t="s">
        <v>8640</v>
      </c>
      <c r="C2758" t="s">
        <v>8641</v>
      </c>
      <c r="D2758" t="s">
        <v>2605</v>
      </c>
      <c r="E2758" t="s">
        <v>1273</v>
      </c>
      <c r="F2758" t="s">
        <v>5109</v>
      </c>
      <c r="G2758" t="s">
        <v>8642</v>
      </c>
      <c r="M2758" t="s">
        <v>1640</v>
      </c>
    </row>
    <row r="2759" spans="1:13" x14ac:dyDescent="0.25">
      <c r="A2759">
        <v>91213</v>
      </c>
      <c r="B2759" t="s">
        <v>8643</v>
      </c>
      <c r="C2759" t="s">
        <v>8644</v>
      </c>
      <c r="D2759" t="s">
        <v>2605</v>
      </c>
      <c r="E2759" t="s">
        <v>1273</v>
      </c>
    </row>
    <row r="2760" spans="1:13" x14ac:dyDescent="0.25">
      <c r="A2760">
        <v>87349</v>
      </c>
      <c r="B2760" t="s">
        <v>8645</v>
      </c>
      <c r="C2760" t="s">
        <v>8646</v>
      </c>
      <c r="D2760" t="s">
        <v>2596</v>
      </c>
      <c r="E2760" t="s">
        <v>1273</v>
      </c>
      <c r="F2760" t="s">
        <v>2261</v>
      </c>
      <c r="G2760" t="s">
        <v>8647</v>
      </c>
      <c r="K2760" t="s">
        <v>8648</v>
      </c>
      <c r="L2760" t="s">
        <v>8508</v>
      </c>
      <c r="M2760" t="s">
        <v>1634</v>
      </c>
    </row>
    <row r="2761" spans="1:13" x14ac:dyDescent="0.25">
      <c r="A2761">
        <v>87349</v>
      </c>
      <c r="B2761" t="s">
        <v>8645</v>
      </c>
      <c r="C2761" t="s">
        <v>8646</v>
      </c>
      <c r="D2761" t="s">
        <v>2596</v>
      </c>
      <c r="E2761" t="s">
        <v>1273</v>
      </c>
      <c r="F2761" t="s">
        <v>2521</v>
      </c>
      <c r="G2761" t="s">
        <v>1298</v>
      </c>
      <c r="H2761">
        <v>4809812008</v>
      </c>
      <c r="I2761">
        <v>0</v>
      </c>
      <c r="K2761" t="s">
        <v>8649</v>
      </c>
      <c r="L2761" t="s">
        <v>1647</v>
      </c>
      <c r="M2761" t="s">
        <v>1634</v>
      </c>
    </row>
    <row r="2762" spans="1:13" x14ac:dyDescent="0.25">
      <c r="A2762">
        <v>87350</v>
      </c>
      <c r="B2762" t="s">
        <v>8650</v>
      </c>
      <c r="C2762" t="s">
        <v>8651</v>
      </c>
      <c r="D2762" t="s">
        <v>2605</v>
      </c>
      <c r="E2762" t="s">
        <v>1273</v>
      </c>
    </row>
    <row r="2763" spans="1:13" x14ac:dyDescent="0.25">
      <c r="A2763">
        <v>87399</v>
      </c>
      <c r="B2763" t="s">
        <v>8652</v>
      </c>
      <c r="C2763" t="s">
        <v>8653</v>
      </c>
      <c r="D2763" t="s">
        <v>2596</v>
      </c>
      <c r="E2763" t="s">
        <v>1273</v>
      </c>
      <c r="F2763" t="s">
        <v>1723</v>
      </c>
      <c r="G2763" t="s">
        <v>8654</v>
      </c>
      <c r="H2763">
        <v>6233444300</v>
      </c>
      <c r="K2763" t="s">
        <v>8655</v>
      </c>
      <c r="L2763" t="s">
        <v>8656</v>
      </c>
      <c r="M2763" t="s">
        <v>1634</v>
      </c>
    </row>
    <row r="2764" spans="1:13" x14ac:dyDescent="0.25">
      <c r="A2764">
        <v>87399</v>
      </c>
      <c r="B2764" t="s">
        <v>8652</v>
      </c>
      <c r="C2764" t="s">
        <v>8653</v>
      </c>
      <c r="D2764" t="s">
        <v>2596</v>
      </c>
      <c r="E2764" t="s">
        <v>1273</v>
      </c>
      <c r="F2764" t="s">
        <v>3310</v>
      </c>
      <c r="G2764" t="s">
        <v>8657</v>
      </c>
      <c r="H2764">
        <v>4803550505</v>
      </c>
      <c r="J2764">
        <v>4803550506</v>
      </c>
      <c r="K2764" t="s">
        <v>8658</v>
      </c>
      <c r="L2764" t="s">
        <v>8659</v>
      </c>
      <c r="M2764" t="s">
        <v>1634</v>
      </c>
    </row>
    <row r="2765" spans="1:13" x14ac:dyDescent="0.25">
      <c r="A2765">
        <v>87399</v>
      </c>
      <c r="B2765" t="s">
        <v>8652</v>
      </c>
      <c r="C2765" t="s">
        <v>8653</v>
      </c>
      <c r="D2765" t="s">
        <v>2596</v>
      </c>
      <c r="E2765" t="s">
        <v>1273</v>
      </c>
      <c r="F2765" t="s">
        <v>3570</v>
      </c>
      <c r="G2765" t="s">
        <v>8660</v>
      </c>
      <c r="K2765" t="s">
        <v>8661</v>
      </c>
      <c r="L2765" t="s">
        <v>8662</v>
      </c>
      <c r="M2765" t="s">
        <v>1634</v>
      </c>
    </row>
    <row r="2766" spans="1:13" x14ac:dyDescent="0.25">
      <c r="A2766">
        <v>87400</v>
      </c>
      <c r="B2766" t="s">
        <v>8663</v>
      </c>
      <c r="C2766" t="s">
        <v>8664</v>
      </c>
      <c r="D2766" t="s">
        <v>2605</v>
      </c>
      <c r="E2766" t="s">
        <v>1273</v>
      </c>
      <c r="F2766" t="s">
        <v>1723</v>
      </c>
      <c r="G2766" t="s">
        <v>8654</v>
      </c>
      <c r="K2766" t="s">
        <v>8665</v>
      </c>
      <c r="M2766" t="s">
        <v>1634</v>
      </c>
    </row>
    <row r="2767" spans="1:13" x14ac:dyDescent="0.25">
      <c r="A2767">
        <v>87401</v>
      </c>
      <c r="B2767" t="s">
        <v>8666</v>
      </c>
      <c r="C2767" t="s">
        <v>8667</v>
      </c>
      <c r="D2767" t="s">
        <v>2596</v>
      </c>
      <c r="E2767" t="s">
        <v>1273</v>
      </c>
      <c r="F2767" t="s">
        <v>3310</v>
      </c>
      <c r="G2767" t="s">
        <v>8657</v>
      </c>
      <c r="H2767">
        <v>4803556830</v>
      </c>
      <c r="J2767">
        <v>4803556840</v>
      </c>
      <c r="K2767" t="s">
        <v>8658</v>
      </c>
      <c r="L2767" t="s">
        <v>1923</v>
      </c>
      <c r="M2767" t="s">
        <v>1634</v>
      </c>
    </row>
    <row r="2768" spans="1:13" x14ac:dyDescent="0.25">
      <c r="A2768">
        <v>87401</v>
      </c>
      <c r="B2768" t="s">
        <v>8666</v>
      </c>
      <c r="C2768" t="s">
        <v>8667</v>
      </c>
      <c r="D2768" t="s">
        <v>2596</v>
      </c>
      <c r="E2768" t="s">
        <v>1273</v>
      </c>
      <c r="F2768" t="s">
        <v>3570</v>
      </c>
      <c r="G2768" t="s">
        <v>8660</v>
      </c>
      <c r="K2768" t="s">
        <v>8661</v>
      </c>
      <c r="L2768" t="s">
        <v>8662</v>
      </c>
      <c r="M2768" t="s">
        <v>1634</v>
      </c>
    </row>
    <row r="2769" spans="1:13" x14ac:dyDescent="0.25">
      <c r="A2769">
        <v>87401</v>
      </c>
      <c r="B2769" t="s">
        <v>8666</v>
      </c>
      <c r="C2769" t="s">
        <v>8667</v>
      </c>
      <c r="D2769" t="s">
        <v>2596</v>
      </c>
      <c r="E2769" t="s">
        <v>1273</v>
      </c>
      <c r="F2769" t="s">
        <v>1911</v>
      </c>
      <c r="G2769" t="s">
        <v>8668</v>
      </c>
      <c r="H2769">
        <v>4803550504</v>
      </c>
      <c r="J2769">
        <v>4803550506</v>
      </c>
      <c r="K2769" t="s">
        <v>8669</v>
      </c>
      <c r="L2769" t="s">
        <v>8670</v>
      </c>
      <c r="M2769" t="s">
        <v>1640</v>
      </c>
    </row>
    <row r="2770" spans="1:13" x14ac:dyDescent="0.25">
      <c r="A2770">
        <v>87401</v>
      </c>
      <c r="B2770" t="s">
        <v>8666</v>
      </c>
      <c r="C2770" t="s">
        <v>8667</v>
      </c>
      <c r="D2770" t="s">
        <v>2596</v>
      </c>
      <c r="E2770" t="s">
        <v>1273</v>
      </c>
      <c r="F2770" t="s">
        <v>4972</v>
      </c>
      <c r="G2770" t="s">
        <v>8671</v>
      </c>
      <c r="H2770">
        <v>4803556830</v>
      </c>
      <c r="K2770" t="s">
        <v>8672</v>
      </c>
      <c r="M2770" t="s">
        <v>1640</v>
      </c>
    </row>
    <row r="2771" spans="1:13" x14ac:dyDescent="0.25">
      <c r="A2771">
        <v>87402</v>
      </c>
      <c r="B2771" t="s">
        <v>8673</v>
      </c>
      <c r="C2771" t="s">
        <v>8674</v>
      </c>
      <c r="D2771" t="s">
        <v>2605</v>
      </c>
      <c r="E2771" t="s">
        <v>1273</v>
      </c>
      <c r="F2771" t="s">
        <v>5614</v>
      </c>
      <c r="G2771" t="s">
        <v>8675</v>
      </c>
      <c r="L2771" t="s">
        <v>1647</v>
      </c>
      <c r="M2771" t="s">
        <v>1634</v>
      </c>
    </row>
    <row r="2772" spans="1:13" x14ac:dyDescent="0.25">
      <c r="A2772">
        <v>87402</v>
      </c>
      <c r="B2772" t="s">
        <v>8673</v>
      </c>
      <c r="C2772" t="s">
        <v>8674</v>
      </c>
      <c r="D2772" t="s">
        <v>2605</v>
      </c>
      <c r="E2772" t="s">
        <v>1273</v>
      </c>
      <c r="F2772" t="s">
        <v>4972</v>
      </c>
      <c r="G2772" t="s">
        <v>8671</v>
      </c>
      <c r="H2772">
        <v>4803556839</v>
      </c>
      <c r="K2772" t="s">
        <v>8672</v>
      </c>
      <c r="M2772" t="s">
        <v>1640</v>
      </c>
    </row>
    <row r="2773" spans="1:13" x14ac:dyDescent="0.25">
      <c r="A2773">
        <v>87403</v>
      </c>
      <c r="B2773" t="s">
        <v>8676</v>
      </c>
      <c r="C2773" t="s">
        <v>8677</v>
      </c>
      <c r="D2773" t="s">
        <v>2596</v>
      </c>
      <c r="E2773" t="s">
        <v>1273</v>
      </c>
      <c r="F2773" t="s">
        <v>2610</v>
      </c>
      <c r="G2773" t="s">
        <v>8678</v>
      </c>
      <c r="H2773">
        <v>6022978500</v>
      </c>
      <c r="J2773">
        <v>6022978540</v>
      </c>
      <c r="K2773" t="s">
        <v>8679</v>
      </c>
      <c r="L2773" t="s">
        <v>3043</v>
      </c>
      <c r="M2773" t="s">
        <v>1634</v>
      </c>
    </row>
    <row r="2774" spans="1:13" x14ac:dyDescent="0.25">
      <c r="A2774">
        <v>87403</v>
      </c>
      <c r="B2774" t="s">
        <v>8676</v>
      </c>
      <c r="C2774" t="s">
        <v>8677</v>
      </c>
      <c r="D2774" t="s">
        <v>2596</v>
      </c>
      <c r="E2774" t="s">
        <v>1273</v>
      </c>
      <c r="F2774" t="s">
        <v>4524</v>
      </c>
      <c r="G2774" t="s">
        <v>6931</v>
      </c>
      <c r="H2774">
        <v>6022978500</v>
      </c>
      <c r="J2774">
        <v>6022978540</v>
      </c>
      <c r="K2774" t="s">
        <v>8680</v>
      </c>
      <c r="L2774" t="s">
        <v>2649</v>
      </c>
      <c r="M2774" t="s">
        <v>1640</v>
      </c>
    </row>
    <row r="2775" spans="1:13" x14ac:dyDescent="0.25">
      <c r="A2775">
        <v>87403</v>
      </c>
      <c r="B2775" t="s">
        <v>8676</v>
      </c>
      <c r="C2775" t="s">
        <v>8677</v>
      </c>
      <c r="D2775" t="s">
        <v>2596</v>
      </c>
      <c r="E2775" t="s">
        <v>1273</v>
      </c>
      <c r="F2775" t="s">
        <v>8605</v>
      </c>
      <c r="G2775" t="s">
        <v>8606</v>
      </c>
      <c r="H2775">
        <v>6022978500</v>
      </c>
      <c r="K2775" t="s">
        <v>8607</v>
      </c>
      <c r="L2775" t="s">
        <v>2649</v>
      </c>
      <c r="M2775" t="s">
        <v>1640</v>
      </c>
    </row>
    <row r="2776" spans="1:13" x14ac:dyDescent="0.25">
      <c r="A2776">
        <v>87403</v>
      </c>
      <c r="B2776" t="s">
        <v>8676</v>
      </c>
      <c r="C2776" t="s">
        <v>8677</v>
      </c>
      <c r="D2776" t="s">
        <v>2596</v>
      </c>
      <c r="E2776" t="s">
        <v>1273</v>
      </c>
      <c r="F2776" t="s">
        <v>2865</v>
      </c>
      <c r="G2776" t="s">
        <v>8603</v>
      </c>
      <c r="K2776" t="s">
        <v>8604</v>
      </c>
      <c r="L2776" t="s">
        <v>3609</v>
      </c>
      <c r="M2776" t="s">
        <v>1765</v>
      </c>
    </row>
    <row r="2777" spans="1:13" x14ac:dyDescent="0.25">
      <c r="A2777">
        <v>87404</v>
      </c>
      <c r="B2777" t="s">
        <v>8681</v>
      </c>
      <c r="C2777" t="s">
        <v>8682</v>
      </c>
      <c r="D2777" t="s">
        <v>2605</v>
      </c>
      <c r="E2777" t="s">
        <v>1273</v>
      </c>
    </row>
    <row r="2778" spans="1:13" x14ac:dyDescent="0.25">
      <c r="A2778">
        <v>87407</v>
      </c>
      <c r="B2778" t="s">
        <v>8683</v>
      </c>
      <c r="C2778" t="s">
        <v>8684</v>
      </c>
      <c r="D2778" t="s">
        <v>2596</v>
      </c>
      <c r="E2778" t="s">
        <v>1273</v>
      </c>
      <c r="F2778" t="s">
        <v>2381</v>
      </c>
      <c r="G2778" t="s">
        <v>8685</v>
      </c>
      <c r="K2778" t="s">
        <v>8686</v>
      </c>
      <c r="L2778" t="s">
        <v>1647</v>
      </c>
      <c r="M2778" t="s">
        <v>1634</v>
      </c>
    </row>
    <row r="2779" spans="1:13" x14ac:dyDescent="0.25">
      <c r="A2779">
        <v>87407</v>
      </c>
      <c r="B2779" t="s">
        <v>8683</v>
      </c>
      <c r="C2779" t="s">
        <v>8684</v>
      </c>
      <c r="D2779" t="s">
        <v>2596</v>
      </c>
      <c r="E2779" t="s">
        <v>1273</v>
      </c>
      <c r="F2779" t="s">
        <v>1732</v>
      </c>
      <c r="G2779" t="s">
        <v>8687</v>
      </c>
      <c r="K2779" t="s">
        <v>8688</v>
      </c>
      <c r="L2779" t="s">
        <v>1640</v>
      </c>
      <c r="M2779" t="s">
        <v>1640</v>
      </c>
    </row>
    <row r="2780" spans="1:13" x14ac:dyDescent="0.25">
      <c r="A2780">
        <v>87407</v>
      </c>
      <c r="B2780" t="s">
        <v>8683</v>
      </c>
      <c r="C2780" t="s">
        <v>8684</v>
      </c>
      <c r="D2780" t="s">
        <v>2596</v>
      </c>
      <c r="E2780" t="s">
        <v>1273</v>
      </c>
      <c r="F2780" t="s">
        <v>5752</v>
      </c>
      <c r="G2780" t="s">
        <v>8689</v>
      </c>
      <c r="H2780">
        <v>4802725686</v>
      </c>
      <c r="K2780" t="s">
        <v>8690</v>
      </c>
      <c r="L2780" t="s">
        <v>8691</v>
      </c>
      <c r="M2780" t="s">
        <v>1765</v>
      </c>
    </row>
    <row r="2781" spans="1:13" x14ac:dyDescent="0.25">
      <c r="A2781">
        <v>81179</v>
      </c>
      <c r="B2781" t="s">
        <v>8692</v>
      </c>
      <c r="C2781" t="s">
        <v>8693</v>
      </c>
      <c r="D2781" t="s">
        <v>2605</v>
      </c>
      <c r="E2781" t="s">
        <v>1273</v>
      </c>
      <c r="F2781" t="s">
        <v>5752</v>
      </c>
      <c r="G2781" t="s">
        <v>8689</v>
      </c>
      <c r="H2781">
        <v>4802725686</v>
      </c>
      <c r="J2781">
        <v>4807825845</v>
      </c>
      <c r="K2781" t="s">
        <v>8690</v>
      </c>
      <c r="L2781" t="s">
        <v>8691</v>
      </c>
      <c r="M2781" t="s">
        <v>1765</v>
      </c>
    </row>
    <row r="2782" spans="1:13" x14ac:dyDescent="0.25">
      <c r="A2782">
        <v>79074</v>
      </c>
      <c r="B2782" t="s">
        <v>8694</v>
      </c>
      <c r="C2782" t="s">
        <v>8695</v>
      </c>
      <c r="D2782" t="s">
        <v>2596</v>
      </c>
      <c r="E2782" t="s">
        <v>1273</v>
      </c>
      <c r="F2782" t="s">
        <v>8696</v>
      </c>
      <c r="G2782" t="s">
        <v>8697</v>
      </c>
      <c r="J2782">
        <v>6022373892</v>
      </c>
      <c r="K2782" t="s">
        <v>8698</v>
      </c>
      <c r="L2782" t="s">
        <v>1668</v>
      </c>
      <c r="M2782" t="s">
        <v>1634</v>
      </c>
    </row>
    <row r="2783" spans="1:13" x14ac:dyDescent="0.25">
      <c r="A2783">
        <v>79102</v>
      </c>
      <c r="B2783" t="s">
        <v>8699</v>
      </c>
      <c r="C2783" t="s">
        <v>8700</v>
      </c>
      <c r="D2783" t="s">
        <v>2605</v>
      </c>
      <c r="E2783" t="s">
        <v>1273</v>
      </c>
      <c r="F2783" t="s">
        <v>8696</v>
      </c>
      <c r="G2783" t="s">
        <v>8697</v>
      </c>
      <c r="J2783">
        <v>6022373892</v>
      </c>
      <c r="K2783" t="s">
        <v>8698</v>
      </c>
      <c r="M2783" t="s">
        <v>1634</v>
      </c>
    </row>
    <row r="2784" spans="1:13" x14ac:dyDescent="0.25">
      <c r="A2784">
        <v>88299</v>
      </c>
      <c r="B2784" t="s">
        <v>8701</v>
      </c>
      <c r="C2784" t="s">
        <v>8702</v>
      </c>
      <c r="D2784" t="s">
        <v>2596</v>
      </c>
      <c r="E2784" t="s">
        <v>1273</v>
      </c>
      <c r="F2784" t="s">
        <v>2499</v>
      </c>
      <c r="G2784" t="s">
        <v>8444</v>
      </c>
      <c r="K2784" t="s">
        <v>8445</v>
      </c>
      <c r="L2784" t="s">
        <v>8703</v>
      </c>
      <c r="M2784" t="s">
        <v>1634</v>
      </c>
    </row>
    <row r="2785" spans="1:13" x14ac:dyDescent="0.25">
      <c r="A2785">
        <v>88299</v>
      </c>
      <c r="B2785" t="s">
        <v>8701</v>
      </c>
      <c r="C2785" t="s">
        <v>8702</v>
      </c>
      <c r="D2785" t="s">
        <v>2596</v>
      </c>
      <c r="E2785" t="s">
        <v>1273</v>
      </c>
      <c r="F2785" t="s">
        <v>2499</v>
      </c>
      <c r="G2785" t="s">
        <v>8704</v>
      </c>
      <c r="H2785">
        <v>6024387045</v>
      </c>
      <c r="K2785" t="s">
        <v>8705</v>
      </c>
      <c r="L2785" t="s">
        <v>8706</v>
      </c>
      <c r="M2785" t="s">
        <v>1634</v>
      </c>
    </row>
    <row r="2786" spans="1:13" x14ac:dyDescent="0.25">
      <c r="A2786">
        <v>88299</v>
      </c>
      <c r="B2786" t="s">
        <v>8701</v>
      </c>
      <c r="C2786" t="s">
        <v>8702</v>
      </c>
      <c r="D2786" t="s">
        <v>2596</v>
      </c>
      <c r="E2786" t="s">
        <v>1273</v>
      </c>
      <c r="F2786" t="s">
        <v>6014</v>
      </c>
      <c r="G2786" t="s">
        <v>8104</v>
      </c>
      <c r="H2786" t="s">
        <v>8105</v>
      </c>
      <c r="K2786" t="s">
        <v>8106</v>
      </c>
      <c r="L2786" t="s">
        <v>8107</v>
      </c>
      <c r="M2786" t="s">
        <v>1634</v>
      </c>
    </row>
    <row r="2787" spans="1:13" x14ac:dyDescent="0.25">
      <c r="A2787">
        <v>88299</v>
      </c>
      <c r="B2787" t="s">
        <v>8701</v>
      </c>
      <c r="C2787" t="s">
        <v>8702</v>
      </c>
      <c r="D2787" t="s">
        <v>2596</v>
      </c>
      <c r="E2787" t="s">
        <v>1273</v>
      </c>
      <c r="F2787" t="s">
        <v>2307</v>
      </c>
      <c r="G2787" t="s">
        <v>8090</v>
      </c>
      <c r="H2787">
        <v>4802977676</v>
      </c>
      <c r="K2787" t="s">
        <v>8091</v>
      </c>
      <c r="M2787" t="s">
        <v>1634</v>
      </c>
    </row>
    <row r="2788" spans="1:13" x14ac:dyDescent="0.25">
      <c r="A2788">
        <v>88299</v>
      </c>
      <c r="B2788" t="s">
        <v>8701</v>
      </c>
      <c r="C2788" t="s">
        <v>8702</v>
      </c>
      <c r="D2788" t="s">
        <v>2596</v>
      </c>
      <c r="E2788" t="s">
        <v>1273</v>
      </c>
      <c r="F2788" t="s">
        <v>6014</v>
      </c>
      <c r="G2788" t="s">
        <v>8092</v>
      </c>
      <c r="H2788">
        <v>6024387045</v>
      </c>
      <c r="K2788" t="s">
        <v>8093</v>
      </c>
      <c r="M2788" t="s">
        <v>1640</v>
      </c>
    </row>
    <row r="2789" spans="1:13" x14ac:dyDescent="0.25">
      <c r="A2789">
        <v>88299</v>
      </c>
      <c r="B2789" t="s">
        <v>8701</v>
      </c>
      <c r="C2789" t="s">
        <v>8702</v>
      </c>
      <c r="D2789" t="s">
        <v>2596</v>
      </c>
      <c r="E2789" t="s">
        <v>1273</v>
      </c>
      <c r="F2789" t="s">
        <v>7318</v>
      </c>
      <c r="G2789" t="s">
        <v>8094</v>
      </c>
      <c r="H2789">
        <v>6024387045</v>
      </c>
      <c r="K2789" t="s">
        <v>8095</v>
      </c>
      <c r="L2789" t="s">
        <v>8096</v>
      </c>
      <c r="M2789" t="s">
        <v>1640</v>
      </c>
    </row>
    <row r="2790" spans="1:13" x14ac:dyDescent="0.25">
      <c r="A2790">
        <v>88299</v>
      </c>
      <c r="B2790" t="s">
        <v>8701</v>
      </c>
      <c r="C2790" t="s">
        <v>8702</v>
      </c>
      <c r="D2790" t="s">
        <v>2596</v>
      </c>
      <c r="E2790" t="s">
        <v>1273</v>
      </c>
      <c r="F2790" t="s">
        <v>8097</v>
      </c>
      <c r="G2790" t="s">
        <v>8098</v>
      </c>
      <c r="H2790">
        <v>4807216818</v>
      </c>
      <c r="K2790" t="s">
        <v>8099</v>
      </c>
      <c r="M2790" t="s">
        <v>1640</v>
      </c>
    </row>
    <row r="2791" spans="1:13" x14ac:dyDescent="0.25">
      <c r="A2791">
        <v>88299</v>
      </c>
      <c r="B2791" t="s">
        <v>8701</v>
      </c>
      <c r="C2791" t="s">
        <v>8702</v>
      </c>
      <c r="D2791" t="s">
        <v>2596</v>
      </c>
      <c r="E2791" t="s">
        <v>1273</v>
      </c>
      <c r="F2791" t="s">
        <v>1935</v>
      </c>
      <c r="G2791" t="s">
        <v>8100</v>
      </c>
      <c r="H2791" t="s">
        <v>8101</v>
      </c>
      <c r="J2791">
        <v>6024387242</v>
      </c>
      <c r="K2791" t="s">
        <v>8102</v>
      </c>
      <c r="L2791" t="s">
        <v>8103</v>
      </c>
      <c r="M2791" t="s">
        <v>1765</v>
      </c>
    </row>
    <row r="2792" spans="1:13" x14ac:dyDescent="0.25">
      <c r="A2792">
        <v>88299</v>
      </c>
      <c r="B2792" t="s">
        <v>8701</v>
      </c>
      <c r="C2792" t="s">
        <v>8702</v>
      </c>
      <c r="D2792" t="s">
        <v>2596</v>
      </c>
      <c r="E2792" t="s">
        <v>1273</v>
      </c>
      <c r="F2792" t="s">
        <v>6014</v>
      </c>
      <c r="G2792" t="s">
        <v>8104</v>
      </c>
      <c r="H2792" t="s">
        <v>8105</v>
      </c>
      <c r="K2792" t="s">
        <v>8106</v>
      </c>
      <c r="L2792" t="s">
        <v>8107</v>
      </c>
      <c r="M2792" t="s">
        <v>1765</v>
      </c>
    </row>
    <row r="2793" spans="1:13" x14ac:dyDescent="0.25">
      <c r="A2793">
        <v>88300</v>
      </c>
      <c r="B2793" t="s">
        <v>8707</v>
      </c>
      <c r="C2793" t="s">
        <v>8708</v>
      </c>
      <c r="D2793" t="s">
        <v>2605</v>
      </c>
      <c r="E2793" t="s">
        <v>1273</v>
      </c>
      <c r="F2793" t="s">
        <v>2499</v>
      </c>
      <c r="G2793" t="s">
        <v>8709</v>
      </c>
      <c r="H2793">
        <v>4808555410</v>
      </c>
      <c r="J2793">
        <v>4808557789</v>
      </c>
      <c r="L2793" t="s">
        <v>8710</v>
      </c>
      <c r="M2793" t="s">
        <v>1634</v>
      </c>
    </row>
    <row r="2794" spans="1:13" x14ac:dyDescent="0.25">
      <c r="A2794">
        <v>88317</v>
      </c>
      <c r="B2794" t="s">
        <v>8711</v>
      </c>
      <c r="C2794" t="s">
        <v>8712</v>
      </c>
      <c r="D2794" t="s">
        <v>2596</v>
      </c>
      <c r="E2794" t="s">
        <v>8713</v>
      </c>
    </row>
    <row r="2795" spans="1:13" x14ac:dyDescent="0.25">
      <c r="A2795">
        <v>80004</v>
      </c>
      <c r="B2795" t="s">
        <v>8714</v>
      </c>
      <c r="C2795" t="s">
        <v>8715</v>
      </c>
      <c r="D2795" t="s">
        <v>2605</v>
      </c>
      <c r="E2795" t="s">
        <v>8713</v>
      </c>
      <c r="F2795" t="s">
        <v>8716</v>
      </c>
      <c r="G2795" t="s">
        <v>2047</v>
      </c>
      <c r="H2795">
        <v>9287728744</v>
      </c>
      <c r="J2795">
        <v>9287754457</v>
      </c>
      <c r="K2795" t="s">
        <v>8717</v>
      </c>
      <c r="L2795" t="s">
        <v>1634</v>
      </c>
      <c r="M2795" t="s">
        <v>1634</v>
      </c>
    </row>
    <row r="2796" spans="1:13" x14ac:dyDescent="0.25">
      <c r="A2796">
        <v>80004</v>
      </c>
      <c r="B2796" t="s">
        <v>8714</v>
      </c>
      <c r="C2796" t="s">
        <v>8715</v>
      </c>
      <c r="D2796" t="s">
        <v>2605</v>
      </c>
      <c r="E2796" t="s">
        <v>8713</v>
      </c>
      <c r="F2796" t="s">
        <v>8716</v>
      </c>
      <c r="G2796" t="s">
        <v>8718</v>
      </c>
      <c r="H2796">
        <v>9287728744</v>
      </c>
      <c r="K2796" t="s">
        <v>8719</v>
      </c>
      <c r="M2796" t="s">
        <v>1765</v>
      </c>
    </row>
    <row r="2797" spans="1:13" x14ac:dyDescent="0.25">
      <c r="A2797">
        <v>88334</v>
      </c>
      <c r="B2797" t="s">
        <v>8720</v>
      </c>
      <c r="C2797" t="s">
        <v>8721</v>
      </c>
      <c r="D2797" t="s">
        <v>2596</v>
      </c>
      <c r="E2797" t="s">
        <v>1273</v>
      </c>
      <c r="F2797" t="s">
        <v>3945</v>
      </c>
      <c r="G2797" t="s">
        <v>8722</v>
      </c>
      <c r="K2797" t="s">
        <v>8723</v>
      </c>
      <c r="M2797" t="s">
        <v>1634</v>
      </c>
    </row>
    <row r="2798" spans="1:13" x14ac:dyDescent="0.25">
      <c r="A2798">
        <v>88334</v>
      </c>
      <c r="B2798" t="s">
        <v>8720</v>
      </c>
      <c r="C2798" t="s">
        <v>8721</v>
      </c>
      <c r="D2798" t="s">
        <v>2596</v>
      </c>
      <c r="E2798" t="s">
        <v>1273</v>
      </c>
      <c r="F2798" t="s">
        <v>3570</v>
      </c>
      <c r="G2798" t="s">
        <v>5188</v>
      </c>
      <c r="K2798" t="s">
        <v>8239</v>
      </c>
      <c r="L2798" t="s">
        <v>8724</v>
      </c>
      <c r="M2798" t="s">
        <v>1640</v>
      </c>
    </row>
    <row r="2799" spans="1:13" x14ac:dyDescent="0.25">
      <c r="A2799">
        <v>88334</v>
      </c>
      <c r="B2799" t="s">
        <v>8720</v>
      </c>
      <c r="C2799" t="s">
        <v>8721</v>
      </c>
      <c r="D2799" t="s">
        <v>2596</v>
      </c>
      <c r="E2799" t="s">
        <v>1273</v>
      </c>
      <c r="F2799" t="s">
        <v>1848</v>
      </c>
      <c r="G2799" t="s">
        <v>2927</v>
      </c>
      <c r="K2799" t="s">
        <v>8243</v>
      </c>
      <c r="M2799" t="s">
        <v>1765</v>
      </c>
    </row>
    <row r="2800" spans="1:13" x14ac:dyDescent="0.25">
      <c r="A2800">
        <v>88335</v>
      </c>
      <c r="B2800" t="s">
        <v>8725</v>
      </c>
      <c r="C2800" t="s">
        <v>8726</v>
      </c>
      <c r="D2800" t="s">
        <v>2605</v>
      </c>
      <c r="E2800" t="s">
        <v>1273</v>
      </c>
      <c r="F2800" t="s">
        <v>3570</v>
      </c>
      <c r="G2800" t="s">
        <v>5188</v>
      </c>
      <c r="K2800" t="s">
        <v>8727</v>
      </c>
      <c r="M2800" t="s">
        <v>1640</v>
      </c>
    </row>
    <row r="2801" spans="1:13" x14ac:dyDescent="0.25">
      <c r="A2801">
        <v>88335</v>
      </c>
      <c r="B2801" t="s">
        <v>8725</v>
      </c>
      <c r="C2801" t="s">
        <v>8726</v>
      </c>
      <c r="D2801" t="s">
        <v>2605</v>
      </c>
      <c r="E2801" t="s">
        <v>1273</v>
      </c>
      <c r="F2801" t="s">
        <v>8728</v>
      </c>
      <c r="G2801" t="s">
        <v>8729</v>
      </c>
      <c r="H2801">
        <v>6029532933</v>
      </c>
      <c r="K2801" t="s">
        <v>8730</v>
      </c>
      <c r="L2801" t="s">
        <v>8731</v>
      </c>
      <c r="M2801" t="s">
        <v>1765</v>
      </c>
    </row>
    <row r="2802" spans="1:13" x14ac:dyDescent="0.25">
      <c r="A2802">
        <v>88365</v>
      </c>
      <c r="B2802" t="s">
        <v>616</v>
      </c>
      <c r="C2802" t="s">
        <v>8732</v>
      </c>
      <c r="D2802" t="s">
        <v>2596</v>
      </c>
      <c r="E2802" t="s">
        <v>1273</v>
      </c>
      <c r="F2802" t="s">
        <v>3310</v>
      </c>
      <c r="G2802" t="s">
        <v>8657</v>
      </c>
      <c r="K2802" t="s">
        <v>8658</v>
      </c>
      <c r="M2802" t="s">
        <v>1634</v>
      </c>
    </row>
    <row r="2803" spans="1:13" x14ac:dyDescent="0.25">
      <c r="A2803">
        <v>88365</v>
      </c>
      <c r="B2803" t="s">
        <v>616</v>
      </c>
      <c r="C2803" t="s">
        <v>8732</v>
      </c>
      <c r="D2803" t="s">
        <v>2596</v>
      </c>
      <c r="E2803" t="s">
        <v>1273</v>
      </c>
      <c r="F2803" t="s">
        <v>3570</v>
      </c>
      <c r="G2803" t="s">
        <v>8660</v>
      </c>
      <c r="K2803" t="s">
        <v>8661</v>
      </c>
      <c r="L2803" t="s">
        <v>8662</v>
      </c>
      <c r="M2803" t="s">
        <v>1634</v>
      </c>
    </row>
    <row r="2804" spans="1:13" x14ac:dyDescent="0.25">
      <c r="A2804">
        <v>88365</v>
      </c>
      <c r="B2804" t="s">
        <v>616</v>
      </c>
      <c r="C2804" t="s">
        <v>8732</v>
      </c>
      <c r="D2804" t="s">
        <v>2596</v>
      </c>
      <c r="E2804" t="s">
        <v>1273</v>
      </c>
      <c r="F2804" t="s">
        <v>8733</v>
      </c>
      <c r="G2804" t="s">
        <v>8734</v>
      </c>
      <c r="H2804">
        <v>6023444620</v>
      </c>
      <c r="K2804" t="s">
        <v>8735</v>
      </c>
      <c r="L2804" t="s">
        <v>1640</v>
      </c>
      <c r="M2804" t="s">
        <v>1634</v>
      </c>
    </row>
    <row r="2805" spans="1:13" x14ac:dyDescent="0.25">
      <c r="A2805">
        <v>88365</v>
      </c>
      <c r="B2805" t="s">
        <v>616</v>
      </c>
      <c r="C2805" t="s">
        <v>8732</v>
      </c>
      <c r="D2805" t="s">
        <v>2596</v>
      </c>
      <c r="E2805" t="s">
        <v>1273</v>
      </c>
      <c r="F2805" t="s">
        <v>8736</v>
      </c>
      <c r="G2805" t="s">
        <v>8737</v>
      </c>
      <c r="J2805">
        <v>6023444630</v>
      </c>
      <c r="K2805" t="s">
        <v>8738</v>
      </c>
      <c r="L2805" t="s">
        <v>1640</v>
      </c>
      <c r="M2805" t="s">
        <v>1640</v>
      </c>
    </row>
    <row r="2806" spans="1:13" x14ac:dyDescent="0.25">
      <c r="A2806">
        <v>88365</v>
      </c>
      <c r="B2806" t="s">
        <v>616</v>
      </c>
      <c r="C2806" t="s">
        <v>8732</v>
      </c>
      <c r="D2806" t="s">
        <v>2596</v>
      </c>
      <c r="E2806" t="s">
        <v>1273</v>
      </c>
      <c r="F2806" t="s">
        <v>8733</v>
      </c>
      <c r="G2806" t="s">
        <v>8734</v>
      </c>
      <c r="H2806">
        <v>6023444620</v>
      </c>
      <c r="K2806" t="s">
        <v>8735</v>
      </c>
      <c r="L2806" t="s">
        <v>1640</v>
      </c>
      <c r="M2806" t="s">
        <v>1640</v>
      </c>
    </row>
    <row r="2807" spans="1:13" x14ac:dyDescent="0.25">
      <c r="A2807">
        <v>88366</v>
      </c>
      <c r="B2807" t="s">
        <v>617</v>
      </c>
      <c r="C2807" t="s">
        <v>8739</v>
      </c>
      <c r="D2807" t="s">
        <v>2605</v>
      </c>
      <c r="E2807" t="s">
        <v>1273</v>
      </c>
      <c r="F2807" t="s">
        <v>8733</v>
      </c>
      <c r="G2807" t="s">
        <v>8734</v>
      </c>
      <c r="H2807">
        <v>6025477920</v>
      </c>
      <c r="K2807" t="s">
        <v>8740</v>
      </c>
      <c r="L2807" t="s">
        <v>1640</v>
      </c>
      <c r="M2807" t="s">
        <v>1640</v>
      </c>
    </row>
    <row r="2808" spans="1:13" x14ac:dyDescent="0.25">
      <c r="A2808">
        <v>88367</v>
      </c>
      <c r="B2808" t="s">
        <v>564</v>
      </c>
      <c r="C2808" t="s">
        <v>8741</v>
      </c>
      <c r="D2808" t="s">
        <v>2596</v>
      </c>
      <c r="E2808" t="s">
        <v>1273</v>
      </c>
      <c r="F2808" t="s">
        <v>8742</v>
      </c>
      <c r="G2808" t="s">
        <v>8671</v>
      </c>
      <c r="H2808">
        <v>6025477961</v>
      </c>
      <c r="K2808" t="s">
        <v>8743</v>
      </c>
      <c r="L2808" t="s">
        <v>8744</v>
      </c>
      <c r="M2808" t="s">
        <v>1634</v>
      </c>
    </row>
    <row r="2809" spans="1:13" x14ac:dyDescent="0.25">
      <c r="A2809">
        <v>88367</v>
      </c>
      <c r="B2809" t="s">
        <v>564</v>
      </c>
      <c r="C2809" t="s">
        <v>8741</v>
      </c>
      <c r="D2809" t="s">
        <v>2596</v>
      </c>
      <c r="E2809" t="s">
        <v>1273</v>
      </c>
      <c r="F2809" t="s">
        <v>3310</v>
      </c>
      <c r="G2809" t="s">
        <v>8657</v>
      </c>
      <c r="K2809" t="s">
        <v>8658</v>
      </c>
      <c r="M2809" t="s">
        <v>1634</v>
      </c>
    </row>
    <row r="2810" spans="1:13" x14ac:dyDescent="0.25">
      <c r="A2810">
        <v>88367</v>
      </c>
      <c r="B2810" t="s">
        <v>564</v>
      </c>
      <c r="C2810" t="s">
        <v>8741</v>
      </c>
      <c r="D2810" t="s">
        <v>2596</v>
      </c>
      <c r="E2810" t="s">
        <v>1273</v>
      </c>
      <c r="F2810" t="s">
        <v>3570</v>
      </c>
      <c r="G2810" t="s">
        <v>8660</v>
      </c>
      <c r="K2810" t="s">
        <v>8661</v>
      </c>
      <c r="L2810" t="s">
        <v>8662</v>
      </c>
      <c r="M2810" t="s">
        <v>1634</v>
      </c>
    </row>
    <row r="2811" spans="1:13" x14ac:dyDescent="0.25">
      <c r="A2811">
        <v>88367</v>
      </c>
      <c r="B2811" t="s">
        <v>564</v>
      </c>
      <c r="C2811" t="s">
        <v>8741</v>
      </c>
      <c r="D2811" t="s">
        <v>2596</v>
      </c>
      <c r="E2811" t="s">
        <v>1273</v>
      </c>
      <c r="F2811" t="s">
        <v>4334</v>
      </c>
      <c r="G2811" t="s">
        <v>4513</v>
      </c>
      <c r="H2811">
        <v>4803550502</v>
      </c>
      <c r="K2811" t="s">
        <v>8745</v>
      </c>
      <c r="L2811" t="s">
        <v>8746</v>
      </c>
      <c r="M2811" t="s">
        <v>1640</v>
      </c>
    </row>
    <row r="2812" spans="1:13" x14ac:dyDescent="0.25">
      <c r="A2812">
        <v>88367</v>
      </c>
      <c r="B2812" t="s">
        <v>564</v>
      </c>
      <c r="C2812" t="s">
        <v>8741</v>
      </c>
      <c r="D2812" t="s">
        <v>2596</v>
      </c>
      <c r="E2812" t="s">
        <v>1273</v>
      </c>
      <c r="F2812" t="s">
        <v>1848</v>
      </c>
      <c r="G2812" t="s">
        <v>7847</v>
      </c>
      <c r="K2812" t="s">
        <v>8747</v>
      </c>
      <c r="L2812" t="s">
        <v>1640</v>
      </c>
      <c r="M2812" t="s">
        <v>1640</v>
      </c>
    </row>
    <row r="2813" spans="1:13" x14ac:dyDescent="0.25">
      <c r="A2813">
        <v>88367</v>
      </c>
      <c r="B2813" t="s">
        <v>564</v>
      </c>
      <c r="C2813" t="s">
        <v>8741</v>
      </c>
      <c r="D2813" t="s">
        <v>2596</v>
      </c>
      <c r="E2813" t="s">
        <v>1273</v>
      </c>
      <c r="F2813" t="s">
        <v>8736</v>
      </c>
      <c r="G2813" t="s">
        <v>8737</v>
      </c>
      <c r="H2813">
        <v>4806524555</v>
      </c>
      <c r="K2813" t="s">
        <v>8748</v>
      </c>
      <c r="L2813" t="s">
        <v>1640</v>
      </c>
      <c r="M2813" t="s">
        <v>1640</v>
      </c>
    </row>
    <row r="2814" spans="1:13" x14ac:dyDescent="0.25">
      <c r="A2814">
        <v>88368</v>
      </c>
      <c r="B2814" t="s">
        <v>565</v>
      </c>
      <c r="C2814" t="s">
        <v>8749</v>
      </c>
      <c r="D2814" t="s">
        <v>2605</v>
      </c>
      <c r="E2814" t="s">
        <v>1273</v>
      </c>
    </row>
    <row r="2815" spans="1:13" x14ac:dyDescent="0.25">
      <c r="A2815">
        <v>88369</v>
      </c>
      <c r="B2815" t="s">
        <v>8750</v>
      </c>
      <c r="C2815" t="s">
        <v>8751</v>
      </c>
      <c r="D2815" t="s">
        <v>2596</v>
      </c>
      <c r="E2815" t="s">
        <v>1273</v>
      </c>
      <c r="F2815" t="s">
        <v>3310</v>
      </c>
      <c r="G2815" t="s">
        <v>8657</v>
      </c>
      <c r="K2815" t="s">
        <v>8658</v>
      </c>
      <c r="M2815" t="s">
        <v>1634</v>
      </c>
    </row>
    <row r="2816" spans="1:13" x14ac:dyDescent="0.25">
      <c r="A2816">
        <v>88369</v>
      </c>
      <c r="B2816" t="s">
        <v>8750</v>
      </c>
      <c r="C2816" t="s">
        <v>8751</v>
      </c>
      <c r="D2816" t="s">
        <v>2596</v>
      </c>
      <c r="E2816" t="s">
        <v>1273</v>
      </c>
      <c r="F2816" t="s">
        <v>3275</v>
      </c>
      <c r="G2816" t="s">
        <v>8675</v>
      </c>
      <c r="H2816">
        <v>4803556830</v>
      </c>
      <c r="J2816">
        <v>4803556840</v>
      </c>
      <c r="K2816" t="s">
        <v>8752</v>
      </c>
      <c r="L2816" t="s">
        <v>8753</v>
      </c>
      <c r="M2816" t="s">
        <v>1634</v>
      </c>
    </row>
    <row r="2817" spans="1:13" x14ac:dyDescent="0.25">
      <c r="A2817">
        <v>88369</v>
      </c>
      <c r="B2817" t="s">
        <v>8750</v>
      </c>
      <c r="C2817" t="s">
        <v>8751</v>
      </c>
      <c r="D2817" t="s">
        <v>2596</v>
      </c>
      <c r="E2817" t="s">
        <v>1273</v>
      </c>
      <c r="F2817" t="s">
        <v>4334</v>
      </c>
      <c r="G2817" t="s">
        <v>4513</v>
      </c>
      <c r="H2817">
        <v>4803556830</v>
      </c>
      <c r="J2817">
        <v>4803556840</v>
      </c>
      <c r="K2817" t="s">
        <v>8745</v>
      </c>
      <c r="L2817" t="s">
        <v>1647</v>
      </c>
      <c r="M2817" t="s">
        <v>1634</v>
      </c>
    </row>
    <row r="2818" spans="1:13" x14ac:dyDescent="0.25">
      <c r="A2818">
        <v>88369</v>
      </c>
      <c r="B2818" t="s">
        <v>8750</v>
      </c>
      <c r="C2818" t="s">
        <v>8751</v>
      </c>
      <c r="D2818" t="s">
        <v>2596</v>
      </c>
      <c r="E2818" t="s">
        <v>1273</v>
      </c>
      <c r="F2818" t="s">
        <v>3570</v>
      </c>
      <c r="G2818" t="s">
        <v>8660</v>
      </c>
      <c r="K2818" t="s">
        <v>8661</v>
      </c>
      <c r="L2818" t="s">
        <v>8662</v>
      </c>
      <c r="M2818" t="s">
        <v>1634</v>
      </c>
    </row>
    <row r="2819" spans="1:13" x14ac:dyDescent="0.25">
      <c r="A2819">
        <v>88369</v>
      </c>
      <c r="B2819" t="s">
        <v>8750</v>
      </c>
      <c r="C2819" t="s">
        <v>8751</v>
      </c>
      <c r="D2819" t="s">
        <v>2596</v>
      </c>
      <c r="E2819" t="s">
        <v>1273</v>
      </c>
      <c r="F2819" t="s">
        <v>1911</v>
      </c>
      <c r="G2819" t="s">
        <v>8668</v>
      </c>
      <c r="H2819">
        <v>4803550504</v>
      </c>
      <c r="J2819">
        <v>4803550506</v>
      </c>
      <c r="K2819" t="s">
        <v>8669</v>
      </c>
      <c r="M2819" t="s">
        <v>1640</v>
      </c>
    </row>
    <row r="2820" spans="1:13" x14ac:dyDescent="0.25">
      <c r="A2820">
        <v>88369</v>
      </c>
      <c r="B2820" t="s">
        <v>8750</v>
      </c>
      <c r="C2820" t="s">
        <v>8751</v>
      </c>
      <c r="D2820" t="s">
        <v>2596</v>
      </c>
      <c r="E2820" t="s">
        <v>1273</v>
      </c>
      <c r="F2820" t="s">
        <v>4972</v>
      </c>
      <c r="G2820" t="s">
        <v>8671</v>
      </c>
      <c r="H2820">
        <v>4803556839</v>
      </c>
      <c r="K2820" t="s">
        <v>8672</v>
      </c>
      <c r="L2820" t="s">
        <v>8754</v>
      </c>
      <c r="M2820" t="s">
        <v>1640</v>
      </c>
    </row>
    <row r="2821" spans="1:13" x14ac:dyDescent="0.25">
      <c r="A2821">
        <v>88370</v>
      </c>
      <c r="B2821" t="s">
        <v>8755</v>
      </c>
      <c r="C2821" t="s">
        <v>8756</v>
      </c>
      <c r="D2821" t="s">
        <v>2605</v>
      </c>
      <c r="E2821" t="s">
        <v>1273</v>
      </c>
      <c r="F2821" t="s">
        <v>4334</v>
      </c>
      <c r="G2821" t="s">
        <v>4513</v>
      </c>
      <c r="K2821" t="s">
        <v>8745</v>
      </c>
      <c r="L2821" t="s">
        <v>1647</v>
      </c>
      <c r="M2821" t="s">
        <v>1634</v>
      </c>
    </row>
    <row r="2822" spans="1:13" x14ac:dyDescent="0.25">
      <c r="A2822">
        <v>88370</v>
      </c>
      <c r="B2822" t="s">
        <v>8755</v>
      </c>
      <c r="C2822" t="s">
        <v>8756</v>
      </c>
      <c r="D2822" t="s">
        <v>2605</v>
      </c>
      <c r="E2822" t="s">
        <v>1273</v>
      </c>
      <c r="F2822" t="s">
        <v>8757</v>
      </c>
      <c r="G2822" t="s">
        <v>8758</v>
      </c>
      <c r="H2822">
        <v>4803556830</v>
      </c>
      <c r="K2822" t="s">
        <v>8669</v>
      </c>
      <c r="L2822" t="s">
        <v>8754</v>
      </c>
      <c r="M2822" t="s">
        <v>1640</v>
      </c>
    </row>
    <row r="2823" spans="1:13" x14ac:dyDescent="0.25">
      <c r="A2823">
        <v>88370</v>
      </c>
      <c r="B2823" t="s">
        <v>8755</v>
      </c>
      <c r="C2823" t="s">
        <v>8756</v>
      </c>
      <c r="D2823" t="s">
        <v>2605</v>
      </c>
      <c r="E2823" t="s">
        <v>1273</v>
      </c>
      <c r="F2823" t="s">
        <v>4972</v>
      </c>
      <c r="G2823" t="s">
        <v>8671</v>
      </c>
      <c r="H2823">
        <v>4803556839</v>
      </c>
      <c r="K2823" t="s">
        <v>8672</v>
      </c>
      <c r="M2823" t="s">
        <v>1640</v>
      </c>
    </row>
    <row r="2824" spans="1:13" x14ac:dyDescent="0.25">
      <c r="A2824">
        <v>88372</v>
      </c>
      <c r="B2824" t="s">
        <v>8759</v>
      </c>
      <c r="C2824" t="s">
        <v>8760</v>
      </c>
      <c r="D2824" t="s">
        <v>2596</v>
      </c>
      <c r="E2824" t="s">
        <v>1273</v>
      </c>
      <c r="F2824" t="s">
        <v>2204</v>
      </c>
      <c r="G2824" t="s">
        <v>8761</v>
      </c>
      <c r="H2824">
        <v>6233441770</v>
      </c>
      <c r="K2824" t="s">
        <v>8762</v>
      </c>
      <c r="L2824" t="s">
        <v>1647</v>
      </c>
      <c r="M2824" t="s">
        <v>1634</v>
      </c>
    </row>
    <row r="2825" spans="1:13" x14ac:dyDescent="0.25">
      <c r="A2825">
        <v>88372</v>
      </c>
      <c r="B2825" t="s">
        <v>8759</v>
      </c>
      <c r="C2825" t="s">
        <v>8760</v>
      </c>
      <c r="D2825" t="s">
        <v>2596</v>
      </c>
      <c r="E2825" t="s">
        <v>1273</v>
      </c>
      <c r="F2825" t="s">
        <v>3310</v>
      </c>
      <c r="G2825" t="s">
        <v>8657</v>
      </c>
      <c r="H2825">
        <v>4803550505</v>
      </c>
      <c r="J2825">
        <v>4803550506</v>
      </c>
      <c r="K2825" t="s">
        <v>8658</v>
      </c>
      <c r="L2825" t="s">
        <v>8659</v>
      </c>
      <c r="M2825" t="s">
        <v>1634</v>
      </c>
    </row>
    <row r="2826" spans="1:13" x14ac:dyDescent="0.25">
      <c r="A2826">
        <v>88372</v>
      </c>
      <c r="B2826" t="s">
        <v>8759</v>
      </c>
      <c r="C2826" t="s">
        <v>8760</v>
      </c>
      <c r="D2826" t="s">
        <v>2596</v>
      </c>
      <c r="E2826" t="s">
        <v>1273</v>
      </c>
      <c r="F2826" t="s">
        <v>3570</v>
      </c>
      <c r="G2826" t="s">
        <v>8660</v>
      </c>
      <c r="K2826" t="s">
        <v>8661</v>
      </c>
      <c r="L2826" t="s">
        <v>8662</v>
      </c>
      <c r="M2826" t="s">
        <v>1634</v>
      </c>
    </row>
    <row r="2827" spans="1:13" x14ac:dyDescent="0.25">
      <c r="A2827">
        <v>88372</v>
      </c>
      <c r="B2827" t="s">
        <v>8759</v>
      </c>
      <c r="C2827" t="s">
        <v>8760</v>
      </c>
      <c r="D2827" t="s">
        <v>2596</v>
      </c>
      <c r="E2827" t="s">
        <v>1273</v>
      </c>
      <c r="F2827" t="s">
        <v>2204</v>
      </c>
      <c r="G2827" t="s">
        <v>8763</v>
      </c>
      <c r="H2827">
        <v>6233441770</v>
      </c>
      <c r="J2827">
        <v>6233441780</v>
      </c>
      <c r="K2827" t="s">
        <v>8764</v>
      </c>
      <c r="L2827" t="s">
        <v>8754</v>
      </c>
      <c r="M2827" t="s">
        <v>1640</v>
      </c>
    </row>
    <row r="2828" spans="1:13" x14ac:dyDescent="0.25">
      <c r="A2828">
        <v>88373</v>
      </c>
      <c r="B2828" t="s">
        <v>8765</v>
      </c>
      <c r="C2828" t="s">
        <v>8766</v>
      </c>
      <c r="D2828" t="s">
        <v>2605</v>
      </c>
      <c r="E2828" t="s">
        <v>1273</v>
      </c>
      <c r="F2828" t="s">
        <v>2204</v>
      </c>
      <c r="G2828" t="s">
        <v>8761</v>
      </c>
      <c r="K2828" t="s">
        <v>8762</v>
      </c>
      <c r="L2828" t="s">
        <v>1647</v>
      </c>
      <c r="M2828" t="s">
        <v>1634</v>
      </c>
    </row>
    <row r="2829" spans="1:13" x14ac:dyDescent="0.25">
      <c r="A2829">
        <v>79047</v>
      </c>
      <c r="B2829" t="s">
        <v>1384</v>
      </c>
      <c r="C2829" t="s">
        <v>8767</v>
      </c>
      <c r="D2829" t="s">
        <v>2596</v>
      </c>
      <c r="E2829" t="s">
        <v>1273</v>
      </c>
      <c r="F2829" t="s">
        <v>2036</v>
      </c>
      <c r="G2829" t="s">
        <v>8768</v>
      </c>
      <c r="H2829">
        <v>4802194595</v>
      </c>
      <c r="K2829" t="s">
        <v>8769</v>
      </c>
      <c r="L2829" t="s">
        <v>8770</v>
      </c>
      <c r="M2829" t="s">
        <v>1634</v>
      </c>
    </row>
    <row r="2830" spans="1:13" x14ac:dyDescent="0.25">
      <c r="A2830">
        <v>79047</v>
      </c>
      <c r="B2830" t="s">
        <v>1384</v>
      </c>
      <c r="C2830" t="s">
        <v>8767</v>
      </c>
      <c r="D2830" t="s">
        <v>2596</v>
      </c>
      <c r="E2830" t="s">
        <v>1273</v>
      </c>
      <c r="F2830" t="s">
        <v>5979</v>
      </c>
      <c r="G2830" t="s">
        <v>8771</v>
      </c>
      <c r="H2830">
        <v>4802194595</v>
      </c>
      <c r="K2830" t="s">
        <v>8772</v>
      </c>
      <c r="L2830" t="s">
        <v>2584</v>
      </c>
      <c r="M2830" t="s">
        <v>1634</v>
      </c>
    </row>
    <row r="2831" spans="1:13" x14ac:dyDescent="0.25">
      <c r="A2831">
        <v>79047</v>
      </c>
      <c r="B2831" t="s">
        <v>1384</v>
      </c>
      <c r="C2831" t="s">
        <v>8767</v>
      </c>
      <c r="D2831" t="s">
        <v>2596</v>
      </c>
      <c r="E2831" t="s">
        <v>1273</v>
      </c>
      <c r="F2831" t="s">
        <v>2036</v>
      </c>
      <c r="G2831" t="s">
        <v>8768</v>
      </c>
      <c r="H2831">
        <v>4802194595</v>
      </c>
      <c r="K2831" t="s">
        <v>8769</v>
      </c>
      <c r="L2831" t="s">
        <v>8770</v>
      </c>
      <c r="M2831" t="s">
        <v>1640</v>
      </c>
    </row>
    <row r="2832" spans="1:13" x14ac:dyDescent="0.25">
      <c r="A2832">
        <v>79047</v>
      </c>
      <c r="B2832" t="s">
        <v>1384</v>
      </c>
      <c r="C2832" t="s">
        <v>8767</v>
      </c>
      <c r="D2832" t="s">
        <v>2596</v>
      </c>
      <c r="E2832" t="s">
        <v>1273</v>
      </c>
      <c r="F2832" t="s">
        <v>5979</v>
      </c>
      <c r="G2832" t="s">
        <v>8771</v>
      </c>
      <c r="H2832">
        <v>4802194595</v>
      </c>
      <c r="K2832" t="s">
        <v>8772</v>
      </c>
      <c r="L2832" t="s">
        <v>2584</v>
      </c>
      <c r="M2832" t="s">
        <v>1640</v>
      </c>
    </row>
    <row r="2833" spans="1:13" x14ac:dyDescent="0.25">
      <c r="A2833">
        <v>80050</v>
      </c>
      <c r="B2833" t="s">
        <v>1385</v>
      </c>
      <c r="C2833" t="s">
        <v>8773</v>
      </c>
      <c r="D2833" t="s">
        <v>2605</v>
      </c>
      <c r="E2833" t="s">
        <v>1273</v>
      </c>
    </row>
    <row r="2834" spans="1:13" x14ac:dyDescent="0.25">
      <c r="A2834">
        <v>79129</v>
      </c>
      <c r="B2834" t="s">
        <v>8774</v>
      </c>
      <c r="C2834" t="s">
        <v>8775</v>
      </c>
      <c r="D2834" t="s">
        <v>2605</v>
      </c>
      <c r="E2834" t="s">
        <v>1273</v>
      </c>
    </row>
    <row r="2835" spans="1:13" x14ac:dyDescent="0.25">
      <c r="A2835">
        <v>80025</v>
      </c>
      <c r="B2835" t="s">
        <v>8776</v>
      </c>
      <c r="C2835" t="s">
        <v>8777</v>
      </c>
      <c r="D2835" t="s">
        <v>2605</v>
      </c>
      <c r="E2835" t="s">
        <v>1273</v>
      </c>
    </row>
    <row r="2836" spans="1:13" x14ac:dyDescent="0.25">
      <c r="A2836">
        <v>80430</v>
      </c>
      <c r="B2836" t="s">
        <v>8778</v>
      </c>
      <c r="C2836" t="s">
        <v>8779</v>
      </c>
      <c r="D2836" t="s">
        <v>2605</v>
      </c>
      <c r="E2836" t="s">
        <v>1273</v>
      </c>
      <c r="F2836" t="s">
        <v>8780</v>
      </c>
      <c r="G2836" t="s">
        <v>8781</v>
      </c>
      <c r="K2836" t="s">
        <v>8782</v>
      </c>
      <c r="L2836" t="s">
        <v>1647</v>
      </c>
      <c r="M2836" t="s">
        <v>1634</v>
      </c>
    </row>
    <row r="2837" spans="1:13" x14ac:dyDescent="0.25">
      <c r="A2837">
        <v>90532</v>
      </c>
      <c r="B2837" t="s">
        <v>8783</v>
      </c>
      <c r="C2837" t="s">
        <v>8784</v>
      </c>
      <c r="D2837" t="s">
        <v>2596</v>
      </c>
      <c r="E2837" t="s">
        <v>1273</v>
      </c>
      <c r="F2837" t="s">
        <v>6014</v>
      </c>
      <c r="G2837" t="s">
        <v>8104</v>
      </c>
      <c r="H2837" t="s">
        <v>8105</v>
      </c>
      <c r="K2837" t="s">
        <v>8106</v>
      </c>
      <c r="L2837" t="s">
        <v>8107</v>
      </c>
      <c r="M2837" t="s">
        <v>1634</v>
      </c>
    </row>
    <row r="2838" spans="1:13" x14ac:dyDescent="0.25">
      <c r="A2838">
        <v>90532</v>
      </c>
      <c r="B2838" t="s">
        <v>8783</v>
      </c>
      <c r="C2838" t="s">
        <v>8784</v>
      </c>
      <c r="D2838" t="s">
        <v>2596</v>
      </c>
      <c r="E2838" t="s">
        <v>1273</v>
      </c>
      <c r="F2838" t="s">
        <v>2307</v>
      </c>
      <c r="G2838" t="s">
        <v>8090</v>
      </c>
      <c r="H2838">
        <v>4802977676</v>
      </c>
      <c r="K2838" t="s">
        <v>8091</v>
      </c>
      <c r="M2838" t="s">
        <v>1634</v>
      </c>
    </row>
    <row r="2839" spans="1:13" x14ac:dyDescent="0.25">
      <c r="A2839">
        <v>90532</v>
      </c>
      <c r="B2839" t="s">
        <v>8783</v>
      </c>
      <c r="C2839" t="s">
        <v>8784</v>
      </c>
      <c r="D2839" t="s">
        <v>2596</v>
      </c>
      <c r="E2839" t="s">
        <v>1273</v>
      </c>
      <c r="F2839" t="s">
        <v>8097</v>
      </c>
      <c r="G2839" t="s">
        <v>8098</v>
      </c>
      <c r="H2839">
        <v>4807216818</v>
      </c>
      <c r="K2839" t="s">
        <v>8099</v>
      </c>
      <c r="L2839" t="s">
        <v>5266</v>
      </c>
      <c r="M2839" t="s">
        <v>1634</v>
      </c>
    </row>
    <row r="2840" spans="1:13" x14ac:dyDescent="0.25">
      <c r="A2840">
        <v>90532</v>
      </c>
      <c r="B2840" t="s">
        <v>8783</v>
      </c>
      <c r="C2840" t="s">
        <v>8784</v>
      </c>
      <c r="D2840" t="s">
        <v>2596</v>
      </c>
      <c r="E2840" t="s">
        <v>1273</v>
      </c>
      <c r="F2840" t="s">
        <v>7318</v>
      </c>
      <c r="G2840" t="s">
        <v>8094</v>
      </c>
      <c r="H2840">
        <v>6024387045</v>
      </c>
      <c r="K2840" t="s">
        <v>8095</v>
      </c>
      <c r="L2840" t="s">
        <v>8096</v>
      </c>
      <c r="M2840" t="s">
        <v>1640</v>
      </c>
    </row>
    <row r="2841" spans="1:13" x14ac:dyDescent="0.25">
      <c r="A2841">
        <v>90532</v>
      </c>
      <c r="B2841" t="s">
        <v>8783</v>
      </c>
      <c r="C2841" t="s">
        <v>8784</v>
      </c>
      <c r="D2841" t="s">
        <v>2596</v>
      </c>
      <c r="E2841" t="s">
        <v>1273</v>
      </c>
      <c r="F2841" t="s">
        <v>6014</v>
      </c>
      <c r="G2841" t="s">
        <v>8104</v>
      </c>
      <c r="H2841" t="s">
        <v>8105</v>
      </c>
      <c r="K2841" t="s">
        <v>8106</v>
      </c>
      <c r="L2841" t="s">
        <v>8107</v>
      </c>
      <c r="M2841" t="s">
        <v>1765</v>
      </c>
    </row>
    <row r="2842" spans="1:13" x14ac:dyDescent="0.25">
      <c r="A2842">
        <v>90635</v>
      </c>
      <c r="B2842" t="s">
        <v>8785</v>
      </c>
      <c r="C2842" t="s">
        <v>8786</v>
      </c>
      <c r="D2842" t="s">
        <v>2605</v>
      </c>
      <c r="E2842" t="s">
        <v>1273</v>
      </c>
      <c r="F2842" t="s">
        <v>3720</v>
      </c>
      <c r="G2842" t="s">
        <v>8444</v>
      </c>
      <c r="L2842" t="s">
        <v>8309</v>
      </c>
      <c r="M2842" t="s">
        <v>1634</v>
      </c>
    </row>
    <row r="2843" spans="1:13" x14ac:dyDescent="0.25">
      <c r="A2843">
        <v>89486</v>
      </c>
      <c r="B2843" t="s">
        <v>8787</v>
      </c>
      <c r="C2843" t="s">
        <v>8788</v>
      </c>
      <c r="D2843" t="s">
        <v>2596</v>
      </c>
      <c r="E2843" t="s">
        <v>1273</v>
      </c>
      <c r="F2843" t="s">
        <v>6014</v>
      </c>
      <c r="G2843" t="s">
        <v>8104</v>
      </c>
      <c r="H2843" t="s">
        <v>8105</v>
      </c>
      <c r="K2843" t="s">
        <v>8106</v>
      </c>
      <c r="L2843" t="s">
        <v>8363</v>
      </c>
      <c r="M2843" t="s">
        <v>1634</v>
      </c>
    </row>
    <row r="2844" spans="1:13" x14ac:dyDescent="0.25">
      <c r="A2844">
        <v>89486</v>
      </c>
      <c r="B2844" t="s">
        <v>8787</v>
      </c>
      <c r="C2844" t="s">
        <v>8788</v>
      </c>
      <c r="D2844" t="s">
        <v>2596</v>
      </c>
      <c r="E2844" t="s">
        <v>1273</v>
      </c>
      <c r="F2844" t="s">
        <v>2307</v>
      </c>
      <c r="G2844" t="s">
        <v>8090</v>
      </c>
      <c r="H2844">
        <v>4802977676</v>
      </c>
      <c r="K2844" t="s">
        <v>8091</v>
      </c>
      <c r="M2844" t="s">
        <v>1634</v>
      </c>
    </row>
    <row r="2845" spans="1:13" x14ac:dyDescent="0.25">
      <c r="A2845">
        <v>89486</v>
      </c>
      <c r="B2845" t="s">
        <v>8787</v>
      </c>
      <c r="C2845" t="s">
        <v>8788</v>
      </c>
      <c r="D2845" t="s">
        <v>2596</v>
      </c>
      <c r="E2845" t="s">
        <v>1273</v>
      </c>
      <c r="F2845" t="s">
        <v>6014</v>
      </c>
      <c r="G2845" t="s">
        <v>8092</v>
      </c>
      <c r="H2845">
        <v>6024387045</v>
      </c>
      <c r="K2845" t="s">
        <v>8093</v>
      </c>
      <c r="M2845" t="s">
        <v>1640</v>
      </c>
    </row>
    <row r="2846" spans="1:13" x14ac:dyDescent="0.25">
      <c r="A2846">
        <v>89486</v>
      </c>
      <c r="B2846" t="s">
        <v>8787</v>
      </c>
      <c r="C2846" t="s">
        <v>8788</v>
      </c>
      <c r="D2846" t="s">
        <v>2596</v>
      </c>
      <c r="E2846" t="s">
        <v>1273</v>
      </c>
      <c r="F2846" t="s">
        <v>7318</v>
      </c>
      <c r="G2846" t="s">
        <v>8094</v>
      </c>
      <c r="H2846">
        <v>6024387045</v>
      </c>
      <c r="K2846" t="s">
        <v>8095</v>
      </c>
      <c r="L2846" t="s">
        <v>8096</v>
      </c>
      <c r="M2846" t="s">
        <v>1640</v>
      </c>
    </row>
    <row r="2847" spans="1:13" x14ac:dyDescent="0.25">
      <c r="A2847">
        <v>89486</v>
      </c>
      <c r="B2847" t="s">
        <v>8787</v>
      </c>
      <c r="C2847" t="s">
        <v>8788</v>
      </c>
      <c r="D2847" t="s">
        <v>2596</v>
      </c>
      <c r="E2847" t="s">
        <v>1273</v>
      </c>
      <c r="F2847" t="s">
        <v>8097</v>
      </c>
      <c r="G2847" t="s">
        <v>8098</v>
      </c>
      <c r="H2847">
        <v>4807216818</v>
      </c>
      <c r="K2847" t="s">
        <v>8099</v>
      </c>
      <c r="M2847" t="s">
        <v>1640</v>
      </c>
    </row>
    <row r="2848" spans="1:13" x14ac:dyDescent="0.25">
      <c r="A2848">
        <v>89486</v>
      </c>
      <c r="B2848" t="s">
        <v>8787</v>
      </c>
      <c r="C2848" t="s">
        <v>8788</v>
      </c>
      <c r="D2848" t="s">
        <v>2596</v>
      </c>
      <c r="E2848" t="s">
        <v>1273</v>
      </c>
      <c r="F2848" t="s">
        <v>1935</v>
      </c>
      <c r="G2848" t="s">
        <v>8100</v>
      </c>
      <c r="H2848" t="s">
        <v>8101</v>
      </c>
      <c r="J2848">
        <v>6024387242</v>
      </c>
      <c r="K2848" t="s">
        <v>8102</v>
      </c>
      <c r="L2848" t="s">
        <v>8789</v>
      </c>
      <c r="M2848" t="s">
        <v>1765</v>
      </c>
    </row>
    <row r="2849" spans="1:13" x14ac:dyDescent="0.25">
      <c r="A2849">
        <v>89486</v>
      </c>
      <c r="B2849" t="s">
        <v>8787</v>
      </c>
      <c r="C2849" t="s">
        <v>8788</v>
      </c>
      <c r="D2849" t="s">
        <v>2596</v>
      </c>
      <c r="E2849" t="s">
        <v>1273</v>
      </c>
      <c r="F2849" t="s">
        <v>6014</v>
      </c>
      <c r="G2849" t="s">
        <v>8104</v>
      </c>
      <c r="H2849" t="s">
        <v>8105</v>
      </c>
      <c r="K2849" t="s">
        <v>8106</v>
      </c>
      <c r="L2849" t="s">
        <v>8363</v>
      </c>
      <c r="M2849" t="s">
        <v>1765</v>
      </c>
    </row>
    <row r="2850" spans="1:13" x14ac:dyDescent="0.25">
      <c r="A2850">
        <v>89487</v>
      </c>
      <c r="B2850" t="s">
        <v>8790</v>
      </c>
      <c r="C2850" t="s">
        <v>8791</v>
      </c>
      <c r="D2850" t="s">
        <v>2605</v>
      </c>
      <c r="E2850" t="s">
        <v>1273</v>
      </c>
      <c r="F2850" t="s">
        <v>1820</v>
      </c>
      <c r="G2850" t="s">
        <v>7667</v>
      </c>
      <c r="K2850" t="s">
        <v>8792</v>
      </c>
      <c r="L2850" t="s">
        <v>1647</v>
      </c>
      <c r="M2850" t="s">
        <v>1634</v>
      </c>
    </row>
    <row r="2851" spans="1:13" x14ac:dyDescent="0.25">
      <c r="A2851">
        <v>89506</v>
      </c>
      <c r="B2851" t="s">
        <v>8793</v>
      </c>
      <c r="C2851" t="s">
        <v>8794</v>
      </c>
      <c r="D2851" t="s">
        <v>2596</v>
      </c>
      <c r="E2851" t="s">
        <v>1273</v>
      </c>
      <c r="F2851" t="s">
        <v>8795</v>
      </c>
      <c r="G2851" t="s">
        <v>7686</v>
      </c>
      <c r="H2851">
        <v>6232231335</v>
      </c>
      <c r="K2851" t="s">
        <v>8796</v>
      </c>
      <c r="L2851" t="s">
        <v>1647</v>
      </c>
      <c r="M2851" t="s">
        <v>1634</v>
      </c>
    </row>
    <row r="2852" spans="1:13" x14ac:dyDescent="0.25">
      <c r="A2852">
        <v>89506</v>
      </c>
      <c r="B2852" t="s">
        <v>8793</v>
      </c>
      <c r="C2852" t="s">
        <v>8794</v>
      </c>
      <c r="D2852" t="s">
        <v>2596</v>
      </c>
      <c r="E2852" t="s">
        <v>1273</v>
      </c>
      <c r="F2852" t="s">
        <v>2156</v>
      </c>
      <c r="G2852" t="s">
        <v>8797</v>
      </c>
      <c r="H2852">
        <v>4805845414</v>
      </c>
      <c r="K2852" t="s">
        <v>8798</v>
      </c>
      <c r="L2852" t="s">
        <v>8286</v>
      </c>
      <c r="M2852" t="s">
        <v>1640</v>
      </c>
    </row>
    <row r="2853" spans="1:13" x14ac:dyDescent="0.25">
      <c r="A2853">
        <v>80472</v>
      </c>
      <c r="B2853" t="s">
        <v>8799</v>
      </c>
      <c r="C2853" t="s">
        <v>8800</v>
      </c>
      <c r="D2853" t="s">
        <v>2605</v>
      </c>
      <c r="E2853" t="s">
        <v>1273</v>
      </c>
      <c r="F2853" t="s">
        <v>8801</v>
      </c>
      <c r="G2853" t="s">
        <v>7404</v>
      </c>
      <c r="H2853">
        <v>6024240771</v>
      </c>
      <c r="K2853" t="s">
        <v>8802</v>
      </c>
      <c r="L2853" t="s">
        <v>1796</v>
      </c>
      <c r="M2853" t="s">
        <v>1634</v>
      </c>
    </row>
    <row r="2854" spans="1:13" x14ac:dyDescent="0.25">
      <c r="A2854">
        <v>80472</v>
      </c>
      <c r="B2854" t="s">
        <v>8799</v>
      </c>
      <c r="C2854" t="s">
        <v>8800</v>
      </c>
      <c r="D2854" t="s">
        <v>2605</v>
      </c>
      <c r="E2854" t="s">
        <v>1273</v>
      </c>
      <c r="F2854" t="s">
        <v>1779</v>
      </c>
      <c r="G2854" t="s">
        <v>8803</v>
      </c>
      <c r="K2854" t="s">
        <v>8804</v>
      </c>
      <c r="L2854" t="s">
        <v>1721</v>
      </c>
      <c r="M2854" t="s">
        <v>1634</v>
      </c>
    </row>
    <row r="2855" spans="1:13" x14ac:dyDescent="0.25">
      <c r="A2855">
        <v>90272</v>
      </c>
      <c r="B2855" t="s">
        <v>8805</v>
      </c>
      <c r="C2855" t="s">
        <v>8806</v>
      </c>
      <c r="D2855" t="s">
        <v>2605</v>
      </c>
      <c r="E2855" t="s">
        <v>1273</v>
      </c>
    </row>
    <row r="2856" spans="1:13" x14ac:dyDescent="0.25">
      <c r="A2856">
        <v>89556</v>
      </c>
      <c r="B2856" t="s">
        <v>718</v>
      </c>
      <c r="C2856" t="s">
        <v>8807</v>
      </c>
      <c r="D2856" t="s">
        <v>2596</v>
      </c>
      <c r="E2856" t="s">
        <v>1273</v>
      </c>
      <c r="F2856" t="s">
        <v>4473</v>
      </c>
      <c r="G2856" t="s">
        <v>8808</v>
      </c>
      <c r="K2856" t="s">
        <v>8809</v>
      </c>
      <c r="M2856" t="s">
        <v>1634</v>
      </c>
    </row>
    <row r="2857" spans="1:13" x14ac:dyDescent="0.25">
      <c r="A2857">
        <v>89556</v>
      </c>
      <c r="B2857" t="s">
        <v>718</v>
      </c>
      <c r="C2857" t="s">
        <v>8807</v>
      </c>
      <c r="D2857" t="s">
        <v>2596</v>
      </c>
      <c r="E2857" t="s">
        <v>1273</v>
      </c>
      <c r="F2857" t="s">
        <v>4473</v>
      </c>
      <c r="G2857" t="s">
        <v>8808</v>
      </c>
      <c r="K2857" t="s">
        <v>8809</v>
      </c>
      <c r="M2857" t="s">
        <v>1640</v>
      </c>
    </row>
    <row r="2858" spans="1:13" x14ac:dyDescent="0.25">
      <c r="A2858">
        <v>89557</v>
      </c>
      <c r="B2858" t="s">
        <v>719</v>
      </c>
      <c r="C2858" t="s">
        <v>8810</v>
      </c>
      <c r="D2858" t="s">
        <v>2605</v>
      </c>
      <c r="E2858" t="s">
        <v>1273</v>
      </c>
      <c r="F2858" t="s">
        <v>4473</v>
      </c>
      <c r="G2858" t="s">
        <v>8808</v>
      </c>
      <c r="M2858" t="s">
        <v>1634</v>
      </c>
    </row>
    <row r="2859" spans="1:13" x14ac:dyDescent="0.25">
      <c r="A2859">
        <v>90776</v>
      </c>
      <c r="B2859" t="s">
        <v>8811</v>
      </c>
      <c r="C2859" t="s">
        <v>8812</v>
      </c>
      <c r="D2859" t="s">
        <v>2605</v>
      </c>
      <c r="E2859" t="s">
        <v>1273</v>
      </c>
    </row>
    <row r="2860" spans="1:13" x14ac:dyDescent="0.25">
      <c r="A2860">
        <v>89561</v>
      </c>
      <c r="B2860" t="s">
        <v>619</v>
      </c>
      <c r="C2860" t="s">
        <v>8813</v>
      </c>
      <c r="D2860" t="s">
        <v>2596</v>
      </c>
      <c r="E2860" t="s">
        <v>1273</v>
      </c>
      <c r="F2860" t="s">
        <v>3310</v>
      </c>
      <c r="G2860" t="s">
        <v>8657</v>
      </c>
      <c r="K2860" t="s">
        <v>8658</v>
      </c>
      <c r="M2860" t="s">
        <v>1634</v>
      </c>
    </row>
    <row r="2861" spans="1:13" x14ac:dyDescent="0.25">
      <c r="A2861">
        <v>89561</v>
      </c>
      <c r="B2861" t="s">
        <v>619</v>
      </c>
      <c r="C2861" t="s">
        <v>8813</v>
      </c>
      <c r="D2861" t="s">
        <v>2596</v>
      </c>
      <c r="E2861" t="s">
        <v>1273</v>
      </c>
      <c r="F2861" t="s">
        <v>3570</v>
      </c>
      <c r="G2861" t="s">
        <v>8660</v>
      </c>
      <c r="K2861" t="s">
        <v>8661</v>
      </c>
      <c r="L2861" t="s">
        <v>8662</v>
      </c>
      <c r="M2861" t="s">
        <v>1634</v>
      </c>
    </row>
    <row r="2862" spans="1:13" x14ac:dyDescent="0.25">
      <c r="A2862">
        <v>89561</v>
      </c>
      <c r="B2862" t="s">
        <v>619</v>
      </c>
      <c r="C2862" t="s">
        <v>8813</v>
      </c>
      <c r="D2862" t="s">
        <v>2596</v>
      </c>
      <c r="E2862" t="s">
        <v>1273</v>
      </c>
      <c r="F2862" t="s">
        <v>8736</v>
      </c>
      <c r="G2862" t="s">
        <v>8737</v>
      </c>
      <c r="J2862">
        <v>6023444630</v>
      </c>
      <c r="K2862" t="s">
        <v>8738</v>
      </c>
      <c r="L2862" t="s">
        <v>1640</v>
      </c>
      <c r="M2862" t="s">
        <v>1640</v>
      </c>
    </row>
    <row r="2863" spans="1:13" x14ac:dyDescent="0.25">
      <c r="A2863">
        <v>89561</v>
      </c>
      <c r="B2863" t="s">
        <v>619</v>
      </c>
      <c r="C2863" t="s">
        <v>8813</v>
      </c>
      <c r="D2863" t="s">
        <v>2596</v>
      </c>
      <c r="E2863" t="s">
        <v>1273</v>
      </c>
      <c r="F2863" t="s">
        <v>8733</v>
      </c>
      <c r="G2863" t="s">
        <v>8734</v>
      </c>
      <c r="H2863">
        <v>4806524555</v>
      </c>
      <c r="K2863" t="s">
        <v>8740</v>
      </c>
      <c r="L2863" t="s">
        <v>1640</v>
      </c>
      <c r="M2863" t="s">
        <v>1640</v>
      </c>
    </row>
    <row r="2864" spans="1:13" x14ac:dyDescent="0.25">
      <c r="A2864">
        <v>89562</v>
      </c>
      <c r="B2864" t="s">
        <v>620</v>
      </c>
      <c r="C2864" t="s">
        <v>8814</v>
      </c>
      <c r="D2864" t="s">
        <v>2605</v>
      </c>
      <c r="E2864" t="s">
        <v>1273</v>
      </c>
      <c r="F2864" t="s">
        <v>8742</v>
      </c>
      <c r="G2864" t="s">
        <v>8671</v>
      </c>
      <c r="K2864" t="s">
        <v>8743</v>
      </c>
      <c r="L2864" t="s">
        <v>8744</v>
      </c>
      <c r="M2864" t="s">
        <v>1640</v>
      </c>
    </row>
    <row r="2865" spans="1:13" x14ac:dyDescent="0.25">
      <c r="A2865">
        <v>89563</v>
      </c>
      <c r="B2865" t="s">
        <v>8815</v>
      </c>
      <c r="C2865" t="s">
        <v>8816</v>
      </c>
      <c r="D2865" t="s">
        <v>2596</v>
      </c>
      <c r="E2865" t="s">
        <v>1273</v>
      </c>
      <c r="F2865" t="s">
        <v>3310</v>
      </c>
      <c r="G2865" t="s">
        <v>8657</v>
      </c>
      <c r="K2865" t="s">
        <v>8658</v>
      </c>
      <c r="M2865" t="s">
        <v>1634</v>
      </c>
    </row>
    <row r="2866" spans="1:13" x14ac:dyDescent="0.25">
      <c r="A2866">
        <v>89563</v>
      </c>
      <c r="B2866" t="s">
        <v>8815</v>
      </c>
      <c r="C2866" t="s">
        <v>8816</v>
      </c>
      <c r="D2866" t="s">
        <v>2596</v>
      </c>
      <c r="E2866" t="s">
        <v>1273</v>
      </c>
      <c r="F2866" t="s">
        <v>3570</v>
      </c>
      <c r="G2866" t="s">
        <v>8660</v>
      </c>
      <c r="K2866" t="s">
        <v>8661</v>
      </c>
      <c r="L2866" t="s">
        <v>8662</v>
      </c>
      <c r="M2866" t="s">
        <v>1634</v>
      </c>
    </row>
    <row r="2867" spans="1:13" x14ac:dyDescent="0.25">
      <c r="A2867">
        <v>89563</v>
      </c>
      <c r="B2867" t="s">
        <v>8815</v>
      </c>
      <c r="C2867" t="s">
        <v>8816</v>
      </c>
      <c r="D2867" t="s">
        <v>2596</v>
      </c>
      <c r="E2867" t="s">
        <v>1273</v>
      </c>
      <c r="F2867" t="s">
        <v>1848</v>
      </c>
      <c r="G2867" t="s">
        <v>7847</v>
      </c>
      <c r="K2867" t="s">
        <v>8747</v>
      </c>
      <c r="L2867" t="s">
        <v>1640</v>
      </c>
      <c r="M2867" t="s">
        <v>1640</v>
      </c>
    </row>
    <row r="2868" spans="1:13" x14ac:dyDescent="0.25">
      <c r="A2868">
        <v>89563</v>
      </c>
      <c r="B2868" t="s">
        <v>8815</v>
      </c>
      <c r="C2868" t="s">
        <v>8816</v>
      </c>
      <c r="D2868" t="s">
        <v>2596</v>
      </c>
      <c r="E2868" t="s">
        <v>1273</v>
      </c>
      <c r="F2868" t="s">
        <v>8736</v>
      </c>
      <c r="G2868" t="s">
        <v>8737</v>
      </c>
      <c r="H2868">
        <v>4806524555</v>
      </c>
      <c r="K2868" t="s">
        <v>8748</v>
      </c>
      <c r="L2868" t="s">
        <v>1640</v>
      </c>
      <c r="M2868" t="s">
        <v>1640</v>
      </c>
    </row>
    <row r="2869" spans="1:13" x14ac:dyDescent="0.25">
      <c r="A2869">
        <v>89564</v>
      </c>
      <c r="B2869" t="s">
        <v>8817</v>
      </c>
      <c r="C2869" t="s">
        <v>8818</v>
      </c>
      <c r="D2869" t="s">
        <v>2605</v>
      </c>
      <c r="E2869" t="s">
        <v>1273</v>
      </c>
    </row>
    <row r="2870" spans="1:13" x14ac:dyDescent="0.25">
      <c r="A2870">
        <v>89756</v>
      </c>
      <c r="B2870" t="s">
        <v>8819</v>
      </c>
      <c r="C2870" t="s">
        <v>8820</v>
      </c>
      <c r="D2870" t="s">
        <v>2596</v>
      </c>
      <c r="E2870" t="s">
        <v>1273</v>
      </c>
      <c r="F2870" t="s">
        <v>6014</v>
      </c>
      <c r="G2870" t="s">
        <v>8104</v>
      </c>
      <c r="H2870" t="s">
        <v>8105</v>
      </c>
      <c r="K2870" t="s">
        <v>8106</v>
      </c>
      <c r="L2870" t="s">
        <v>8107</v>
      </c>
      <c r="M2870" t="s">
        <v>1634</v>
      </c>
    </row>
    <row r="2871" spans="1:13" x14ac:dyDescent="0.25">
      <c r="A2871">
        <v>89756</v>
      </c>
      <c r="B2871" t="s">
        <v>8819</v>
      </c>
      <c r="C2871" t="s">
        <v>8820</v>
      </c>
      <c r="D2871" t="s">
        <v>2596</v>
      </c>
      <c r="E2871" t="s">
        <v>1273</v>
      </c>
      <c r="F2871" t="s">
        <v>2307</v>
      </c>
      <c r="G2871" t="s">
        <v>8090</v>
      </c>
      <c r="H2871">
        <v>4802977676</v>
      </c>
      <c r="K2871" t="s">
        <v>8091</v>
      </c>
      <c r="M2871" t="s">
        <v>1634</v>
      </c>
    </row>
    <row r="2872" spans="1:13" x14ac:dyDescent="0.25">
      <c r="A2872">
        <v>89756</v>
      </c>
      <c r="B2872" t="s">
        <v>8819</v>
      </c>
      <c r="C2872" t="s">
        <v>8820</v>
      </c>
      <c r="D2872" t="s">
        <v>2596</v>
      </c>
      <c r="E2872" t="s">
        <v>1273</v>
      </c>
      <c r="F2872" t="s">
        <v>6014</v>
      </c>
      <c r="G2872" t="s">
        <v>8092</v>
      </c>
      <c r="H2872">
        <v>6024387045</v>
      </c>
      <c r="K2872" t="s">
        <v>8093</v>
      </c>
      <c r="M2872" t="s">
        <v>1640</v>
      </c>
    </row>
    <row r="2873" spans="1:13" x14ac:dyDescent="0.25">
      <c r="A2873">
        <v>89756</v>
      </c>
      <c r="B2873" t="s">
        <v>8819</v>
      </c>
      <c r="C2873" t="s">
        <v>8820</v>
      </c>
      <c r="D2873" t="s">
        <v>2596</v>
      </c>
      <c r="E2873" t="s">
        <v>1273</v>
      </c>
      <c r="F2873" t="s">
        <v>7318</v>
      </c>
      <c r="G2873" t="s">
        <v>8094</v>
      </c>
      <c r="H2873">
        <v>6024387045</v>
      </c>
      <c r="K2873" t="s">
        <v>8095</v>
      </c>
      <c r="L2873" t="s">
        <v>8096</v>
      </c>
      <c r="M2873" t="s">
        <v>1640</v>
      </c>
    </row>
    <row r="2874" spans="1:13" x14ac:dyDescent="0.25">
      <c r="A2874">
        <v>89756</v>
      </c>
      <c r="B2874" t="s">
        <v>8819</v>
      </c>
      <c r="C2874" t="s">
        <v>8820</v>
      </c>
      <c r="D2874" t="s">
        <v>2596</v>
      </c>
      <c r="E2874" t="s">
        <v>1273</v>
      </c>
      <c r="F2874" t="s">
        <v>8097</v>
      </c>
      <c r="G2874" t="s">
        <v>8098</v>
      </c>
      <c r="H2874">
        <v>4807216818</v>
      </c>
      <c r="K2874" t="s">
        <v>8099</v>
      </c>
      <c r="M2874" t="s">
        <v>1640</v>
      </c>
    </row>
    <row r="2875" spans="1:13" x14ac:dyDescent="0.25">
      <c r="A2875">
        <v>89756</v>
      </c>
      <c r="B2875" t="s">
        <v>8819</v>
      </c>
      <c r="C2875" t="s">
        <v>8820</v>
      </c>
      <c r="D2875" t="s">
        <v>2596</v>
      </c>
      <c r="E2875" t="s">
        <v>1273</v>
      </c>
      <c r="F2875" t="s">
        <v>1935</v>
      </c>
      <c r="G2875" t="s">
        <v>8100</v>
      </c>
      <c r="H2875" t="s">
        <v>8101</v>
      </c>
      <c r="J2875">
        <v>6024387242</v>
      </c>
      <c r="K2875" t="s">
        <v>8102</v>
      </c>
      <c r="L2875" t="s">
        <v>8103</v>
      </c>
      <c r="M2875" t="s">
        <v>1765</v>
      </c>
    </row>
    <row r="2876" spans="1:13" x14ac:dyDescent="0.25">
      <c r="A2876">
        <v>89756</v>
      </c>
      <c r="B2876" t="s">
        <v>8819</v>
      </c>
      <c r="C2876" t="s">
        <v>8820</v>
      </c>
      <c r="D2876" t="s">
        <v>2596</v>
      </c>
      <c r="E2876" t="s">
        <v>1273</v>
      </c>
      <c r="F2876" t="s">
        <v>6014</v>
      </c>
      <c r="G2876" t="s">
        <v>8104</v>
      </c>
      <c r="H2876" t="s">
        <v>8105</v>
      </c>
      <c r="K2876" t="s">
        <v>8106</v>
      </c>
      <c r="L2876" t="s">
        <v>8107</v>
      </c>
      <c r="M2876" t="s">
        <v>1765</v>
      </c>
    </row>
    <row r="2877" spans="1:13" x14ac:dyDescent="0.25">
      <c r="A2877">
        <v>89757</v>
      </c>
      <c r="B2877" t="s">
        <v>8821</v>
      </c>
      <c r="C2877" t="s">
        <v>8822</v>
      </c>
      <c r="D2877" t="s">
        <v>2605</v>
      </c>
      <c r="E2877" t="s">
        <v>1273</v>
      </c>
      <c r="F2877" t="s">
        <v>3391</v>
      </c>
      <c r="G2877" t="s">
        <v>8823</v>
      </c>
      <c r="H2877">
        <v>6023967552</v>
      </c>
      <c r="L2877" t="s">
        <v>8824</v>
      </c>
      <c r="M2877" t="s">
        <v>1634</v>
      </c>
    </row>
    <row r="2878" spans="1:13" x14ac:dyDescent="0.25">
      <c r="A2878">
        <v>89757</v>
      </c>
      <c r="B2878" t="s">
        <v>8821</v>
      </c>
      <c r="C2878" t="s">
        <v>8822</v>
      </c>
      <c r="D2878" t="s">
        <v>2605</v>
      </c>
      <c r="E2878" t="s">
        <v>1273</v>
      </c>
      <c r="F2878" t="s">
        <v>3336</v>
      </c>
      <c r="G2878" t="s">
        <v>8825</v>
      </c>
      <c r="H2878">
        <v>6024387045</v>
      </c>
      <c r="K2878" t="s">
        <v>8826</v>
      </c>
      <c r="L2878" t="s">
        <v>1640</v>
      </c>
      <c r="M2878" t="s">
        <v>1640</v>
      </c>
    </row>
    <row r="2879" spans="1:13" x14ac:dyDescent="0.25">
      <c r="A2879">
        <v>89758</v>
      </c>
      <c r="B2879" t="s">
        <v>8827</v>
      </c>
      <c r="C2879" t="s">
        <v>8828</v>
      </c>
      <c r="D2879" t="s">
        <v>2596</v>
      </c>
      <c r="E2879" t="s">
        <v>1273</v>
      </c>
      <c r="F2879" t="s">
        <v>2876</v>
      </c>
      <c r="G2879" t="s">
        <v>8829</v>
      </c>
      <c r="H2879">
        <v>6239796500</v>
      </c>
      <c r="K2879" t="s">
        <v>8830</v>
      </c>
      <c r="L2879" t="s">
        <v>3043</v>
      </c>
      <c r="M2879" t="s">
        <v>1634</v>
      </c>
    </row>
    <row r="2880" spans="1:13" x14ac:dyDescent="0.25">
      <c r="A2880">
        <v>89758</v>
      </c>
      <c r="B2880" t="s">
        <v>8827</v>
      </c>
      <c r="C2880" t="s">
        <v>8828</v>
      </c>
      <c r="D2880" t="s">
        <v>2596</v>
      </c>
      <c r="E2880" t="s">
        <v>1273</v>
      </c>
      <c r="F2880" t="s">
        <v>7571</v>
      </c>
      <c r="G2880" t="s">
        <v>8831</v>
      </c>
      <c r="H2880">
        <v>6239796500</v>
      </c>
      <c r="K2880" t="s">
        <v>8832</v>
      </c>
      <c r="M2880" t="s">
        <v>1634</v>
      </c>
    </row>
    <row r="2881" spans="1:13" x14ac:dyDescent="0.25">
      <c r="A2881">
        <v>89759</v>
      </c>
      <c r="B2881" t="s">
        <v>8833</v>
      </c>
      <c r="C2881" t="s">
        <v>8834</v>
      </c>
      <c r="D2881" t="s">
        <v>2605</v>
      </c>
      <c r="E2881" t="s">
        <v>1273</v>
      </c>
      <c r="F2881" t="s">
        <v>2876</v>
      </c>
      <c r="G2881" t="s">
        <v>8829</v>
      </c>
      <c r="H2881">
        <v>6239796500</v>
      </c>
      <c r="K2881" t="s">
        <v>8830</v>
      </c>
      <c r="L2881" t="s">
        <v>1647</v>
      </c>
      <c r="M2881" t="s">
        <v>1634</v>
      </c>
    </row>
    <row r="2882" spans="1:13" x14ac:dyDescent="0.25">
      <c r="A2882">
        <v>89759</v>
      </c>
      <c r="B2882" t="s">
        <v>8833</v>
      </c>
      <c r="C2882" t="s">
        <v>8834</v>
      </c>
      <c r="D2882" t="s">
        <v>2605</v>
      </c>
      <c r="E2882" t="s">
        <v>1273</v>
      </c>
      <c r="F2882" t="s">
        <v>7571</v>
      </c>
      <c r="G2882" t="s">
        <v>8831</v>
      </c>
      <c r="H2882">
        <v>6239796500</v>
      </c>
      <c r="K2882" t="s">
        <v>8832</v>
      </c>
      <c r="L2882" t="s">
        <v>2446</v>
      </c>
      <c r="M2882" t="s">
        <v>1634</v>
      </c>
    </row>
    <row r="2883" spans="1:13" x14ac:dyDescent="0.25">
      <c r="A2883">
        <v>89784</v>
      </c>
      <c r="B2883" t="s">
        <v>8835</v>
      </c>
      <c r="C2883" t="s">
        <v>8836</v>
      </c>
      <c r="D2883" t="s">
        <v>2596</v>
      </c>
      <c r="E2883" t="s">
        <v>1273</v>
      </c>
      <c r="F2883" t="s">
        <v>1750</v>
      </c>
      <c r="G2883" t="s">
        <v>8837</v>
      </c>
      <c r="H2883">
        <v>6233441730</v>
      </c>
      <c r="K2883" t="s">
        <v>8838</v>
      </c>
      <c r="L2883" t="s">
        <v>1647</v>
      </c>
      <c r="M2883" t="s">
        <v>1634</v>
      </c>
    </row>
    <row r="2884" spans="1:13" x14ac:dyDescent="0.25">
      <c r="A2884">
        <v>89784</v>
      </c>
      <c r="B2884" t="s">
        <v>8835</v>
      </c>
      <c r="C2884" t="s">
        <v>8836</v>
      </c>
      <c r="D2884" t="s">
        <v>2596</v>
      </c>
      <c r="E2884" t="s">
        <v>1273</v>
      </c>
      <c r="F2884" t="s">
        <v>3275</v>
      </c>
      <c r="G2884" t="s">
        <v>8675</v>
      </c>
      <c r="H2884">
        <v>4803550516</v>
      </c>
      <c r="J2884">
        <v>4803550506</v>
      </c>
      <c r="K2884" t="s">
        <v>8752</v>
      </c>
      <c r="L2884" t="s">
        <v>8744</v>
      </c>
      <c r="M2884" t="s">
        <v>1634</v>
      </c>
    </row>
    <row r="2885" spans="1:13" x14ac:dyDescent="0.25">
      <c r="A2885">
        <v>89784</v>
      </c>
      <c r="B2885" t="s">
        <v>8835</v>
      </c>
      <c r="C2885" t="s">
        <v>8836</v>
      </c>
      <c r="D2885" t="s">
        <v>2596</v>
      </c>
      <c r="E2885" t="s">
        <v>1273</v>
      </c>
      <c r="F2885" t="s">
        <v>3570</v>
      </c>
      <c r="G2885" t="s">
        <v>8660</v>
      </c>
      <c r="K2885" t="s">
        <v>8661</v>
      </c>
      <c r="L2885" t="s">
        <v>8662</v>
      </c>
      <c r="M2885" t="s">
        <v>1634</v>
      </c>
    </row>
    <row r="2886" spans="1:13" x14ac:dyDescent="0.25">
      <c r="A2886">
        <v>89784</v>
      </c>
      <c r="B2886" t="s">
        <v>8835</v>
      </c>
      <c r="C2886" t="s">
        <v>8836</v>
      </c>
      <c r="D2886" t="s">
        <v>2596</v>
      </c>
      <c r="E2886" t="s">
        <v>1273</v>
      </c>
      <c r="F2886" t="s">
        <v>8839</v>
      </c>
      <c r="G2886" t="s">
        <v>8840</v>
      </c>
      <c r="K2886" t="s">
        <v>8841</v>
      </c>
      <c r="L2886" t="s">
        <v>1640</v>
      </c>
      <c r="M2886" t="s">
        <v>1640</v>
      </c>
    </row>
    <row r="2887" spans="1:13" x14ac:dyDescent="0.25">
      <c r="A2887">
        <v>89785</v>
      </c>
      <c r="B2887" t="s">
        <v>8842</v>
      </c>
      <c r="C2887" t="s">
        <v>8843</v>
      </c>
      <c r="D2887" t="s">
        <v>2605</v>
      </c>
      <c r="E2887" t="s">
        <v>1273</v>
      </c>
    </row>
    <row r="2888" spans="1:13" x14ac:dyDescent="0.25">
      <c r="A2888">
        <v>89786</v>
      </c>
      <c r="B2888" t="s">
        <v>752</v>
      </c>
      <c r="C2888" t="s">
        <v>8844</v>
      </c>
      <c r="D2888" t="s">
        <v>2596</v>
      </c>
      <c r="E2888" t="s">
        <v>1273</v>
      </c>
      <c r="F2888" t="s">
        <v>4352</v>
      </c>
      <c r="G2888" t="s">
        <v>2705</v>
      </c>
      <c r="H2888">
        <v>5207235391</v>
      </c>
      <c r="K2888" t="s">
        <v>8845</v>
      </c>
      <c r="L2888" t="s">
        <v>1647</v>
      </c>
      <c r="M2888" t="s">
        <v>1634</v>
      </c>
    </row>
    <row r="2889" spans="1:13" x14ac:dyDescent="0.25">
      <c r="A2889">
        <v>89786</v>
      </c>
      <c r="B2889" t="s">
        <v>752</v>
      </c>
      <c r="C2889" t="s">
        <v>8844</v>
      </c>
      <c r="D2889" t="s">
        <v>2596</v>
      </c>
      <c r="E2889" t="s">
        <v>1273</v>
      </c>
      <c r="F2889" t="s">
        <v>3570</v>
      </c>
      <c r="G2889" t="s">
        <v>8660</v>
      </c>
      <c r="J2889">
        <v>5207235391</v>
      </c>
      <c r="K2889" t="s">
        <v>8846</v>
      </c>
      <c r="L2889" t="s">
        <v>8662</v>
      </c>
      <c r="M2889" t="s">
        <v>1634</v>
      </c>
    </row>
    <row r="2890" spans="1:13" x14ac:dyDescent="0.25">
      <c r="A2890">
        <v>89786</v>
      </c>
      <c r="B2890" t="s">
        <v>752</v>
      </c>
      <c r="C2890" t="s">
        <v>8844</v>
      </c>
      <c r="D2890" t="s">
        <v>2596</v>
      </c>
      <c r="E2890" t="s">
        <v>1273</v>
      </c>
      <c r="F2890" t="s">
        <v>3310</v>
      </c>
      <c r="G2890" t="s">
        <v>8657</v>
      </c>
      <c r="K2890" t="s">
        <v>8658</v>
      </c>
      <c r="M2890" t="s">
        <v>1634</v>
      </c>
    </row>
    <row r="2891" spans="1:13" x14ac:dyDescent="0.25">
      <c r="A2891">
        <v>89786</v>
      </c>
      <c r="B2891" t="s">
        <v>752</v>
      </c>
      <c r="C2891" t="s">
        <v>8844</v>
      </c>
      <c r="D2891" t="s">
        <v>2596</v>
      </c>
      <c r="E2891" t="s">
        <v>1273</v>
      </c>
      <c r="F2891" t="s">
        <v>1883</v>
      </c>
      <c r="G2891" t="s">
        <v>8847</v>
      </c>
      <c r="H2891">
        <v>5207235391</v>
      </c>
      <c r="K2891" t="s">
        <v>8848</v>
      </c>
      <c r="L2891" t="s">
        <v>1647</v>
      </c>
      <c r="M2891" t="s">
        <v>1634</v>
      </c>
    </row>
    <row r="2892" spans="1:13" x14ac:dyDescent="0.25">
      <c r="A2892">
        <v>89786</v>
      </c>
      <c r="B2892" t="s">
        <v>752</v>
      </c>
      <c r="C2892" t="s">
        <v>8844</v>
      </c>
      <c r="D2892" t="s">
        <v>2596</v>
      </c>
      <c r="E2892" t="s">
        <v>1273</v>
      </c>
      <c r="F2892" t="s">
        <v>8849</v>
      </c>
      <c r="G2892" t="s">
        <v>8668</v>
      </c>
      <c r="H2892">
        <v>4803550504</v>
      </c>
      <c r="K2892" t="s">
        <v>8669</v>
      </c>
      <c r="L2892" t="s">
        <v>8850</v>
      </c>
      <c r="M2892" t="s">
        <v>1640</v>
      </c>
    </row>
    <row r="2893" spans="1:13" x14ac:dyDescent="0.25">
      <c r="A2893">
        <v>89786</v>
      </c>
      <c r="B2893" t="s">
        <v>752</v>
      </c>
      <c r="C2893" t="s">
        <v>8844</v>
      </c>
      <c r="D2893" t="s">
        <v>2596</v>
      </c>
      <c r="E2893" t="s">
        <v>1273</v>
      </c>
      <c r="F2893" t="s">
        <v>8736</v>
      </c>
      <c r="G2893" t="s">
        <v>8737</v>
      </c>
      <c r="H2893">
        <v>4806524555</v>
      </c>
      <c r="K2893" t="s">
        <v>8748</v>
      </c>
      <c r="M2893" t="s">
        <v>1640</v>
      </c>
    </row>
    <row r="2894" spans="1:13" x14ac:dyDescent="0.25">
      <c r="A2894">
        <v>89787</v>
      </c>
      <c r="B2894" t="s">
        <v>753</v>
      </c>
      <c r="C2894" t="s">
        <v>8851</v>
      </c>
      <c r="D2894" t="s">
        <v>2605</v>
      </c>
      <c r="E2894" t="s">
        <v>1273</v>
      </c>
    </row>
    <row r="2895" spans="1:13" x14ac:dyDescent="0.25">
      <c r="A2895">
        <v>89788</v>
      </c>
      <c r="B2895" t="s">
        <v>8852</v>
      </c>
      <c r="C2895" t="s">
        <v>8853</v>
      </c>
      <c r="D2895" t="s">
        <v>2596</v>
      </c>
      <c r="E2895" t="s">
        <v>1273</v>
      </c>
      <c r="F2895" t="s">
        <v>3310</v>
      </c>
      <c r="G2895" t="s">
        <v>8657</v>
      </c>
      <c r="K2895" t="s">
        <v>8658</v>
      </c>
      <c r="M2895" t="s">
        <v>1634</v>
      </c>
    </row>
    <row r="2896" spans="1:13" x14ac:dyDescent="0.25">
      <c r="A2896">
        <v>89788</v>
      </c>
      <c r="B2896" t="s">
        <v>8852</v>
      </c>
      <c r="C2896" t="s">
        <v>8853</v>
      </c>
      <c r="D2896" t="s">
        <v>2596</v>
      </c>
      <c r="E2896" t="s">
        <v>1273</v>
      </c>
      <c r="F2896" t="s">
        <v>8849</v>
      </c>
      <c r="G2896" t="s">
        <v>8668</v>
      </c>
      <c r="H2896">
        <v>4803550504</v>
      </c>
      <c r="J2896">
        <v>4803550506</v>
      </c>
      <c r="K2896" t="s">
        <v>8669</v>
      </c>
      <c r="L2896" t="s">
        <v>8754</v>
      </c>
      <c r="M2896" t="s">
        <v>1640</v>
      </c>
    </row>
    <row r="2897" spans="1:13" x14ac:dyDescent="0.25">
      <c r="A2897">
        <v>89788</v>
      </c>
      <c r="B2897" t="s">
        <v>8852</v>
      </c>
      <c r="C2897" t="s">
        <v>8853</v>
      </c>
      <c r="D2897" t="s">
        <v>2596</v>
      </c>
      <c r="E2897" t="s">
        <v>1273</v>
      </c>
      <c r="F2897" t="s">
        <v>3387</v>
      </c>
      <c r="G2897" t="s">
        <v>8854</v>
      </c>
      <c r="H2897">
        <v>4803350513</v>
      </c>
      <c r="J2897">
        <v>4803550506</v>
      </c>
      <c r="K2897" t="s">
        <v>8855</v>
      </c>
      <c r="M2897" t="s">
        <v>1640</v>
      </c>
    </row>
    <row r="2898" spans="1:13" x14ac:dyDescent="0.25">
      <c r="A2898">
        <v>89789</v>
      </c>
      <c r="B2898" t="s">
        <v>8856</v>
      </c>
      <c r="C2898" t="s">
        <v>8857</v>
      </c>
      <c r="D2898" t="s">
        <v>2605</v>
      </c>
      <c r="E2898" t="s">
        <v>1273</v>
      </c>
      <c r="F2898" t="s">
        <v>2089</v>
      </c>
      <c r="G2898" t="s">
        <v>8858</v>
      </c>
      <c r="K2898" t="s">
        <v>8859</v>
      </c>
      <c r="L2898" t="s">
        <v>1647</v>
      </c>
      <c r="M2898" t="s">
        <v>1634</v>
      </c>
    </row>
    <row r="2899" spans="1:13" x14ac:dyDescent="0.25">
      <c r="A2899">
        <v>89790</v>
      </c>
      <c r="B2899" t="s">
        <v>8860</v>
      </c>
      <c r="C2899" t="s">
        <v>8861</v>
      </c>
      <c r="D2899" t="s">
        <v>2596</v>
      </c>
      <c r="E2899" t="s">
        <v>1273</v>
      </c>
      <c r="F2899" t="s">
        <v>2204</v>
      </c>
      <c r="G2899" t="s">
        <v>8761</v>
      </c>
      <c r="H2899">
        <v>6233441770</v>
      </c>
      <c r="K2899" t="s">
        <v>8762</v>
      </c>
      <c r="L2899" t="s">
        <v>1647</v>
      </c>
      <c r="M2899" t="s">
        <v>1634</v>
      </c>
    </row>
    <row r="2900" spans="1:13" x14ac:dyDescent="0.25">
      <c r="A2900">
        <v>89790</v>
      </c>
      <c r="B2900" t="s">
        <v>8860</v>
      </c>
      <c r="C2900" t="s">
        <v>8861</v>
      </c>
      <c r="D2900" t="s">
        <v>2596</v>
      </c>
      <c r="E2900" t="s">
        <v>1273</v>
      </c>
      <c r="F2900" t="s">
        <v>3310</v>
      </c>
      <c r="G2900" t="s">
        <v>8657</v>
      </c>
      <c r="H2900">
        <v>4803550505</v>
      </c>
      <c r="J2900">
        <v>4803550506</v>
      </c>
      <c r="K2900" t="s">
        <v>8658</v>
      </c>
      <c r="L2900" t="s">
        <v>8659</v>
      </c>
      <c r="M2900" t="s">
        <v>1634</v>
      </c>
    </row>
    <row r="2901" spans="1:13" x14ac:dyDescent="0.25">
      <c r="A2901">
        <v>89790</v>
      </c>
      <c r="B2901" t="s">
        <v>8860</v>
      </c>
      <c r="C2901" t="s">
        <v>8861</v>
      </c>
      <c r="D2901" t="s">
        <v>2596</v>
      </c>
      <c r="E2901" t="s">
        <v>1273</v>
      </c>
      <c r="F2901" t="s">
        <v>3570</v>
      </c>
      <c r="G2901" t="s">
        <v>8660</v>
      </c>
      <c r="K2901" t="s">
        <v>8661</v>
      </c>
      <c r="L2901" t="s">
        <v>8662</v>
      </c>
      <c r="M2901" t="s">
        <v>1634</v>
      </c>
    </row>
    <row r="2902" spans="1:13" x14ac:dyDescent="0.25">
      <c r="A2902">
        <v>89790</v>
      </c>
      <c r="B2902" t="s">
        <v>8860</v>
      </c>
      <c r="C2902" t="s">
        <v>8861</v>
      </c>
      <c r="D2902" t="s">
        <v>2596</v>
      </c>
      <c r="E2902" t="s">
        <v>1273</v>
      </c>
      <c r="F2902" t="s">
        <v>2204</v>
      </c>
      <c r="G2902" t="s">
        <v>8763</v>
      </c>
      <c r="H2902">
        <v>6233441770</v>
      </c>
      <c r="J2902">
        <v>6233441780</v>
      </c>
      <c r="K2902" t="s">
        <v>8764</v>
      </c>
      <c r="L2902" t="s">
        <v>8754</v>
      </c>
      <c r="M2902" t="s">
        <v>1640</v>
      </c>
    </row>
    <row r="2903" spans="1:13" x14ac:dyDescent="0.25">
      <c r="A2903">
        <v>89791</v>
      </c>
      <c r="B2903" t="s">
        <v>8862</v>
      </c>
      <c r="C2903" t="s">
        <v>8863</v>
      </c>
      <c r="D2903" t="s">
        <v>2605</v>
      </c>
      <c r="E2903" t="s">
        <v>1273</v>
      </c>
      <c r="F2903" t="s">
        <v>2204</v>
      </c>
      <c r="G2903" t="s">
        <v>8761</v>
      </c>
      <c r="H2903">
        <v>6233441770</v>
      </c>
      <c r="K2903" t="s">
        <v>8762</v>
      </c>
      <c r="M2903" t="s">
        <v>1634</v>
      </c>
    </row>
    <row r="2904" spans="1:13" x14ac:dyDescent="0.25">
      <c r="A2904">
        <v>89791</v>
      </c>
      <c r="B2904" t="s">
        <v>8862</v>
      </c>
      <c r="C2904" t="s">
        <v>8863</v>
      </c>
      <c r="D2904" t="s">
        <v>2605</v>
      </c>
      <c r="E2904" t="s">
        <v>1273</v>
      </c>
      <c r="F2904" t="s">
        <v>2204</v>
      </c>
      <c r="G2904" t="s">
        <v>8763</v>
      </c>
      <c r="H2904">
        <v>6233441770</v>
      </c>
      <c r="K2904" t="s">
        <v>8764</v>
      </c>
      <c r="M2904" t="s">
        <v>1640</v>
      </c>
    </row>
    <row r="2905" spans="1:13" x14ac:dyDescent="0.25">
      <c r="A2905">
        <v>89798</v>
      </c>
      <c r="B2905" t="s">
        <v>8864</v>
      </c>
      <c r="C2905" t="s">
        <v>8865</v>
      </c>
      <c r="D2905" t="s">
        <v>2596</v>
      </c>
      <c r="E2905" t="s">
        <v>1273</v>
      </c>
      <c r="F2905" t="s">
        <v>8866</v>
      </c>
      <c r="G2905" t="s">
        <v>8867</v>
      </c>
      <c r="H2905">
        <v>4802220811</v>
      </c>
      <c r="J2905">
        <v>4805391028</v>
      </c>
      <c r="K2905" t="s">
        <v>8868</v>
      </c>
      <c r="L2905" t="s">
        <v>8869</v>
      </c>
      <c r="M2905" t="s">
        <v>1634</v>
      </c>
    </row>
    <row r="2906" spans="1:13" x14ac:dyDescent="0.25">
      <c r="A2906">
        <v>89798</v>
      </c>
      <c r="B2906" t="s">
        <v>8864</v>
      </c>
      <c r="C2906" t="s">
        <v>8865</v>
      </c>
      <c r="D2906" t="s">
        <v>2596</v>
      </c>
      <c r="E2906" t="s">
        <v>1273</v>
      </c>
      <c r="F2906" t="s">
        <v>8870</v>
      </c>
      <c r="G2906" t="s">
        <v>6136</v>
      </c>
      <c r="H2906">
        <v>4802220811</v>
      </c>
      <c r="K2906" t="s">
        <v>8871</v>
      </c>
      <c r="L2906" t="s">
        <v>1765</v>
      </c>
      <c r="M2906" t="s">
        <v>1765</v>
      </c>
    </row>
    <row r="2907" spans="1:13" x14ac:dyDescent="0.25">
      <c r="A2907">
        <v>89798</v>
      </c>
      <c r="B2907" t="s">
        <v>8864</v>
      </c>
      <c r="C2907" t="s">
        <v>8865</v>
      </c>
      <c r="D2907" t="s">
        <v>2596</v>
      </c>
      <c r="E2907" t="s">
        <v>1273</v>
      </c>
      <c r="F2907" t="s">
        <v>8872</v>
      </c>
      <c r="G2907" t="s">
        <v>8873</v>
      </c>
      <c r="H2907">
        <v>4802220811</v>
      </c>
      <c r="K2907" t="s">
        <v>8874</v>
      </c>
      <c r="M2907" t="s">
        <v>1765</v>
      </c>
    </row>
    <row r="2908" spans="1:13" x14ac:dyDescent="0.25">
      <c r="A2908">
        <v>89799</v>
      </c>
      <c r="B2908" t="s">
        <v>8875</v>
      </c>
      <c r="C2908" t="s">
        <v>8876</v>
      </c>
      <c r="D2908" t="s">
        <v>2605</v>
      </c>
      <c r="E2908" t="s">
        <v>1273</v>
      </c>
      <c r="F2908" t="s">
        <v>8866</v>
      </c>
      <c r="G2908" t="s">
        <v>8867</v>
      </c>
      <c r="H2908">
        <v>4802220811</v>
      </c>
      <c r="J2908">
        <v>4805391028</v>
      </c>
      <c r="K2908" t="s">
        <v>8868</v>
      </c>
      <c r="L2908" t="s">
        <v>8869</v>
      </c>
      <c r="M2908" t="s">
        <v>1634</v>
      </c>
    </row>
    <row r="2909" spans="1:13" x14ac:dyDescent="0.25">
      <c r="A2909">
        <v>89829</v>
      </c>
      <c r="B2909" t="s">
        <v>8877</v>
      </c>
      <c r="C2909" t="s">
        <v>8878</v>
      </c>
      <c r="D2909" t="s">
        <v>2596</v>
      </c>
      <c r="E2909" t="s">
        <v>1273</v>
      </c>
      <c r="F2909" t="s">
        <v>6014</v>
      </c>
      <c r="G2909" t="s">
        <v>8104</v>
      </c>
      <c r="H2909" t="s">
        <v>8105</v>
      </c>
      <c r="K2909" t="s">
        <v>8106</v>
      </c>
      <c r="L2909" t="s">
        <v>8107</v>
      </c>
      <c r="M2909" t="s">
        <v>1634</v>
      </c>
    </row>
    <row r="2910" spans="1:13" x14ac:dyDescent="0.25">
      <c r="A2910">
        <v>89829</v>
      </c>
      <c r="B2910" t="s">
        <v>8877</v>
      </c>
      <c r="C2910" t="s">
        <v>8878</v>
      </c>
      <c r="D2910" t="s">
        <v>2596</v>
      </c>
      <c r="E2910" t="s">
        <v>1273</v>
      </c>
      <c r="F2910" t="s">
        <v>2307</v>
      </c>
      <c r="G2910" t="s">
        <v>8090</v>
      </c>
      <c r="H2910">
        <v>4802977676</v>
      </c>
      <c r="K2910" t="s">
        <v>8091</v>
      </c>
      <c r="M2910" t="s">
        <v>1634</v>
      </c>
    </row>
    <row r="2911" spans="1:13" x14ac:dyDescent="0.25">
      <c r="A2911">
        <v>89829</v>
      </c>
      <c r="B2911" t="s">
        <v>8877</v>
      </c>
      <c r="C2911" t="s">
        <v>8878</v>
      </c>
      <c r="D2911" t="s">
        <v>2596</v>
      </c>
      <c r="E2911" t="s">
        <v>1273</v>
      </c>
      <c r="F2911" t="s">
        <v>6014</v>
      </c>
      <c r="G2911" t="s">
        <v>8092</v>
      </c>
      <c r="H2911">
        <v>6024387045</v>
      </c>
      <c r="K2911" t="s">
        <v>8093</v>
      </c>
      <c r="M2911" t="s">
        <v>1640</v>
      </c>
    </row>
    <row r="2912" spans="1:13" x14ac:dyDescent="0.25">
      <c r="A2912">
        <v>89829</v>
      </c>
      <c r="B2912" t="s">
        <v>8877</v>
      </c>
      <c r="C2912" t="s">
        <v>8878</v>
      </c>
      <c r="D2912" t="s">
        <v>2596</v>
      </c>
      <c r="E2912" t="s">
        <v>1273</v>
      </c>
      <c r="F2912" t="s">
        <v>7318</v>
      </c>
      <c r="G2912" t="s">
        <v>8094</v>
      </c>
      <c r="H2912">
        <v>6024387045</v>
      </c>
      <c r="K2912" t="s">
        <v>8095</v>
      </c>
      <c r="L2912" t="s">
        <v>8096</v>
      </c>
      <c r="M2912" t="s">
        <v>1640</v>
      </c>
    </row>
    <row r="2913" spans="1:13" x14ac:dyDescent="0.25">
      <c r="A2913">
        <v>89829</v>
      </c>
      <c r="B2913" t="s">
        <v>8877</v>
      </c>
      <c r="C2913" t="s">
        <v>8878</v>
      </c>
      <c r="D2913" t="s">
        <v>2596</v>
      </c>
      <c r="E2913" t="s">
        <v>1273</v>
      </c>
      <c r="F2913" t="s">
        <v>8097</v>
      </c>
      <c r="G2913" t="s">
        <v>8098</v>
      </c>
      <c r="H2913">
        <v>4807216818</v>
      </c>
      <c r="K2913" t="s">
        <v>8099</v>
      </c>
      <c r="M2913" t="s">
        <v>1640</v>
      </c>
    </row>
    <row r="2914" spans="1:13" x14ac:dyDescent="0.25">
      <c r="A2914">
        <v>89829</v>
      </c>
      <c r="B2914" t="s">
        <v>8877</v>
      </c>
      <c r="C2914" t="s">
        <v>8878</v>
      </c>
      <c r="D2914" t="s">
        <v>2596</v>
      </c>
      <c r="E2914" t="s">
        <v>1273</v>
      </c>
      <c r="F2914" t="s">
        <v>1935</v>
      </c>
      <c r="G2914" t="s">
        <v>8100</v>
      </c>
      <c r="H2914" t="s">
        <v>8101</v>
      </c>
      <c r="J2914">
        <v>6024387242</v>
      </c>
      <c r="K2914" t="s">
        <v>8102</v>
      </c>
      <c r="L2914" t="s">
        <v>8103</v>
      </c>
      <c r="M2914" t="s">
        <v>1765</v>
      </c>
    </row>
    <row r="2915" spans="1:13" x14ac:dyDescent="0.25">
      <c r="A2915">
        <v>89829</v>
      </c>
      <c r="B2915" t="s">
        <v>8877</v>
      </c>
      <c r="C2915" t="s">
        <v>8878</v>
      </c>
      <c r="D2915" t="s">
        <v>2596</v>
      </c>
      <c r="E2915" t="s">
        <v>1273</v>
      </c>
      <c r="F2915" t="s">
        <v>6014</v>
      </c>
      <c r="G2915" t="s">
        <v>8104</v>
      </c>
      <c r="H2915" t="s">
        <v>8105</v>
      </c>
      <c r="K2915" t="s">
        <v>8106</v>
      </c>
      <c r="L2915" t="s">
        <v>8107</v>
      </c>
      <c r="M2915" t="s">
        <v>1765</v>
      </c>
    </row>
    <row r="2916" spans="1:13" x14ac:dyDescent="0.25">
      <c r="A2916">
        <v>89830</v>
      </c>
      <c r="B2916" t="s">
        <v>8879</v>
      </c>
      <c r="C2916" t="s">
        <v>8880</v>
      </c>
      <c r="D2916" t="s">
        <v>2605</v>
      </c>
      <c r="E2916" t="s">
        <v>1273</v>
      </c>
      <c r="F2916" t="s">
        <v>8881</v>
      </c>
      <c r="G2916" t="s">
        <v>8882</v>
      </c>
      <c r="H2916">
        <v>6238890822</v>
      </c>
      <c r="M2916" t="s">
        <v>1634</v>
      </c>
    </row>
    <row r="2917" spans="1:13" x14ac:dyDescent="0.25">
      <c r="A2917">
        <v>89850</v>
      </c>
      <c r="B2917" t="s">
        <v>8883</v>
      </c>
      <c r="C2917" t="s">
        <v>8884</v>
      </c>
      <c r="D2917" t="s">
        <v>2596</v>
      </c>
      <c r="E2917" t="s">
        <v>1273</v>
      </c>
      <c r="F2917" t="s">
        <v>2027</v>
      </c>
      <c r="G2917" t="s">
        <v>8885</v>
      </c>
      <c r="H2917">
        <v>4803715787</v>
      </c>
      <c r="J2917">
        <v>6023235401</v>
      </c>
      <c r="K2917" t="s">
        <v>8886</v>
      </c>
      <c r="L2917" t="s">
        <v>8887</v>
      </c>
      <c r="M2917" t="s">
        <v>1634</v>
      </c>
    </row>
    <row r="2918" spans="1:13" x14ac:dyDescent="0.25">
      <c r="A2918">
        <v>89850</v>
      </c>
      <c r="B2918" t="s">
        <v>8883</v>
      </c>
      <c r="C2918" t="s">
        <v>8884</v>
      </c>
      <c r="D2918" t="s">
        <v>2596</v>
      </c>
      <c r="E2918" t="s">
        <v>1273</v>
      </c>
      <c r="F2918" t="s">
        <v>5391</v>
      </c>
      <c r="G2918" t="s">
        <v>8888</v>
      </c>
      <c r="K2918" t="s">
        <v>8889</v>
      </c>
      <c r="L2918" t="s">
        <v>1647</v>
      </c>
      <c r="M2918" t="s">
        <v>1634</v>
      </c>
    </row>
    <row r="2919" spans="1:13" x14ac:dyDescent="0.25">
      <c r="A2919">
        <v>89850</v>
      </c>
      <c r="B2919" t="s">
        <v>8883</v>
      </c>
      <c r="C2919" t="s">
        <v>8884</v>
      </c>
      <c r="D2919" t="s">
        <v>2596</v>
      </c>
      <c r="E2919" t="s">
        <v>1273</v>
      </c>
      <c r="F2919" t="s">
        <v>8890</v>
      </c>
      <c r="G2919" t="s">
        <v>8891</v>
      </c>
      <c r="H2919">
        <v>2625429546</v>
      </c>
      <c r="K2919" t="s">
        <v>8892</v>
      </c>
      <c r="L2919" t="s">
        <v>8893</v>
      </c>
      <c r="M2919" t="s">
        <v>1634</v>
      </c>
    </row>
    <row r="2920" spans="1:13" x14ac:dyDescent="0.25">
      <c r="A2920">
        <v>89850</v>
      </c>
      <c r="B2920" t="s">
        <v>8883</v>
      </c>
      <c r="C2920" t="s">
        <v>8884</v>
      </c>
      <c r="D2920" t="s">
        <v>2596</v>
      </c>
      <c r="E2920" t="s">
        <v>1273</v>
      </c>
      <c r="F2920" t="s">
        <v>8894</v>
      </c>
      <c r="G2920" t="s">
        <v>8895</v>
      </c>
      <c r="H2920">
        <v>3472344321</v>
      </c>
      <c r="K2920" t="s">
        <v>8896</v>
      </c>
      <c r="L2920" t="s">
        <v>8283</v>
      </c>
      <c r="M2920" t="s">
        <v>1634</v>
      </c>
    </row>
    <row r="2921" spans="1:13" x14ac:dyDescent="0.25">
      <c r="A2921">
        <v>89850</v>
      </c>
      <c r="B2921" t="s">
        <v>8883</v>
      </c>
      <c r="C2921" t="s">
        <v>8884</v>
      </c>
      <c r="D2921" t="s">
        <v>2596</v>
      </c>
      <c r="E2921" t="s">
        <v>1273</v>
      </c>
      <c r="F2921" t="s">
        <v>2249</v>
      </c>
      <c r="G2921" t="s">
        <v>2705</v>
      </c>
      <c r="K2921" t="s">
        <v>7982</v>
      </c>
      <c r="M2921" t="s">
        <v>1634</v>
      </c>
    </row>
    <row r="2922" spans="1:13" x14ac:dyDescent="0.25">
      <c r="A2922">
        <v>89850</v>
      </c>
      <c r="B2922" t="s">
        <v>8883</v>
      </c>
      <c r="C2922" t="s">
        <v>8884</v>
      </c>
      <c r="D2922" t="s">
        <v>2596</v>
      </c>
      <c r="E2922" t="s">
        <v>1273</v>
      </c>
      <c r="F2922" t="s">
        <v>3113</v>
      </c>
      <c r="G2922" t="s">
        <v>7983</v>
      </c>
      <c r="H2922">
        <v>2625429546</v>
      </c>
      <c r="K2922" t="s">
        <v>7984</v>
      </c>
      <c r="L2922" t="s">
        <v>7985</v>
      </c>
      <c r="M2922" t="s">
        <v>1640</v>
      </c>
    </row>
    <row r="2923" spans="1:13" x14ac:dyDescent="0.25">
      <c r="A2923">
        <v>89850</v>
      </c>
      <c r="B2923" t="s">
        <v>8883</v>
      </c>
      <c r="C2923" t="s">
        <v>8884</v>
      </c>
      <c r="D2923" t="s">
        <v>2596</v>
      </c>
      <c r="E2923" t="s">
        <v>1273</v>
      </c>
      <c r="F2923" t="s">
        <v>3113</v>
      </c>
      <c r="G2923" t="s">
        <v>7983</v>
      </c>
      <c r="H2923">
        <v>2625429546</v>
      </c>
      <c r="K2923" t="s">
        <v>7984</v>
      </c>
      <c r="L2923" t="s">
        <v>7985</v>
      </c>
      <c r="M2923" t="s">
        <v>1765</v>
      </c>
    </row>
    <row r="2924" spans="1:13" x14ac:dyDescent="0.25">
      <c r="A2924">
        <v>89851</v>
      </c>
      <c r="B2924" t="s">
        <v>8897</v>
      </c>
      <c r="C2924" t="s">
        <v>8898</v>
      </c>
      <c r="D2924" t="s">
        <v>2605</v>
      </c>
      <c r="E2924" t="s">
        <v>1273</v>
      </c>
    </row>
    <row r="2925" spans="1:13" x14ac:dyDescent="0.25">
      <c r="A2925">
        <v>89869</v>
      </c>
      <c r="B2925" t="s">
        <v>8899</v>
      </c>
      <c r="C2925" t="s">
        <v>8900</v>
      </c>
      <c r="D2925" t="s">
        <v>2596</v>
      </c>
      <c r="E2925" t="s">
        <v>1273</v>
      </c>
      <c r="F2925" t="s">
        <v>8901</v>
      </c>
      <c r="G2925" t="s">
        <v>4769</v>
      </c>
      <c r="H2925">
        <v>4807792010</v>
      </c>
      <c r="K2925" t="s">
        <v>8902</v>
      </c>
      <c r="L2925" t="s">
        <v>8045</v>
      </c>
      <c r="M2925" t="s">
        <v>1634</v>
      </c>
    </row>
    <row r="2926" spans="1:13" x14ac:dyDescent="0.25">
      <c r="A2926">
        <v>89870</v>
      </c>
      <c r="B2926" t="s">
        <v>8903</v>
      </c>
      <c r="C2926" t="s">
        <v>8904</v>
      </c>
      <c r="D2926" t="s">
        <v>2605</v>
      </c>
      <c r="E2926" t="s">
        <v>1273</v>
      </c>
      <c r="F2926" t="s">
        <v>3193</v>
      </c>
      <c r="G2926" t="s">
        <v>8905</v>
      </c>
      <c r="M2926" t="s">
        <v>1634</v>
      </c>
    </row>
    <row r="2927" spans="1:13" x14ac:dyDescent="0.25">
      <c r="A2927">
        <v>89870</v>
      </c>
      <c r="B2927" t="s">
        <v>8903</v>
      </c>
      <c r="C2927" t="s">
        <v>8904</v>
      </c>
      <c r="D2927" t="s">
        <v>2605</v>
      </c>
      <c r="E2927" t="s">
        <v>1273</v>
      </c>
      <c r="F2927" t="s">
        <v>8901</v>
      </c>
      <c r="G2927" t="s">
        <v>4769</v>
      </c>
      <c r="K2927" t="s">
        <v>8902</v>
      </c>
      <c r="L2927" t="s">
        <v>1647</v>
      </c>
      <c r="M2927" t="s">
        <v>1634</v>
      </c>
    </row>
    <row r="2928" spans="1:13" x14ac:dyDescent="0.25">
      <c r="A2928">
        <v>89870</v>
      </c>
      <c r="B2928" t="s">
        <v>8903</v>
      </c>
      <c r="C2928" t="s">
        <v>8904</v>
      </c>
      <c r="D2928" t="s">
        <v>2605</v>
      </c>
      <c r="E2928" t="s">
        <v>1273</v>
      </c>
      <c r="F2928" t="s">
        <v>2704</v>
      </c>
      <c r="G2928" t="s">
        <v>8906</v>
      </c>
      <c r="H2928">
        <v>4807792000</v>
      </c>
      <c r="K2928" t="s">
        <v>8907</v>
      </c>
      <c r="M2928" t="s">
        <v>1634</v>
      </c>
    </row>
    <row r="2929" spans="1:13" x14ac:dyDescent="0.25">
      <c r="A2929">
        <v>89870</v>
      </c>
      <c r="B2929" t="s">
        <v>8903</v>
      </c>
      <c r="C2929" t="s">
        <v>8904</v>
      </c>
      <c r="D2929" t="s">
        <v>2605</v>
      </c>
      <c r="E2929" t="s">
        <v>1273</v>
      </c>
      <c r="F2929" t="s">
        <v>8908</v>
      </c>
      <c r="G2929" t="s">
        <v>8909</v>
      </c>
      <c r="K2929" t="s">
        <v>8910</v>
      </c>
      <c r="M2929" t="s">
        <v>1634</v>
      </c>
    </row>
    <row r="2930" spans="1:13" x14ac:dyDescent="0.25">
      <c r="A2930">
        <v>89917</v>
      </c>
      <c r="B2930" t="s">
        <v>8911</v>
      </c>
      <c r="C2930" t="s">
        <v>8912</v>
      </c>
      <c r="D2930" t="s">
        <v>2596</v>
      </c>
      <c r="E2930" t="s">
        <v>1273</v>
      </c>
      <c r="F2930" t="s">
        <v>8913</v>
      </c>
      <c r="G2930" t="s">
        <v>8914</v>
      </c>
      <c r="J2930">
        <v>4809405458</v>
      </c>
      <c r="K2930" t="s">
        <v>8915</v>
      </c>
      <c r="L2930" t="s">
        <v>8916</v>
      </c>
      <c r="M2930" t="s">
        <v>1634</v>
      </c>
    </row>
    <row r="2931" spans="1:13" x14ac:dyDescent="0.25">
      <c r="A2931">
        <v>89917</v>
      </c>
      <c r="B2931" t="s">
        <v>8911</v>
      </c>
      <c r="C2931" t="s">
        <v>8912</v>
      </c>
      <c r="D2931" t="s">
        <v>2596</v>
      </c>
      <c r="E2931" t="s">
        <v>1273</v>
      </c>
      <c r="F2931" t="s">
        <v>4638</v>
      </c>
      <c r="G2931" t="s">
        <v>8917</v>
      </c>
      <c r="H2931">
        <v>4809405440</v>
      </c>
      <c r="K2931" t="s">
        <v>8918</v>
      </c>
      <c r="L2931" t="s">
        <v>1640</v>
      </c>
      <c r="M2931" t="s">
        <v>1634</v>
      </c>
    </row>
    <row r="2932" spans="1:13" x14ac:dyDescent="0.25">
      <c r="A2932">
        <v>89917</v>
      </c>
      <c r="B2932" t="s">
        <v>8911</v>
      </c>
      <c r="C2932" t="s">
        <v>8912</v>
      </c>
      <c r="D2932" t="s">
        <v>2596</v>
      </c>
      <c r="E2932" t="s">
        <v>1273</v>
      </c>
      <c r="F2932" t="s">
        <v>4638</v>
      </c>
      <c r="G2932" t="s">
        <v>8917</v>
      </c>
      <c r="H2932">
        <v>4809405440</v>
      </c>
      <c r="K2932" t="s">
        <v>8918</v>
      </c>
      <c r="L2932" t="s">
        <v>1640</v>
      </c>
      <c r="M2932" t="s">
        <v>1640</v>
      </c>
    </row>
    <row r="2933" spans="1:13" x14ac:dyDescent="0.25">
      <c r="A2933">
        <v>89918</v>
      </c>
      <c r="B2933" t="s">
        <v>8919</v>
      </c>
      <c r="C2933" t="s">
        <v>8920</v>
      </c>
      <c r="D2933" t="s">
        <v>2605</v>
      </c>
      <c r="E2933" t="s">
        <v>1273</v>
      </c>
      <c r="F2933" t="s">
        <v>8921</v>
      </c>
      <c r="G2933" t="s">
        <v>8922</v>
      </c>
      <c r="H2933">
        <v>4807533889</v>
      </c>
      <c r="J2933">
        <v>4807533385</v>
      </c>
      <c r="K2933" t="s">
        <v>8923</v>
      </c>
      <c r="L2933" t="s">
        <v>1647</v>
      </c>
      <c r="M2933" t="s">
        <v>1634</v>
      </c>
    </row>
    <row r="2934" spans="1:13" x14ac:dyDescent="0.25">
      <c r="A2934">
        <v>89918</v>
      </c>
      <c r="B2934" t="s">
        <v>8919</v>
      </c>
      <c r="C2934" t="s">
        <v>8920</v>
      </c>
      <c r="D2934" t="s">
        <v>2605</v>
      </c>
      <c r="E2934" t="s">
        <v>1273</v>
      </c>
      <c r="F2934" t="s">
        <v>8924</v>
      </c>
      <c r="G2934" t="s">
        <v>8925</v>
      </c>
      <c r="H2934">
        <v>4809405440</v>
      </c>
      <c r="K2934" t="s">
        <v>8926</v>
      </c>
      <c r="L2934" t="s">
        <v>8309</v>
      </c>
      <c r="M2934" t="s">
        <v>1634</v>
      </c>
    </row>
    <row r="2935" spans="1:13" x14ac:dyDescent="0.25">
      <c r="A2935">
        <v>89949</v>
      </c>
      <c r="B2935" t="s">
        <v>8001</v>
      </c>
      <c r="C2935" t="s">
        <v>8927</v>
      </c>
      <c r="D2935" t="s">
        <v>2596</v>
      </c>
      <c r="E2935" t="s">
        <v>1273</v>
      </c>
      <c r="F2935" t="s">
        <v>1732</v>
      </c>
      <c r="G2935" t="s">
        <v>1976</v>
      </c>
      <c r="K2935" t="s">
        <v>8453</v>
      </c>
      <c r="M2935" t="s">
        <v>1634</v>
      </c>
    </row>
    <row r="2936" spans="1:13" x14ac:dyDescent="0.25">
      <c r="A2936">
        <v>89949</v>
      </c>
      <c r="B2936" t="s">
        <v>8001</v>
      </c>
      <c r="C2936" t="s">
        <v>8927</v>
      </c>
      <c r="D2936" t="s">
        <v>2596</v>
      </c>
      <c r="E2936" t="s">
        <v>1273</v>
      </c>
      <c r="F2936" t="s">
        <v>7508</v>
      </c>
      <c r="G2936" t="s">
        <v>8007</v>
      </c>
      <c r="H2936">
        <v>4809654470</v>
      </c>
      <c r="K2936" t="s">
        <v>8008</v>
      </c>
      <c r="L2936" t="s">
        <v>8009</v>
      </c>
      <c r="M2936" t="s">
        <v>1634</v>
      </c>
    </row>
    <row r="2937" spans="1:13" x14ac:dyDescent="0.25">
      <c r="A2937">
        <v>89949</v>
      </c>
      <c r="B2937" t="s">
        <v>8001</v>
      </c>
      <c r="C2937" t="s">
        <v>8927</v>
      </c>
      <c r="D2937" t="s">
        <v>2596</v>
      </c>
      <c r="E2937" t="s">
        <v>1273</v>
      </c>
      <c r="F2937" t="s">
        <v>8003</v>
      </c>
      <c r="G2937" t="s">
        <v>8004</v>
      </c>
      <c r="H2937">
        <v>4807276215</v>
      </c>
      <c r="K2937" t="s">
        <v>8456</v>
      </c>
      <c r="M2937" t="s">
        <v>1634</v>
      </c>
    </row>
    <row r="2938" spans="1:13" x14ac:dyDescent="0.25">
      <c r="A2938">
        <v>89949</v>
      </c>
      <c r="B2938" t="s">
        <v>8001</v>
      </c>
      <c r="C2938" t="s">
        <v>8927</v>
      </c>
      <c r="D2938" t="s">
        <v>2596</v>
      </c>
      <c r="E2938" t="s">
        <v>1273</v>
      </c>
      <c r="F2938" t="s">
        <v>6350</v>
      </c>
      <c r="G2938" t="s">
        <v>8379</v>
      </c>
      <c r="H2938">
        <v>4807275803</v>
      </c>
      <c r="K2938" t="s">
        <v>8380</v>
      </c>
      <c r="M2938" t="s">
        <v>1634</v>
      </c>
    </row>
    <row r="2939" spans="1:13" x14ac:dyDescent="0.25">
      <c r="A2939">
        <v>89949</v>
      </c>
      <c r="B2939" t="s">
        <v>8001</v>
      </c>
      <c r="C2939" t="s">
        <v>8927</v>
      </c>
      <c r="D2939" t="s">
        <v>2596</v>
      </c>
      <c r="E2939" t="s">
        <v>1273</v>
      </c>
      <c r="F2939" t="s">
        <v>6792</v>
      </c>
      <c r="G2939" t="s">
        <v>8010</v>
      </c>
      <c r="K2939" t="s">
        <v>8011</v>
      </c>
      <c r="L2939" t="s">
        <v>8012</v>
      </c>
      <c r="M2939" t="s">
        <v>1640</v>
      </c>
    </row>
    <row r="2940" spans="1:13" x14ac:dyDescent="0.25">
      <c r="A2940">
        <v>89949</v>
      </c>
      <c r="B2940" t="s">
        <v>8001</v>
      </c>
      <c r="C2940" t="s">
        <v>8927</v>
      </c>
      <c r="D2940" t="s">
        <v>2596</v>
      </c>
      <c r="E2940" t="s">
        <v>1273</v>
      </c>
      <c r="F2940" t="s">
        <v>8013</v>
      </c>
      <c r="G2940" t="s">
        <v>8014</v>
      </c>
      <c r="H2940">
        <v>4807275805</v>
      </c>
      <c r="M2940" t="s">
        <v>1640</v>
      </c>
    </row>
    <row r="2941" spans="1:13" x14ac:dyDescent="0.25">
      <c r="A2941">
        <v>89949</v>
      </c>
      <c r="B2941" t="s">
        <v>8001</v>
      </c>
      <c r="C2941" t="s">
        <v>8927</v>
      </c>
      <c r="D2941" t="s">
        <v>2596</v>
      </c>
      <c r="E2941" t="s">
        <v>1273</v>
      </c>
      <c r="F2941" t="s">
        <v>2009</v>
      </c>
      <c r="G2941" t="s">
        <v>3419</v>
      </c>
      <c r="H2941">
        <v>4807276223</v>
      </c>
      <c r="K2941" t="s">
        <v>8015</v>
      </c>
      <c r="M2941" t="s">
        <v>1765</v>
      </c>
    </row>
    <row r="2942" spans="1:13" x14ac:dyDescent="0.25">
      <c r="A2942">
        <v>90271</v>
      </c>
      <c r="B2942" t="s">
        <v>8928</v>
      </c>
      <c r="C2942" t="s">
        <v>8929</v>
      </c>
      <c r="D2942" t="s">
        <v>2605</v>
      </c>
      <c r="E2942" t="s">
        <v>1273</v>
      </c>
    </row>
    <row r="2943" spans="1:13" x14ac:dyDescent="0.25">
      <c r="A2943">
        <v>90034</v>
      </c>
      <c r="B2943" t="s">
        <v>8930</v>
      </c>
      <c r="C2943" t="s">
        <v>8931</v>
      </c>
      <c r="D2943" t="s">
        <v>2596</v>
      </c>
      <c r="E2943" t="s">
        <v>1273</v>
      </c>
      <c r="F2943" t="s">
        <v>8742</v>
      </c>
      <c r="G2943" t="s">
        <v>8671</v>
      </c>
      <c r="H2943">
        <v>4803550502</v>
      </c>
      <c r="K2943" t="s">
        <v>8932</v>
      </c>
      <c r="L2943" t="s">
        <v>8636</v>
      </c>
      <c r="M2943" t="s">
        <v>1634</v>
      </c>
    </row>
    <row r="2944" spans="1:13" x14ac:dyDescent="0.25">
      <c r="A2944">
        <v>90034</v>
      </c>
      <c r="B2944" t="s">
        <v>8930</v>
      </c>
      <c r="C2944" t="s">
        <v>8931</v>
      </c>
      <c r="D2944" t="s">
        <v>2596</v>
      </c>
      <c r="E2944" t="s">
        <v>1273</v>
      </c>
      <c r="F2944" t="s">
        <v>4352</v>
      </c>
      <c r="G2944" t="s">
        <v>2705</v>
      </c>
      <c r="H2944">
        <v>5204242788</v>
      </c>
      <c r="J2944">
        <v>5207236315</v>
      </c>
      <c r="K2944" t="s">
        <v>8933</v>
      </c>
      <c r="L2944" t="s">
        <v>1647</v>
      </c>
      <c r="M2944" t="s">
        <v>1634</v>
      </c>
    </row>
    <row r="2945" spans="1:13" x14ac:dyDescent="0.25">
      <c r="A2945">
        <v>90034</v>
      </c>
      <c r="B2945" t="s">
        <v>8930</v>
      </c>
      <c r="C2945" t="s">
        <v>8931</v>
      </c>
      <c r="D2945" t="s">
        <v>2596</v>
      </c>
      <c r="E2945" t="s">
        <v>1273</v>
      </c>
      <c r="F2945" t="s">
        <v>3570</v>
      </c>
      <c r="G2945" t="s">
        <v>8660</v>
      </c>
      <c r="H2945">
        <v>4806524555</v>
      </c>
      <c r="K2945" t="s">
        <v>8934</v>
      </c>
      <c r="L2945" t="s">
        <v>8662</v>
      </c>
      <c r="M2945" t="s">
        <v>1634</v>
      </c>
    </row>
    <row r="2946" spans="1:13" x14ac:dyDescent="0.25">
      <c r="A2946">
        <v>90034</v>
      </c>
      <c r="B2946" t="s">
        <v>8930</v>
      </c>
      <c r="C2946" t="s">
        <v>8931</v>
      </c>
      <c r="D2946" t="s">
        <v>2596</v>
      </c>
      <c r="E2946" t="s">
        <v>1273</v>
      </c>
      <c r="F2946" t="s">
        <v>3310</v>
      </c>
      <c r="G2946" t="s">
        <v>8657</v>
      </c>
      <c r="K2946" t="s">
        <v>8658</v>
      </c>
      <c r="M2946" t="s">
        <v>1634</v>
      </c>
    </row>
    <row r="2947" spans="1:13" x14ac:dyDescent="0.25">
      <c r="A2947">
        <v>90034</v>
      </c>
      <c r="B2947" t="s">
        <v>8930</v>
      </c>
      <c r="C2947" t="s">
        <v>8931</v>
      </c>
      <c r="D2947" t="s">
        <v>2596</v>
      </c>
      <c r="E2947" t="s">
        <v>1273</v>
      </c>
      <c r="F2947" t="s">
        <v>2189</v>
      </c>
      <c r="G2947" t="s">
        <v>3429</v>
      </c>
      <c r="H2947">
        <v>4806524555</v>
      </c>
      <c r="J2947">
        <v>5207235491</v>
      </c>
      <c r="K2947" t="s">
        <v>8935</v>
      </c>
      <c r="L2947" t="s">
        <v>1721</v>
      </c>
      <c r="M2947" t="s">
        <v>1634</v>
      </c>
    </row>
    <row r="2948" spans="1:13" x14ac:dyDescent="0.25">
      <c r="A2948">
        <v>90034</v>
      </c>
      <c r="B2948" t="s">
        <v>8930</v>
      </c>
      <c r="C2948" t="s">
        <v>8931</v>
      </c>
      <c r="D2948" t="s">
        <v>2596</v>
      </c>
      <c r="E2948" t="s">
        <v>1273</v>
      </c>
      <c r="F2948" t="s">
        <v>8849</v>
      </c>
      <c r="G2948" t="s">
        <v>8668</v>
      </c>
      <c r="H2948">
        <v>4803550504</v>
      </c>
      <c r="J2948">
        <v>4803550506</v>
      </c>
      <c r="K2948" t="s">
        <v>8669</v>
      </c>
      <c r="L2948" t="s">
        <v>8850</v>
      </c>
      <c r="M2948" t="s">
        <v>1640</v>
      </c>
    </row>
    <row r="2949" spans="1:13" x14ac:dyDescent="0.25">
      <c r="A2949">
        <v>90035</v>
      </c>
      <c r="B2949" t="s">
        <v>8936</v>
      </c>
      <c r="C2949" t="s">
        <v>8937</v>
      </c>
      <c r="D2949" t="s">
        <v>2605</v>
      </c>
      <c r="E2949" t="s">
        <v>1273</v>
      </c>
      <c r="F2949" t="s">
        <v>4352</v>
      </c>
      <c r="G2949" t="s">
        <v>2705</v>
      </c>
      <c r="L2949" t="s">
        <v>1647</v>
      </c>
      <c r="M2949" t="s">
        <v>1634</v>
      </c>
    </row>
    <row r="2950" spans="1:13" x14ac:dyDescent="0.25">
      <c r="A2950">
        <v>90036</v>
      </c>
      <c r="B2950" t="s">
        <v>8938</v>
      </c>
      <c r="C2950" t="s">
        <v>8939</v>
      </c>
      <c r="D2950" t="s">
        <v>2596</v>
      </c>
      <c r="E2950" t="s">
        <v>1273</v>
      </c>
      <c r="F2950" t="s">
        <v>2745</v>
      </c>
      <c r="G2950" t="s">
        <v>8940</v>
      </c>
      <c r="H2950">
        <v>6022853003</v>
      </c>
      <c r="K2950" t="s">
        <v>8941</v>
      </c>
      <c r="L2950" t="s">
        <v>8942</v>
      </c>
      <c r="M2950" t="s">
        <v>1634</v>
      </c>
    </row>
    <row r="2951" spans="1:13" x14ac:dyDescent="0.25">
      <c r="A2951">
        <v>90036</v>
      </c>
      <c r="B2951" t="s">
        <v>8938</v>
      </c>
      <c r="C2951" t="s">
        <v>8939</v>
      </c>
      <c r="D2951" t="s">
        <v>2596</v>
      </c>
      <c r="E2951" t="s">
        <v>1273</v>
      </c>
      <c r="F2951" t="s">
        <v>8943</v>
      </c>
      <c r="G2951" t="s">
        <v>8944</v>
      </c>
      <c r="K2951" t="s">
        <v>8945</v>
      </c>
      <c r="M2951" t="s">
        <v>1634</v>
      </c>
    </row>
    <row r="2952" spans="1:13" x14ac:dyDescent="0.25">
      <c r="A2952">
        <v>90036</v>
      </c>
      <c r="B2952" t="s">
        <v>8938</v>
      </c>
      <c r="C2952" t="s">
        <v>8939</v>
      </c>
      <c r="D2952" t="s">
        <v>2596</v>
      </c>
      <c r="E2952" t="s">
        <v>1273</v>
      </c>
      <c r="F2952" t="s">
        <v>7511</v>
      </c>
      <c r="G2952" t="s">
        <v>7989</v>
      </c>
      <c r="H2952">
        <v>6026047280</v>
      </c>
      <c r="K2952" t="s">
        <v>8946</v>
      </c>
      <c r="M2952" t="s">
        <v>1765</v>
      </c>
    </row>
    <row r="2953" spans="1:13" x14ac:dyDescent="0.25">
      <c r="A2953">
        <v>90037</v>
      </c>
      <c r="B2953" t="s">
        <v>8947</v>
      </c>
      <c r="C2953" t="s">
        <v>8948</v>
      </c>
      <c r="D2953" t="s">
        <v>2605</v>
      </c>
      <c r="E2953" t="s">
        <v>1273</v>
      </c>
      <c r="F2953" t="s">
        <v>2745</v>
      </c>
      <c r="G2953" t="s">
        <v>8940</v>
      </c>
      <c r="K2953" t="s">
        <v>8949</v>
      </c>
      <c r="M2953" t="s">
        <v>1634</v>
      </c>
    </row>
    <row r="2954" spans="1:13" x14ac:dyDescent="0.25">
      <c r="A2954">
        <v>90138</v>
      </c>
      <c r="B2954" t="s">
        <v>8950</v>
      </c>
      <c r="C2954" t="s">
        <v>8951</v>
      </c>
      <c r="D2954" t="s">
        <v>2596</v>
      </c>
      <c r="E2954" t="s">
        <v>1273</v>
      </c>
      <c r="F2954" t="s">
        <v>2587</v>
      </c>
      <c r="G2954" t="s">
        <v>8952</v>
      </c>
      <c r="H2954">
        <v>6029385517</v>
      </c>
      <c r="J2954">
        <v>6029381179</v>
      </c>
      <c r="K2954" t="s">
        <v>8953</v>
      </c>
      <c r="L2954" t="s">
        <v>8086</v>
      </c>
      <c r="M2954" t="s">
        <v>1634</v>
      </c>
    </row>
    <row r="2955" spans="1:13" x14ac:dyDescent="0.25">
      <c r="A2955">
        <v>90138</v>
      </c>
      <c r="B2955" t="s">
        <v>8950</v>
      </c>
      <c r="C2955" t="s">
        <v>8951</v>
      </c>
      <c r="D2955" t="s">
        <v>2596</v>
      </c>
      <c r="E2955" t="s">
        <v>1273</v>
      </c>
      <c r="F2955" t="s">
        <v>1718</v>
      </c>
      <c r="G2955" t="s">
        <v>8954</v>
      </c>
      <c r="H2955">
        <v>6029385517</v>
      </c>
      <c r="I2955">
        <v>104</v>
      </c>
      <c r="K2955" t="s">
        <v>8955</v>
      </c>
      <c r="L2955" t="s">
        <v>8045</v>
      </c>
      <c r="M2955" t="s">
        <v>1634</v>
      </c>
    </row>
    <row r="2956" spans="1:13" x14ac:dyDescent="0.25">
      <c r="A2956">
        <v>90138</v>
      </c>
      <c r="B2956" t="s">
        <v>8950</v>
      </c>
      <c r="C2956" t="s">
        <v>8951</v>
      </c>
      <c r="D2956" t="s">
        <v>2596</v>
      </c>
      <c r="E2956" t="s">
        <v>1273</v>
      </c>
      <c r="F2956" t="s">
        <v>3491</v>
      </c>
      <c r="G2956" t="s">
        <v>8956</v>
      </c>
      <c r="H2956">
        <v>6025952990</v>
      </c>
      <c r="K2956" t="s">
        <v>8957</v>
      </c>
      <c r="L2956" t="s">
        <v>1647</v>
      </c>
      <c r="M2956" t="s">
        <v>1634</v>
      </c>
    </row>
    <row r="2957" spans="1:13" x14ac:dyDescent="0.25">
      <c r="A2957">
        <v>90138</v>
      </c>
      <c r="B2957" t="s">
        <v>8950</v>
      </c>
      <c r="C2957" t="s">
        <v>8951</v>
      </c>
      <c r="D2957" t="s">
        <v>2596</v>
      </c>
      <c r="E2957" t="s">
        <v>1273</v>
      </c>
      <c r="F2957" t="s">
        <v>5536</v>
      </c>
      <c r="G2957" t="s">
        <v>8958</v>
      </c>
      <c r="H2957">
        <v>6029385517</v>
      </c>
      <c r="K2957" t="s">
        <v>8959</v>
      </c>
      <c r="L2957" t="s">
        <v>1647</v>
      </c>
      <c r="M2957" t="s">
        <v>1634</v>
      </c>
    </row>
    <row r="2958" spans="1:13" x14ac:dyDescent="0.25">
      <c r="A2958">
        <v>90138</v>
      </c>
      <c r="B2958" t="s">
        <v>8950</v>
      </c>
      <c r="C2958" t="s">
        <v>8951</v>
      </c>
      <c r="D2958" t="s">
        <v>2596</v>
      </c>
      <c r="E2958" t="s">
        <v>1273</v>
      </c>
      <c r="F2958" t="s">
        <v>1718</v>
      </c>
      <c r="G2958" t="s">
        <v>8954</v>
      </c>
      <c r="H2958">
        <v>6029385517</v>
      </c>
      <c r="I2958">
        <v>104</v>
      </c>
      <c r="K2958" t="s">
        <v>8955</v>
      </c>
      <c r="L2958" t="s">
        <v>8045</v>
      </c>
      <c r="M2958" t="s">
        <v>1640</v>
      </c>
    </row>
    <row r="2959" spans="1:13" x14ac:dyDescent="0.25">
      <c r="A2959">
        <v>90138</v>
      </c>
      <c r="B2959" t="s">
        <v>8950</v>
      </c>
      <c r="C2959" t="s">
        <v>8951</v>
      </c>
      <c r="D2959" t="s">
        <v>2596</v>
      </c>
      <c r="E2959" t="s">
        <v>1273</v>
      </c>
      <c r="F2959" t="s">
        <v>8960</v>
      </c>
      <c r="G2959" t="s">
        <v>8961</v>
      </c>
      <c r="H2959">
        <v>6029385517</v>
      </c>
      <c r="K2959" t="s">
        <v>8962</v>
      </c>
      <c r="L2959" t="s">
        <v>1765</v>
      </c>
      <c r="M2959" t="s">
        <v>1765</v>
      </c>
    </row>
    <row r="2960" spans="1:13" x14ac:dyDescent="0.25">
      <c r="A2960">
        <v>90139</v>
      </c>
      <c r="B2960" t="s">
        <v>8963</v>
      </c>
      <c r="C2960" t="s">
        <v>8964</v>
      </c>
      <c r="D2960" t="s">
        <v>2605</v>
      </c>
      <c r="E2960" t="s">
        <v>1273</v>
      </c>
      <c r="F2960" t="s">
        <v>1943</v>
      </c>
      <c r="G2960" t="s">
        <v>8965</v>
      </c>
      <c r="J2960">
        <v>6029381179</v>
      </c>
      <c r="K2960" t="s">
        <v>8966</v>
      </c>
      <c r="M2960" t="s">
        <v>1634</v>
      </c>
    </row>
    <row r="2961" spans="1:13" x14ac:dyDescent="0.25">
      <c r="A2961">
        <v>92636</v>
      </c>
      <c r="B2961" t="s">
        <v>8967</v>
      </c>
      <c r="C2961" t="s">
        <v>8968</v>
      </c>
      <c r="D2961" t="s">
        <v>2605</v>
      </c>
      <c r="E2961" t="s">
        <v>1273</v>
      </c>
    </row>
    <row r="2962" spans="1:13" x14ac:dyDescent="0.25">
      <c r="A2962">
        <v>90140</v>
      </c>
      <c r="B2962" t="s">
        <v>8969</v>
      </c>
      <c r="C2962" t="s">
        <v>8970</v>
      </c>
      <c r="D2962" t="s">
        <v>2596</v>
      </c>
      <c r="E2962" t="s">
        <v>1273</v>
      </c>
      <c r="F2962" t="s">
        <v>3165</v>
      </c>
      <c r="G2962" t="s">
        <v>8971</v>
      </c>
      <c r="H2962">
        <v>6239333733</v>
      </c>
      <c r="I2962">
        <v>2002</v>
      </c>
      <c r="J2962">
        <v>6232520022</v>
      </c>
      <c r="K2962" t="s">
        <v>8972</v>
      </c>
      <c r="L2962" t="s">
        <v>8390</v>
      </c>
      <c r="M2962" t="s">
        <v>1634</v>
      </c>
    </row>
    <row r="2963" spans="1:13" x14ac:dyDescent="0.25">
      <c r="A2963">
        <v>90140</v>
      </c>
      <c r="B2963" t="s">
        <v>8969</v>
      </c>
      <c r="C2963" t="s">
        <v>8970</v>
      </c>
      <c r="D2963" t="s">
        <v>2596</v>
      </c>
      <c r="E2963" t="s">
        <v>1273</v>
      </c>
      <c r="F2963" t="s">
        <v>2156</v>
      </c>
      <c r="G2963" t="s">
        <v>2440</v>
      </c>
      <c r="K2963" t="s">
        <v>8973</v>
      </c>
      <c r="L2963" t="s">
        <v>8390</v>
      </c>
      <c r="M2963" t="s">
        <v>1634</v>
      </c>
    </row>
    <row r="2964" spans="1:13" x14ac:dyDescent="0.25">
      <c r="A2964">
        <v>90140</v>
      </c>
      <c r="B2964" t="s">
        <v>8969</v>
      </c>
      <c r="C2964" t="s">
        <v>8970</v>
      </c>
      <c r="D2964" t="s">
        <v>2596</v>
      </c>
      <c r="E2964" t="s">
        <v>1273</v>
      </c>
      <c r="F2964" t="s">
        <v>2156</v>
      </c>
      <c r="G2964" t="s">
        <v>4730</v>
      </c>
      <c r="H2964">
        <v>6239333733</v>
      </c>
      <c r="K2964" t="s">
        <v>8974</v>
      </c>
      <c r="L2964" t="s">
        <v>4959</v>
      </c>
      <c r="M2964" t="s">
        <v>1634</v>
      </c>
    </row>
    <row r="2965" spans="1:13" x14ac:dyDescent="0.25">
      <c r="A2965">
        <v>90140</v>
      </c>
      <c r="B2965" t="s">
        <v>8969</v>
      </c>
      <c r="C2965" t="s">
        <v>8970</v>
      </c>
      <c r="D2965" t="s">
        <v>2596</v>
      </c>
      <c r="E2965" t="s">
        <v>1273</v>
      </c>
      <c r="F2965" t="s">
        <v>8975</v>
      </c>
      <c r="G2965" t="s">
        <v>8976</v>
      </c>
      <c r="K2965" t="s">
        <v>8977</v>
      </c>
      <c r="M2965" t="s">
        <v>1640</v>
      </c>
    </row>
    <row r="2966" spans="1:13" x14ac:dyDescent="0.25">
      <c r="A2966">
        <v>90140</v>
      </c>
      <c r="B2966" t="s">
        <v>8969</v>
      </c>
      <c r="C2966" t="s">
        <v>8970</v>
      </c>
      <c r="D2966" t="s">
        <v>2596</v>
      </c>
      <c r="E2966" t="s">
        <v>1273</v>
      </c>
      <c r="F2966" t="s">
        <v>2156</v>
      </c>
      <c r="G2966" t="s">
        <v>2440</v>
      </c>
      <c r="K2966" t="s">
        <v>8973</v>
      </c>
      <c r="L2966" t="s">
        <v>8390</v>
      </c>
      <c r="M2966" t="s">
        <v>1640</v>
      </c>
    </row>
    <row r="2967" spans="1:13" x14ac:dyDescent="0.25">
      <c r="A2967">
        <v>90141</v>
      </c>
      <c r="B2967" t="s">
        <v>8978</v>
      </c>
      <c r="C2967" t="s">
        <v>8979</v>
      </c>
      <c r="D2967" t="s">
        <v>2605</v>
      </c>
      <c r="E2967" t="s">
        <v>1273</v>
      </c>
      <c r="F2967" t="s">
        <v>8980</v>
      </c>
      <c r="G2967" t="s">
        <v>8981</v>
      </c>
      <c r="K2967" t="s">
        <v>8982</v>
      </c>
      <c r="L2967" t="s">
        <v>3609</v>
      </c>
      <c r="M2967" t="s">
        <v>1634</v>
      </c>
    </row>
    <row r="2968" spans="1:13" x14ac:dyDescent="0.25">
      <c r="A2968">
        <v>90141</v>
      </c>
      <c r="B2968" t="s">
        <v>8978</v>
      </c>
      <c r="C2968" t="s">
        <v>8979</v>
      </c>
      <c r="D2968" t="s">
        <v>2605</v>
      </c>
      <c r="E2968" t="s">
        <v>1273</v>
      </c>
      <c r="F2968" t="s">
        <v>3165</v>
      </c>
      <c r="G2968" t="s">
        <v>8971</v>
      </c>
      <c r="H2968">
        <v>6239333733</v>
      </c>
      <c r="I2968">
        <v>2002</v>
      </c>
      <c r="J2968">
        <v>6232520022</v>
      </c>
      <c r="K2968" t="s">
        <v>8983</v>
      </c>
      <c r="L2968" t="s">
        <v>8390</v>
      </c>
      <c r="M2968" t="s">
        <v>1634</v>
      </c>
    </row>
    <row r="2969" spans="1:13" x14ac:dyDescent="0.25">
      <c r="A2969">
        <v>90141</v>
      </c>
      <c r="B2969" t="s">
        <v>8978</v>
      </c>
      <c r="C2969" t="s">
        <v>8979</v>
      </c>
      <c r="D2969" t="s">
        <v>2605</v>
      </c>
      <c r="E2969" t="s">
        <v>1273</v>
      </c>
      <c r="F2969" t="s">
        <v>4799</v>
      </c>
      <c r="G2969" t="s">
        <v>8984</v>
      </c>
      <c r="K2969" t="s">
        <v>8985</v>
      </c>
      <c r="L2969" t="s">
        <v>8390</v>
      </c>
      <c r="M2969" t="s">
        <v>1634</v>
      </c>
    </row>
    <row r="2970" spans="1:13" x14ac:dyDescent="0.25">
      <c r="A2970">
        <v>90141</v>
      </c>
      <c r="B2970" t="s">
        <v>8978</v>
      </c>
      <c r="C2970" t="s">
        <v>8979</v>
      </c>
      <c r="D2970" t="s">
        <v>2605</v>
      </c>
      <c r="E2970" t="s">
        <v>1273</v>
      </c>
      <c r="F2970" t="s">
        <v>3640</v>
      </c>
      <c r="G2970" t="s">
        <v>8986</v>
      </c>
      <c r="K2970" t="s">
        <v>8987</v>
      </c>
      <c r="L2970" t="s">
        <v>8390</v>
      </c>
      <c r="M2970" t="s">
        <v>1634</v>
      </c>
    </row>
    <row r="2971" spans="1:13" x14ac:dyDescent="0.25">
      <c r="A2971">
        <v>90160</v>
      </c>
      <c r="B2971" t="s">
        <v>8988</v>
      </c>
      <c r="C2971" t="s">
        <v>8989</v>
      </c>
      <c r="D2971" t="s">
        <v>2596</v>
      </c>
      <c r="E2971" t="s">
        <v>1273</v>
      </c>
      <c r="F2971" t="s">
        <v>3310</v>
      </c>
      <c r="G2971" t="s">
        <v>8657</v>
      </c>
      <c r="K2971" t="s">
        <v>8658</v>
      </c>
      <c r="M2971" t="s">
        <v>1634</v>
      </c>
    </row>
    <row r="2972" spans="1:13" x14ac:dyDescent="0.25">
      <c r="A2972">
        <v>90160</v>
      </c>
      <c r="B2972" t="s">
        <v>8988</v>
      </c>
      <c r="C2972" t="s">
        <v>8989</v>
      </c>
      <c r="D2972" t="s">
        <v>2596</v>
      </c>
      <c r="E2972" t="s">
        <v>1273</v>
      </c>
      <c r="F2972" t="s">
        <v>2089</v>
      </c>
      <c r="G2972" t="s">
        <v>8858</v>
      </c>
      <c r="H2972">
        <v>4803550530</v>
      </c>
      <c r="J2972">
        <v>4803550540</v>
      </c>
      <c r="K2972" t="s">
        <v>8859</v>
      </c>
      <c r="L2972" t="s">
        <v>1647</v>
      </c>
      <c r="M2972" t="s">
        <v>1634</v>
      </c>
    </row>
    <row r="2973" spans="1:13" x14ac:dyDescent="0.25">
      <c r="A2973">
        <v>90160</v>
      </c>
      <c r="B2973" t="s">
        <v>8988</v>
      </c>
      <c r="C2973" t="s">
        <v>8989</v>
      </c>
      <c r="D2973" t="s">
        <v>2596</v>
      </c>
      <c r="E2973" t="s">
        <v>1273</v>
      </c>
      <c r="F2973" t="s">
        <v>3570</v>
      </c>
      <c r="G2973" t="s">
        <v>8660</v>
      </c>
      <c r="K2973" t="s">
        <v>8661</v>
      </c>
      <c r="L2973" t="s">
        <v>8990</v>
      </c>
      <c r="M2973" t="s">
        <v>1634</v>
      </c>
    </row>
    <row r="2974" spans="1:13" x14ac:dyDescent="0.25">
      <c r="A2974">
        <v>90160</v>
      </c>
      <c r="B2974" t="s">
        <v>8988</v>
      </c>
      <c r="C2974" t="s">
        <v>8989</v>
      </c>
      <c r="D2974" t="s">
        <v>2596</v>
      </c>
      <c r="E2974" t="s">
        <v>1273</v>
      </c>
      <c r="F2974" t="s">
        <v>3387</v>
      </c>
      <c r="G2974" t="s">
        <v>8854</v>
      </c>
      <c r="H2974">
        <v>4803550513</v>
      </c>
      <c r="J2974">
        <v>4803550506</v>
      </c>
      <c r="K2974" t="s">
        <v>8855</v>
      </c>
      <c r="L2974" t="s">
        <v>8991</v>
      </c>
      <c r="M2974" t="s">
        <v>1640</v>
      </c>
    </row>
    <row r="2975" spans="1:13" x14ac:dyDescent="0.25">
      <c r="A2975">
        <v>90161</v>
      </c>
      <c r="B2975" t="s">
        <v>8992</v>
      </c>
      <c r="C2975" t="s">
        <v>8993</v>
      </c>
      <c r="D2975" t="s">
        <v>2605</v>
      </c>
      <c r="E2975" t="s">
        <v>1273</v>
      </c>
    </row>
    <row r="2976" spans="1:13" x14ac:dyDescent="0.25">
      <c r="A2976">
        <v>90162</v>
      </c>
      <c r="B2976" t="s">
        <v>8994</v>
      </c>
      <c r="C2976" t="s">
        <v>8995</v>
      </c>
      <c r="D2976" t="s">
        <v>2596</v>
      </c>
      <c r="E2976" t="s">
        <v>1273</v>
      </c>
      <c r="F2976" t="s">
        <v>3310</v>
      </c>
      <c r="G2976" t="s">
        <v>8657</v>
      </c>
      <c r="H2976">
        <v>4803550505</v>
      </c>
      <c r="J2976">
        <v>4803550506</v>
      </c>
      <c r="K2976" t="s">
        <v>8658</v>
      </c>
      <c r="L2976" t="s">
        <v>8659</v>
      </c>
      <c r="M2976" t="s">
        <v>1634</v>
      </c>
    </row>
    <row r="2977" spans="1:13" x14ac:dyDescent="0.25">
      <c r="A2977">
        <v>90162</v>
      </c>
      <c r="B2977" t="s">
        <v>8994</v>
      </c>
      <c r="C2977" t="s">
        <v>8995</v>
      </c>
      <c r="D2977" t="s">
        <v>2596</v>
      </c>
      <c r="E2977" t="s">
        <v>1273</v>
      </c>
      <c r="F2977" t="s">
        <v>3570</v>
      </c>
      <c r="G2977" t="s">
        <v>8660</v>
      </c>
      <c r="K2977" t="s">
        <v>8661</v>
      </c>
      <c r="L2977" t="s">
        <v>8662</v>
      </c>
      <c r="M2977" t="s">
        <v>1634</v>
      </c>
    </row>
    <row r="2978" spans="1:13" x14ac:dyDescent="0.25">
      <c r="A2978">
        <v>90162</v>
      </c>
      <c r="B2978" t="s">
        <v>8994</v>
      </c>
      <c r="C2978" t="s">
        <v>8995</v>
      </c>
      <c r="D2978" t="s">
        <v>2596</v>
      </c>
      <c r="E2978" t="s">
        <v>1273</v>
      </c>
      <c r="F2978" t="s">
        <v>8839</v>
      </c>
      <c r="G2978" t="s">
        <v>8840</v>
      </c>
      <c r="H2978">
        <v>6233441732</v>
      </c>
      <c r="K2978" t="s">
        <v>8996</v>
      </c>
      <c r="L2978" t="s">
        <v>1640</v>
      </c>
      <c r="M2978" t="s">
        <v>1640</v>
      </c>
    </row>
    <row r="2979" spans="1:13" x14ac:dyDescent="0.25">
      <c r="A2979">
        <v>90163</v>
      </c>
      <c r="B2979" t="s">
        <v>8997</v>
      </c>
      <c r="C2979" t="s">
        <v>8998</v>
      </c>
      <c r="D2979" t="s">
        <v>2605</v>
      </c>
      <c r="E2979" t="s">
        <v>1273</v>
      </c>
    </row>
    <row r="2980" spans="1:13" x14ac:dyDescent="0.25">
      <c r="A2980">
        <v>90192</v>
      </c>
      <c r="B2980" t="s">
        <v>8999</v>
      </c>
      <c r="C2980" t="s">
        <v>9000</v>
      </c>
      <c r="D2980" t="s">
        <v>2596</v>
      </c>
      <c r="E2980" t="s">
        <v>1273</v>
      </c>
      <c r="F2980" t="s">
        <v>9001</v>
      </c>
      <c r="G2980" t="s">
        <v>2807</v>
      </c>
      <c r="K2980" t="s">
        <v>9002</v>
      </c>
      <c r="L2980" t="s">
        <v>9003</v>
      </c>
      <c r="M2980" t="s">
        <v>1634</v>
      </c>
    </row>
    <row r="2981" spans="1:13" x14ac:dyDescent="0.25">
      <c r="A2981">
        <v>90192</v>
      </c>
      <c r="B2981" t="s">
        <v>8999</v>
      </c>
      <c r="C2981" t="s">
        <v>9000</v>
      </c>
      <c r="D2981" t="s">
        <v>2596</v>
      </c>
      <c r="E2981" t="s">
        <v>1273</v>
      </c>
      <c r="F2981" t="s">
        <v>9001</v>
      </c>
      <c r="G2981" t="s">
        <v>2807</v>
      </c>
      <c r="K2981" t="s">
        <v>9002</v>
      </c>
      <c r="M2981" t="s">
        <v>1634</v>
      </c>
    </row>
    <row r="2982" spans="1:13" x14ac:dyDescent="0.25">
      <c r="A2982">
        <v>90193</v>
      </c>
      <c r="B2982" t="s">
        <v>9004</v>
      </c>
      <c r="C2982" t="s">
        <v>9005</v>
      </c>
      <c r="D2982" t="s">
        <v>2605</v>
      </c>
      <c r="E2982" t="s">
        <v>1273</v>
      </c>
    </row>
    <row r="2983" spans="1:13" x14ac:dyDescent="0.25">
      <c r="A2983">
        <v>90201</v>
      </c>
      <c r="B2983" t="s">
        <v>9006</v>
      </c>
      <c r="C2983" t="s">
        <v>9007</v>
      </c>
      <c r="D2983" t="s">
        <v>2596</v>
      </c>
      <c r="E2983" t="s">
        <v>1273</v>
      </c>
      <c r="F2983" t="s">
        <v>4799</v>
      </c>
      <c r="G2983" t="s">
        <v>8535</v>
      </c>
      <c r="K2983" t="s">
        <v>9008</v>
      </c>
      <c r="L2983" t="s">
        <v>2045</v>
      </c>
      <c r="M2983" t="s">
        <v>1634</v>
      </c>
    </row>
    <row r="2984" spans="1:13" x14ac:dyDescent="0.25">
      <c r="A2984">
        <v>90201</v>
      </c>
      <c r="B2984" t="s">
        <v>9006</v>
      </c>
      <c r="C2984" t="s">
        <v>9007</v>
      </c>
      <c r="D2984" t="s">
        <v>2596</v>
      </c>
      <c r="E2984" t="s">
        <v>1273</v>
      </c>
      <c r="F2984" t="s">
        <v>2997</v>
      </c>
      <c r="G2984" t="s">
        <v>8527</v>
      </c>
      <c r="K2984" t="s">
        <v>8528</v>
      </c>
      <c r="M2984" t="s">
        <v>1634</v>
      </c>
    </row>
    <row r="2985" spans="1:13" x14ac:dyDescent="0.25">
      <c r="A2985">
        <v>90201</v>
      </c>
      <c r="B2985" t="s">
        <v>9006</v>
      </c>
      <c r="C2985" t="s">
        <v>9007</v>
      </c>
      <c r="D2985" t="s">
        <v>2596</v>
      </c>
      <c r="E2985" t="s">
        <v>1273</v>
      </c>
      <c r="F2985" t="s">
        <v>1679</v>
      </c>
      <c r="G2985" t="s">
        <v>8530</v>
      </c>
      <c r="M2985" t="s">
        <v>1634</v>
      </c>
    </row>
    <row r="2986" spans="1:13" x14ac:dyDescent="0.25">
      <c r="A2986">
        <v>90201</v>
      </c>
      <c r="B2986" t="s">
        <v>9006</v>
      </c>
      <c r="C2986" t="s">
        <v>9007</v>
      </c>
      <c r="D2986" t="s">
        <v>2596</v>
      </c>
      <c r="E2986" t="s">
        <v>1273</v>
      </c>
      <c r="F2986" t="s">
        <v>4799</v>
      </c>
      <c r="G2986" t="s">
        <v>8535</v>
      </c>
      <c r="K2986" t="s">
        <v>9008</v>
      </c>
      <c r="L2986" t="s">
        <v>2045</v>
      </c>
      <c r="M2986" t="s">
        <v>1765</v>
      </c>
    </row>
    <row r="2987" spans="1:13" x14ac:dyDescent="0.25">
      <c r="A2987">
        <v>90201</v>
      </c>
      <c r="B2987" t="s">
        <v>9006</v>
      </c>
      <c r="C2987" t="s">
        <v>9007</v>
      </c>
      <c r="D2987" t="s">
        <v>2596</v>
      </c>
      <c r="E2987" t="s">
        <v>1273</v>
      </c>
      <c r="F2987" t="s">
        <v>9009</v>
      </c>
      <c r="G2987" t="s">
        <v>9010</v>
      </c>
      <c r="H2987">
        <v>6027141295</v>
      </c>
      <c r="K2987" t="s">
        <v>9011</v>
      </c>
      <c r="M2987" t="s">
        <v>1765</v>
      </c>
    </row>
    <row r="2988" spans="1:13" x14ac:dyDescent="0.25">
      <c r="A2988">
        <v>90202</v>
      </c>
      <c r="B2988" t="s">
        <v>9012</v>
      </c>
      <c r="C2988" t="s">
        <v>9013</v>
      </c>
      <c r="D2988" t="s">
        <v>2605</v>
      </c>
      <c r="E2988" t="s">
        <v>1273</v>
      </c>
      <c r="F2988" t="s">
        <v>1959</v>
      </c>
      <c r="G2988" t="s">
        <v>9014</v>
      </c>
      <c r="H2988">
        <v>4806213365</v>
      </c>
      <c r="K2988" t="s">
        <v>9015</v>
      </c>
      <c r="L2988" t="s">
        <v>1721</v>
      </c>
      <c r="M2988" t="s">
        <v>1634</v>
      </c>
    </row>
    <row r="2989" spans="1:13" x14ac:dyDescent="0.25">
      <c r="A2989">
        <v>90844</v>
      </c>
      <c r="B2989" t="s">
        <v>9016</v>
      </c>
      <c r="C2989" t="s">
        <v>9017</v>
      </c>
      <c r="D2989" t="s">
        <v>2605</v>
      </c>
      <c r="E2989" t="s">
        <v>1273</v>
      </c>
    </row>
    <row r="2990" spans="1:13" x14ac:dyDescent="0.25">
      <c r="A2990">
        <v>90273</v>
      </c>
      <c r="B2990" t="s">
        <v>8001</v>
      </c>
      <c r="C2990" t="s">
        <v>9018</v>
      </c>
      <c r="D2990" t="s">
        <v>2596</v>
      </c>
      <c r="E2990" t="s">
        <v>1273</v>
      </c>
      <c r="F2990" t="s">
        <v>6101</v>
      </c>
      <c r="G2990" t="s">
        <v>6308</v>
      </c>
      <c r="H2990">
        <v>4807276249</v>
      </c>
      <c r="K2990" t="s">
        <v>8449</v>
      </c>
      <c r="L2990" t="s">
        <v>8450</v>
      </c>
      <c r="M2990" t="s">
        <v>1634</v>
      </c>
    </row>
    <row r="2991" spans="1:13" x14ac:dyDescent="0.25">
      <c r="A2991">
        <v>90273</v>
      </c>
      <c r="B2991" t="s">
        <v>8001</v>
      </c>
      <c r="C2991" t="s">
        <v>9018</v>
      </c>
      <c r="D2991" t="s">
        <v>2596</v>
      </c>
      <c r="E2991" t="s">
        <v>1273</v>
      </c>
      <c r="F2991" t="s">
        <v>1732</v>
      </c>
      <c r="G2991" t="s">
        <v>1976</v>
      </c>
      <c r="K2991" t="s">
        <v>8453</v>
      </c>
      <c r="L2991" t="s">
        <v>4466</v>
      </c>
      <c r="M2991" t="s">
        <v>1634</v>
      </c>
    </row>
    <row r="2992" spans="1:13" x14ac:dyDescent="0.25">
      <c r="A2992">
        <v>90273</v>
      </c>
      <c r="B2992" t="s">
        <v>8001</v>
      </c>
      <c r="C2992" t="s">
        <v>9018</v>
      </c>
      <c r="D2992" t="s">
        <v>2596</v>
      </c>
      <c r="E2992" t="s">
        <v>1273</v>
      </c>
      <c r="F2992" t="s">
        <v>6792</v>
      </c>
      <c r="G2992" t="s">
        <v>8010</v>
      </c>
      <c r="K2992" t="s">
        <v>8011</v>
      </c>
      <c r="L2992" t="s">
        <v>1640</v>
      </c>
      <c r="M2992" t="s">
        <v>1640</v>
      </c>
    </row>
    <row r="2993" spans="1:13" x14ac:dyDescent="0.25">
      <c r="A2993">
        <v>90273</v>
      </c>
      <c r="B2993" t="s">
        <v>8001</v>
      </c>
      <c r="C2993" t="s">
        <v>9018</v>
      </c>
      <c r="D2993" t="s">
        <v>2596</v>
      </c>
      <c r="E2993" t="s">
        <v>1273</v>
      </c>
      <c r="F2993" t="s">
        <v>8013</v>
      </c>
      <c r="G2993" t="s">
        <v>8014</v>
      </c>
      <c r="H2993">
        <v>4807275805</v>
      </c>
      <c r="M2993" t="s">
        <v>1640</v>
      </c>
    </row>
    <row r="2994" spans="1:13" x14ac:dyDescent="0.25">
      <c r="A2994">
        <v>90274</v>
      </c>
      <c r="B2994" t="s">
        <v>9019</v>
      </c>
      <c r="C2994" t="s">
        <v>9020</v>
      </c>
      <c r="D2994" t="s">
        <v>2605</v>
      </c>
      <c r="E2994" t="s">
        <v>1273</v>
      </c>
      <c r="F2994" t="s">
        <v>8003</v>
      </c>
      <c r="G2994" t="s">
        <v>8004</v>
      </c>
      <c r="H2994">
        <v>4807276215</v>
      </c>
      <c r="K2994" t="s">
        <v>8456</v>
      </c>
      <c r="L2994" t="s">
        <v>8452</v>
      </c>
      <c r="M2994" t="s">
        <v>1634</v>
      </c>
    </row>
    <row r="2995" spans="1:13" x14ac:dyDescent="0.25">
      <c r="A2995">
        <v>90275</v>
      </c>
      <c r="B2995" t="s">
        <v>9021</v>
      </c>
      <c r="C2995" t="s">
        <v>9022</v>
      </c>
      <c r="D2995" t="s">
        <v>2596</v>
      </c>
      <c r="E2995" t="s">
        <v>1273</v>
      </c>
      <c r="F2995" t="s">
        <v>1723</v>
      </c>
      <c r="G2995" t="s">
        <v>8638</v>
      </c>
      <c r="H2995">
        <v>9289109029</v>
      </c>
      <c r="K2995" t="s">
        <v>9023</v>
      </c>
      <c r="L2995" t="s">
        <v>3043</v>
      </c>
      <c r="M2995" t="s">
        <v>1634</v>
      </c>
    </row>
    <row r="2996" spans="1:13" x14ac:dyDescent="0.25">
      <c r="A2996">
        <v>90275</v>
      </c>
      <c r="B2996" t="s">
        <v>9021</v>
      </c>
      <c r="C2996" t="s">
        <v>9022</v>
      </c>
      <c r="D2996" t="s">
        <v>2596</v>
      </c>
      <c r="E2996" t="s">
        <v>1273</v>
      </c>
      <c r="F2996" t="s">
        <v>9024</v>
      </c>
      <c r="G2996" t="s">
        <v>8642</v>
      </c>
      <c r="K2996" t="s">
        <v>9025</v>
      </c>
      <c r="M2996" t="s">
        <v>1640</v>
      </c>
    </row>
    <row r="2997" spans="1:13" x14ac:dyDescent="0.25">
      <c r="A2997">
        <v>90275</v>
      </c>
      <c r="B2997" t="s">
        <v>9021</v>
      </c>
      <c r="C2997" t="s">
        <v>9022</v>
      </c>
      <c r="D2997" t="s">
        <v>2596</v>
      </c>
      <c r="E2997" t="s">
        <v>1273</v>
      </c>
      <c r="F2997" t="s">
        <v>2099</v>
      </c>
      <c r="G2997" t="s">
        <v>8638</v>
      </c>
      <c r="K2997" t="s">
        <v>8639</v>
      </c>
      <c r="L2997" t="s">
        <v>1765</v>
      </c>
      <c r="M2997" t="s">
        <v>1765</v>
      </c>
    </row>
    <row r="2998" spans="1:13" x14ac:dyDescent="0.25">
      <c r="A2998">
        <v>90276</v>
      </c>
      <c r="B2998" t="s">
        <v>9026</v>
      </c>
      <c r="C2998" t="s">
        <v>9027</v>
      </c>
      <c r="D2998" t="s">
        <v>2605</v>
      </c>
      <c r="E2998" t="s">
        <v>8713</v>
      </c>
    </row>
    <row r="2999" spans="1:13" x14ac:dyDescent="0.25">
      <c r="A2999">
        <v>90287</v>
      </c>
      <c r="B2999" t="s">
        <v>9028</v>
      </c>
      <c r="C2999" t="s">
        <v>9029</v>
      </c>
      <c r="D2999" t="s">
        <v>2596</v>
      </c>
      <c r="E2999" t="s">
        <v>1273</v>
      </c>
      <c r="F2999" t="s">
        <v>9030</v>
      </c>
      <c r="G2999" t="s">
        <v>9031</v>
      </c>
      <c r="K2999" t="s">
        <v>9032</v>
      </c>
      <c r="L2999" t="s">
        <v>4663</v>
      </c>
      <c r="M2999" t="s">
        <v>1634</v>
      </c>
    </row>
    <row r="3000" spans="1:13" x14ac:dyDescent="0.25">
      <c r="A3000">
        <v>90287</v>
      </c>
      <c r="B3000" t="s">
        <v>9028</v>
      </c>
      <c r="C3000" t="s">
        <v>9029</v>
      </c>
      <c r="D3000" t="s">
        <v>2596</v>
      </c>
      <c r="E3000" t="s">
        <v>1273</v>
      </c>
      <c r="F3000" t="s">
        <v>2365</v>
      </c>
      <c r="G3000" t="s">
        <v>1773</v>
      </c>
      <c r="H3000">
        <v>6233271757</v>
      </c>
      <c r="I3000">
        <v>1104</v>
      </c>
      <c r="K3000" t="s">
        <v>9033</v>
      </c>
      <c r="L3000" t="s">
        <v>1640</v>
      </c>
      <c r="M3000" t="s">
        <v>1640</v>
      </c>
    </row>
    <row r="3001" spans="1:13" x14ac:dyDescent="0.25">
      <c r="A3001">
        <v>90287</v>
      </c>
      <c r="B3001" t="s">
        <v>9028</v>
      </c>
      <c r="C3001" t="s">
        <v>9029</v>
      </c>
      <c r="D3001" t="s">
        <v>2596</v>
      </c>
      <c r="E3001" t="s">
        <v>1273</v>
      </c>
      <c r="F3001" t="s">
        <v>2587</v>
      </c>
      <c r="G3001" t="s">
        <v>9034</v>
      </c>
      <c r="H3001" t="s">
        <v>9035</v>
      </c>
      <c r="K3001" t="s">
        <v>9036</v>
      </c>
      <c r="M3001" t="s">
        <v>1765</v>
      </c>
    </row>
    <row r="3002" spans="1:13" x14ac:dyDescent="0.25">
      <c r="A3002">
        <v>90287</v>
      </c>
      <c r="B3002" t="s">
        <v>9028</v>
      </c>
      <c r="C3002" t="s">
        <v>9029</v>
      </c>
      <c r="D3002" t="s">
        <v>2596</v>
      </c>
      <c r="E3002" t="s">
        <v>1273</v>
      </c>
      <c r="F3002" t="s">
        <v>3105</v>
      </c>
      <c r="G3002" t="s">
        <v>9037</v>
      </c>
      <c r="H3002">
        <v>6233271757</v>
      </c>
      <c r="K3002" t="s">
        <v>9038</v>
      </c>
      <c r="M3002" t="s">
        <v>1765</v>
      </c>
    </row>
    <row r="3003" spans="1:13" x14ac:dyDescent="0.25">
      <c r="A3003">
        <v>90772</v>
      </c>
      <c r="B3003" t="s">
        <v>9039</v>
      </c>
      <c r="C3003" t="s">
        <v>9040</v>
      </c>
      <c r="D3003" t="s">
        <v>2605</v>
      </c>
      <c r="E3003" t="s">
        <v>1273</v>
      </c>
    </row>
    <row r="3004" spans="1:13" x14ac:dyDescent="0.25">
      <c r="A3004">
        <v>91205</v>
      </c>
      <c r="B3004" t="s">
        <v>9041</v>
      </c>
      <c r="C3004" t="s">
        <v>9042</v>
      </c>
      <c r="D3004" t="s">
        <v>2605</v>
      </c>
      <c r="E3004" t="s">
        <v>1273</v>
      </c>
    </row>
    <row r="3005" spans="1:13" x14ac:dyDescent="0.25">
      <c r="A3005">
        <v>91825</v>
      </c>
      <c r="B3005" t="s">
        <v>9043</v>
      </c>
      <c r="C3005" t="s">
        <v>9044</v>
      </c>
      <c r="D3005" t="s">
        <v>2605</v>
      </c>
      <c r="E3005" t="s">
        <v>1273</v>
      </c>
    </row>
    <row r="3006" spans="1:13" x14ac:dyDescent="0.25">
      <c r="A3006">
        <v>92233</v>
      </c>
      <c r="B3006" t="s">
        <v>9045</v>
      </c>
      <c r="C3006" t="s">
        <v>9046</v>
      </c>
      <c r="D3006" t="s">
        <v>2605</v>
      </c>
      <c r="E3006" t="s">
        <v>7934</v>
      </c>
    </row>
    <row r="3007" spans="1:13" x14ac:dyDescent="0.25">
      <c r="A3007">
        <v>90317</v>
      </c>
      <c r="B3007" t="s">
        <v>9047</v>
      </c>
      <c r="C3007" t="s">
        <v>9048</v>
      </c>
      <c r="D3007" t="s">
        <v>2596</v>
      </c>
      <c r="E3007" t="s">
        <v>1273</v>
      </c>
      <c r="F3007" t="s">
        <v>8901</v>
      </c>
      <c r="G3007" t="s">
        <v>4769</v>
      </c>
      <c r="H3007">
        <v>4807792010</v>
      </c>
      <c r="K3007" t="s">
        <v>8902</v>
      </c>
      <c r="L3007" t="s">
        <v>2584</v>
      </c>
      <c r="M3007" t="s">
        <v>1634</v>
      </c>
    </row>
    <row r="3008" spans="1:13" x14ac:dyDescent="0.25">
      <c r="A3008">
        <v>90318</v>
      </c>
      <c r="B3008" t="s">
        <v>9049</v>
      </c>
      <c r="C3008" t="s">
        <v>9050</v>
      </c>
      <c r="D3008" t="s">
        <v>2605</v>
      </c>
      <c r="E3008" t="s">
        <v>1273</v>
      </c>
      <c r="F3008" t="s">
        <v>8901</v>
      </c>
      <c r="G3008" t="s">
        <v>4769</v>
      </c>
      <c r="H3008">
        <v>4807792003</v>
      </c>
      <c r="M3008" t="s">
        <v>1634</v>
      </c>
    </row>
    <row r="3009" spans="1:13" x14ac:dyDescent="0.25">
      <c r="A3009">
        <v>90327</v>
      </c>
      <c r="B3009" t="s">
        <v>9051</v>
      </c>
      <c r="C3009" t="s">
        <v>9052</v>
      </c>
      <c r="D3009" t="s">
        <v>2596</v>
      </c>
      <c r="E3009" t="s">
        <v>1273</v>
      </c>
      <c r="F3009" t="s">
        <v>6836</v>
      </c>
      <c r="G3009" t="s">
        <v>1588</v>
      </c>
      <c r="H3009">
        <v>4806351900</v>
      </c>
      <c r="J3009">
        <v>4806351906</v>
      </c>
      <c r="K3009" t="s">
        <v>9053</v>
      </c>
      <c r="L3009" t="s">
        <v>1746</v>
      </c>
      <c r="M3009" t="s">
        <v>1634</v>
      </c>
    </row>
    <row r="3010" spans="1:13" x14ac:dyDescent="0.25">
      <c r="A3010">
        <v>90327</v>
      </c>
      <c r="B3010" t="s">
        <v>9051</v>
      </c>
      <c r="C3010" t="s">
        <v>9052</v>
      </c>
      <c r="D3010" t="s">
        <v>2596</v>
      </c>
      <c r="E3010" t="s">
        <v>1273</v>
      </c>
      <c r="F3010" t="s">
        <v>8013</v>
      </c>
      <c r="G3010" t="s">
        <v>8014</v>
      </c>
      <c r="H3010">
        <v>4802069357</v>
      </c>
      <c r="K3010" t="s">
        <v>9054</v>
      </c>
      <c r="L3010" t="s">
        <v>9055</v>
      </c>
      <c r="M3010" t="s">
        <v>1640</v>
      </c>
    </row>
    <row r="3011" spans="1:13" x14ac:dyDescent="0.25">
      <c r="A3011">
        <v>88289</v>
      </c>
      <c r="B3011" t="s">
        <v>9056</v>
      </c>
      <c r="C3011" t="s">
        <v>9057</v>
      </c>
      <c r="D3011" t="s">
        <v>2605</v>
      </c>
      <c r="E3011" t="s">
        <v>1273</v>
      </c>
      <c r="F3011" t="s">
        <v>6836</v>
      </c>
      <c r="G3011" t="s">
        <v>1588</v>
      </c>
      <c r="H3011">
        <v>4806351900</v>
      </c>
      <c r="K3011" t="s">
        <v>9053</v>
      </c>
      <c r="M3011" t="s">
        <v>1634</v>
      </c>
    </row>
    <row r="3012" spans="1:13" x14ac:dyDescent="0.25">
      <c r="A3012">
        <v>92235</v>
      </c>
      <c r="B3012" t="s">
        <v>9058</v>
      </c>
      <c r="C3012" t="s">
        <v>9059</v>
      </c>
      <c r="D3012" t="s">
        <v>2605</v>
      </c>
      <c r="E3012" t="s">
        <v>1273</v>
      </c>
      <c r="F3012" t="s">
        <v>6836</v>
      </c>
      <c r="G3012" t="s">
        <v>1588</v>
      </c>
      <c r="H3012">
        <v>4806351900</v>
      </c>
      <c r="K3012" t="s">
        <v>9053</v>
      </c>
      <c r="M3012" t="s">
        <v>1634</v>
      </c>
    </row>
    <row r="3013" spans="1:13" x14ac:dyDescent="0.25">
      <c r="A3013">
        <v>90328</v>
      </c>
      <c r="B3013" t="s">
        <v>9060</v>
      </c>
      <c r="C3013" t="s">
        <v>9061</v>
      </c>
      <c r="D3013" t="s">
        <v>2596</v>
      </c>
      <c r="E3013" t="s">
        <v>1273</v>
      </c>
      <c r="F3013" t="s">
        <v>6836</v>
      </c>
      <c r="G3013" t="s">
        <v>1588</v>
      </c>
      <c r="H3013">
        <v>4806351900</v>
      </c>
      <c r="J3013">
        <v>4806351906</v>
      </c>
      <c r="K3013" t="s">
        <v>9053</v>
      </c>
      <c r="M3013" t="s">
        <v>1634</v>
      </c>
    </row>
    <row r="3014" spans="1:13" x14ac:dyDescent="0.25">
      <c r="A3014">
        <v>88290</v>
      </c>
      <c r="B3014" t="s">
        <v>9062</v>
      </c>
      <c r="C3014" t="s">
        <v>9063</v>
      </c>
      <c r="D3014" t="s">
        <v>2605</v>
      </c>
      <c r="E3014" t="s">
        <v>1273</v>
      </c>
      <c r="F3014" t="s">
        <v>9064</v>
      </c>
      <c r="G3014" t="s">
        <v>9065</v>
      </c>
      <c r="K3014" t="s">
        <v>9066</v>
      </c>
      <c r="L3014" t="s">
        <v>9067</v>
      </c>
      <c r="M3014" t="s">
        <v>1634</v>
      </c>
    </row>
    <row r="3015" spans="1:13" x14ac:dyDescent="0.25">
      <c r="A3015">
        <v>88290</v>
      </c>
      <c r="B3015" t="s">
        <v>9062</v>
      </c>
      <c r="C3015" t="s">
        <v>9063</v>
      </c>
      <c r="D3015" t="s">
        <v>2605</v>
      </c>
      <c r="E3015" t="s">
        <v>1273</v>
      </c>
      <c r="F3015" t="s">
        <v>6836</v>
      </c>
      <c r="G3015" t="s">
        <v>1588</v>
      </c>
      <c r="H3015">
        <v>4806351900</v>
      </c>
      <c r="K3015" t="s">
        <v>9053</v>
      </c>
      <c r="M3015" t="s">
        <v>1634</v>
      </c>
    </row>
    <row r="3016" spans="1:13" x14ac:dyDescent="0.25">
      <c r="A3016">
        <v>90329</v>
      </c>
      <c r="B3016" t="s">
        <v>869</v>
      </c>
      <c r="C3016" t="s">
        <v>9068</v>
      </c>
      <c r="D3016" t="s">
        <v>2596</v>
      </c>
      <c r="E3016" t="s">
        <v>1273</v>
      </c>
    </row>
    <row r="3017" spans="1:13" x14ac:dyDescent="0.25">
      <c r="A3017">
        <v>89941</v>
      </c>
      <c r="B3017" t="s">
        <v>870</v>
      </c>
      <c r="C3017" t="s">
        <v>9069</v>
      </c>
      <c r="D3017" t="s">
        <v>2605</v>
      </c>
      <c r="E3017" t="s">
        <v>7934</v>
      </c>
      <c r="F3017" t="s">
        <v>8901</v>
      </c>
      <c r="G3017" t="s">
        <v>4769</v>
      </c>
      <c r="K3017" t="s">
        <v>8902</v>
      </c>
      <c r="L3017" t="s">
        <v>1647</v>
      </c>
      <c r="M3017" t="s">
        <v>1634</v>
      </c>
    </row>
    <row r="3018" spans="1:13" x14ac:dyDescent="0.25">
      <c r="A3018">
        <v>90330</v>
      </c>
      <c r="B3018" t="s">
        <v>746</v>
      </c>
      <c r="C3018" t="s">
        <v>9070</v>
      </c>
      <c r="D3018" t="s">
        <v>2596</v>
      </c>
      <c r="E3018" t="s">
        <v>1273</v>
      </c>
      <c r="F3018" t="s">
        <v>3570</v>
      </c>
      <c r="G3018" t="s">
        <v>5188</v>
      </c>
      <c r="K3018" t="s">
        <v>8239</v>
      </c>
      <c r="L3018" t="s">
        <v>8240</v>
      </c>
      <c r="M3018" t="s">
        <v>1634</v>
      </c>
    </row>
    <row r="3019" spans="1:13" x14ac:dyDescent="0.25">
      <c r="A3019">
        <v>90330</v>
      </c>
      <c r="B3019" t="s">
        <v>746</v>
      </c>
      <c r="C3019" t="s">
        <v>9070</v>
      </c>
      <c r="D3019" t="s">
        <v>2596</v>
      </c>
      <c r="E3019" t="s">
        <v>1273</v>
      </c>
      <c r="F3019" t="s">
        <v>8300</v>
      </c>
      <c r="G3019" t="s">
        <v>8301</v>
      </c>
      <c r="H3019">
        <v>6029532933</v>
      </c>
      <c r="K3019" t="s">
        <v>8302</v>
      </c>
      <c r="M3019" t="s">
        <v>1634</v>
      </c>
    </row>
    <row r="3020" spans="1:13" x14ac:dyDescent="0.25">
      <c r="A3020">
        <v>90330</v>
      </c>
      <c r="B3020" t="s">
        <v>746</v>
      </c>
      <c r="C3020" t="s">
        <v>9070</v>
      </c>
      <c r="D3020" t="s">
        <v>2596</v>
      </c>
      <c r="E3020" t="s">
        <v>1273</v>
      </c>
      <c r="F3020" t="s">
        <v>1750</v>
      </c>
      <c r="G3020" t="s">
        <v>4537</v>
      </c>
      <c r="H3020">
        <v>6029532933</v>
      </c>
      <c r="K3020" t="s">
        <v>9071</v>
      </c>
      <c r="L3020" t="s">
        <v>1746</v>
      </c>
      <c r="M3020" t="s">
        <v>1634</v>
      </c>
    </row>
    <row r="3021" spans="1:13" x14ac:dyDescent="0.25">
      <c r="A3021">
        <v>90330</v>
      </c>
      <c r="B3021" t="s">
        <v>746</v>
      </c>
      <c r="C3021" t="s">
        <v>9070</v>
      </c>
      <c r="D3021" t="s">
        <v>2596</v>
      </c>
      <c r="E3021" t="s">
        <v>1273</v>
      </c>
      <c r="F3021" t="s">
        <v>3570</v>
      </c>
      <c r="G3021" t="s">
        <v>5188</v>
      </c>
      <c r="K3021" t="s">
        <v>8239</v>
      </c>
      <c r="L3021" t="s">
        <v>8240</v>
      </c>
      <c r="M3021" t="s">
        <v>1640</v>
      </c>
    </row>
    <row r="3022" spans="1:13" x14ac:dyDescent="0.25">
      <c r="A3022">
        <v>89867</v>
      </c>
      <c r="B3022" t="s">
        <v>746</v>
      </c>
      <c r="C3022" t="s">
        <v>9072</v>
      </c>
      <c r="D3022" t="s">
        <v>2605</v>
      </c>
      <c r="E3022" t="s">
        <v>1273</v>
      </c>
      <c r="F3022" t="s">
        <v>3570</v>
      </c>
      <c r="G3022" t="s">
        <v>5188</v>
      </c>
      <c r="K3022" t="s">
        <v>9073</v>
      </c>
      <c r="M3022" t="s">
        <v>1634</v>
      </c>
    </row>
    <row r="3023" spans="1:13" x14ac:dyDescent="0.25">
      <c r="A3023">
        <v>90333</v>
      </c>
      <c r="B3023" t="s">
        <v>9074</v>
      </c>
      <c r="C3023" t="s">
        <v>9075</v>
      </c>
      <c r="D3023" t="s">
        <v>2596</v>
      </c>
      <c r="E3023" t="s">
        <v>1273</v>
      </c>
      <c r="F3023" t="s">
        <v>8300</v>
      </c>
      <c r="G3023" t="s">
        <v>8301</v>
      </c>
      <c r="H3023">
        <v>6029532933</v>
      </c>
      <c r="K3023" t="s">
        <v>8302</v>
      </c>
      <c r="M3023" t="s">
        <v>1634</v>
      </c>
    </row>
    <row r="3024" spans="1:13" x14ac:dyDescent="0.25">
      <c r="A3024">
        <v>90333</v>
      </c>
      <c r="B3024" t="s">
        <v>9074</v>
      </c>
      <c r="C3024" t="s">
        <v>9075</v>
      </c>
      <c r="D3024" t="s">
        <v>2596</v>
      </c>
      <c r="E3024" t="s">
        <v>1273</v>
      </c>
      <c r="F3024" t="s">
        <v>3570</v>
      </c>
      <c r="G3024" t="s">
        <v>5188</v>
      </c>
      <c r="K3024" t="s">
        <v>9073</v>
      </c>
      <c r="M3024" t="s">
        <v>1640</v>
      </c>
    </row>
    <row r="3025" spans="1:13" x14ac:dyDescent="0.25">
      <c r="A3025">
        <v>90333</v>
      </c>
      <c r="B3025" t="s">
        <v>9074</v>
      </c>
      <c r="C3025" t="s">
        <v>9075</v>
      </c>
      <c r="D3025" t="s">
        <v>2596</v>
      </c>
      <c r="E3025" t="s">
        <v>1273</v>
      </c>
      <c r="F3025" t="s">
        <v>1848</v>
      </c>
      <c r="G3025" t="s">
        <v>2927</v>
      </c>
      <c r="K3025" t="s">
        <v>8243</v>
      </c>
      <c r="M3025" t="s">
        <v>1765</v>
      </c>
    </row>
    <row r="3026" spans="1:13" x14ac:dyDescent="0.25">
      <c r="A3026">
        <v>89866</v>
      </c>
      <c r="B3026" t="s">
        <v>9074</v>
      </c>
      <c r="C3026" t="s">
        <v>9076</v>
      </c>
      <c r="D3026" t="s">
        <v>2605</v>
      </c>
      <c r="E3026" t="s">
        <v>1273</v>
      </c>
      <c r="F3026" t="s">
        <v>3945</v>
      </c>
      <c r="G3026" t="s">
        <v>8722</v>
      </c>
      <c r="K3026" t="s">
        <v>8723</v>
      </c>
      <c r="M3026" t="s">
        <v>1634</v>
      </c>
    </row>
    <row r="3027" spans="1:13" x14ac:dyDescent="0.25">
      <c r="A3027">
        <v>90334</v>
      </c>
      <c r="B3027" t="s">
        <v>1525</v>
      </c>
      <c r="C3027" t="s">
        <v>9077</v>
      </c>
      <c r="D3027" t="s">
        <v>2596</v>
      </c>
      <c r="E3027" t="s">
        <v>1273</v>
      </c>
      <c r="F3027" t="s">
        <v>1679</v>
      </c>
      <c r="G3027" t="s">
        <v>8241</v>
      </c>
      <c r="H3027">
        <v>6029532933</v>
      </c>
      <c r="K3027" t="s">
        <v>9078</v>
      </c>
      <c r="M3027" t="s">
        <v>1634</v>
      </c>
    </row>
    <row r="3028" spans="1:13" x14ac:dyDescent="0.25">
      <c r="A3028">
        <v>90334</v>
      </c>
      <c r="B3028" t="s">
        <v>1525</v>
      </c>
      <c r="C3028" t="s">
        <v>9077</v>
      </c>
      <c r="D3028" t="s">
        <v>2596</v>
      </c>
      <c r="E3028" t="s">
        <v>1273</v>
      </c>
      <c r="F3028" t="s">
        <v>3570</v>
      </c>
      <c r="G3028" t="s">
        <v>5188</v>
      </c>
      <c r="K3028" t="s">
        <v>8239</v>
      </c>
      <c r="L3028" t="s">
        <v>8240</v>
      </c>
      <c r="M3028" t="s">
        <v>1634</v>
      </c>
    </row>
    <row r="3029" spans="1:13" x14ac:dyDescent="0.25">
      <c r="A3029">
        <v>90334</v>
      </c>
      <c r="B3029" t="s">
        <v>1525</v>
      </c>
      <c r="C3029" t="s">
        <v>9077</v>
      </c>
      <c r="D3029" t="s">
        <v>2596</v>
      </c>
      <c r="E3029" t="s">
        <v>1273</v>
      </c>
      <c r="F3029" t="s">
        <v>8300</v>
      </c>
      <c r="G3029" t="s">
        <v>8301</v>
      </c>
      <c r="H3029">
        <v>6029532933</v>
      </c>
      <c r="K3029" t="s">
        <v>8302</v>
      </c>
      <c r="M3029" t="s">
        <v>1634</v>
      </c>
    </row>
    <row r="3030" spans="1:13" x14ac:dyDescent="0.25">
      <c r="A3030">
        <v>90334</v>
      </c>
      <c r="B3030" t="s">
        <v>1525</v>
      </c>
      <c r="C3030" t="s">
        <v>9077</v>
      </c>
      <c r="D3030" t="s">
        <v>2596</v>
      </c>
      <c r="E3030" t="s">
        <v>1273</v>
      </c>
      <c r="F3030" t="s">
        <v>1848</v>
      </c>
      <c r="G3030" t="s">
        <v>2927</v>
      </c>
      <c r="K3030" t="s">
        <v>8243</v>
      </c>
      <c r="M3030" t="s">
        <v>1765</v>
      </c>
    </row>
    <row r="3031" spans="1:13" x14ac:dyDescent="0.25">
      <c r="A3031">
        <v>89868</v>
      </c>
      <c r="B3031" t="s">
        <v>1526</v>
      </c>
      <c r="C3031" t="s">
        <v>9079</v>
      </c>
      <c r="D3031" t="s">
        <v>2605</v>
      </c>
      <c r="E3031" t="s">
        <v>1273</v>
      </c>
    </row>
    <row r="3032" spans="1:13" x14ac:dyDescent="0.25">
      <c r="A3032">
        <v>743644</v>
      </c>
      <c r="B3032" t="s">
        <v>9080</v>
      </c>
      <c r="C3032" t="s">
        <v>9081</v>
      </c>
      <c r="D3032" t="s">
        <v>2596</v>
      </c>
      <c r="E3032" t="s">
        <v>1273</v>
      </c>
      <c r="F3032" t="s">
        <v>9082</v>
      </c>
      <c r="G3032" t="s">
        <v>1780</v>
      </c>
      <c r="H3032">
        <v>6233633849</v>
      </c>
      <c r="K3032" t="s">
        <v>9083</v>
      </c>
      <c r="L3032" t="s">
        <v>9084</v>
      </c>
      <c r="M3032" t="s">
        <v>1634</v>
      </c>
    </row>
    <row r="3033" spans="1:13" x14ac:dyDescent="0.25">
      <c r="A3033">
        <v>743644</v>
      </c>
      <c r="B3033" t="s">
        <v>9080</v>
      </c>
      <c r="C3033" t="s">
        <v>9081</v>
      </c>
      <c r="D3033" t="s">
        <v>2596</v>
      </c>
      <c r="E3033" t="s">
        <v>1273</v>
      </c>
      <c r="F3033" t="s">
        <v>4478</v>
      </c>
      <c r="G3033" t="s">
        <v>9085</v>
      </c>
      <c r="H3033">
        <v>6236968645</v>
      </c>
      <c r="K3033" t="s">
        <v>9086</v>
      </c>
      <c r="L3033" t="s">
        <v>2649</v>
      </c>
      <c r="M3033" t="s">
        <v>1634</v>
      </c>
    </row>
    <row r="3034" spans="1:13" x14ac:dyDescent="0.25">
      <c r="A3034">
        <v>743644</v>
      </c>
      <c r="B3034" t="s">
        <v>9080</v>
      </c>
      <c r="C3034" t="s">
        <v>9081</v>
      </c>
      <c r="D3034" t="s">
        <v>2596</v>
      </c>
      <c r="E3034" t="s">
        <v>1273</v>
      </c>
      <c r="F3034" t="s">
        <v>4478</v>
      </c>
      <c r="G3034" t="s">
        <v>9085</v>
      </c>
      <c r="H3034">
        <v>6236968645</v>
      </c>
      <c r="K3034" t="s">
        <v>9086</v>
      </c>
      <c r="L3034" t="s">
        <v>2649</v>
      </c>
      <c r="M3034" t="s">
        <v>1640</v>
      </c>
    </row>
    <row r="3035" spans="1:13" x14ac:dyDescent="0.25">
      <c r="A3035">
        <v>465875</v>
      </c>
      <c r="B3035" t="s">
        <v>9087</v>
      </c>
      <c r="C3035" t="s">
        <v>9088</v>
      </c>
      <c r="D3035" t="s">
        <v>2605</v>
      </c>
      <c r="E3035" t="s">
        <v>1273</v>
      </c>
    </row>
    <row r="3036" spans="1:13" x14ac:dyDescent="0.25">
      <c r="A3036">
        <v>90508</v>
      </c>
      <c r="B3036" t="s">
        <v>3049</v>
      </c>
      <c r="C3036" t="s">
        <v>9089</v>
      </c>
      <c r="D3036" t="s">
        <v>2596</v>
      </c>
      <c r="E3036" t="s">
        <v>1273</v>
      </c>
      <c r="F3036" t="s">
        <v>3057</v>
      </c>
      <c r="G3036" t="s">
        <v>2969</v>
      </c>
      <c r="H3036">
        <v>4802892088</v>
      </c>
      <c r="K3036" t="s">
        <v>3058</v>
      </c>
      <c r="M3036" t="s">
        <v>1634</v>
      </c>
    </row>
    <row r="3037" spans="1:13" x14ac:dyDescent="0.25">
      <c r="A3037">
        <v>90508</v>
      </c>
      <c r="B3037" t="s">
        <v>3049</v>
      </c>
      <c r="C3037" t="s">
        <v>9089</v>
      </c>
      <c r="D3037" t="s">
        <v>2596</v>
      </c>
      <c r="E3037" t="s">
        <v>1273</v>
      </c>
      <c r="F3037" t="s">
        <v>2261</v>
      </c>
      <c r="G3037" t="s">
        <v>3063</v>
      </c>
      <c r="K3037" t="s">
        <v>3064</v>
      </c>
      <c r="L3037" t="s">
        <v>3065</v>
      </c>
      <c r="M3037" t="s">
        <v>1634</v>
      </c>
    </row>
    <row r="3038" spans="1:13" x14ac:dyDescent="0.25">
      <c r="A3038">
        <v>90508</v>
      </c>
      <c r="B3038" t="s">
        <v>3049</v>
      </c>
      <c r="C3038" t="s">
        <v>9089</v>
      </c>
      <c r="D3038" t="s">
        <v>2596</v>
      </c>
      <c r="E3038" t="s">
        <v>1273</v>
      </c>
      <c r="F3038" t="s">
        <v>1848</v>
      </c>
      <c r="G3038" t="s">
        <v>3060</v>
      </c>
      <c r="K3038" t="s">
        <v>3061</v>
      </c>
      <c r="L3038" t="s">
        <v>3062</v>
      </c>
      <c r="M3038" t="s">
        <v>1634</v>
      </c>
    </row>
    <row r="3039" spans="1:13" x14ac:dyDescent="0.25">
      <c r="A3039">
        <v>90509</v>
      </c>
      <c r="B3039" t="s">
        <v>9090</v>
      </c>
      <c r="C3039" t="s">
        <v>9091</v>
      </c>
      <c r="D3039" t="s">
        <v>2605</v>
      </c>
      <c r="E3039" t="s">
        <v>1273</v>
      </c>
    </row>
    <row r="3040" spans="1:13" x14ac:dyDescent="0.25">
      <c r="A3040">
        <v>90548</v>
      </c>
      <c r="B3040" t="s">
        <v>9092</v>
      </c>
      <c r="C3040" t="s">
        <v>9093</v>
      </c>
      <c r="D3040" t="s">
        <v>2596</v>
      </c>
      <c r="E3040" t="s">
        <v>1273</v>
      </c>
      <c r="F3040" t="s">
        <v>3570</v>
      </c>
      <c r="G3040" t="s">
        <v>5188</v>
      </c>
      <c r="K3040" t="s">
        <v>8239</v>
      </c>
      <c r="L3040" t="s">
        <v>9094</v>
      </c>
      <c r="M3040" t="s">
        <v>1634</v>
      </c>
    </row>
    <row r="3041" spans="1:13" x14ac:dyDescent="0.25">
      <c r="A3041">
        <v>91158</v>
      </c>
      <c r="B3041" t="s">
        <v>9095</v>
      </c>
      <c r="C3041" t="s">
        <v>9096</v>
      </c>
      <c r="D3041" t="s">
        <v>2605</v>
      </c>
      <c r="E3041" t="s">
        <v>1273</v>
      </c>
      <c r="F3041" t="s">
        <v>9097</v>
      </c>
      <c r="G3041" t="s">
        <v>4267</v>
      </c>
      <c r="J3041">
        <v>6029532933</v>
      </c>
      <c r="K3041" t="s">
        <v>9098</v>
      </c>
      <c r="L3041" t="s">
        <v>9099</v>
      </c>
      <c r="M3041" t="s">
        <v>1765</v>
      </c>
    </row>
    <row r="3042" spans="1:13" x14ac:dyDescent="0.25">
      <c r="A3042">
        <v>90541</v>
      </c>
      <c r="B3042" t="s">
        <v>9100</v>
      </c>
      <c r="C3042" t="s">
        <v>9101</v>
      </c>
      <c r="D3042" t="s">
        <v>2596</v>
      </c>
      <c r="E3042" t="s">
        <v>1273</v>
      </c>
      <c r="F3042" t="s">
        <v>9102</v>
      </c>
      <c r="G3042" t="s">
        <v>8925</v>
      </c>
      <c r="H3042">
        <v>4809405440</v>
      </c>
      <c r="K3042" t="s">
        <v>8926</v>
      </c>
      <c r="L3042" t="s">
        <v>8309</v>
      </c>
      <c r="M3042" t="s">
        <v>1634</v>
      </c>
    </row>
    <row r="3043" spans="1:13" x14ac:dyDescent="0.25">
      <c r="A3043">
        <v>90541</v>
      </c>
      <c r="B3043" t="s">
        <v>9100</v>
      </c>
      <c r="C3043" t="s">
        <v>9101</v>
      </c>
      <c r="D3043" t="s">
        <v>2596</v>
      </c>
      <c r="E3043" t="s">
        <v>1273</v>
      </c>
      <c r="F3043" t="s">
        <v>4638</v>
      </c>
      <c r="G3043" t="s">
        <v>8917</v>
      </c>
      <c r="H3043">
        <v>4809405440</v>
      </c>
      <c r="K3043" t="s">
        <v>8918</v>
      </c>
      <c r="L3043" t="s">
        <v>2368</v>
      </c>
      <c r="M3043" t="s">
        <v>1634</v>
      </c>
    </row>
    <row r="3044" spans="1:13" x14ac:dyDescent="0.25">
      <c r="A3044">
        <v>90541</v>
      </c>
      <c r="B3044" t="s">
        <v>9100</v>
      </c>
      <c r="C3044" t="s">
        <v>9101</v>
      </c>
      <c r="D3044" t="s">
        <v>2596</v>
      </c>
      <c r="E3044" t="s">
        <v>1273</v>
      </c>
      <c r="F3044" t="s">
        <v>5734</v>
      </c>
      <c r="G3044" t="s">
        <v>9103</v>
      </c>
      <c r="K3044" t="s">
        <v>9104</v>
      </c>
      <c r="L3044" t="s">
        <v>9105</v>
      </c>
      <c r="M3044" t="s">
        <v>1634</v>
      </c>
    </row>
    <row r="3045" spans="1:13" x14ac:dyDescent="0.25">
      <c r="A3045">
        <v>90541</v>
      </c>
      <c r="B3045" t="s">
        <v>9100</v>
      </c>
      <c r="C3045" t="s">
        <v>9101</v>
      </c>
      <c r="D3045" t="s">
        <v>2596</v>
      </c>
      <c r="E3045" t="s">
        <v>1273</v>
      </c>
      <c r="F3045" t="s">
        <v>4638</v>
      </c>
      <c r="G3045" t="s">
        <v>8917</v>
      </c>
      <c r="H3045">
        <v>4809405440</v>
      </c>
      <c r="K3045" t="s">
        <v>8918</v>
      </c>
      <c r="L3045" t="s">
        <v>2368</v>
      </c>
      <c r="M3045" t="s">
        <v>1640</v>
      </c>
    </row>
    <row r="3046" spans="1:13" x14ac:dyDescent="0.25">
      <c r="A3046">
        <v>90639</v>
      </c>
      <c r="B3046" t="s">
        <v>9106</v>
      </c>
      <c r="C3046" t="s">
        <v>9107</v>
      </c>
      <c r="D3046" t="s">
        <v>2605</v>
      </c>
      <c r="E3046" t="s">
        <v>1273</v>
      </c>
      <c r="F3046" t="s">
        <v>9102</v>
      </c>
      <c r="G3046" t="s">
        <v>8925</v>
      </c>
      <c r="H3046">
        <v>4809405440</v>
      </c>
      <c r="K3046" t="s">
        <v>8926</v>
      </c>
      <c r="L3046" t="s">
        <v>8309</v>
      </c>
      <c r="M3046" t="s">
        <v>1634</v>
      </c>
    </row>
    <row r="3047" spans="1:13" x14ac:dyDescent="0.25">
      <c r="A3047">
        <v>90540</v>
      </c>
      <c r="B3047" t="s">
        <v>9108</v>
      </c>
      <c r="C3047" t="s">
        <v>9109</v>
      </c>
      <c r="D3047" t="s">
        <v>2596</v>
      </c>
      <c r="E3047" t="s">
        <v>1273</v>
      </c>
      <c r="F3047" t="s">
        <v>8901</v>
      </c>
      <c r="G3047" t="s">
        <v>4769</v>
      </c>
      <c r="H3047">
        <v>4807792010</v>
      </c>
      <c r="K3047" t="s">
        <v>8902</v>
      </c>
      <c r="M3047" t="s">
        <v>1634</v>
      </c>
    </row>
    <row r="3048" spans="1:13" x14ac:dyDescent="0.25">
      <c r="A3048">
        <v>91122</v>
      </c>
      <c r="B3048" t="s">
        <v>9110</v>
      </c>
      <c r="C3048" t="s">
        <v>9111</v>
      </c>
      <c r="D3048" t="s">
        <v>2605</v>
      </c>
      <c r="E3048" t="s">
        <v>1273</v>
      </c>
      <c r="F3048" t="s">
        <v>9112</v>
      </c>
      <c r="G3048" t="s">
        <v>2162</v>
      </c>
      <c r="H3048">
        <v>6233853580</v>
      </c>
      <c r="K3048" t="s">
        <v>9113</v>
      </c>
      <c r="M3048" t="s">
        <v>1634</v>
      </c>
    </row>
    <row r="3049" spans="1:13" x14ac:dyDescent="0.25">
      <c r="A3049">
        <v>91122</v>
      </c>
      <c r="B3049" t="s">
        <v>9110</v>
      </c>
      <c r="C3049" t="s">
        <v>9111</v>
      </c>
      <c r="D3049" t="s">
        <v>2605</v>
      </c>
      <c r="E3049" t="s">
        <v>1273</v>
      </c>
      <c r="F3049" t="s">
        <v>2704</v>
      </c>
      <c r="G3049" t="s">
        <v>8906</v>
      </c>
      <c r="H3049">
        <v>4807792000</v>
      </c>
      <c r="K3049" t="s">
        <v>8907</v>
      </c>
      <c r="M3049" t="s">
        <v>1634</v>
      </c>
    </row>
    <row r="3050" spans="1:13" x14ac:dyDescent="0.25">
      <c r="A3050">
        <v>91122</v>
      </c>
      <c r="B3050" t="s">
        <v>9110</v>
      </c>
      <c r="C3050" t="s">
        <v>9111</v>
      </c>
      <c r="D3050" t="s">
        <v>2605</v>
      </c>
      <c r="E3050" t="s">
        <v>1273</v>
      </c>
      <c r="F3050" t="s">
        <v>2876</v>
      </c>
      <c r="G3050" t="s">
        <v>9114</v>
      </c>
      <c r="H3050">
        <v>6023434980</v>
      </c>
      <c r="K3050" t="s">
        <v>9115</v>
      </c>
      <c r="M3050" t="s">
        <v>1634</v>
      </c>
    </row>
    <row r="3051" spans="1:13" x14ac:dyDescent="0.25">
      <c r="A3051">
        <v>91122</v>
      </c>
      <c r="B3051" t="s">
        <v>9110</v>
      </c>
      <c r="C3051" t="s">
        <v>9111</v>
      </c>
      <c r="D3051" t="s">
        <v>2605</v>
      </c>
      <c r="E3051" t="s">
        <v>1273</v>
      </c>
      <c r="F3051" t="s">
        <v>8908</v>
      </c>
      <c r="G3051" t="s">
        <v>8909</v>
      </c>
      <c r="K3051" t="s">
        <v>8910</v>
      </c>
      <c r="M3051" t="s">
        <v>1634</v>
      </c>
    </row>
    <row r="3052" spans="1:13" x14ac:dyDescent="0.25">
      <c r="A3052">
        <v>90535</v>
      </c>
      <c r="B3052" t="s">
        <v>9116</v>
      </c>
      <c r="C3052" t="s">
        <v>9117</v>
      </c>
      <c r="D3052" t="s">
        <v>2596</v>
      </c>
      <c r="E3052" t="s">
        <v>1273</v>
      </c>
      <c r="F3052" t="s">
        <v>3570</v>
      </c>
      <c r="G3052" t="s">
        <v>5188</v>
      </c>
      <c r="K3052" t="s">
        <v>8239</v>
      </c>
      <c r="L3052" t="s">
        <v>9094</v>
      </c>
      <c r="M3052" t="s">
        <v>1634</v>
      </c>
    </row>
    <row r="3053" spans="1:13" x14ac:dyDescent="0.25">
      <c r="A3053">
        <v>90535</v>
      </c>
      <c r="B3053" t="s">
        <v>9116</v>
      </c>
      <c r="C3053" t="s">
        <v>9117</v>
      </c>
      <c r="D3053" t="s">
        <v>2596</v>
      </c>
      <c r="E3053" t="s">
        <v>1273</v>
      </c>
      <c r="F3053" t="s">
        <v>8300</v>
      </c>
      <c r="G3053" t="s">
        <v>8301</v>
      </c>
      <c r="H3053">
        <v>6029532933</v>
      </c>
      <c r="K3053" t="s">
        <v>8302</v>
      </c>
      <c r="M3053" t="s">
        <v>1634</v>
      </c>
    </row>
    <row r="3054" spans="1:13" x14ac:dyDescent="0.25">
      <c r="A3054">
        <v>90535</v>
      </c>
      <c r="B3054" t="s">
        <v>9116</v>
      </c>
      <c r="C3054" t="s">
        <v>9117</v>
      </c>
      <c r="D3054" t="s">
        <v>2596</v>
      </c>
      <c r="E3054" t="s">
        <v>1273</v>
      </c>
      <c r="F3054" t="s">
        <v>1848</v>
      </c>
      <c r="G3054" t="s">
        <v>2927</v>
      </c>
      <c r="K3054" t="s">
        <v>8243</v>
      </c>
      <c r="M3054" t="s">
        <v>1765</v>
      </c>
    </row>
    <row r="3055" spans="1:13" x14ac:dyDescent="0.25">
      <c r="A3055">
        <v>91157</v>
      </c>
      <c r="B3055" t="s">
        <v>9118</v>
      </c>
      <c r="C3055" t="s">
        <v>9119</v>
      </c>
      <c r="D3055" t="s">
        <v>2605</v>
      </c>
      <c r="E3055" t="s">
        <v>1273</v>
      </c>
      <c r="F3055" t="s">
        <v>2053</v>
      </c>
      <c r="G3055" t="s">
        <v>6310</v>
      </c>
      <c r="J3055">
        <v>6029530831</v>
      </c>
      <c r="K3055" t="s">
        <v>9120</v>
      </c>
      <c r="L3055" t="s">
        <v>9121</v>
      </c>
      <c r="M3055" t="s">
        <v>1634</v>
      </c>
    </row>
    <row r="3056" spans="1:13" x14ac:dyDescent="0.25">
      <c r="A3056">
        <v>91157</v>
      </c>
      <c r="B3056" t="s">
        <v>9118</v>
      </c>
      <c r="C3056" t="s">
        <v>9119</v>
      </c>
      <c r="D3056" t="s">
        <v>2605</v>
      </c>
      <c r="E3056" t="s">
        <v>1273</v>
      </c>
      <c r="F3056" t="s">
        <v>9097</v>
      </c>
      <c r="G3056" t="s">
        <v>4267</v>
      </c>
      <c r="J3056">
        <v>6029532933</v>
      </c>
      <c r="K3056" t="s">
        <v>9098</v>
      </c>
      <c r="L3056" t="s">
        <v>9122</v>
      </c>
      <c r="M3056" t="s">
        <v>1634</v>
      </c>
    </row>
    <row r="3057" spans="1:13" x14ac:dyDescent="0.25">
      <c r="A3057">
        <v>90758</v>
      </c>
      <c r="B3057" t="s">
        <v>9123</v>
      </c>
      <c r="C3057" t="s">
        <v>9124</v>
      </c>
      <c r="D3057" t="s">
        <v>2596</v>
      </c>
      <c r="E3057" t="s">
        <v>1273</v>
      </c>
      <c r="F3057" t="s">
        <v>9125</v>
      </c>
      <c r="G3057" t="s">
        <v>9126</v>
      </c>
      <c r="H3057">
        <v>7169982062</v>
      </c>
      <c r="K3057" t="s">
        <v>9127</v>
      </c>
      <c r="L3057" t="s">
        <v>8508</v>
      </c>
      <c r="M3057" t="s">
        <v>1634</v>
      </c>
    </row>
    <row r="3058" spans="1:13" x14ac:dyDescent="0.25">
      <c r="A3058">
        <v>90758</v>
      </c>
      <c r="B3058" t="s">
        <v>9123</v>
      </c>
      <c r="C3058" t="s">
        <v>9124</v>
      </c>
      <c r="D3058" t="s">
        <v>2596</v>
      </c>
      <c r="E3058" t="s">
        <v>1273</v>
      </c>
      <c r="F3058" t="s">
        <v>3428</v>
      </c>
      <c r="G3058" t="s">
        <v>1807</v>
      </c>
      <c r="K3058" t="s">
        <v>9128</v>
      </c>
      <c r="M3058" t="s">
        <v>1634</v>
      </c>
    </row>
    <row r="3059" spans="1:13" x14ac:dyDescent="0.25">
      <c r="A3059">
        <v>90758</v>
      </c>
      <c r="B3059" t="s">
        <v>9123</v>
      </c>
      <c r="C3059" t="s">
        <v>9124</v>
      </c>
      <c r="D3059" t="s">
        <v>2596</v>
      </c>
      <c r="E3059" t="s">
        <v>1273</v>
      </c>
      <c r="F3059" t="s">
        <v>2376</v>
      </c>
      <c r="G3059" t="s">
        <v>9129</v>
      </c>
      <c r="M3059" t="s">
        <v>1640</v>
      </c>
    </row>
    <row r="3060" spans="1:13" x14ac:dyDescent="0.25">
      <c r="A3060">
        <v>91246</v>
      </c>
      <c r="B3060" t="s">
        <v>9130</v>
      </c>
      <c r="C3060" t="s">
        <v>9131</v>
      </c>
      <c r="D3060" t="s">
        <v>2605</v>
      </c>
      <c r="E3060" t="s">
        <v>1273</v>
      </c>
      <c r="F3060" t="s">
        <v>2376</v>
      </c>
      <c r="G3060" t="s">
        <v>9129</v>
      </c>
      <c r="H3060">
        <v>4805845414</v>
      </c>
      <c r="M3060" t="s">
        <v>1640</v>
      </c>
    </row>
    <row r="3061" spans="1:13" x14ac:dyDescent="0.25">
      <c r="A3061">
        <v>91184</v>
      </c>
      <c r="B3061" t="s">
        <v>9130</v>
      </c>
      <c r="C3061" t="s">
        <v>9132</v>
      </c>
      <c r="D3061" t="s">
        <v>2605</v>
      </c>
      <c r="E3061" t="s">
        <v>1273</v>
      </c>
      <c r="F3061" t="s">
        <v>2376</v>
      </c>
      <c r="G3061" t="s">
        <v>9129</v>
      </c>
      <c r="H3061">
        <v>4805845414</v>
      </c>
      <c r="M3061" t="s">
        <v>1640</v>
      </c>
    </row>
    <row r="3062" spans="1:13" x14ac:dyDescent="0.25">
      <c r="A3062">
        <v>90879</v>
      </c>
      <c r="B3062" t="s">
        <v>9133</v>
      </c>
      <c r="C3062" t="s">
        <v>9134</v>
      </c>
      <c r="D3062" t="s">
        <v>2596</v>
      </c>
      <c r="E3062" t="s">
        <v>1273</v>
      </c>
      <c r="F3062" t="s">
        <v>6014</v>
      </c>
      <c r="G3062" t="s">
        <v>8104</v>
      </c>
      <c r="H3062" t="s">
        <v>8105</v>
      </c>
      <c r="K3062" t="s">
        <v>8106</v>
      </c>
      <c r="L3062" t="s">
        <v>8107</v>
      </c>
      <c r="M3062" t="s">
        <v>1634</v>
      </c>
    </row>
    <row r="3063" spans="1:13" x14ac:dyDescent="0.25">
      <c r="A3063">
        <v>90879</v>
      </c>
      <c r="B3063" t="s">
        <v>9133</v>
      </c>
      <c r="C3063" t="s">
        <v>9134</v>
      </c>
      <c r="D3063" t="s">
        <v>2596</v>
      </c>
      <c r="E3063" t="s">
        <v>1273</v>
      </c>
      <c r="F3063" t="s">
        <v>2307</v>
      </c>
      <c r="G3063" t="s">
        <v>8090</v>
      </c>
      <c r="H3063">
        <v>4802977676</v>
      </c>
      <c r="K3063" t="s">
        <v>8091</v>
      </c>
      <c r="M3063" t="s">
        <v>1634</v>
      </c>
    </row>
    <row r="3064" spans="1:13" x14ac:dyDescent="0.25">
      <c r="A3064">
        <v>90879</v>
      </c>
      <c r="B3064" t="s">
        <v>9133</v>
      </c>
      <c r="C3064" t="s">
        <v>9134</v>
      </c>
      <c r="D3064" t="s">
        <v>2596</v>
      </c>
      <c r="E3064" t="s">
        <v>1273</v>
      </c>
      <c r="F3064" t="s">
        <v>6014</v>
      </c>
      <c r="G3064" t="s">
        <v>8092</v>
      </c>
      <c r="H3064">
        <v>6024387045</v>
      </c>
      <c r="K3064" t="s">
        <v>8093</v>
      </c>
      <c r="M3064" t="s">
        <v>1640</v>
      </c>
    </row>
    <row r="3065" spans="1:13" x14ac:dyDescent="0.25">
      <c r="A3065">
        <v>90879</v>
      </c>
      <c r="B3065" t="s">
        <v>9133</v>
      </c>
      <c r="C3065" t="s">
        <v>9134</v>
      </c>
      <c r="D3065" t="s">
        <v>2596</v>
      </c>
      <c r="E3065" t="s">
        <v>1273</v>
      </c>
      <c r="F3065" t="s">
        <v>7318</v>
      </c>
      <c r="G3065" t="s">
        <v>8094</v>
      </c>
      <c r="H3065">
        <v>6024387045</v>
      </c>
      <c r="K3065" t="s">
        <v>8095</v>
      </c>
      <c r="L3065" t="s">
        <v>8096</v>
      </c>
      <c r="M3065" t="s">
        <v>1640</v>
      </c>
    </row>
    <row r="3066" spans="1:13" x14ac:dyDescent="0.25">
      <c r="A3066">
        <v>90879</v>
      </c>
      <c r="B3066" t="s">
        <v>9133</v>
      </c>
      <c r="C3066" t="s">
        <v>9134</v>
      </c>
      <c r="D3066" t="s">
        <v>2596</v>
      </c>
      <c r="E3066" t="s">
        <v>1273</v>
      </c>
      <c r="F3066" t="s">
        <v>8097</v>
      </c>
      <c r="G3066" t="s">
        <v>8098</v>
      </c>
      <c r="H3066">
        <v>4807216818</v>
      </c>
      <c r="K3066" t="s">
        <v>8099</v>
      </c>
      <c r="M3066" t="s">
        <v>1640</v>
      </c>
    </row>
    <row r="3067" spans="1:13" x14ac:dyDescent="0.25">
      <c r="A3067">
        <v>90879</v>
      </c>
      <c r="B3067" t="s">
        <v>9133</v>
      </c>
      <c r="C3067" t="s">
        <v>9134</v>
      </c>
      <c r="D3067" t="s">
        <v>2596</v>
      </c>
      <c r="E3067" t="s">
        <v>1273</v>
      </c>
      <c r="F3067" t="s">
        <v>2094</v>
      </c>
      <c r="G3067" t="s">
        <v>9135</v>
      </c>
      <c r="H3067">
        <v>6029964255</v>
      </c>
      <c r="K3067" t="s">
        <v>9136</v>
      </c>
      <c r="M3067" t="s">
        <v>1765</v>
      </c>
    </row>
    <row r="3068" spans="1:13" x14ac:dyDescent="0.25">
      <c r="A3068">
        <v>90879</v>
      </c>
      <c r="B3068" t="s">
        <v>9133</v>
      </c>
      <c r="C3068" t="s">
        <v>9134</v>
      </c>
      <c r="D3068" t="s">
        <v>2596</v>
      </c>
      <c r="E3068" t="s">
        <v>1273</v>
      </c>
      <c r="F3068" t="s">
        <v>1935</v>
      </c>
      <c r="G3068" t="s">
        <v>8100</v>
      </c>
      <c r="H3068" t="s">
        <v>8101</v>
      </c>
      <c r="J3068">
        <v>6024387242</v>
      </c>
      <c r="K3068" t="s">
        <v>8102</v>
      </c>
      <c r="L3068" t="s">
        <v>8103</v>
      </c>
      <c r="M3068" t="s">
        <v>1765</v>
      </c>
    </row>
    <row r="3069" spans="1:13" x14ac:dyDescent="0.25">
      <c r="A3069">
        <v>90879</v>
      </c>
      <c r="B3069" t="s">
        <v>9133</v>
      </c>
      <c r="C3069" t="s">
        <v>9134</v>
      </c>
      <c r="D3069" t="s">
        <v>2596</v>
      </c>
      <c r="E3069" t="s">
        <v>1273</v>
      </c>
      <c r="F3069" t="s">
        <v>6014</v>
      </c>
      <c r="G3069" t="s">
        <v>8104</v>
      </c>
      <c r="H3069" t="s">
        <v>8105</v>
      </c>
      <c r="K3069" t="s">
        <v>8106</v>
      </c>
      <c r="L3069" t="s">
        <v>8107</v>
      </c>
      <c r="M3069" t="s">
        <v>1765</v>
      </c>
    </row>
    <row r="3070" spans="1:13" x14ac:dyDescent="0.25">
      <c r="A3070">
        <v>91422</v>
      </c>
      <c r="B3070" t="s">
        <v>9137</v>
      </c>
      <c r="C3070" t="s">
        <v>9138</v>
      </c>
      <c r="D3070" t="s">
        <v>2605</v>
      </c>
      <c r="E3070" t="s">
        <v>1273</v>
      </c>
    </row>
    <row r="3071" spans="1:13" x14ac:dyDescent="0.25">
      <c r="A3071">
        <v>90884</v>
      </c>
      <c r="B3071" t="s">
        <v>9139</v>
      </c>
      <c r="C3071" t="s">
        <v>9140</v>
      </c>
      <c r="D3071" t="s">
        <v>2596</v>
      </c>
      <c r="E3071" t="s">
        <v>1273</v>
      </c>
      <c r="F3071" t="s">
        <v>1812</v>
      </c>
      <c r="G3071" t="s">
        <v>3502</v>
      </c>
      <c r="H3071">
        <v>2104140370</v>
      </c>
      <c r="K3071" t="s">
        <v>9141</v>
      </c>
      <c r="L3071" t="s">
        <v>1668</v>
      </c>
      <c r="M3071" t="s">
        <v>1634</v>
      </c>
    </row>
    <row r="3072" spans="1:13" x14ac:dyDescent="0.25">
      <c r="A3072">
        <v>90884</v>
      </c>
      <c r="B3072" t="s">
        <v>9139</v>
      </c>
      <c r="C3072" t="s">
        <v>9140</v>
      </c>
      <c r="D3072" t="s">
        <v>2596</v>
      </c>
      <c r="E3072" t="s">
        <v>1273</v>
      </c>
      <c r="F3072" t="s">
        <v>8894</v>
      </c>
      <c r="G3072" t="s">
        <v>9142</v>
      </c>
      <c r="K3072" t="s">
        <v>9143</v>
      </c>
      <c r="L3072" t="s">
        <v>4663</v>
      </c>
      <c r="M3072" t="s">
        <v>1640</v>
      </c>
    </row>
    <row r="3073" spans="1:13" x14ac:dyDescent="0.25">
      <c r="A3073">
        <v>91712</v>
      </c>
      <c r="B3073" t="s">
        <v>9144</v>
      </c>
      <c r="C3073" t="s">
        <v>9145</v>
      </c>
      <c r="D3073" t="s">
        <v>2605</v>
      </c>
      <c r="E3073" t="s">
        <v>1273</v>
      </c>
      <c r="F3073" t="s">
        <v>2294</v>
      </c>
      <c r="G3073" t="s">
        <v>7673</v>
      </c>
      <c r="K3073" t="s">
        <v>9146</v>
      </c>
      <c r="M3073" t="s">
        <v>1634</v>
      </c>
    </row>
    <row r="3074" spans="1:13" x14ac:dyDescent="0.25">
      <c r="A3074">
        <v>91712</v>
      </c>
      <c r="B3074" t="s">
        <v>9144</v>
      </c>
      <c r="C3074" t="s">
        <v>9145</v>
      </c>
      <c r="D3074" t="s">
        <v>2605</v>
      </c>
      <c r="E3074" t="s">
        <v>1273</v>
      </c>
      <c r="F3074" t="s">
        <v>5734</v>
      </c>
      <c r="G3074" t="s">
        <v>2465</v>
      </c>
      <c r="M3074" t="s">
        <v>1634</v>
      </c>
    </row>
    <row r="3075" spans="1:13" x14ac:dyDescent="0.25">
      <c r="A3075">
        <v>90885</v>
      </c>
      <c r="B3075" t="s">
        <v>9147</v>
      </c>
      <c r="C3075" t="s">
        <v>9148</v>
      </c>
      <c r="D3075" t="s">
        <v>2596</v>
      </c>
      <c r="E3075" t="s">
        <v>1273</v>
      </c>
      <c r="F3075" t="s">
        <v>2688</v>
      </c>
      <c r="G3075" t="s">
        <v>1593</v>
      </c>
      <c r="H3075">
        <v>4808556325</v>
      </c>
      <c r="K3075" t="s">
        <v>9149</v>
      </c>
      <c r="L3075" t="s">
        <v>8548</v>
      </c>
      <c r="M3075" t="s">
        <v>1634</v>
      </c>
    </row>
    <row r="3076" spans="1:13" x14ac:dyDescent="0.25">
      <c r="A3076">
        <v>90885</v>
      </c>
      <c r="B3076" t="s">
        <v>9147</v>
      </c>
      <c r="C3076" t="s">
        <v>9148</v>
      </c>
      <c r="D3076" t="s">
        <v>2596</v>
      </c>
      <c r="E3076" t="s">
        <v>1273</v>
      </c>
      <c r="F3076" t="s">
        <v>4660</v>
      </c>
      <c r="G3076" t="s">
        <v>9150</v>
      </c>
      <c r="K3076" t="s">
        <v>9151</v>
      </c>
      <c r="L3076" t="s">
        <v>1721</v>
      </c>
      <c r="M3076" t="s">
        <v>1634</v>
      </c>
    </row>
    <row r="3077" spans="1:13" x14ac:dyDescent="0.25">
      <c r="A3077">
        <v>90885</v>
      </c>
      <c r="B3077" t="s">
        <v>9147</v>
      </c>
      <c r="C3077" t="s">
        <v>9148</v>
      </c>
      <c r="D3077" t="s">
        <v>2596</v>
      </c>
      <c r="E3077" t="s">
        <v>1273</v>
      </c>
      <c r="F3077" t="s">
        <v>5432</v>
      </c>
      <c r="G3077" t="s">
        <v>9152</v>
      </c>
      <c r="K3077" t="s">
        <v>9153</v>
      </c>
      <c r="L3077" t="s">
        <v>9154</v>
      </c>
      <c r="M3077" t="s">
        <v>1640</v>
      </c>
    </row>
    <row r="3078" spans="1:13" x14ac:dyDescent="0.25">
      <c r="A3078">
        <v>91791</v>
      </c>
      <c r="B3078" t="s">
        <v>9147</v>
      </c>
      <c r="C3078" t="s">
        <v>9155</v>
      </c>
      <c r="D3078" t="s">
        <v>2605</v>
      </c>
      <c r="E3078" t="s">
        <v>1273</v>
      </c>
      <c r="F3078" t="s">
        <v>9156</v>
      </c>
      <c r="G3078" t="s">
        <v>4856</v>
      </c>
      <c r="H3078">
        <v>4808556325</v>
      </c>
      <c r="I3078">
        <v>210</v>
      </c>
      <c r="K3078" t="s">
        <v>9157</v>
      </c>
      <c r="L3078" t="s">
        <v>1647</v>
      </c>
      <c r="M3078" t="s">
        <v>1634</v>
      </c>
    </row>
    <row r="3079" spans="1:13" x14ac:dyDescent="0.25">
      <c r="A3079">
        <v>91791</v>
      </c>
      <c r="B3079" t="s">
        <v>9147</v>
      </c>
      <c r="C3079" t="s">
        <v>9155</v>
      </c>
      <c r="D3079" t="s">
        <v>2605</v>
      </c>
      <c r="E3079" t="s">
        <v>1273</v>
      </c>
      <c r="F3079" t="s">
        <v>2376</v>
      </c>
      <c r="G3079" t="s">
        <v>2250</v>
      </c>
      <c r="K3079" t="s">
        <v>9158</v>
      </c>
      <c r="L3079" t="s">
        <v>7171</v>
      </c>
      <c r="M3079" t="s">
        <v>1634</v>
      </c>
    </row>
    <row r="3080" spans="1:13" x14ac:dyDescent="0.25">
      <c r="A3080">
        <v>90779</v>
      </c>
      <c r="B3080" t="s">
        <v>8676</v>
      </c>
      <c r="C3080" t="s">
        <v>9159</v>
      </c>
      <c r="D3080" t="s">
        <v>2596</v>
      </c>
      <c r="E3080" t="s">
        <v>1273</v>
      </c>
      <c r="F3080" t="s">
        <v>2610</v>
      </c>
      <c r="G3080" t="s">
        <v>9160</v>
      </c>
      <c r="H3080">
        <v>6022978500</v>
      </c>
      <c r="J3080">
        <v>6022978540</v>
      </c>
      <c r="K3080" t="s">
        <v>8679</v>
      </c>
      <c r="L3080" t="s">
        <v>8309</v>
      </c>
      <c r="M3080" t="s">
        <v>1634</v>
      </c>
    </row>
    <row r="3081" spans="1:13" x14ac:dyDescent="0.25">
      <c r="A3081">
        <v>90779</v>
      </c>
      <c r="B3081" t="s">
        <v>8676</v>
      </c>
      <c r="C3081" t="s">
        <v>9159</v>
      </c>
      <c r="D3081" t="s">
        <v>2596</v>
      </c>
      <c r="E3081" t="s">
        <v>1273</v>
      </c>
      <c r="F3081" t="s">
        <v>8605</v>
      </c>
      <c r="G3081" t="s">
        <v>8606</v>
      </c>
      <c r="H3081">
        <v>6022978500</v>
      </c>
      <c r="K3081" t="s">
        <v>8607</v>
      </c>
      <c r="L3081" t="s">
        <v>2649</v>
      </c>
      <c r="M3081" t="s">
        <v>1640</v>
      </c>
    </row>
    <row r="3082" spans="1:13" x14ac:dyDescent="0.25">
      <c r="A3082">
        <v>90779</v>
      </c>
      <c r="B3082" t="s">
        <v>8676</v>
      </c>
      <c r="C3082" t="s">
        <v>9159</v>
      </c>
      <c r="D3082" t="s">
        <v>2596</v>
      </c>
      <c r="E3082" t="s">
        <v>1273</v>
      </c>
      <c r="F3082" t="s">
        <v>9161</v>
      </c>
      <c r="G3082" t="s">
        <v>9162</v>
      </c>
      <c r="K3082" t="s">
        <v>9163</v>
      </c>
      <c r="M3082" t="s">
        <v>1765</v>
      </c>
    </row>
    <row r="3083" spans="1:13" x14ac:dyDescent="0.25">
      <c r="A3083">
        <v>90780</v>
      </c>
      <c r="B3083" t="s">
        <v>9164</v>
      </c>
      <c r="C3083" t="s">
        <v>9165</v>
      </c>
      <c r="D3083" t="s">
        <v>2605</v>
      </c>
      <c r="E3083" t="s">
        <v>1273</v>
      </c>
      <c r="F3083" t="s">
        <v>2610</v>
      </c>
      <c r="G3083" t="s">
        <v>9160</v>
      </c>
      <c r="H3083">
        <v>6022978500</v>
      </c>
      <c r="J3083">
        <v>6022978540</v>
      </c>
      <c r="L3083" t="s">
        <v>9166</v>
      </c>
      <c r="M3083" t="s">
        <v>1634</v>
      </c>
    </row>
    <row r="3084" spans="1:13" x14ac:dyDescent="0.25">
      <c r="A3084">
        <v>90780</v>
      </c>
      <c r="B3084" t="s">
        <v>9164</v>
      </c>
      <c r="C3084" t="s">
        <v>9165</v>
      </c>
      <c r="D3084" t="s">
        <v>2605</v>
      </c>
      <c r="E3084" t="s">
        <v>1273</v>
      </c>
      <c r="F3084" t="s">
        <v>9167</v>
      </c>
      <c r="G3084" t="s">
        <v>6075</v>
      </c>
      <c r="K3084" t="s">
        <v>9168</v>
      </c>
      <c r="L3084" t="s">
        <v>1647</v>
      </c>
      <c r="M3084" t="s">
        <v>1634</v>
      </c>
    </row>
    <row r="3085" spans="1:13" x14ac:dyDescent="0.25">
      <c r="A3085">
        <v>90841</v>
      </c>
      <c r="B3085" t="s">
        <v>3049</v>
      </c>
      <c r="C3085" t="s">
        <v>9169</v>
      </c>
      <c r="D3085" t="s">
        <v>2596</v>
      </c>
      <c r="E3085" t="s">
        <v>1273</v>
      </c>
      <c r="F3085" t="s">
        <v>2082</v>
      </c>
      <c r="G3085" t="s">
        <v>1788</v>
      </c>
      <c r="H3085">
        <v>6235669100</v>
      </c>
      <c r="K3085" t="s">
        <v>9170</v>
      </c>
      <c r="L3085" t="s">
        <v>9171</v>
      </c>
      <c r="M3085" t="s">
        <v>1634</v>
      </c>
    </row>
    <row r="3086" spans="1:13" x14ac:dyDescent="0.25">
      <c r="A3086">
        <v>90841</v>
      </c>
      <c r="B3086" t="s">
        <v>3049</v>
      </c>
      <c r="C3086" t="s">
        <v>9169</v>
      </c>
      <c r="D3086" t="s">
        <v>2596</v>
      </c>
      <c r="E3086" t="s">
        <v>1273</v>
      </c>
      <c r="F3086" t="s">
        <v>4967</v>
      </c>
      <c r="G3086" t="s">
        <v>9172</v>
      </c>
      <c r="H3086">
        <v>6235669100</v>
      </c>
      <c r="K3086" t="s">
        <v>9173</v>
      </c>
      <c r="L3086" t="s">
        <v>9174</v>
      </c>
      <c r="M3086" t="s">
        <v>1634</v>
      </c>
    </row>
    <row r="3087" spans="1:13" x14ac:dyDescent="0.25">
      <c r="A3087">
        <v>90841</v>
      </c>
      <c r="B3087" t="s">
        <v>3049</v>
      </c>
      <c r="C3087" t="s">
        <v>9169</v>
      </c>
      <c r="D3087" t="s">
        <v>2596</v>
      </c>
      <c r="E3087" t="s">
        <v>1273</v>
      </c>
      <c r="F3087" t="s">
        <v>3057</v>
      </c>
      <c r="G3087" t="s">
        <v>2969</v>
      </c>
      <c r="H3087">
        <v>4802892088</v>
      </c>
      <c r="K3087" t="s">
        <v>3058</v>
      </c>
      <c r="L3087" t="s">
        <v>3059</v>
      </c>
      <c r="M3087" t="s">
        <v>1634</v>
      </c>
    </row>
    <row r="3088" spans="1:13" x14ac:dyDescent="0.25">
      <c r="A3088">
        <v>90841</v>
      </c>
      <c r="B3088" t="s">
        <v>3049</v>
      </c>
      <c r="C3088" t="s">
        <v>9169</v>
      </c>
      <c r="D3088" t="s">
        <v>2596</v>
      </c>
      <c r="E3088" t="s">
        <v>1273</v>
      </c>
      <c r="F3088" t="s">
        <v>1848</v>
      </c>
      <c r="G3088" t="s">
        <v>3060</v>
      </c>
      <c r="K3088" t="s">
        <v>3061</v>
      </c>
      <c r="L3088" t="s">
        <v>3062</v>
      </c>
      <c r="M3088" t="s">
        <v>1634</v>
      </c>
    </row>
    <row r="3089" spans="1:13" x14ac:dyDescent="0.25">
      <c r="A3089">
        <v>90841</v>
      </c>
      <c r="B3089" t="s">
        <v>3049</v>
      </c>
      <c r="C3089" t="s">
        <v>9169</v>
      </c>
      <c r="D3089" t="s">
        <v>2596</v>
      </c>
      <c r="E3089" t="s">
        <v>1273</v>
      </c>
      <c r="F3089" t="s">
        <v>2261</v>
      </c>
      <c r="G3089" t="s">
        <v>3063</v>
      </c>
      <c r="K3089" t="s">
        <v>3064</v>
      </c>
      <c r="L3089" t="s">
        <v>3065</v>
      </c>
      <c r="M3089" t="s">
        <v>1634</v>
      </c>
    </row>
    <row r="3090" spans="1:13" x14ac:dyDescent="0.25">
      <c r="A3090">
        <v>91055</v>
      </c>
      <c r="B3090" t="s">
        <v>9175</v>
      </c>
      <c r="C3090" t="s">
        <v>9176</v>
      </c>
      <c r="D3090" t="s">
        <v>2605</v>
      </c>
      <c r="E3090" t="s">
        <v>1273</v>
      </c>
    </row>
    <row r="3091" spans="1:13" x14ac:dyDescent="0.25">
      <c r="A3091">
        <v>90842</v>
      </c>
      <c r="B3091" t="s">
        <v>3049</v>
      </c>
      <c r="C3091" t="s">
        <v>9177</v>
      </c>
      <c r="D3091" t="s">
        <v>2596</v>
      </c>
      <c r="E3091" t="s">
        <v>1273</v>
      </c>
      <c r="F3091" t="s">
        <v>3057</v>
      </c>
      <c r="G3091" t="s">
        <v>2969</v>
      </c>
      <c r="H3091">
        <v>4802892088</v>
      </c>
      <c r="K3091" t="s">
        <v>3058</v>
      </c>
      <c r="L3091" t="s">
        <v>9178</v>
      </c>
      <c r="M3091" t="s">
        <v>1634</v>
      </c>
    </row>
    <row r="3092" spans="1:13" x14ac:dyDescent="0.25">
      <c r="A3092">
        <v>90842</v>
      </c>
      <c r="B3092" t="s">
        <v>3049</v>
      </c>
      <c r="C3092" t="s">
        <v>9177</v>
      </c>
      <c r="D3092" t="s">
        <v>2596</v>
      </c>
      <c r="E3092" t="s">
        <v>1273</v>
      </c>
      <c r="F3092" t="s">
        <v>1848</v>
      </c>
      <c r="G3092" t="s">
        <v>3060</v>
      </c>
      <c r="K3092" t="s">
        <v>3061</v>
      </c>
      <c r="L3092" t="s">
        <v>3062</v>
      </c>
      <c r="M3092" t="s">
        <v>1634</v>
      </c>
    </row>
    <row r="3093" spans="1:13" x14ac:dyDescent="0.25">
      <c r="A3093">
        <v>90842</v>
      </c>
      <c r="B3093" t="s">
        <v>3049</v>
      </c>
      <c r="C3093" t="s">
        <v>9177</v>
      </c>
      <c r="D3093" t="s">
        <v>2596</v>
      </c>
      <c r="E3093" t="s">
        <v>1273</v>
      </c>
      <c r="F3093" t="s">
        <v>2261</v>
      </c>
      <c r="G3093" t="s">
        <v>3063</v>
      </c>
      <c r="K3093" t="s">
        <v>3064</v>
      </c>
      <c r="L3093" t="s">
        <v>3065</v>
      </c>
      <c r="M3093" t="s">
        <v>1634</v>
      </c>
    </row>
    <row r="3094" spans="1:13" x14ac:dyDescent="0.25">
      <c r="A3094">
        <v>91056</v>
      </c>
      <c r="B3094" t="s">
        <v>9179</v>
      </c>
      <c r="C3094" t="s">
        <v>9180</v>
      </c>
      <c r="D3094" t="s">
        <v>2605</v>
      </c>
      <c r="E3094" t="s">
        <v>1273</v>
      </c>
      <c r="F3094" t="s">
        <v>1925</v>
      </c>
      <c r="G3094" t="s">
        <v>3072</v>
      </c>
      <c r="H3094">
        <v>5202196000</v>
      </c>
      <c r="J3094">
        <v>5202196006</v>
      </c>
      <c r="K3094" t="s">
        <v>3073</v>
      </c>
      <c r="L3094" t="s">
        <v>3074</v>
      </c>
      <c r="M3094" t="s">
        <v>1634</v>
      </c>
    </row>
    <row r="3095" spans="1:13" x14ac:dyDescent="0.25">
      <c r="A3095">
        <v>90857</v>
      </c>
      <c r="B3095" t="s">
        <v>9181</v>
      </c>
      <c r="C3095" t="s">
        <v>9182</v>
      </c>
      <c r="D3095" t="s">
        <v>2596</v>
      </c>
      <c r="E3095" t="s">
        <v>1273</v>
      </c>
      <c r="F3095" t="s">
        <v>2307</v>
      </c>
      <c r="G3095" t="s">
        <v>8090</v>
      </c>
      <c r="H3095">
        <v>4802977676</v>
      </c>
      <c r="K3095" t="s">
        <v>8091</v>
      </c>
      <c r="M3095" t="s">
        <v>1634</v>
      </c>
    </row>
    <row r="3096" spans="1:13" x14ac:dyDescent="0.25">
      <c r="A3096">
        <v>90857</v>
      </c>
      <c r="B3096" t="s">
        <v>9181</v>
      </c>
      <c r="C3096" t="s">
        <v>9182</v>
      </c>
      <c r="D3096" t="s">
        <v>2596</v>
      </c>
      <c r="E3096" t="s">
        <v>1273</v>
      </c>
      <c r="F3096" t="s">
        <v>6014</v>
      </c>
      <c r="G3096" t="s">
        <v>8092</v>
      </c>
      <c r="H3096">
        <v>6024387045</v>
      </c>
      <c r="K3096" t="s">
        <v>8093</v>
      </c>
      <c r="M3096" t="s">
        <v>1640</v>
      </c>
    </row>
    <row r="3097" spans="1:13" x14ac:dyDescent="0.25">
      <c r="A3097">
        <v>90857</v>
      </c>
      <c r="B3097" t="s">
        <v>9181</v>
      </c>
      <c r="C3097" t="s">
        <v>9182</v>
      </c>
      <c r="D3097" t="s">
        <v>2596</v>
      </c>
      <c r="E3097" t="s">
        <v>1273</v>
      </c>
      <c r="F3097" t="s">
        <v>7318</v>
      </c>
      <c r="G3097" t="s">
        <v>8094</v>
      </c>
      <c r="H3097">
        <v>6024387045</v>
      </c>
      <c r="K3097" t="s">
        <v>8095</v>
      </c>
      <c r="L3097" t="s">
        <v>8096</v>
      </c>
      <c r="M3097" t="s">
        <v>1640</v>
      </c>
    </row>
    <row r="3098" spans="1:13" x14ac:dyDescent="0.25">
      <c r="A3098">
        <v>90857</v>
      </c>
      <c r="B3098" t="s">
        <v>9181</v>
      </c>
      <c r="C3098" t="s">
        <v>9182</v>
      </c>
      <c r="D3098" t="s">
        <v>2596</v>
      </c>
      <c r="E3098" t="s">
        <v>1273</v>
      </c>
      <c r="F3098" t="s">
        <v>9183</v>
      </c>
      <c r="G3098" t="s">
        <v>4105</v>
      </c>
      <c r="H3098">
        <v>4807760413</v>
      </c>
      <c r="J3098">
        <v>4808997014</v>
      </c>
      <c r="K3098" t="s">
        <v>9184</v>
      </c>
      <c r="L3098" t="s">
        <v>2446</v>
      </c>
      <c r="M3098" t="s">
        <v>1765</v>
      </c>
    </row>
    <row r="3099" spans="1:13" x14ac:dyDescent="0.25">
      <c r="A3099">
        <v>90857</v>
      </c>
      <c r="B3099" t="s">
        <v>9181</v>
      </c>
      <c r="C3099" t="s">
        <v>9182</v>
      </c>
      <c r="D3099" t="s">
        <v>2596</v>
      </c>
      <c r="E3099" t="s">
        <v>1273</v>
      </c>
      <c r="F3099" t="s">
        <v>1935</v>
      </c>
      <c r="G3099" t="s">
        <v>8100</v>
      </c>
      <c r="H3099">
        <v>6023861874</v>
      </c>
      <c r="J3099">
        <v>6024387242</v>
      </c>
      <c r="L3099" t="s">
        <v>8103</v>
      </c>
      <c r="M3099" t="s">
        <v>1765</v>
      </c>
    </row>
    <row r="3100" spans="1:13" x14ac:dyDescent="0.25">
      <c r="A3100">
        <v>90857</v>
      </c>
      <c r="B3100" t="s">
        <v>9181</v>
      </c>
      <c r="C3100" t="s">
        <v>9182</v>
      </c>
      <c r="D3100" t="s">
        <v>2596</v>
      </c>
      <c r="E3100" t="s">
        <v>1273</v>
      </c>
      <c r="F3100" t="s">
        <v>6014</v>
      </c>
      <c r="G3100" t="s">
        <v>8104</v>
      </c>
      <c r="H3100" t="s">
        <v>8105</v>
      </c>
      <c r="K3100" t="s">
        <v>8106</v>
      </c>
      <c r="L3100" t="s">
        <v>8107</v>
      </c>
      <c r="M3100" t="s">
        <v>1765</v>
      </c>
    </row>
    <row r="3101" spans="1:13" x14ac:dyDescent="0.25">
      <c r="A3101">
        <v>90994</v>
      </c>
      <c r="B3101" t="s">
        <v>9185</v>
      </c>
      <c r="C3101" t="s">
        <v>9186</v>
      </c>
      <c r="D3101" t="s">
        <v>2605</v>
      </c>
      <c r="E3101" t="s">
        <v>1273</v>
      </c>
    </row>
    <row r="3102" spans="1:13" x14ac:dyDescent="0.25">
      <c r="A3102">
        <v>90859</v>
      </c>
      <c r="B3102" t="s">
        <v>9187</v>
      </c>
      <c r="C3102" t="s">
        <v>9188</v>
      </c>
      <c r="D3102" t="s">
        <v>2596</v>
      </c>
      <c r="E3102" t="s">
        <v>1273</v>
      </c>
      <c r="F3102" t="s">
        <v>2499</v>
      </c>
      <c r="G3102" t="s">
        <v>8444</v>
      </c>
      <c r="H3102">
        <v>6024387045</v>
      </c>
      <c r="J3102">
        <v>6024387242</v>
      </c>
      <c r="K3102" t="s">
        <v>8445</v>
      </c>
      <c r="L3102" t="s">
        <v>9189</v>
      </c>
      <c r="M3102" t="s">
        <v>1634</v>
      </c>
    </row>
    <row r="3103" spans="1:13" x14ac:dyDescent="0.25">
      <c r="A3103">
        <v>90859</v>
      </c>
      <c r="B3103" t="s">
        <v>9187</v>
      </c>
      <c r="C3103" t="s">
        <v>9188</v>
      </c>
      <c r="D3103" t="s">
        <v>2596</v>
      </c>
      <c r="E3103" t="s">
        <v>1273</v>
      </c>
      <c r="F3103" t="s">
        <v>6014</v>
      </c>
      <c r="G3103" t="s">
        <v>8104</v>
      </c>
      <c r="H3103" t="s">
        <v>8105</v>
      </c>
      <c r="K3103" t="s">
        <v>8106</v>
      </c>
      <c r="L3103" t="s">
        <v>8107</v>
      </c>
      <c r="M3103" t="s">
        <v>1634</v>
      </c>
    </row>
    <row r="3104" spans="1:13" x14ac:dyDescent="0.25">
      <c r="A3104">
        <v>90859</v>
      </c>
      <c r="B3104" t="s">
        <v>9187</v>
      </c>
      <c r="C3104" t="s">
        <v>9188</v>
      </c>
      <c r="D3104" t="s">
        <v>2596</v>
      </c>
      <c r="E3104" t="s">
        <v>1273</v>
      </c>
      <c r="F3104" t="s">
        <v>2307</v>
      </c>
      <c r="G3104" t="s">
        <v>8090</v>
      </c>
      <c r="H3104">
        <v>4802977676</v>
      </c>
      <c r="K3104" t="s">
        <v>8091</v>
      </c>
      <c r="M3104" t="s">
        <v>1634</v>
      </c>
    </row>
    <row r="3105" spans="1:13" x14ac:dyDescent="0.25">
      <c r="A3105">
        <v>90859</v>
      </c>
      <c r="B3105" t="s">
        <v>9187</v>
      </c>
      <c r="C3105" t="s">
        <v>9188</v>
      </c>
      <c r="D3105" t="s">
        <v>2596</v>
      </c>
      <c r="E3105" t="s">
        <v>1273</v>
      </c>
      <c r="F3105" t="s">
        <v>6014</v>
      </c>
      <c r="G3105" t="s">
        <v>8092</v>
      </c>
      <c r="H3105">
        <v>6024387045</v>
      </c>
      <c r="K3105" t="s">
        <v>8093</v>
      </c>
      <c r="M3105" t="s">
        <v>1640</v>
      </c>
    </row>
    <row r="3106" spans="1:13" x14ac:dyDescent="0.25">
      <c r="A3106">
        <v>90859</v>
      </c>
      <c r="B3106" t="s">
        <v>9187</v>
      </c>
      <c r="C3106" t="s">
        <v>9188</v>
      </c>
      <c r="D3106" t="s">
        <v>2596</v>
      </c>
      <c r="E3106" t="s">
        <v>1273</v>
      </c>
      <c r="F3106" t="s">
        <v>7318</v>
      </c>
      <c r="G3106" t="s">
        <v>8094</v>
      </c>
      <c r="H3106">
        <v>6024387045</v>
      </c>
      <c r="K3106" t="s">
        <v>8095</v>
      </c>
      <c r="L3106" t="s">
        <v>8096</v>
      </c>
      <c r="M3106" t="s">
        <v>1640</v>
      </c>
    </row>
    <row r="3107" spans="1:13" x14ac:dyDescent="0.25">
      <c r="A3107">
        <v>90859</v>
      </c>
      <c r="B3107" t="s">
        <v>9187</v>
      </c>
      <c r="C3107" t="s">
        <v>9188</v>
      </c>
      <c r="D3107" t="s">
        <v>2596</v>
      </c>
      <c r="E3107" t="s">
        <v>1273</v>
      </c>
      <c r="F3107" t="s">
        <v>8097</v>
      </c>
      <c r="G3107" t="s">
        <v>8098</v>
      </c>
      <c r="H3107">
        <v>4804726818</v>
      </c>
      <c r="K3107" t="s">
        <v>8099</v>
      </c>
      <c r="M3107" t="s">
        <v>1640</v>
      </c>
    </row>
    <row r="3108" spans="1:13" x14ac:dyDescent="0.25">
      <c r="A3108">
        <v>90859</v>
      </c>
      <c r="B3108" t="s">
        <v>9187</v>
      </c>
      <c r="C3108" t="s">
        <v>9188</v>
      </c>
      <c r="D3108" t="s">
        <v>2596</v>
      </c>
      <c r="E3108" t="s">
        <v>1273</v>
      </c>
      <c r="F3108" t="s">
        <v>7384</v>
      </c>
      <c r="G3108" t="s">
        <v>9190</v>
      </c>
      <c r="H3108">
        <v>6238664730</v>
      </c>
      <c r="K3108" t="s">
        <v>9191</v>
      </c>
      <c r="M3108" t="s">
        <v>1765</v>
      </c>
    </row>
    <row r="3109" spans="1:13" x14ac:dyDescent="0.25">
      <c r="A3109">
        <v>90859</v>
      </c>
      <c r="B3109" t="s">
        <v>9187</v>
      </c>
      <c r="C3109" t="s">
        <v>9188</v>
      </c>
      <c r="D3109" t="s">
        <v>2596</v>
      </c>
      <c r="E3109" t="s">
        <v>1273</v>
      </c>
      <c r="F3109" t="s">
        <v>1935</v>
      </c>
      <c r="G3109" t="s">
        <v>8100</v>
      </c>
      <c r="H3109" t="s">
        <v>8101</v>
      </c>
      <c r="J3109">
        <v>6024387242</v>
      </c>
      <c r="K3109" t="s">
        <v>8102</v>
      </c>
      <c r="L3109" t="s">
        <v>8103</v>
      </c>
      <c r="M3109" t="s">
        <v>1765</v>
      </c>
    </row>
    <row r="3110" spans="1:13" x14ac:dyDescent="0.25">
      <c r="A3110">
        <v>90859</v>
      </c>
      <c r="B3110" t="s">
        <v>9187</v>
      </c>
      <c r="C3110" t="s">
        <v>9188</v>
      </c>
      <c r="D3110" t="s">
        <v>2596</v>
      </c>
      <c r="E3110" t="s">
        <v>1273</v>
      </c>
      <c r="F3110" t="s">
        <v>6014</v>
      </c>
      <c r="G3110" t="s">
        <v>8104</v>
      </c>
      <c r="H3110" t="s">
        <v>8105</v>
      </c>
      <c r="K3110" t="s">
        <v>8106</v>
      </c>
      <c r="L3110" t="s">
        <v>8107</v>
      </c>
      <c r="M3110" t="s">
        <v>1765</v>
      </c>
    </row>
    <row r="3111" spans="1:13" x14ac:dyDescent="0.25">
      <c r="A3111">
        <v>91156</v>
      </c>
      <c r="B3111" t="s">
        <v>9192</v>
      </c>
      <c r="C3111" t="s">
        <v>9193</v>
      </c>
      <c r="D3111" t="s">
        <v>2605</v>
      </c>
      <c r="E3111" t="s">
        <v>1273</v>
      </c>
    </row>
    <row r="3112" spans="1:13" x14ac:dyDescent="0.25">
      <c r="A3112">
        <v>90861</v>
      </c>
      <c r="B3112" t="s">
        <v>9194</v>
      </c>
      <c r="C3112" t="s">
        <v>9195</v>
      </c>
      <c r="D3112" t="s">
        <v>2596</v>
      </c>
      <c r="E3112" t="s">
        <v>1273</v>
      </c>
      <c r="F3112" t="s">
        <v>6014</v>
      </c>
      <c r="G3112" t="s">
        <v>8104</v>
      </c>
      <c r="H3112" t="s">
        <v>8105</v>
      </c>
      <c r="K3112" t="s">
        <v>8106</v>
      </c>
      <c r="L3112" t="s">
        <v>8107</v>
      </c>
      <c r="M3112" t="s">
        <v>1634</v>
      </c>
    </row>
    <row r="3113" spans="1:13" x14ac:dyDescent="0.25">
      <c r="A3113">
        <v>90861</v>
      </c>
      <c r="B3113" t="s">
        <v>9194</v>
      </c>
      <c r="C3113" t="s">
        <v>9195</v>
      </c>
      <c r="D3113" t="s">
        <v>2596</v>
      </c>
      <c r="E3113" t="s">
        <v>1273</v>
      </c>
      <c r="F3113" t="s">
        <v>6014</v>
      </c>
      <c r="G3113" t="s">
        <v>8092</v>
      </c>
      <c r="H3113">
        <v>6024387045</v>
      </c>
      <c r="K3113" t="s">
        <v>8093</v>
      </c>
      <c r="M3113" t="s">
        <v>1640</v>
      </c>
    </row>
    <row r="3114" spans="1:13" x14ac:dyDescent="0.25">
      <c r="A3114">
        <v>90861</v>
      </c>
      <c r="B3114" t="s">
        <v>9194</v>
      </c>
      <c r="C3114" t="s">
        <v>9195</v>
      </c>
      <c r="D3114" t="s">
        <v>2596</v>
      </c>
      <c r="E3114" t="s">
        <v>1273</v>
      </c>
      <c r="F3114" t="s">
        <v>7318</v>
      </c>
      <c r="G3114" t="s">
        <v>8094</v>
      </c>
      <c r="H3114">
        <v>6024387045</v>
      </c>
      <c r="K3114" t="s">
        <v>8095</v>
      </c>
      <c r="L3114" t="s">
        <v>8096</v>
      </c>
      <c r="M3114" t="s">
        <v>1640</v>
      </c>
    </row>
    <row r="3115" spans="1:13" x14ac:dyDescent="0.25">
      <c r="A3115">
        <v>90861</v>
      </c>
      <c r="B3115" t="s">
        <v>9194</v>
      </c>
      <c r="C3115" t="s">
        <v>9195</v>
      </c>
      <c r="D3115" t="s">
        <v>2596</v>
      </c>
      <c r="E3115" t="s">
        <v>1273</v>
      </c>
      <c r="F3115" t="s">
        <v>8097</v>
      </c>
      <c r="G3115" t="s">
        <v>8098</v>
      </c>
      <c r="H3115">
        <v>4807216818</v>
      </c>
      <c r="K3115" t="s">
        <v>8099</v>
      </c>
      <c r="L3115" t="s">
        <v>9196</v>
      </c>
      <c r="M3115" t="s">
        <v>1640</v>
      </c>
    </row>
    <row r="3116" spans="1:13" x14ac:dyDescent="0.25">
      <c r="A3116">
        <v>90861</v>
      </c>
      <c r="B3116" t="s">
        <v>9194</v>
      </c>
      <c r="C3116" t="s">
        <v>9195</v>
      </c>
      <c r="D3116" t="s">
        <v>2596</v>
      </c>
      <c r="E3116" t="s">
        <v>1273</v>
      </c>
      <c r="F3116" t="s">
        <v>2580</v>
      </c>
      <c r="G3116" t="s">
        <v>2287</v>
      </c>
      <c r="H3116">
        <v>6232476095</v>
      </c>
      <c r="K3116" t="s">
        <v>9197</v>
      </c>
      <c r="M3116" t="s">
        <v>1765</v>
      </c>
    </row>
    <row r="3117" spans="1:13" x14ac:dyDescent="0.25">
      <c r="A3117">
        <v>90861</v>
      </c>
      <c r="B3117" t="s">
        <v>9194</v>
      </c>
      <c r="C3117" t="s">
        <v>9195</v>
      </c>
      <c r="D3117" t="s">
        <v>2596</v>
      </c>
      <c r="E3117" t="s">
        <v>1273</v>
      </c>
      <c r="F3117" t="s">
        <v>1935</v>
      </c>
      <c r="G3117" t="s">
        <v>8100</v>
      </c>
      <c r="H3117" t="s">
        <v>8101</v>
      </c>
      <c r="I3117">
        <v>383</v>
      </c>
      <c r="J3117">
        <v>6024387242</v>
      </c>
      <c r="K3117" t="s">
        <v>8102</v>
      </c>
      <c r="L3117" t="s">
        <v>8364</v>
      </c>
      <c r="M3117" t="s">
        <v>1765</v>
      </c>
    </row>
    <row r="3118" spans="1:13" x14ac:dyDescent="0.25">
      <c r="A3118">
        <v>90861</v>
      </c>
      <c r="B3118" t="s">
        <v>9194</v>
      </c>
      <c r="C3118" t="s">
        <v>9195</v>
      </c>
      <c r="D3118" t="s">
        <v>2596</v>
      </c>
      <c r="E3118" t="s">
        <v>1273</v>
      </c>
      <c r="F3118" t="s">
        <v>6014</v>
      </c>
      <c r="G3118" t="s">
        <v>8104</v>
      </c>
      <c r="H3118" t="s">
        <v>8105</v>
      </c>
      <c r="K3118" t="s">
        <v>8106</v>
      </c>
      <c r="L3118" t="s">
        <v>8107</v>
      </c>
      <c r="M3118" t="s">
        <v>1765</v>
      </c>
    </row>
    <row r="3119" spans="1:13" x14ac:dyDescent="0.25">
      <c r="A3119">
        <v>91781</v>
      </c>
      <c r="B3119" t="s">
        <v>9198</v>
      </c>
      <c r="C3119" t="s">
        <v>9199</v>
      </c>
      <c r="D3119" t="s">
        <v>2605</v>
      </c>
      <c r="E3119" t="s">
        <v>1273</v>
      </c>
    </row>
    <row r="3120" spans="1:13" x14ac:dyDescent="0.25">
      <c r="A3120">
        <v>90906</v>
      </c>
      <c r="B3120" t="s">
        <v>9200</v>
      </c>
      <c r="C3120" t="s">
        <v>9201</v>
      </c>
      <c r="D3120" t="s">
        <v>2596</v>
      </c>
      <c r="E3120" t="s">
        <v>1273</v>
      </c>
      <c r="F3120" t="s">
        <v>2001</v>
      </c>
      <c r="G3120" t="s">
        <v>9202</v>
      </c>
      <c r="H3120">
        <v>6233762900</v>
      </c>
      <c r="J3120">
        <v>6233769030</v>
      </c>
      <c r="K3120" t="s">
        <v>9203</v>
      </c>
      <c r="L3120" t="s">
        <v>1668</v>
      </c>
      <c r="M3120" t="s">
        <v>1634</v>
      </c>
    </row>
    <row r="3121" spans="1:13" x14ac:dyDescent="0.25">
      <c r="A3121">
        <v>90906</v>
      </c>
      <c r="B3121" t="s">
        <v>9200</v>
      </c>
      <c r="C3121" t="s">
        <v>9201</v>
      </c>
      <c r="D3121" t="s">
        <v>2596</v>
      </c>
      <c r="E3121" t="s">
        <v>1273</v>
      </c>
      <c r="F3121" t="s">
        <v>7318</v>
      </c>
      <c r="G3121" t="s">
        <v>7992</v>
      </c>
      <c r="H3121">
        <v>4804780748</v>
      </c>
      <c r="L3121" t="s">
        <v>9204</v>
      </c>
      <c r="M3121" t="s">
        <v>1634</v>
      </c>
    </row>
    <row r="3122" spans="1:13" x14ac:dyDescent="0.25">
      <c r="A3122">
        <v>90906</v>
      </c>
      <c r="B3122" t="s">
        <v>9200</v>
      </c>
      <c r="C3122" t="s">
        <v>9201</v>
      </c>
      <c r="D3122" t="s">
        <v>2596</v>
      </c>
      <c r="E3122" t="s">
        <v>1273</v>
      </c>
      <c r="F3122" t="s">
        <v>7318</v>
      </c>
      <c r="G3122" t="s">
        <v>7992</v>
      </c>
      <c r="H3122">
        <v>4804780748</v>
      </c>
      <c r="L3122" t="s">
        <v>9204</v>
      </c>
      <c r="M3122" t="s">
        <v>1640</v>
      </c>
    </row>
    <row r="3123" spans="1:13" x14ac:dyDescent="0.25">
      <c r="A3123">
        <v>90906</v>
      </c>
      <c r="B3123" t="s">
        <v>9200</v>
      </c>
      <c r="C3123" t="s">
        <v>9201</v>
      </c>
      <c r="D3123" t="s">
        <v>2596</v>
      </c>
      <c r="E3123" t="s">
        <v>1273</v>
      </c>
      <c r="F3123" t="s">
        <v>1690</v>
      </c>
      <c r="G3123" t="s">
        <v>8284</v>
      </c>
      <c r="H3123">
        <v>6028811585</v>
      </c>
      <c r="K3123" t="s">
        <v>9205</v>
      </c>
      <c r="M3123" t="s">
        <v>1640</v>
      </c>
    </row>
    <row r="3124" spans="1:13" x14ac:dyDescent="0.25">
      <c r="A3124">
        <v>91818</v>
      </c>
      <c r="B3124" t="s">
        <v>9206</v>
      </c>
      <c r="C3124" t="s">
        <v>9207</v>
      </c>
      <c r="D3124" t="s">
        <v>2605</v>
      </c>
      <c r="E3124" t="s">
        <v>7934</v>
      </c>
      <c r="F3124" t="s">
        <v>4035</v>
      </c>
      <c r="G3124" t="s">
        <v>6113</v>
      </c>
      <c r="H3124">
        <v>4808881342</v>
      </c>
      <c r="K3124" t="s">
        <v>9208</v>
      </c>
      <c r="L3124" t="s">
        <v>1647</v>
      </c>
      <c r="M3124" t="s">
        <v>1634</v>
      </c>
    </row>
    <row r="3125" spans="1:13" x14ac:dyDescent="0.25">
      <c r="A3125">
        <v>91818</v>
      </c>
      <c r="B3125" t="s">
        <v>9206</v>
      </c>
      <c r="C3125" t="s">
        <v>9207</v>
      </c>
      <c r="D3125" t="s">
        <v>2605</v>
      </c>
      <c r="E3125" t="s">
        <v>7934</v>
      </c>
      <c r="F3125" t="s">
        <v>2020</v>
      </c>
      <c r="G3125" t="s">
        <v>3198</v>
      </c>
      <c r="H3125">
        <v>4804780748</v>
      </c>
      <c r="K3125" t="s">
        <v>8343</v>
      </c>
      <c r="M3125" t="s">
        <v>1634</v>
      </c>
    </row>
    <row r="3126" spans="1:13" x14ac:dyDescent="0.25">
      <c r="A3126">
        <v>90915</v>
      </c>
      <c r="B3126" t="s">
        <v>9209</v>
      </c>
      <c r="C3126" t="s">
        <v>9210</v>
      </c>
      <c r="D3126" t="s">
        <v>2596</v>
      </c>
      <c r="E3126" t="s">
        <v>1273</v>
      </c>
      <c r="F3126" t="s">
        <v>2307</v>
      </c>
      <c r="G3126" t="s">
        <v>8090</v>
      </c>
      <c r="H3126">
        <v>4802977676</v>
      </c>
      <c r="K3126" t="s">
        <v>8091</v>
      </c>
      <c r="M3126" t="s">
        <v>1634</v>
      </c>
    </row>
    <row r="3127" spans="1:13" x14ac:dyDescent="0.25">
      <c r="A3127">
        <v>90915</v>
      </c>
      <c r="B3127" t="s">
        <v>9209</v>
      </c>
      <c r="C3127" t="s">
        <v>9210</v>
      </c>
      <c r="D3127" t="s">
        <v>2596</v>
      </c>
      <c r="E3127" t="s">
        <v>1273</v>
      </c>
      <c r="F3127" t="s">
        <v>6014</v>
      </c>
      <c r="G3127" t="s">
        <v>8092</v>
      </c>
      <c r="H3127">
        <v>6024387045</v>
      </c>
      <c r="K3127" t="s">
        <v>8093</v>
      </c>
      <c r="M3127" t="s">
        <v>1640</v>
      </c>
    </row>
    <row r="3128" spans="1:13" x14ac:dyDescent="0.25">
      <c r="A3128">
        <v>90915</v>
      </c>
      <c r="B3128" t="s">
        <v>9209</v>
      </c>
      <c r="C3128" t="s">
        <v>9210</v>
      </c>
      <c r="D3128" t="s">
        <v>2596</v>
      </c>
      <c r="E3128" t="s">
        <v>1273</v>
      </c>
      <c r="F3128" t="s">
        <v>7318</v>
      </c>
      <c r="G3128" t="s">
        <v>8094</v>
      </c>
      <c r="H3128">
        <v>6024387045</v>
      </c>
      <c r="K3128" t="s">
        <v>8095</v>
      </c>
      <c r="L3128" t="s">
        <v>8096</v>
      </c>
      <c r="M3128" t="s">
        <v>1640</v>
      </c>
    </row>
    <row r="3129" spans="1:13" x14ac:dyDescent="0.25">
      <c r="A3129">
        <v>90915</v>
      </c>
      <c r="B3129" t="s">
        <v>9209</v>
      </c>
      <c r="C3129" t="s">
        <v>9210</v>
      </c>
      <c r="D3129" t="s">
        <v>2596</v>
      </c>
      <c r="E3129" t="s">
        <v>1273</v>
      </c>
      <c r="F3129" t="s">
        <v>8097</v>
      </c>
      <c r="G3129" t="s">
        <v>8098</v>
      </c>
      <c r="H3129">
        <v>4807216818</v>
      </c>
      <c r="K3129" t="s">
        <v>8099</v>
      </c>
      <c r="M3129" t="s">
        <v>1640</v>
      </c>
    </row>
    <row r="3130" spans="1:13" x14ac:dyDescent="0.25">
      <c r="A3130">
        <v>90915</v>
      </c>
      <c r="B3130" t="s">
        <v>9209</v>
      </c>
      <c r="C3130" t="s">
        <v>9210</v>
      </c>
      <c r="D3130" t="s">
        <v>2596</v>
      </c>
      <c r="E3130" t="s">
        <v>1273</v>
      </c>
      <c r="F3130" t="s">
        <v>1935</v>
      </c>
      <c r="G3130" t="s">
        <v>8100</v>
      </c>
      <c r="H3130" t="s">
        <v>8101</v>
      </c>
      <c r="J3130">
        <v>6024387242</v>
      </c>
      <c r="K3130" t="s">
        <v>8102</v>
      </c>
      <c r="L3130" t="s">
        <v>8103</v>
      </c>
      <c r="M3130" t="s">
        <v>1765</v>
      </c>
    </row>
    <row r="3131" spans="1:13" x14ac:dyDescent="0.25">
      <c r="A3131">
        <v>90915</v>
      </c>
      <c r="B3131" t="s">
        <v>9209</v>
      </c>
      <c r="C3131" t="s">
        <v>9210</v>
      </c>
      <c r="D3131" t="s">
        <v>2596</v>
      </c>
      <c r="E3131" t="s">
        <v>1273</v>
      </c>
      <c r="F3131" t="s">
        <v>6014</v>
      </c>
      <c r="G3131" t="s">
        <v>8104</v>
      </c>
      <c r="H3131" t="s">
        <v>8105</v>
      </c>
      <c r="K3131" t="s">
        <v>8106</v>
      </c>
      <c r="L3131" t="s">
        <v>8107</v>
      </c>
      <c r="M3131" t="s">
        <v>1765</v>
      </c>
    </row>
    <row r="3132" spans="1:13" x14ac:dyDescent="0.25">
      <c r="A3132">
        <v>91001</v>
      </c>
      <c r="B3132" t="s">
        <v>9211</v>
      </c>
      <c r="C3132" t="s">
        <v>9212</v>
      </c>
      <c r="D3132" t="s">
        <v>2605</v>
      </c>
      <c r="E3132" t="s">
        <v>1273</v>
      </c>
      <c r="F3132" t="s">
        <v>5079</v>
      </c>
      <c r="G3132" t="s">
        <v>9213</v>
      </c>
      <c r="M3132" t="s">
        <v>1634</v>
      </c>
    </row>
    <row r="3133" spans="1:13" x14ac:dyDescent="0.25">
      <c r="A3133">
        <v>90916</v>
      </c>
      <c r="B3133" t="s">
        <v>9214</v>
      </c>
      <c r="C3133" t="s">
        <v>9215</v>
      </c>
      <c r="D3133" t="s">
        <v>2596</v>
      </c>
      <c r="E3133" t="s">
        <v>1273</v>
      </c>
      <c r="F3133" t="s">
        <v>9216</v>
      </c>
      <c r="G3133" t="s">
        <v>6308</v>
      </c>
      <c r="M3133" t="s">
        <v>1634</v>
      </c>
    </row>
    <row r="3134" spans="1:13" x14ac:dyDescent="0.25">
      <c r="A3134">
        <v>90916</v>
      </c>
      <c r="B3134" t="s">
        <v>9214</v>
      </c>
      <c r="C3134" t="s">
        <v>9215</v>
      </c>
      <c r="D3134" t="s">
        <v>2596</v>
      </c>
      <c r="E3134" t="s">
        <v>1273</v>
      </c>
      <c r="F3134" t="s">
        <v>2307</v>
      </c>
      <c r="G3134" t="s">
        <v>8090</v>
      </c>
      <c r="H3134">
        <v>4802977676</v>
      </c>
      <c r="K3134" t="s">
        <v>8091</v>
      </c>
      <c r="M3134" t="s">
        <v>1634</v>
      </c>
    </row>
    <row r="3135" spans="1:13" x14ac:dyDescent="0.25">
      <c r="A3135">
        <v>90916</v>
      </c>
      <c r="B3135" t="s">
        <v>9214</v>
      </c>
      <c r="C3135" t="s">
        <v>9215</v>
      </c>
      <c r="D3135" t="s">
        <v>2596</v>
      </c>
      <c r="E3135" t="s">
        <v>1273</v>
      </c>
      <c r="F3135" t="s">
        <v>6014</v>
      </c>
      <c r="G3135" t="s">
        <v>8092</v>
      </c>
      <c r="H3135">
        <v>6024387045</v>
      </c>
      <c r="K3135" t="s">
        <v>8093</v>
      </c>
      <c r="M3135" t="s">
        <v>1640</v>
      </c>
    </row>
    <row r="3136" spans="1:13" x14ac:dyDescent="0.25">
      <c r="A3136">
        <v>90916</v>
      </c>
      <c r="B3136" t="s">
        <v>9214</v>
      </c>
      <c r="C3136" t="s">
        <v>9215</v>
      </c>
      <c r="D3136" t="s">
        <v>2596</v>
      </c>
      <c r="E3136" t="s">
        <v>1273</v>
      </c>
      <c r="F3136" t="s">
        <v>7318</v>
      </c>
      <c r="G3136" t="s">
        <v>8094</v>
      </c>
      <c r="H3136">
        <v>6024387045</v>
      </c>
      <c r="K3136" t="s">
        <v>8095</v>
      </c>
      <c r="L3136" t="s">
        <v>8096</v>
      </c>
      <c r="M3136" t="s">
        <v>1640</v>
      </c>
    </row>
    <row r="3137" spans="1:13" x14ac:dyDescent="0.25">
      <c r="A3137">
        <v>90916</v>
      </c>
      <c r="B3137" t="s">
        <v>9214</v>
      </c>
      <c r="C3137" t="s">
        <v>9215</v>
      </c>
      <c r="D3137" t="s">
        <v>2596</v>
      </c>
      <c r="E3137" t="s">
        <v>1273</v>
      </c>
      <c r="F3137" t="s">
        <v>8097</v>
      </c>
      <c r="G3137" t="s">
        <v>8098</v>
      </c>
      <c r="H3137">
        <v>4807216818</v>
      </c>
      <c r="K3137" t="s">
        <v>8099</v>
      </c>
      <c r="M3137" t="s">
        <v>1640</v>
      </c>
    </row>
    <row r="3138" spans="1:13" x14ac:dyDescent="0.25">
      <c r="A3138">
        <v>90916</v>
      </c>
      <c r="B3138" t="s">
        <v>9214</v>
      </c>
      <c r="C3138" t="s">
        <v>9215</v>
      </c>
      <c r="D3138" t="s">
        <v>2596</v>
      </c>
      <c r="E3138" t="s">
        <v>1273</v>
      </c>
      <c r="F3138" t="s">
        <v>1935</v>
      </c>
      <c r="G3138" t="s">
        <v>8100</v>
      </c>
      <c r="H3138" t="s">
        <v>8101</v>
      </c>
      <c r="J3138">
        <v>6024387242</v>
      </c>
      <c r="K3138" t="s">
        <v>8102</v>
      </c>
      <c r="L3138" t="s">
        <v>8103</v>
      </c>
      <c r="M3138" t="s">
        <v>1765</v>
      </c>
    </row>
    <row r="3139" spans="1:13" x14ac:dyDescent="0.25">
      <c r="A3139">
        <v>90916</v>
      </c>
      <c r="B3139" t="s">
        <v>9214</v>
      </c>
      <c r="C3139" t="s">
        <v>9215</v>
      </c>
      <c r="D3139" t="s">
        <v>2596</v>
      </c>
      <c r="E3139" t="s">
        <v>1273</v>
      </c>
      <c r="F3139" t="s">
        <v>6014</v>
      </c>
      <c r="G3139" t="s">
        <v>8104</v>
      </c>
      <c r="H3139" t="s">
        <v>8105</v>
      </c>
      <c r="K3139" t="s">
        <v>8106</v>
      </c>
      <c r="L3139" t="s">
        <v>8107</v>
      </c>
      <c r="M3139" t="s">
        <v>1765</v>
      </c>
    </row>
    <row r="3140" spans="1:13" x14ac:dyDescent="0.25">
      <c r="A3140">
        <v>91000</v>
      </c>
      <c r="B3140" t="s">
        <v>9217</v>
      </c>
      <c r="C3140" t="s">
        <v>9218</v>
      </c>
      <c r="D3140" t="s">
        <v>2605</v>
      </c>
      <c r="E3140" t="s">
        <v>1273</v>
      </c>
      <c r="F3140" t="s">
        <v>9216</v>
      </c>
      <c r="G3140" t="s">
        <v>6308</v>
      </c>
      <c r="M3140" t="s">
        <v>1634</v>
      </c>
    </row>
    <row r="3141" spans="1:13" x14ac:dyDescent="0.25">
      <c r="A3141">
        <v>90917</v>
      </c>
      <c r="B3141" t="s">
        <v>9219</v>
      </c>
      <c r="C3141" t="s">
        <v>9220</v>
      </c>
      <c r="D3141" t="s">
        <v>2596</v>
      </c>
      <c r="E3141" t="s">
        <v>1273</v>
      </c>
      <c r="F3141" t="s">
        <v>6014</v>
      </c>
      <c r="G3141" t="s">
        <v>8104</v>
      </c>
      <c r="H3141" t="s">
        <v>8105</v>
      </c>
      <c r="K3141" t="s">
        <v>8106</v>
      </c>
      <c r="L3141" t="s">
        <v>8107</v>
      </c>
      <c r="M3141" t="s">
        <v>1634</v>
      </c>
    </row>
    <row r="3142" spans="1:13" x14ac:dyDescent="0.25">
      <c r="A3142">
        <v>90917</v>
      </c>
      <c r="B3142" t="s">
        <v>9219</v>
      </c>
      <c r="C3142" t="s">
        <v>9220</v>
      </c>
      <c r="D3142" t="s">
        <v>2596</v>
      </c>
      <c r="E3142" t="s">
        <v>1273</v>
      </c>
      <c r="F3142" t="s">
        <v>2307</v>
      </c>
      <c r="G3142" t="s">
        <v>8090</v>
      </c>
      <c r="H3142">
        <v>4802977676</v>
      </c>
      <c r="K3142" t="s">
        <v>8091</v>
      </c>
      <c r="M3142" t="s">
        <v>1634</v>
      </c>
    </row>
    <row r="3143" spans="1:13" x14ac:dyDescent="0.25">
      <c r="A3143">
        <v>90917</v>
      </c>
      <c r="B3143" t="s">
        <v>9219</v>
      </c>
      <c r="C3143" t="s">
        <v>9220</v>
      </c>
      <c r="D3143" t="s">
        <v>2596</v>
      </c>
      <c r="E3143" t="s">
        <v>1273</v>
      </c>
      <c r="F3143" t="s">
        <v>8097</v>
      </c>
      <c r="G3143" t="s">
        <v>8098</v>
      </c>
      <c r="H3143">
        <v>4807216818</v>
      </c>
      <c r="K3143" t="s">
        <v>8099</v>
      </c>
      <c r="L3143" t="s">
        <v>5266</v>
      </c>
      <c r="M3143" t="s">
        <v>1634</v>
      </c>
    </row>
    <row r="3144" spans="1:13" x14ac:dyDescent="0.25">
      <c r="A3144">
        <v>90917</v>
      </c>
      <c r="B3144" t="s">
        <v>9219</v>
      </c>
      <c r="C3144" t="s">
        <v>9220</v>
      </c>
      <c r="D3144" t="s">
        <v>2596</v>
      </c>
      <c r="E3144" t="s">
        <v>1273</v>
      </c>
      <c r="F3144" t="s">
        <v>6014</v>
      </c>
      <c r="G3144" t="s">
        <v>8092</v>
      </c>
      <c r="H3144">
        <v>6024387045</v>
      </c>
      <c r="K3144" t="s">
        <v>8093</v>
      </c>
      <c r="M3144" t="s">
        <v>1640</v>
      </c>
    </row>
    <row r="3145" spans="1:13" x14ac:dyDescent="0.25">
      <c r="A3145">
        <v>90917</v>
      </c>
      <c r="B3145" t="s">
        <v>9219</v>
      </c>
      <c r="C3145" t="s">
        <v>9220</v>
      </c>
      <c r="D3145" t="s">
        <v>2596</v>
      </c>
      <c r="E3145" t="s">
        <v>1273</v>
      </c>
      <c r="F3145" t="s">
        <v>7318</v>
      </c>
      <c r="G3145" t="s">
        <v>8094</v>
      </c>
      <c r="H3145">
        <v>6024387045</v>
      </c>
      <c r="K3145" t="s">
        <v>8095</v>
      </c>
      <c r="L3145" t="s">
        <v>8096</v>
      </c>
      <c r="M3145" t="s">
        <v>1640</v>
      </c>
    </row>
    <row r="3146" spans="1:13" x14ac:dyDescent="0.25">
      <c r="A3146">
        <v>90917</v>
      </c>
      <c r="B3146" t="s">
        <v>9219</v>
      </c>
      <c r="C3146" t="s">
        <v>9220</v>
      </c>
      <c r="D3146" t="s">
        <v>2596</v>
      </c>
      <c r="E3146" t="s">
        <v>1273</v>
      </c>
      <c r="F3146" t="s">
        <v>1935</v>
      </c>
      <c r="G3146" t="s">
        <v>8100</v>
      </c>
      <c r="H3146">
        <v>6023861874</v>
      </c>
      <c r="J3146">
        <v>6024387242</v>
      </c>
      <c r="L3146" t="s">
        <v>8103</v>
      </c>
      <c r="M3146" t="s">
        <v>1765</v>
      </c>
    </row>
    <row r="3147" spans="1:13" x14ac:dyDescent="0.25">
      <c r="A3147">
        <v>90999</v>
      </c>
      <c r="B3147" t="s">
        <v>9221</v>
      </c>
      <c r="C3147" t="s">
        <v>9222</v>
      </c>
      <c r="D3147" t="s">
        <v>2605</v>
      </c>
      <c r="E3147" t="s">
        <v>1273</v>
      </c>
      <c r="F3147" t="s">
        <v>9223</v>
      </c>
      <c r="G3147" t="s">
        <v>3204</v>
      </c>
      <c r="K3147" t="s">
        <v>9224</v>
      </c>
      <c r="M3147" t="s">
        <v>1634</v>
      </c>
    </row>
    <row r="3148" spans="1:13" x14ac:dyDescent="0.25">
      <c r="A3148">
        <v>90999</v>
      </c>
      <c r="B3148" t="s">
        <v>9221</v>
      </c>
      <c r="C3148" t="s">
        <v>9222</v>
      </c>
      <c r="D3148" t="s">
        <v>2605</v>
      </c>
      <c r="E3148" t="s">
        <v>1273</v>
      </c>
      <c r="F3148" t="s">
        <v>6014</v>
      </c>
      <c r="G3148" t="s">
        <v>8104</v>
      </c>
      <c r="L3148" t="s">
        <v>8262</v>
      </c>
      <c r="M3148" t="s">
        <v>1634</v>
      </c>
    </row>
    <row r="3149" spans="1:13" x14ac:dyDescent="0.25">
      <c r="A3149">
        <v>91108</v>
      </c>
      <c r="B3149" t="s">
        <v>685</v>
      </c>
      <c r="C3149" t="s">
        <v>9225</v>
      </c>
      <c r="D3149" t="s">
        <v>2596</v>
      </c>
      <c r="E3149" t="s">
        <v>1273</v>
      </c>
    </row>
    <row r="3150" spans="1:13" x14ac:dyDescent="0.25">
      <c r="A3150">
        <v>91109</v>
      </c>
      <c r="B3150" t="s">
        <v>686</v>
      </c>
      <c r="C3150" t="s">
        <v>9226</v>
      </c>
      <c r="D3150" t="s">
        <v>2605</v>
      </c>
      <c r="E3150" t="s">
        <v>1273</v>
      </c>
      <c r="F3150" t="s">
        <v>3879</v>
      </c>
      <c r="G3150" t="s">
        <v>1994</v>
      </c>
      <c r="K3150" t="s">
        <v>9227</v>
      </c>
      <c r="L3150" t="s">
        <v>1647</v>
      </c>
      <c r="M3150" t="s">
        <v>1634</v>
      </c>
    </row>
    <row r="3151" spans="1:13" x14ac:dyDescent="0.25">
      <c r="A3151">
        <v>91109</v>
      </c>
      <c r="B3151" t="s">
        <v>686</v>
      </c>
      <c r="C3151" t="s">
        <v>9226</v>
      </c>
      <c r="D3151" t="s">
        <v>2605</v>
      </c>
      <c r="E3151" t="s">
        <v>1273</v>
      </c>
      <c r="F3151" t="s">
        <v>8901</v>
      </c>
      <c r="G3151" t="s">
        <v>4769</v>
      </c>
      <c r="K3151" t="s">
        <v>8902</v>
      </c>
      <c r="M3151" t="s">
        <v>1634</v>
      </c>
    </row>
    <row r="3152" spans="1:13" x14ac:dyDescent="0.25">
      <c r="A3152">
        <v>91109</v>
      </c>
      <c r="B3152" t="s">
        <v>686</v>
      </c>
      <c r="C3152" t="s">
        <v>9226</v>
      </c>
      <c r="D3152" t="s">
        <v>2605</v>
      </c>
      <c r="E3152" t="s">
        <v>1273</v>
      </c>
      <c r="F3152" t="s">
        <v>2704</v>
      </c>
      <c r="G3152" t="s">
        <v>8906</v>
      </c>
      <c r="H3152">
        <v>4807792000</v>
      </c>
      <c r="K3152" t="s">
        <v>8907</v>
      </c>
      <c r="M3152" t="s">
        <v>1634</v>
      </c>
    </row>
    <row r="3153" spans="1:13" x14ac:dyDescent="0.25">
      <c r="A3153">
        <v>91109</v>
      </c>
      <c r="B3153" t="s">
        <v>686</v>
      </c>
      <c r="C3153" t="s">
        <v>9226</v>
      </c>
      <c r="D3153" t="s">
        <v>2605</v>
      </c>
      <c r="E3153" t="s">
        <v>1273</v>
      </c>
      <c r="F3153" t="s">
        <v>2876</v>
      </c>
      <c r="G3153" t="s">
        <v>9114</v>
      </c>
      <c r="H3153">
        <v>6023434980</v>
      </c>
      <c r="K3153" t="s">
        <v>9115</v>
      </c>
      <c r="M3153" t="s">
        <v>1634</v>
      </c>
    </row>
    <row r="3154" spans="1:13" x14ac:dyDescent="0.25">
      <c r="A3154">
        <v>91109</v>
      </c>
      <c r="B3154" t="s">
        <v>686</v>
      </c>
      <c r="C3154" t="s">
        <v>9226</v>
      </c>
      <c r="D3154" t="s">
        <v>2605</v>
      </c>
      <c r="E3154" t="s">
        <v>1273</v>
      </c>
      <c r="F3154" t="s">
        <v>8908</v>
      </c>
      <c r="G3154" t="s">
        <v>8909</v>
      </c>
      <c r="K3154" t="s">
        <v>8910</v>
      </c>
      <c r="M3154" t="s">
        <v>1634</v>
      </c>
    </row>
    <row r="3155" spans="1:13" x14ac:dyDescent="0.25">
      <c r="A3155">
        <v>4300</v>
      </c>
      <c r="B3155" t="s">
        <v>955</v>
      </c>
      <c r="C3155" t="s">
        <v>9228</v>
      </c>
      <c r="D3155" t="s">
        <v>2596</v>
      </c>
      <c r="E3155" t="s">
        <v>1273</v>
      </c>
      <c r="F3155" t="s">
        <v>6671</v>
      </c>
      <c r="G3155" t="s">
        <v>6160</v>
      </c>
      <c r="H3155">
        <v>6022884543</v>
      </c>
      <c r="J3155">
        <v>6022747549</v>
      </c>
      <c r="K3155" t="s">
        <v>9229</v>
      </c>
      <c r="L3155" t="s">
        <v>9230</v>
      </c>
      <c r="M3155" t="s">
        <v>1634</v>
      </c>
    </row>
    <row r="3156" spans="1:13" x14ac:dyDescent="0.25">
      <c r="A3156">
        <v>4300</v>
      </c>
      <c r="B3156" t="s">
        <v>955</v>
      </c>
      <c r="C3156" t="s">
        <v>9228</v>
      </c>
      <c r="D3156" t="s">
        <v>2596</v>
      </c>
      <c r="E3156" t="s">
        <v>1273</v>
      </c>
      <c r="F3156" t="s">
        <v>7417</v>
      </c>
      <c r="G3156" t="s">
        <v>9231</v>
      </c>
      <c r="H3156" t="s">
        <v>9232</v>
      </c>
      <c r="J3156">
        <v>6022747459</v>
      </c>
      <c r="K3156" t="s">
        <v>9233</v>
      </c>
      <c r="L3156" t="s">
        <v>2368</v>
      </c>
      <c r="M3156" t="s">
        <v>1640</v>
      </c>
    </row>
    <row r="3157" spans="1:13" x14ac:dyDescent="0.25">
      <c r="A3157">
        <v>4300</v>
      </c>
      <c r="B3157" t="s">
        <v>955</v>
      </c>
      <c r="C3157" t="s">
        <v>9228</v>
      </c>
      <c r="D3157" t="s">
        <v>2596</v>
      </c>
      <c r="E3157" t="s">
        <v>1273</v>
      </c>
      <c r="F3157" t="s">
        <v>9234</v>
      </c>
      <c r="G3157" t="s">
        <v>9235</v>
      </c>
      <c r="H3157">
        <v>6022884508</v>
      </c>
      <c r="K3157" t="s">
        <v>9236</v>
      </c>
      <c r="M3157" t="s">
        <v>1640</v>
      </c>
    </row>
    <row r="3158" spans="1:13" x14ac:dyDescent="0.25">
      <c r="A3158">
        <v>5466</v>
      </c>
      <c r="B3158" t="s">
        <v>956</v>
      </c>
      <c r="C3158" t="s">
        <v>9237</v>
      </c>
      <c r="D3158" t="s">
        <v>2605</v>
      </c>
      <c r="E3158" t="s">
        <v>1273</v>
      </c>
    </row>
    <row r="3159" spans="1:13" x14ac:dyDescent="0.25">
      <c r="A3159">
        <v>4301</v>
      </c>
      <c r="B3159" t="s">
        <v>9238</v>
      </c>
      <c r="C3159" t="s">
        <v>9239</v>
      </c>
      <c r="D3159" t="s">
        <v>2596</v>
      </c>
      <c r="E3159" t="s">
        <v>1273</v>
      </c>
      <c r="F3159" t="s">
        <v>9240</v>
      </c>
      <c r="G3159" t="s">
        <v>9241</v>
      </c>
      <c r="K3159" t="s">
        <v>9242</v>
      </c>
      <c r="M3159" t="s">
        <v>1634</v>
      </c>
    </row>
    <row r="3160" spans="1:13" x14ac:dyDescent="0.25">
      <c r="A3160">
        <v>4301</v>
      </c>
      <c r="B3160" t="s">
        <v>9238</v>
      </c>
      <c r="C3160" t="s">
        <v>9239</v>
      </c>
      <c r="D3160" t="s">
        <v>2596</v>
      </c>
      <c r="E3160" t="s">
        <v>1273</v>
      </c>
      <c r="F3160" t="s">
        <v>8795</v>
      </c>
      <c r="G3160" t="s">
        <v>7686</v>
      </c>
      <c r="H3160">
        <v>6232231335</v>
      </c>
      <c r="K3160" t="s">
        <v>8796</v>
      </c>
      <c r="L3160" t="s">
        <v>1647</v>
      </c>
      <c r="M3160" t="s">
        <v>1634</v>
      </c>
    </row>
    <row r="3161" spans="1:13" x14ac:dyDescent="0.25">
      <c r="A3161">
        <v>4301</v>
      </c>
      <c r="B3161" t="s">
        <v>9238</v>
      </c>
      <c r="C3161" t="s">
        <v>9239</v>
      </c>
      <c r="D3161" t="s">
        <v>2596</v>
      </c>
      <c r="E3161" t="s">
        <v>1273</v>
      </c>
      <c r="F3161" t="s">
        <v>2156</v>
      </c>
      <c r="G3161" t="s">
        <v>8797</v>
      </c>
      <c r="H3161">
        <v>4805845414</v>
      </c>
      <c r="K3161" t="s">
        <v>8798</v>
      </c>
      <c r="M3161" t="s">
        <v>1640</v>
      </c>
    </row>
    <row r="3162" spans="1:13" x14ac:dyDescent="0.25">
      <c r="A3162">
        <v>5467</v>
      </c>
      <c r="B3162" t="s">
        <v>9238</v>
      </c>
      <c r="C3162" t="s">
        <v>9243</v>
      </c>
      <c r="D3162" t="s">
        <v>2605</v>
      </c>
      <c r="E3162" t="s">
        <v>1273</v>
      </c>
      <c r="F3162" t="s">
        <v>8795</v>
      </c>
      <c r="G3162" t="s">
        <v>7686</v>
      </c>
      <c r="H3162">
        <v>6232231335</v>
      </c>
      <c r="J3162">
        <v>4804882079</v>
      </c>
      <c r="K3162" t="s">
        <v>9244</v>
      </c>
      <c r="L3162" t="s">
        <v>1647</v>
      </c>
      <c r="M3162" t="s">
        <v>1634</v>
      </c>
    </row>
    <row r="3163" spans="1:13" x14ac:dyDescent="0.25">
      <c r="A3163">
        <v>5467</v>
      </c>
      <c r="B3163" t="s">
        <v>9238</v>
      </c>
      <c r="C3163" t="s">
        <v>9243</v>
      </c>
      <c r="D3163" t="s">
        <v>2605</v>
      </c>
      <c r="E3163" t="s">
        <v>1273</v>
      </c>
      <c r="F3163" t="s">
        <v>8795</v>
      </c>
      <c r="G3163" t="s">
        <v>7686</v>
      </c>
      <c r="H3163">
        <v>6232231335</v>
      </c>
      <c r="K3163" t="s">
        <v>9245</v>
      </c>
      <c r="L3163" t="s">
        <v>1668</v>
      </c>
      <c r="M3163" t="s">
        <v>1634</v>
      </c>
    </row>
    <row r="3164" spans="1:13" x14ac:dyDescent="0.25">
      <c r="A3164">
        <v>4303</v>
      </c>
      <c r="B3164" t="s">
        <v>646</v>
      </c>
      <c r="C3164" t="s">
        <v>9246</v>
      </c>
      <c r="D3164" t="s">
        <v>2596</v>
      </c>
      <c r="E3164" t="s">
        <v>1273</v>
      </c>
      <c r="F3164" t="s">
        <v>9247</v>
      </c>
      <c r="G3164" t="s">
        <v>3151</v>
      </c>
      <c r="H3164">
        <v>6027225162</v>
      </c>
      <c r="K3164" t="s">
        <v>9248</v>
      </c>
      <c r="L3164" t="s">
        <v>1647</v>
      </c>
      <c r="M3164" t="s">
        <v>1634</v>
      </c>
    </row>
    <row r="3165" spans="1:13" x14ac:dyDescent="0.25">
      <c r="A3165">
        <v>4303</v>
      </c>
      <c r="B3165" t="s">
        <v>646</v>
      </c>
      <c r="C3165" t="s">
        <v>9246</v>
      </c>
      <c r="D3165" t="s">
        <v>2596</v>
      </c>
      <c r="E3165" t="s">
        <v>1273</v>
      </c>
      <c r="F3165" t="s">
        <v>9249</v>
      </c>
      <c r="G3165" t="s">
        <v>9250</v>
      </c>
      <c r="H3165">
        <v>6024167338</v>
      </c>
      <c r="K3165" t="s">
        <v>9251</v>
      </c>
      <c r="L3165" t="s">
        <v>9252</v>
      </c>
      <c r="M3165" t="s">
        <v>1634</v>
      </c>
    </row>
    <row r="3166" spans="1:13" x14ac:dyDescent="0.25">
      <c r="A3166">
        <v>4303</v>
      </c>
      <c r="B3166" t="s">
        <v>646</v>
      </c>
      <c r="C3166" t="s">
        <v>9246</v>
      </c>
      <c r="D3166" t="s">
        <v>2596</v>
      </c>
      <c r="E3166" t="s">
        <v>1273</v>
      </c>
      <c r="F3166" t="s">
        <v>9253</v>
      </c>
      <c r="G3166" t="s">
        <v>5847</v>
      </c>
      <c r="H3166">
        <v>6022571870</v>
      </c>
      <c r="K3166" t="s">
        <v>9254</v>
      </c>
      <c r="L3166" t="s">
        <v>9255</v>
      </c>
      <c r="M3166" t="s">
        <v>1634</v>
      </c>
    </row>
    <row r="3167" spans="1:13" x14ac:dyDescent="0.25">
      <c r="A3167">
        <v>6036</v>
      </c>
      <c r="B3167" t="s">
        <v>647</v>
      </c>
      <c r="C3167" t="s">
        <v>9256</v>
      </c>
      <c r="D3167" t="s">
        <v>2605</v>
      </c>
      <c r="E3167" t="s">
        <v>1273</v>
      </c>
      <c r="F3167" t="s">
        <v>1775</v>
      </c>
      <c r="G3167" t="s">
        <v>2104</v>
      </c>
      <c r="H3167">
        <v>6022584353</v>
      </c>
      <c r="K3167" t="s">
        <v>9257</v>
      </c>
      <c r="L3167" t="s">
        <v>2030</v>
      </c>
      <c r="M3167" t="s">
        <v>1634</v>
      </c>
    </row>
    <row r="3168" spans="1:13" x14ac:dyDescent="0.25">
      <c r="A3168">
        <v>6036</v>
      </c>
      <c r="B3168" t="s">
        <v>647</v>
      </c>
      <c r="C3168" t="s">
        <v>9256</v>
      </c>
      <c r="D3168" t="s">
        <v>2605</v>
      </c>
      <c r="E3168" t="s">
        <v>1273</v>
      </c>
      <c r="F3168" t="s">
        <v>9249</v>
      </c>
      <c r="G3168" t="s">
        <v>9250</v>
      </c>
      <c r="H3168">
        <v>6024167338</v>
      </c>
      <c r="K3168" t="s">
        <v>9251</v>
      </c>
      <c r="L3168" t="s">
        <v>9252</v>
      </c>
      <c r="M3168" t="s">
        <v>1634</v>
      </c>
    </row>
    <row r="3169" spans="1:13" x14ac:dyDescent="0.25">
      <c r="A3169">
        <v>6036</v>
      </c>
      <c r="B3169" t="s">
        <v>647</v>
      </c>
      <c r="C3169" t="s">
        <v>9256</v>
      </c>
      <c r="D3169" t="s">
        <v>2605</v>
      </c>
      <c r="E3169" t="s">
        <v>1273</v>
      </c>
      <c r="F3169" t="s">
        <v>9253</v>
      </c>
      <c r="G3169" t="s">
        <v>5847</v>
      </c>
      <c r="H3169">
        <v>6022571870</v>
      </c>
      <c r="K3169" t="s">
        <v>9254</v>
      </c>
      <c r="L3169" t="s">
        <v>9255</v>
      </c>
      <c r="M3169" t="s">
        <v>1634</v>
      </c>
    </row>
    <row r="3170" spans="1:13" x14ac:dyDescent="0.25">
      <c r="A3170">
        <v>6036</v>
      </c>
      <c r="B3170" t="s">
        <v>647</v>
      </c>
      <c r="C3170" t="s">
        <v>9256</v>
      </c>
      <c r="D3170" t="s">
        <v>2605</v>
      </c>
      <c r="E3170" t="s">
        <v>1273</v>
      </c>
      <c r="F3170" t="s">
        <v>9258</v>
      </c>
      <c r="G3170" t="s">
        <v>5354</v>
      </c>
      <c r="H3170">
        <v>6022571870</v>
      </c>
      <c r="K3170" t="s">
        <v>9259</v>
      </c>
      <c r="L3170" t="s">
        <v>9260</v>
      </c>
      <c r="M3170" t="s">
        <v>1640</v>
      </c>
    </row>
    <row r="3171" spans="1:13" x14ac:dyDescent="0.25">
      <c r="A3171">
        <v>6036</v>
      </c>
      <c r="B3171" t="s">
        <v>647</v>
      </c>
      <c r="C3171" t="s">
        <v>9256</v>
      </c>
      <c r="D3171" t="s">
        <v>2605</v>
      </c>
      <c r="E3171" t="s">
        <v>1273</v>
      </c>
      <c r="F3171" t="s">
        <v>6078</v>
      </c>
      <c r="G3171" t="s">
        <v>7125</v>
      </c>
      <c r="K3171" t="s">
        <v>9261</v>
      </c>
      <c r="M3171" t="s">
        <v>1765</v>
      </c>
    </row>
    <row r="3172" spans="1:13" x14ac:dyDescent="0.25">
      <c r="A3172">
        <v>4305</v>
      </c>
      <c r="B3172" t="s">
        <v>9262</v>
      </c>
      <c r="C3172" t="s">
        <v>9263</v>
      </c>
      <c r="D3172" t="s">
        <v>2596</v>
      </c>
      <c r="E3172" t="s">
        <v>1273</v>
      </c>
      <c r="F3172" t="s">
        <v>9264</v>
      </c>
      <c r="G3172" t="s">
        <v>2425</v>
      </c>
      <c r="H3172">
        <v>4808203688</v>
      </c>
      <c r="K3172" t="s">
        <v>9265</v>
      </c>
      <c r="L3172" t="s">
        <v>9266</v>
      </c>
      <c r="M3172" t="s">
        <v>1640</v>
      </c>
    </row>
    <row r="3173" spans="1:13" x14ac:dyDescent="0.25">
      <c r="A3173">
        <v>4305</v>
      </c>
      <c r="B3173" t="s">
        <v>9262</v>
      </c>
      <c r="C3173" t="s">
        <v>9263</v>
      </c>
      <c r="D3173" t="s">
        <v>2596</v>
      </c>
      <c r="E3173" t="s">
        <v>1273</v>
      </c>
      <c r="F3173" t="s">
        <v>2794</v>
      </c>
      <c r="G3173" t="s">
        <v>9267</v>
      </c>
      <c r="H3173">
        <v>4808443965</v>
      </c>
      <c r="K3173" t="s">
        <v>9268</v>
      </c>
      <c r="L3173" t="s">
        <v>9269</v>
      </c>
      <c r="M3173" t="s">
        <v>1640</v>
      </c>
    </row>
    <row r="3174" spans="1:13" x14ac:dyDescent="0.25">
      <c r="A3174">
        <v>4305</v>
      </c>
      <c r="B3174" t="s">
        <v>9262</v>
      </c>
      <c r="C3174" t="s">
        <v>9263</v>
      </c>
      <c r="D3174" t="s">
        <v>2596</v>
      </c>
      <c r="E3174" t="s">
        <v>1273</v>
      </c>
      <c r="F3174" t="s">
        <v>1707</v>
      </c>
      <c r="G3174" t="s">
        <v>9270</v>
      </c>
      <c r="H3174">
        <v>4808443965</v>
      </c>
      <c r="J3174">
        <v>4808440205</v>
      </c>
      <c r="K3174" t="s">
        <v>9271</v>
      </c>
      <c r="L3174" t="s">
        <v>2045</v>
      </c>
      <c r="M3174" t="s">
        <v>1765</v>
      </c>
    </row>
    <row r="3175" spans="1:13" x14ac:dyDescent="0.25">
      <c r="A3175">
        <v>4305</v>
      </c>
      <c r="B3175" t="s">
        <v>9262</v>
      </c>
      <c r="C3175" t="s">
        <v>9263</v>
      </c>
      <c r="D3175" t="s">
        <v>2596</v>
      </c>
      <c r="E3175" t="s">
        <v>1273</v>
      </c>
      <c r="F3175" t="s">
        <v>5693</v>
      </c>
      <c r="G3175" t="s">
        <v>9272</v>
      </c>
      <c r="H3175">
        <v>4808443965</v>
      </c>
      <c r="J3175">
        <v>4808440205</v>
      </c>
      <c r="K3175" t="s">
        <v>9273</v>
      </c>
      <c r="L3175" t="s">
        <v>2045</v>
      </c>
      <c r="M3175" t="s">
        <v>1765</v>
      </c>
    </row>
    <row r="3176" spans="1:13" x14ac:dyDescent="0.25">
      <c r="A3176">
        <v>5470</v>
      </c>
      <c r="B3176" t="s">
        <v>9274</v>
      </c>
      <c r="C3176" t="s">
        <v>9275</v>
      </c>
      <c r="D3176" t="s">
        <v>2605</v>
      </c>
      <c r="E3176" t="s">
        <v>1273</v>
      </c>
      <c r="F3176" t="s">
        <v>2521</v>
      </c>
      <c r="G3176" t="s">
        <v>1298</v>
      </c>
      <c r="H3176">
        <v>4808443965</v>
      </c>
      <c r="J3176">
        <v>4808440205</v>
      </c>
      <c r="K3176" t="s">
        <v>9276</v>
      </c>
      <c r="L3176" t="s">
        <v>9277</v>
      </c>
      <c r="M3176" t="s">
        <v>1634</v>
      </c>
    </row>
    <row r="3177" spans="1:13" x14ac:dyDescent="0.25">
      <c r="A3177">
        <v>5470</v>
      </c>
      <c r="B3177" t="s">
        <v>9274</v>
      </c>
      <c r="C3177" t="s">
        <v>9275</v>
      </c>
      <c r="D3177" t="s">
        <v>2605</v>
      </c>
      <c r="E3177" t="s">
        <v>1273</v>
      </c>
      <c r="F3177" t="s">
        <v>3345</v>
      </c>
      <c r="G3177" t="s">
        <v>9278</v>
      </c>
      <c r="K3177" t="s">
        <v>9279</v>
      </c>
      <c r="M3177" t="s">
        <v>1634</v>
      </c>
    </row>
    <row r="3178" spans="1:13" x14ac:dyDescent="0.25">
      <c r="A3178">
        <v>5470</v>
      </c>
      <c r="B3178" t="s">
        <v>9274</v>
      </c>
      <c r="C3178" t="s">
        <v>9275</v>
      </c>
      <c r="D3178" t="s">
        <v>2605</v>
      </c>
      <c r="E3178" t="s">
        <v>1273</v>
      </c>
      <c r="F3178" t="s">
        <v>3040</v>
      </c>
      <c r="G3178" t="s">
        <v>9280</v>
      </c>
      <c r="K3178" t="s">
        <v>9281</v>
      </c>
      <c r="L3178" t="s">
        <v>9282</v>
      </c>
      <c r="M3178" t="s">
        <v>1634</v>
      </c>
    </row>
    <row r="3179" spans="1:13" x14ac:dyDescent="0.25">
      <c r="A3179">
        <v>5470</v>
      </c>
      <c r="B3179" t="s">
        <v>9274</v>
      </c>
      <c r="C3179" t="s">
        <v>9275</v>
      </c>
      <c r="D3179" t="s">
        <v>2605</v>
      </c>
      <c r="E3179" t="s">
        <v>1273</v>
      </c>
      <c r="F3179" t="s">
        <v>8338</v>
      </c>
      <c r="G3179" t="s">
        <v>6343</v>
      </c>
      <c r="K3179" t="s">
        <v>9283</v>
      </c>
      <c r="M3179" t="s">
        <v>1765</v>
      </c>
    </row>
    <row r="3180" spans="1:13" x14ac:dyDescent="0.25">
      <c r="A3180">
        <v>79929</v>
      </c>
      <c r="B3180" t="s">
        <v>9284</v>
      </c>
      <c r="C3180" t="s">
        <v>9285</v>
      </c>
      <c r="D3180" t="s">
        <v>2596</v>
      </c>
      <c r="E3180" t="s">
        <v>1273</v>
      </c>
      <c r="F3180" t="s">
        <v>2734</v>
      </c>
      <c r="G3180" t="s">
        <v>9286</v>
      </c>
      <c r="H3180">
        <v>6239368682</v>
      </c>
      <c r="K3180" t="s">
        <v>9287</v>
      </c>
      <c r="M3180" t="s">
        <v>1634</v>
      </c>
    </row>
    <row r="3181" spans="1:13" x14ac:dyDescent="0.25">
      <c r="A3181">
        <v>80006</v>
      </c>
      <c r="B3181" t="s">
        <v>9288</v>
      </c>
      <c r="C3181" t="s">
        <v>9289</v>
      </c>
      <c r="D3181" t="s">
        <v>2605</v>
      </c>
      <c r="E3181" t="s">
        <v>1273</v>
      </c>
      <c r="F3181" t="s">
        <v>4318</v>
      </c>
      <c r="G3181" t="s">
        <v>7989</v>
      </c>
      <c r="H3181">
        <v>6239368682</v>
      </c>
      <c r="J3181">
        <v>6239368559</v>
      </c>
      <c r="K3181" t="s">
        <v>9290</v>
      </c>
      <c r="M3181" t="s">
        <v>1634</v>
      </c>
    </row>
    <row r="3182" spans="1:13" x14ac:dyDescent="0.25">
      <c r="A3182">
        <v>1000164</v>
      </c>
      <c r="B3182" t="s">
        <v>9291</v>
      </c>
      <c r="C3182" t="s">
        <v>9292</v>
      </c>
      <c r="D3182" t="s">
        <v>2596</v>
      </c>
      <c r="E3182" t="s">
        <v>1273</v>
      </c>
      <c r="F3182" t="s">
        <v>2663</v>
      </c>
      <c r="G3182" t="s">
        <v>9293</v>
      </c>
      <c r="H3182">
        <v>6028455983</v>
      </c>
      <c r="K3182" t="s">
        <v>9294</v>
      </c>
      <c r="L3182" t="s">
        <v>3043</v>
      </c>
      <c r="M3182" t="s">
        <v>1634</v>
      </c>
    </row>
    <row r="3183" spans="1:13" x14ac:dyDescent="0.25">
      <c r="A3183">
        <v>1000164</v>
      </c>
      <c r="B3183" t="s">
        <v>9291</v>
      </c>
      <c r="C3183" t="s">
        <v>9292</v>
      </c>
      <c r="D3183" t="s">
        <v>2596</v>
      </c>
      <c r="E3183" t="s">
        <v>1273</v>
      </c>
      <c r="F3183" t="s">
        <v>4791</v>
      </c>
      <c r="G3183" t="s">
        <v>2326</v>
      </c>
      <c r="H3183">
        <v>6028455983</v>
      </c>
      <c r="K3183" t="s">
        <v>9295</v>
      </c>
      <c r="L3183" t="s">
        <v>2446</v>
      </c>
      <c r="M3183" t="s">
        <v>1640</v>
      </c>
    </row>
    <row r="3184" spans="1:13" x14ac:dyDescent="0.25">
      <c r="A3184">
        <v>1000164</v>
      </c>
      <c r="B3184" t="s">
        <v>9291</v>
      </c>
      <c r="C3184" t="s">
        <v>9292</v>
      </c>
      <c r="D3184" t="s">
        <v>2596</v>
      </c>
      <c r="E3184" t="s">
        <v>1273</v>
      </c>
      <c r="F3184" t="s">
        <v>4495</v>
      </c>
      <c r="G3184" t="s">
        <v>9296</v>
      </c>
      <c r="H3184">
        <v>6023130917</v>
      </c>
      <c r="K3184" t="s">
        <v>9297</v>
      </c>
      <c r="M3184" t="s">
        <v>1640</v>
      </c>
    </row>
    <row r="3185" spans="1:13" x14ac:dyDescent="0.25">
      <c r="A3185">
        <v>1000277</v>
      </c>
      <c r="B3185" t="s">
        <v>9291</v>
      </c>
      <c r="C3185" t="s">
        <v>9298</v>
      </c>
      <c r="D3185" t="s">
        <v>2605</v>
      </c>
      <c r="E3185" t="s">
        <v>1273</v>
      </c>
    </row>
    <row r="3186" spans="1:13" x14ac:dyDescent="0.25">
      <c r="A3186">
        <v>1000165</v>
      </c>
      <c r="B3186" t="s">
        <v>9299</v>
      </c>
      <c r="C3186" t="s">
        <v>9300</v>
      </c>
      <c r="D3186" t="s">
        <v>2596</v>
      </c>
      <c r="E3186" t="s">
        <v>1273</v>
      </c>
      <c r="F3186" t="s">
        <v>4972</v>
      </c>
      <c r="G3186" t="s">
        <v>9301</v>
      </c>
      <c r="H3186">
        <v>4802845999</v>
      </c>
      <c r="K3186" t="s">
        <v>9302</v>
      </c>
      <c r="L3186" t="s">
        <v>1796</v>
      </c>
      <c r="M3186" t="s">
        <v>1634</v>
      </c>
    </row>
    <row r="3187" spans="1:13" x14ac:dyDescent="0.25">
      <c r="A3187">
        <v>1000165</v>
      </c>
      <c r="B3187" t="s">
        <v>9299</v>
      </c>
      <c r="C3187" t="s">
        <v>9300</v>
      </c>
      <c r="D3187" t="s">
        <v>2596</v>
      </c>
      <c r="E3187" t="s">
        <v>1273</v>
      </c>
      <c r="F3187" t="s">
        <v>9303</v>
      </c>
      <c r="G3187" t="s">
        <v>2178</v>
      </c>
      <c r="H3187">
        <v>4806620717</v>
      </c>
      <c r="K3187" t="s">
        <v>9304</v>
      </c>
      <c r="L3187" t="s">
        <v>9305</v>
      </c>
      <c r="M3187" t="s">
        <v>1634</v>
      </c>
    </row>
    <row r="3188" spans="1:13" x14ac:dyDescent="0.25">
      <c r="A3188">
        <v>1000165</v>
      </c>
      <c r="B3188" t="s">
        <v>9299</v>
      </c>
      <c r="C3188" t="s">
        <v>9300</v>
      </c>
      <c r="D3188" t="s">
        <v>2596</v>
      </c>
      <c r="E3188" t="s">
        <v>1273</v>
      </c>
      <c r="F3188" t="s">
        <v>9306</v>
      </c>
      <c r="G3188" t="s">
        <v>1665</v>
      </c>
      <c r="H3188">
        <v>6023326051</v>
      </c>
      <c r="K3188" t="s">
        <v>9307</v>
      </c>
      <c r="L3188" t="s">
        <v>7330</v>
      </c>
      <c r="M3188" t="s">
        <v>1634</v>
      </c>
    </row>
    <row r="3189" spans="1:13" x14ac:dyDescent="0.25">
      <c r="A3189">
        <v>1000165</v>
      </c>
      <c r="B3189" t="s">
        <v>9299</v>
      </c>
      <c r="C3189" t="s">
        <v>9300</v>
      </c>
      <c r="D3189" t="s">
        <v>2596</v>
      </c>
      <c r="E3189" t="s">
        <v>1273</v>
      </c>
      <c r="F3189" t="s">
        <v>8890</v>
      </c>
      <c r="G3189" t="s">
        <v>9308</v>
      </c>
      <c r="H3189">
        <v>4807222730</v>
      </c>
      <c r="K3189" t="s">
        <v>9309</v>
      </c>
      <c r="M3189" t="s">
        <v>1634</v>
      </c>
    </row>
    <row r="3190" spans="1:13" x14ac:dyDescent="0.25">
      <c r="A3190">
        <v>1000165</v>
      </c>
      <c r="B3190" t="s">
        <v>9299</v>
      </c>
      <c r="C3190" t="s">
        <v>9300</v>
      </c>
      <c r="D3190" t="s">
        <v>2596</v>
      </c>
      <c r="E3190" t="s">
        <v>1273</v>
      </c>
      <c r="F3190" t="s">
        <v>9306</v>
      </c>
      <c r="G3190" t="s">
        <v>1665</v>
      </c>
      <c r="H3190">
        <v>6023326051</v>
      </c>
      <c r="K3190" t="s">
        <v>9307</v>
      </c>
      <c r="L3190" t="s">
        <v>7330</v>
      </c>
      <c r="M3190" t="s">
        <v>1640</v>
      </c>
    </row>
    <row r="3191" spans="1:13" x14ac:dyDescent="0.25">
      <c r="A3191">
        <v>1000165</v>
      </c>
      <c r="B3191" t="s">
        <v>9299</v>
      </c>
      <c r="C3191" t="s">
        <v>9300</v>
      </c>
      <c r="D3191" t="s">
        <v>2596</v>
      </c>
      <c r="E3191" t="s">
        <v>1273</v>
      </c>
      <c r="F3191" t="s">
        <v>8890</v>
      </c>
      <c r="G3191" t="s">
        <v>9308</v>
      </c>
      <c r="H3191">
        <v>4807222730</v>
      </c>
      <c r="K3191" t="s">
        <v>9309</v>
      </c>
      <c r="M3191" t="s">
        <v>1640</v>
      </c>
    </row>
    <row r="3192" spans="1:13" x14ac:dyDescent="0.25">
      <c r="A3192">
        <v>1000282</v>
      </c>
      <c r="B3192" t="s">
        <v>9310</v>
      </c>
      <c r="C3192" t="s">
        <v>9311</v>
      </c>
      <c r="D3192" t="s">
        <v>2605</v>
      </c>
      <c r="E3192" t="s">
        <v>1273</v>
      </c>
      <c r="F3192" t="s">
        <v>4972</v>
      </c>
      <c r="G3192" t="s">
        <v>9301</v>
      </c>
      <c r="K3192" t="s">
        <v>9312</v>
      </c>
      <c r="M3192" t="s">
        <v>1634</v>
      </c>
    </row>
    <row r="3193" spans="1:13" x14ac:dyDescent="0.25">
      <c r="A3193">
        <v>1000282</v>
      </c>
      <c r="B3193" t="s">
        <v>9310</v>
      </c>
      <c r="C3193" t="s">
        <v>9311</v>
      </c>
      <c r="D3193" t="s">
        <v>2605</v>
      </c>
      <c r="E3193" t="s">
        <v>1273</v>
      </c>
      <c r="F3193" t="s">
        <v>9306</v>
      </c>
      <c r="G3193" t="s">
        <v>1665</v>
      </c>
      <c r="H3193">
        <v>6023326051</v>
      </c>
      <c r="K3193" t="s">
        <v>9307</v>
      </c>
      <c r="M3193" t="s">
        <v>1634</v>
      </c>
    </row>
    <row r="3194" spans="1:13" x14ac:dyDescent="0.25">
      <c r="A3194">
        <v>1000282</v>
      </c>
      <c r="B3194" t="s">
        <v>9310</v>
      </c>
      <c r="C3194" t="s">
        <v>9311</v>
      </c>
      <c r="D3194" t="s">
        <v>2605</v>
      </c>
      <c r="E3194" t="s">
        <v>1273</v>
      </c>
      <c r="F3194" t="s">
        <v>9313</v>
      </c>
      <c r="G3194" t="s">
        <v>6980</v>
      </c>
      <c r="H3194">
        <v>4802845999</v>
      </c>
      <c r="K3194" t="s">
        <v>9314</v>
      </c>
      <c r="L3194" t="s">
        <v>1647</v>
      </c>
      <c r="M3194" t="s">
        <v>1634</v>
      </c>
    </row>
    <row r="3195" spans="1:13" x14ac:dyDescent="0.25">
      <c r="A3195">
        <v>81099</v>
      </c>
      <c r="B3195" t="s">
        <v>9315</v>
      </c>
      <c r="C3195" t="s">
        <v>9316</v>
      </c>
      <c r="D3195" t="s">
        <v>2596</v>
      </c>
      <c r="E3195" t="s">
        <v>1273</v>
      </c>
      <c r="F3195" t="s">
        <v>2082</v>
      </c>
      <c r="G3195" t="s">
        <v>9317</v>
      </c>
      <c r="H3195">
        <v>6028962900</v>
      </c>
      <c r="I3195">
        <v>2101</v>
      </c>
      <c r="K3195" t="s">
        <v>9318</v>
      </c>
      <c r="L3195" t="s">
        <v>2584</v>
      </c>
      <c r="M3195" t="s">
        <v>1634</v>
      </c>
    </row>
    <row r="3196" spans="1:13" x14ac:dyDescent="0.25">
      <c r="A3196">
        <v>81099</v>
      </c>
      <c r="B3196" t="s">
        <v>9315</v>
      </c>
      <c r="C3196" t="s">
        <v>9316</v>
      </c>
      <c r="D3196" t="s">
        <v>2596</v>
      </c>
      <c r="E3196" t="s">
        <v>1273</v>
      </c>
      <c r="F3196" t="s">
        <v>2099</v>
      </c>
      <c r="G3196" t="s">
        <v>9319</v>
      </c>
      <c r="H3196">
        <v>6028962900</v>
      </c>
      <c r="K3196" t="s">
        <v>9320</v>
      </c>
      <c r="L3196" t="s">
        <v>9321</v>
      </c>
      <c r="M3196" t="s">
        <v>1634</v>
      </c>
    </row>
    <row r="3197" spans="1:13" x14ac:dyDescent="0.25">
      <c r="A3197">
        <v>81099</v>
      </c>
      <c r="B3197" t="s">
        <v>9315</v>
      </c>
      <c r="C3197" t="s">
        <v>9316</v>
      </c>
      <c r="D3197" t="s">
        <v>2596</v>
      </c>
      <c r="E3197" t="s">
        <v>1273</v>
      </c>
      <c r="F3197" t="s">
        <v>3570</v>
      </c>
      <c r="G3197" t="s">
        <v>9129</v>
      </c>
      <c r="H3197">
        <v>4802949981</v>
      </c>
      <c r="K3197" t="s">
        <v>9322</v>
      </c>
      <c r="M3197" t="s">
        <v>1640</v>
      </c>
    </row>
    <row r="3198" spans="1:13" x14ac:dyDescent="0.25">
      <c r="A3198">
        <v>81099</v>
      </c>
      <c r="B3198" t="s">
        <v>9315</v>
      </c>
      <c r="C3198" t="s">
        <v>9316</v>
      </c>
      <c r="D3198" t="s">
        <v>2596</v>
      </c>
      <c r="E3198" t="s">
        <v>1273</v>
      </c>
      <c r="F3198" t="s">
        <v>3040</v>
      </c>
      <c r="G3198" t="s">
        <v>9323</v>
      </c>
      <c r="K3198" t="s">
        <v>9324</v>
      </c>
      <c r="L3198" t="s">
        <v>1765</v>
      </c>
      <c r="M3198" t="s">
        <v>1765</v>
      </c>
    </row>
    <row r="3199" spans="1:13" x14ac:dyDescent="0.25">
      <c r="A3199">
        <v>78950</v>
      </c>
      <c r="B3199" t="s">
        <v>9325</v>
      </c>
      <c r="C3199" t="s">
        <v>9326</v>
      </c>
      <c r="D3199" t="s">
        <v>2605</v>
      </c>
      <c r="E3199" t="s">
        <v>1273</v>
      </c>
      <c r="F3199" t="s">
        <v>2082</v>
      </c>
      <c r="G3199" t="s">
        <v>9317</v>
      </c>
      <c r="H3199">
        <v>6028962900</v>
      </c>
      <c r="I3199">
        <v>2101</v>
      </c>
      <c r="J3199">
        <v>6024679540</v>
      </c>
      <c r="K3199" t="s">
        <v>9318</v>
      </c>
      <c r="L3199" t="s">
        <v>2584</v>
      </c>
      <c r="M3199" t="s">
        <v>1634</v>
      </c>
    </row>
    <row r="3200" spans="1:13" x14ac:dyDescent="0.25">
      <c r="A3200">
        <v>78950</v>
      </c>
      <c r="B3200" t="s">
        <v>9325</v>
      </c>
      <c r="C3200" t="s">
        <v>9326</v>
      </c>
      <c r="D3200" t="s">
        <v>2605</v>
      </c>
      <c r="E3200" t="s">
        <v>1273</v>
      </c>
      <c r="F3200" t="s">
        <v>1820</v>
      </c>
      <c r="G3200" t="s">
        <v>2571</v>
      </c>
      <c r="K3200" t="s">
        <v>9327</v>
      </c>
      <c r="L3200" t="s">
        <v>1640</v>
      </c>
      <c r="M3200" t="s">
        <v>1640</v>
      </c>
    </row>
    <row r="3201" spans="1:13" x14ac:dyDescent="0.25">
      <c r="A3201">
        <v>1000160</v>
      </c>
      <c r="B3201" t="s">
        <v>9328</v>
      </c>
      <c r="C3201" t="s">
        <v>9329</v>
      </c>
      <c r="D3201" t="s">
        <v>2596</v>
      </c>
      <c r="E3201" t="s">
        <v>1273</v>
      </c>
      <c r="F3201" t="s">
        <v>1750</v>
      </c>
      <c r="G3201" t="s">
        <v>9330</v>
      </c>
      <c r="H3201">
        <v>7024316260</v>
      </c>
      <c r="K3201" t="s">
        <v>9331</v>
      </c>
      <c r="M3201" t="s">
        <v>1634</v>
      </c>
    </row>
    <row r="3202" spans="1:13" x14ac:dyDescent="0.25">
      <c r="A3202">
        <v>1000160</v>
      </c>
      <c r="B3202" t="s">
        <v>9328</v>
      </c>
      <c r="C3202" t="s">
        <v>9329</v>
      </c>
      <c r="D3202" t="s">
        <v>2596</v>
      </c>
      <c r="E3202" t="s">
        <v>1273</v>
      </c>
      <c r="F3202" t="s">
        <v>1750</v>
      </c>
      <c r="G3202" t="s">
        <v>9330</v>
      </c>
      <c r="H3202">
        <v>7024316260</v>
      </c>
      <c r="K3202" t="s">
        <v>9331</v>
      </c>
      <c r="M3202" t="s">
        <v>1640</v>
      </c>
    </row>
    <row r="3203" spans="1:13" x14ac:dyDescent="0.25">
      <c r="A3203">
        <v>1000288</v>
      </c>
      <c r="B3203" t="s">
        <v>9332</v>
      </c>
      <c r="C3203" t="s">
        <v>9333</v>
      </c>
      <c r="D3203" t="s">
        <v>2605</v>
      </c>
      <c r="E3203" t="s">
        <v>1273</v>
      </c>
    </row>
    <row r="3204" spans="1:13" x14ac:dyDescent="0.25">
      <c r="A3204">
        <v>1000167</v>
      </c>
      <c r="B3204" t="s">
        <v>9334</v>
      </c>
      <c r="C3204" t="s">
        <v>9335</v>
      </c>
      <c r="D3204" t="s">
        <v>2596</v>
      </c>
      <c r="E3204" t="s">
        <v>1273</v>
      </c>
      <c r="F3204" t="s">
        <v>3480</v>
      </c>
      <c r="G3204" t="s">
        <v>9336</v>
      </c>
      <c r="K3204" t="s">
        <v>9337</v>
      </c>
      <c r="M3204" t="s">
        <v>1634</v>
      </c>
    </row>
    <row r="3205" spans="1:13" x14ac:dyDescent="0.25">
      <c r="A3205">
        <v>1000167</v>
      </c>
      <c r="B3205" t="s">
        <v>9334</v>
      </c>
      <c r="C3205" t="s">
        <v>9335</v>
      </c>
      <c r="D3205" t="s">
        <v>2596</v>
      </c>
      <c r="E3205" t="s">
        <v>1273</v>
      </c>
      <c r="F3205" t="s">
        <v>9338</v>
      </c>
      <c r="G3205" t="s">
        <v>9339</v>
      </c>
      <c r="K3205" t="s">
        <v>9340</v>
      </c>
      <c r="M3205" t="s">
        <v>1634</v>
      </c>
    </row>
    <row r="3206" spans="1:13" x14ac:dyDescent="0.25">
      <c r="A3206">
        <v>1000167</v>
      </c>
      <c r="B3206" t="s">
        <v>9334</v>
      </c>
      <c r="C3206" t="s">
        <v>9335</v>
      </c>
      <c r="D3206" t="s">
        <v>2596</v>
      </c>
      <c r="E3206" t="s">
        <v>1273</v>
      </c>
      <c r="F3206" t="s">
        <v>2508</v>
      </c>
      <c r="G3206" t="s">
        <v>1298</v>
      </c>
      <c r="H3206" t="s">
        <v>2509</v>
      </c>
      <c r="K3206" t="s">
        <v>8529</v>
      </c>
      <c r="M3206" t="s">
        <v>1634</v>
      </c>
    </row>
    <row r="3207" spans="1:13" x14ac:dyDescent="0.25">
      <c r="A3207">
        <v>1001129</v>
      </c>
      <c r="B3207" t="s">
        <v>9341</v>
      </c>
      <c r="C3207" t="s">
        <v>9342</v>
      </c>
      <c r="D3207" t="s">
        <v>2605</v>
      </c>
      <c r="E3207" t="s">
        <v>1273</v>
      </c>
    </row>
    <row r="3208" spans="1:13" x14ac:dyDescent="0.25">
      <c r="A3208">
        <v>4310</v>
      </c>
      <c r="B3208" t="s">
        <v>9343</v>
      </c>
      <c r="C3208" t="s">
        <v>9344</v>
      </c>
      <c r="D3208" t="s">
        <v>2596</v>
      </c>
      <c r="E3208" t="s">
        <v>1273</v>
      </c>
      <c r="F3208" t="s">
        <v>2099</v>
      </c>
      <c r="G3208" t="s">
        <v>2537</v>
      </c>
      <c r="H3208">
        <v>6029431317</v>
      </c>
      <c r="J3208">
        <v>6029430280</v>
      </c>
      <c r="K3208" t="s">
        <v>9345</v>
      </c>
      <c r="L3208" t="s">
        <v>3124</v>
      </c>
      <c r="M3208" t="s">
        <v>1634</v>
      </c>
    </row>
    <row r="3209" spans="1:13" x14ac:dyDescent="0.25">
      <c r="A3209">
        <v>4310</v>
      </c>
      <c r="B3209" t="s">
        <v>9343</v>
      </c>
      <c r="C3209" t="s">
        <v>9344</v>
      </c>
      <c r="D3209" t="s">
        <v>2596</v>
      </c>
      <c r="E3209" t="s">
        <v>1273</v>
      </c>
      <c r="F3209" t="s">
        <v>2965</v>
      </c>
      <c r="G3209" t="s">
        <v>9346</v>
      </c>
      <c r="H3209">
        <v>6027519825</v>
      </c>
      <c r="K3209" t="s">
        <v>9347</v>
      </c>
      <c r="L3209" t="s">
        <v>1647</v>
      </c>
      <c r="M3209" t="s">
        <v>1634</v>
      </c>
    </row>
    <row r="3210" spans="1:13" x14ac:dyDescent="0.25">
      <c r="A3210">
        <v>4310</v>
      </c>
      <c r="B3210" t="s">
        <v>9343</v>
      </c>
      <c r="C3210" t="s">
        <v>9344</v>
      </c>
      <c r="D3210" t="s">
        <v>2596</v>
      </c>
      <c r="E3210" t="s">
        <v>1273</v>
      </c>
      <c r="F3210" t="s">
        <v>2642</v>
      </c>
      <c r="G3210" t="s">
        <v>9348</v>
      </c>
      <c r="H3210" t="s">
        <v>9349</v>
      </c>
      <c r="K3210" t="s">
        <v>9350</v>
      </c>
      <c r="L3210" t="s">
        <v>1634</v>
      </c>
      <c r="M3210" t="s">
        <v>1634</v>
      </c>
    </row>
    <row r="3211" spans="1:13" x14ac:dyDescent="0.25">
      <c r="A3211">
        <v>4310</v>
      </c>
      <c r="B3211" t="s">
        <v>9343</v>
      </c>
      <c r="C3211" t="s">
        <v>9344</v>
      </c>
      <c r="D3211" t="s">
        <v>2596</v>
      </c>
      <c r="E3211" t="s">
        <v>1273</v>
      </c>
      <c r="F3211" t="s">
        <v>5796</v>
      </c>
      <c r="G3211" t="s">
        <v>2537</v>
      </c>
      <c r="H3211">
        <v>6029431317</v>
      </c>
      <c r="J3211">
        <v>6029430280</v>
      </c>
      <c r="K3211" t="s">
        <v>9351</v>
      </c>
      <c r="L3211" t="s">
        <v>2368</v>
      </c>
      <c r="M3211" t="s">
        <v>1640</v>
      </c>
    </row>
    <row r="3212" spans="1:13" x14ac:dyDescent="0.25">
      <c r="A3212">
        <v>5475</v>
      </c>
      <c r="B3212" t="s">
        <v>9352</v>
      </c>
      <c r="C3212" t="s">
        <v>9353</v>
      </c>
      <c r="D3212" t="s">
        <v>2605</v>
      </c>
      <c r="E3212" t="s">
        <v>1273</v>
      </c>
      <c r="F3212" t="s">
        <v>2099</v>
      </c>
      <c r="G3212" t="s">
        <v>2537</v>
      </c>
      <c r="H3212">
        <v>6029431317</v>
      </c>
      <c r="J3212">
        <v>6029430280</v>
      </c>
      <c r="K3212" t="s">
        <v>9345</v>
      </c>
      <c r="L3212" t="s">
        <v>3124</v>
      </c>
      <c r="M3212" t="s">
        <v>1634</v>
      </c>
    </row>
    <row r="3213" spans="1:13" x14ac:dyDescent="0.25">
      <c r="A3213">
        <v>5475</v>
      </c>
      <c r="B3213" t="s">
        <v>9352</v>
      </c>
      <c r="C3213" t="s">
        <v>9353</v>
      </c>
      <c r="D3213" t="s">
        <v>2605</v>
      </c>
      <c r="E3213" t="s">
        <v>1273</v>
      </c>
      <c r="F3213" t="s">
        <v>2965</v>
      </c>
      <c r="G3213" t="s">
        <v>9346</v>
      </c>
      <c r="K3213" t="s">
        <v>9354</v>
      </c>
      <c r="L3213" t="s">
        <v>1647</v>
      </c>
      <c r="M3213" t="s">
        <v>1634</v>
      </c>
    </row>
    <row r="3214" spans="1:13" x14ac:dyDescent="0.25">
      <c r="A3214">
        <v>5475</v>
      </c>
      <c r="B3214" t="s">
        <v>9352</v>
      </c>
      <c r="C3214" t="s">
        <v>9353</v>
      </c>
      <c r="D3214" t="s">
        <v>2605</v>
      </c>
      <c r="E3214" t="s">
        <v>1273</v>
      </c>
      <c r="F3214" t="s">
        <v>4022</v>
      </c>
      <c r="G3214" t="s">
        <v>9355</v>
      </c>
      <c r="K3214" t="s">
        <v>9356</v>
      </c>
      <c r="L3214" t="s">
        <v>1647</v>
      </c>
      <c r="M3214" t="s">
        <v>1634</v>
      </c>
    </row>
    <row r="3215" spans="1:13" x14ac:dyDescent="0.25">
      <c r="A3215">
        <v>5475</v>
      </c>
      <c r="B3215" t="s">
        <v>9352</v>
      </c>
      <c r="C3215" t="s">
        <v>9353</v>
      </c>
      <c r="D3215" t="s">
        <v>2605</v>
      </c>
      <c r="E3215" t="s">
        <v>1273</v>
      </c>
      <c r="F3215" t="s">
        <v>1707</v>
      </c>
      <c r="G3215" t="s">
        <v>9357</v>
      </c>
      <c r="H3215">
        <v>6029431317</v>
      </c>
      <c r="K3215" t="s">
        <v>9358</v>
      </c>
      <c r="L3215" t="s">
        <v>9277</v>
      </c>
      <c r="M3215" t="s">
        <v>1634</v>
      </c>
    </row>
    <row r="3216" spans="1:13" x14ac:dyDescent="0.25">
      <c r="A3216">
        <v>5475</v>
      </c>
      <c r="B3216" t="s">
        <v>9352</v>
      </c>
      <c r="C3216" t="s">
        <v>9353</v>
      </c>
      <c r="D3216" t="s">
        <v>2605</v>
      </c>
      <c r="E3216" t="s">
        <v>1273</v>
      </c>
      <c r="F3216" t="s">
        <v>2965</v>
      </c>
      <c r="G3216" t="s">
        <v>9346</v>
      </c>
      <c r="K3216" t="s">
        <v>9354</v>
      </c>
      <c r="L3216" t="s">
        <v>1647</v>
      </c>
      <c r="M3216" t="s">
        <v>1640</v>
      </c>
    </row>
    <row r="3217" spans="1:13" x14ac:dyDescent="0.25">
      <c r="A3217">
        <v>81200</v>
      </c>
      <c r="B3217" t="s">
        <v>9359</v>
      </c>
      <c r="C3217" t="s">
        <v>9360</v>
      </c>
      <c r="D3217" t="s">
        <v>2605</v>
      </c>
      <c r="E3217" t="s">
        <v>1273</v>
      </c>
      <c r="F3217" t="s">
        <v>5796</v>
      </c>
      <c r="G3217" t="s">
        <v>2537</v>
      </c>
      <c r="H3217">
        <v>6029431317</v>
      </c>
      <c r="J3217">
        <v>6029430280</v>
      </c>
      <c r="K3217" t="s">
        <v>9361</v>
      </c>
      <c r="M3217" t="s">
        <v>1634</v>
      </c>
    </row>
    <row r="3218" spans="1:13" x14ac:dyDescent="0.25">
      <c r="A3218">
        <v>81200</v>
      </c>
      <c r="B3218" t="s">
        <v>9359</v>
      </c>
      <c r="C3218" t="s">
        <v>9360</v>
      </c>
      <c r="D3218" t="s">
        <v>2605</v>
      </c>
      <c r="E3218" t="s">
        <v>1273</v>
      </c>
      <c r="F3218" t="s">
        <v>4022</v>
      </c>
      <c r="G3218" t="s">
        <v>9355</v>
      </c>
      <c r="K3218" t="s">
        <v>9356</v>
      </c>
      <c r="L3218" t="s">
        <v>1647</v>
      </c>
      <c r="M3218" t="s">
        <v>1634</v>
      </c>
    </row>
    <row r="3219" spans="1:13" x14ac:dyDescent="0.25">
      <c r="A3219">
        <v>81200</v>
      </c>
      <c r="B3219" t="s">
        <v>9359</v>
      </c>
      <c r="C3219" t="s">
        <v>9360</v>
      </c>
      <c r="D3219" t="s">
        <v>2605</v>
      </c>
      <c r="E3219" t="s">
        <v>1273</v>
      </c>
      <c r="F3219" t="s">
        <v>9362</v>
      </c>
      <c r="G3219" t="s">
        <v>9357</v>
      </c>
      <c r="H3219">
        <v>6026140930</v>
      </c>
      <c r="K3219" t="s">
        <v>9358</v>
      </c>
      <c r="L3219" t="s">
        <v>9277</v>
      </c>
      <c r="M3219" t="s">
        <v>1634</v>
      </c>
    </row>
    <row r="3220" spans="1:13" x14ac:dyDescent="0.25">
      <c r="A3220">
        <v>4313</v>
      </c>
      <c r="B3220" t="s">
        <v>9363</v>
      </c>
      <c r="C3220" t="s">
        <v>9364</v>
      </c>
      <c r="D3220" t="s">
        <v>2596</v>
      </c>
      <c r="E3220" t="s">
        <v>1273</v>
      </c>
      <c r="F3220" t="s">
        <v>2009</v>
      </c>
      <c r="G3220" t="s">
        <v>9365</v>
      </c>
      <c r="H3220">
        <v>4808139537</v>
      </c>
      <c r="K3220" t="s">
        <v>9366</v>
      </c>
      <c r="L3220" t="s">
        <v>9367</v>
      </c>
      <c r="M3220" t="s">
        <v>1634</v>
      </c>
    </row>
    <row r="3221" spans="1:13" x14ac:dyDescent="0.25">
      <c r="A3221">
        <v>4313</v>
      </c>
      <c r="B3221" t="s">
        <v>9363</v>
      </c>
      <c r="C3221" t="s">
        <v>9364</v>
      </c>
      <c r="D3221" t="s">
        <v>2596</v>
      </c>
      <c r="E3221" t="s">
        <v>1273</v>
      </c>
      <c r="F3221" t="s">
        <v>4725</v>
      </c>
      <c r="G3221" t="s">
        <v>9368</v>
      </c>
      <c r="H3221">
        <v>4803442600</v>
      </c>
      <c r="I3221">
        <v>402</v>
      </c>
      <c r="K3221" t="s">
        <v>9369</v>
      </c>
      <c r="L3221" t="s">
        <v>2180</v>
      </c>
      <c r="M3221" t="s">
        <v>1634</v>
      </c>
    </row>
    <row r="3222" spans="1:13" x14ac:dyDescent="0.25">
      <c r="A3222">
        <v>4313</v>
      </c>
      <c r="B3222" t="s">
        <v>9363</v>
      </c>
      <c r="C3222" t="s">
        <v>9364</v>
      </c>
      <c r="D3222" t="s">
        <v>2596</v>
      </c>
      <c r="E3222" t="s">
        <v>1273</v>
      </c>
      <c r="F3222" t="s">
        <v>4725</v>
      </c>
      <c r="G3222" t="s">
        <v>9368</v>
      </c>
      <c r="H3222">
        <v>4803442600</v>
      </c>
      <c r="I3222">
        <v>402</v>
      </c>
      <c r="K3222" t="s">
        <v>9369</v>
      </c>
      <c r="L3222" t="s">
        <v>2180</v>
      </c>
      <c r="M3222" t="s">
        <v>1640</v>
      </c>
    </row>
    <row r="3223" spans="1:13" x14ac:dyDescent="0.25">
      <c r="A3223">
        <v>4313</v>
      </c>
      <c r="B3223" t="s">
        <v>9363</v>
      </c>
      <c r="C3223" t="s">
        <v>9364</v>
      </c>
      <c r="D3223" t="s">
        <v>2596</v>
      </c>
      <c r="E3223" t="s">
        <v>1273</v>
      </c>
      <c r="F3223" t="s">
        <v>2269</v>
      </c>
      <c r="G3223" t="s">
        <v>9370</v>
      </c>
      <c r="H3223">
        <v>4808139537</v>
      </c>
      <c r="I3223">
        <v>104</v>
      </c>
      <c r="J3223">
        <v>4808136742</v>
      </c>
      <c r="K3223" t="s">
        <v>9371</v>
      </c>
      <c r="L3223" t="s">
        <v>9372</v>
      </c>
      <c r="M3223" t="s">
        <v>1765</v>
      </c>
    </row>
    <row r="3224" spans="1:13" x14ac:dyDescent="0.25">
      <c r="A3224">
        <v>91788</v>
      </c>
      <c r="B3224" t="s">
        <v>9373</v>
      </c>
      <c r="C3224" t="s">
        <v>9374</v>
      </c>
      <c r="D3224" t="s">
        <v>2605</v>
      </c>
      <c r="E3224" t="s">
        <v>1273</v>
      </c>
      <c r="F3224" t="s">
        <v>2009</v>
      </c>
      <c r="G3224" t="s">
        <v>9365</v>
      </c>
      <c r="H3224">
        <v>4808139537</v>
      </c>
      <c r="K3224" t="s">
        <v>9366</v>
      </c>
      <c r="L3224" t="s">
        <v>1668</v>
      </c>
      <c r="M3224" t="s">
        <v>1634</v>
      </c>
    </row>
    <row r="3225" spans="1:13" x14ac:dyDescent="0.25">
      <c r="A3225">
        <v>91788</v>
      </c>
      <c r="B3225" t="s">
        <v>9373</v>
      </c>
      <c r="C3225" t="s">
        <v>9374</v>
      </c>
      <c r="D3225" t="s">
        <v>2605</v>
      </c>
      <c r="E3225" t="s">
        <v>1273</v>
      </c>
      <c r="F3225" t="s">
        <v>4725</v>
      </c>
      <c r="G3225" t="s">
        <v>9368</v>
      </c>
      <c r="H3225">
        <v>4803442600</v>
      </c>
      <c r="K3225" t="s">
        <v>9369</v>
      </c>
      <c r="L3225" t="s">
        <v>2180</v>
      </c>
      <c r="M3225" t="s">
        <v>1634</v>
      </c>
    </row>
    <row r="3226" spans="1:13" x14ac:dyDescent="0.25">
      <c r="A3226">
        <v>1000283</v>
      </c>
      <c r="B3226" t="s">
        <v>9375</v>
      </c>
      <c r="C3226" t="s">
        <v>9376</v>
      </c>
      <c r="D3226" t="s">
        <v>2596</v>
      </c>
      <c r="E3226" t="s">
        <v>1273</v>
      </c>
      <c r="F3226" t="s">
        <v>2192</v>
      </c>
      <c r="G3226" t="s">
        <v>9377</v>
      </c>
      <c r="H3226">
        <v>4809094342</v>
      </c>
      <c r="K3226" t="s">
        <v>9378</v>
      </c>
      <c r="M3226" t="s">
        <v>1634</v>
      </c>
    </row>
    <row r="3227" spans="1:13" x14ac:dyDescent="0.25">
      <c r="A3227">
        <v>1000283</v>
      </c>
      <c r="B3227" t="s">
        <v>9375</v>
      </c>
      <c r="C3227" t="s">
        <v>9376</v>
      </c>
      <c r="D3227" t="s">
        <v>2596</v>
      </c>
      <c r="E3227" t="s">
        <v>1273</v>
      </c>
      <c r="F3227" t="s">
        <v>2896</v>
      </c>
      <c r="G3227" t="s">
        <v>8112</v>
      </c>
      <c r="K3227" t="s">
        <v>8113</v>
      </c>
      <c r="M3227" t="s">
        <v>1634</v>
      </c>
    </row>
    <row r="3228" spans="1:13" x14ac:dyDescent="0.25">
      <c r="A3228">
        <v>1000289</v>
      </c>
      <c r="B3228" t="s">
        <v>9375</v>
      </c>
      <c r="C3228" t="s">
        <v>9379</v>
      </c>
      <c r="D3228" t="s">
        <v>2605</v>
      </c>
      <c r="E3228" t="s">
        <v>1273</v>
      </c>
    </row>
    <row r="3229" spans="1:13" x14ac:dyDescent="0.25">
      <c r="A3229">
        <v>1000560</v>
      </c>
      <c r="B3229" t="s">
        <v>9380</v>
      </c>
      <c r="C3229" t="s">
        <v>9381</v>
      </c>
      <c r="D3229" t="s">
        <v>2596</v>
      </c>
      <c r="E3229" t="s">
        <v>1273</v>
      </c>
      <c r="F3229" t="s">
        <v>2896</v>
      </c>
      <c r="G3229" t="s">
        <v>8112</v>
      </c>
      <c r="K3229" t="s">
        <v>8113</v>
      </c>
      <c r="M3229" t="s">
        <v>1634</v>
      </c>
    </row>
    <row r="3230" spans="1:13" x14ac:dyDescent="0.25">
      <c r="A3230">
        <v>1000560</v>
      </c>
      <c r="B3230" t="s">
        <v>9380</v>
      </c>
      <c r="C3230" t="s">
        <v>9381</v>
      </c>
      <c r="D3230" t="s">
        <v>2596</v>
      </c>
      <c r="E3230" t="s">
        <v>1273</v>
      </c>
      <c r="F3230" t="s">
        <v>3051</v>
      </c>
      <c r="G3230" t="s">
        <v>3502</v>
      </c>
      <c r="K3230" t="s">
        <v>9382</v>
      </c>
      <c r="M3230" t="s">
        <v>1634</v>
      </c>
    </row>
    <row r="3231" spans="1:13" x14ac:dyDescent="0.25">
      <c r="A3231">
        <v>1000561</v>
      </c>
      <c r="B3231" t="s">
        <v>9380</v>
      </c>
      <c r="C3231" t="s">
        <v>9383</v>
      </c>
      <c r="D3231" t="s">
        <v>2605</v>
      </c>
      <c r="E3231" t="s">
        <v>1273</v>
      </c>
    </row>
    <row r="3232" spans="1:13" x14ac:dyDescent="0.25">
      <c r="A3232">
        <v>1000568</v>
      </c>
      <c r="B3232" t="s">
        <v>9384</v>
      </c>
      <c r="C3232" t="s">
        <v>9385</v>
      </c>
      <c r="D3232" t="s">
        <v>2596</v>
      </c>
      <c r="E3232" t="s">
        <v>1273</v>
      </c>
      <c r="F3232" t="s">
        <v>2896</v>
      </c>
      <c r="G3232" t="s">
        <v>8112</v>
      </c>
      <c r="K3232" t="s">
        <v>8113</v>
      </c>
      <c r="M3232" t="s">
        <v>1634</v>
      </c>
    </row>
    <row r="3233" spans="1:13" x14ac:dyDescent="0.25">
      <c r="A3233">
        <v>1000568</v>
      </c>
      <c r="B3233" t="s">
        <v>9384</v>
      </c>
      <c r="C3233" t="s">
        <v>9385</v>
      </c>
      <c r="D3233" t="s">
        <v>2596</v>
      </c>
      <c r="E3233" t="s">
        <v>1273</v>
      </c>
      <c r="F3233" t="s">
        <v>3051</v>
      </c>
      <c r="G3233" t="s">
        <v>3502</v>
      </c>
      <c r="H3233">
        <v>4809094478</v>
      </c>
      <c r="K3233" t="s">
        <v>9382</v>
      </c>
      <c r="M3233" t="s">
        <v>1634</v>
      </c>
    </row>
    <row r="3234" spans="1:13" x14ac:dyDescent="0.25">
      <c r="A3234">
        <v>1000569</v>
      </c>
      <c r="B3234" t="s">
        <v>9384</v>
      </c>
      <c r="C3234" t="s">
        <v>9386</v>
      </c>
      <c r="D3234" t="s">
        <v>2605</v>
      </c>
      <c r="E3234" t="s">
        <v>1273</v>
      </c>
    </row>
    <row r="3235" spans="1:13" x14ac:dyDescent="0.25">
      <c r="A3235">
        <v>1000979</v>
      </c>
      <c r="B3235" t="s">
        <v>9387</v>
      </c>
      <c r="C3235" t="s">
        <v>9388</v>
      </c>
      <c r="D3235" t="s">
        <v>2596</v>
      </c>
      <c r="E3235" t="s">
        <v>1273</v>
      </c>
      <c r="F3235" t="s">
        <v>9389</v>
      </c>
      <c r="G3235" t="s">
        <v>5126</v>
      </c>
      <c r="H3235">
        <v>4809939551</v>
      </c>
      <c r="K3235" t="s">
        <v>9390</v>
      </c>
      <c r="M3235" t="s">
        <v>1634</v>
      </c>
    </row>
    <row r="3236" spans="1:13" x14ac:dyDescent="0.25">
      <c r="A3236">
        <v>1000980</v>
      </c>
      <c r="B3236" t="s">
        <v>9391</v>
      </c>
      <c r="C3236" t="s">
        <v>9392</v>
      </c>
      <c r="D3236" t="s">
        <v>2605</v>
      </c>
      <c r="E3236" t="s">
        <v>1273</v>
      </c>
    </row>
    <row r="3237" spans="1:13" x14ac:dyDescent="0.25">
      <c r="A3237">
        <v>1001161</v>
      </c>
      <c r="B3237" t="s">
        <v>8827</v>
      </c>
      <c r="C3237" t="s">
        <v>9393</v>
      </c>
      <c r="D3237" t="s">
        <v>2596</v>
      </c>
      <c r="E3237" t="s">
        <v>1273</v>
      </c>
      <c r="F3237" t="s">
        <v>7571</v>
      </c>
      <c r="G3237" t="s">
        <v>8831</v>
      </c>
      <c r="H3237">
        <v>6239796500</v>
      </c>
      <c r="M3237" t="s">
        <v>1634</v>
      </c>
    </row>
    <row r="3238" spans="1:13" x14ac:dyDescent="0.25">
      <c r="A3238">
        <v>1001161</v>
      </c>
      <c r="B3238" t="s">
        <v>8827</v>
      </c>
      <c r="C3238" t="s">
        <v>9393</v>
      </c>
      <c r="D3238" t="s">
        <v>2596</v>
      </c>
      <c r="E3238" t="s">
        <v>1273</v>
      </c>
      <c r="F3238" t="s">
        <v>2876</v>
      </c>
      <c r="G3238" t="s">
        <v>8829</v>
      </c>
      <c r="H3238">
        <v>6239796500</v>
      </c>
      <c r="M3238" t="s">
        <v>1634</v>
      </c>
    </row>
    <row r="3239" spans="1:13" x14ac:dyDescent="0.25">
      <c r="A3239">
        <v>1001161</v>
      </c>
      <c r="B3239" t="s">
        <v>8827</v>
      </c>
      <c r="C3239" t="s">
        <v>9393</v>
      </c>
      <c r="D3239" t="s">
        <v>2596</v>
      </c>
      <c r="E3239" t="s">
        <v>1273</v>
      </c>
      <c r="F3239" t="s">
        <v>1690</v>
      </c>
      <c r="G3239" t="s">
        <v>8284</v>
      </c>
      <c r="H3239">
        <v>6239796500</v>
      </c>
      <c r="K3239" t="s">
        <v>8285</v>
      </c>
      <c r="M3239" t="s">
        <v>1640</v>
      </c>
    </row>
    <row r="3240" spans="1:13" x14ac:dyDescent="0.25">
      <c r="A3240">
        <v>1000607</v>
      </c>
      <c r="B3240" t="s">
        <v>9394</v>
      </c>
      <c r="C3240" t="s">
        <v>9395</v>
      </c>
      <c r="D3240" t="s">
        <v>2605</v>
      </c>
      <c r="E3240" t="s">
        <v>1273</v>
      </c>
      <c r="F3240" t="s">
        <v>2876</v>
      </c>
      <c r="G3240" t="s">
        <v>8829</v>
      </c>
      <c r="H3240">
        <v>6239796500</v>
      </c>
      <c r="M3240" t="s">
        <v>1634</v>
      </c>
    </row>
    <row r="3241" spans="1:13" x14ac:dyDescent="0.25">
      <c r="A3241">
        <v>1000607</v>
      </c>
      <c r="B3241" t="s">
        <v>9394</v>
      </c>
      <c r="C3241" t="s">
        <v>9395</v>
      </c>
      <c r="D3241" t="s">
        <v>2605</v>
      </c>
      <c r="E3241" t="s">
        <v>1273</v>
      </c>
      <c r="F3241" t="s">
        <v>1690</v>
      </c>
      <c r="G3241" t="s">
        <v>8284</v>
      </c>
      <c r="H3241">
        <v>6239796500</v>
      </c>
      <c r="K3241" t="s">
        <v>8285</v>
      </c>
      <c r="M3241" t="s">
        <v>1640</v>
      </c>
    </row>
    <row r="3242" spans="1:13" x14ac:dyDescent="0.25">
      <c r="A3242">
        <v>1001157</v>
      </c>
      <c r="B3242" t="s">
        <v>8999</v>
      </c>
      <c r="C3242" t="s">
        <v>9396</v>
      </c>
      <c r="D3242" t="s">
        <v>2596</v>
      </c>
      <c r="E3242" t="s">
        <v>1273</v>
      </c>
      <c r="F3242" t="s">
        <v>9397</v>
      </c>
      <c r="G3242" t="s">
        <v>2807</v>
      </c>
      <c r="M3242" t="s">
        <v>1634</v>
      </c>
    </row>
    <row r="3243" spans="1:13" x14ac:dyDescent="0.25">
      <c r="A3243">
        <v>1001157</v>
      </c>
      <c r="B3243" t="s">
        <v>8999</v>
      </c>
      <c r="C3243" t="s">
        <v>9396</v>
      </c>
      <c r="D3243" t="s">
        <v>2596</v>
      </c>
      <c r="E3243" t="s">
        <v>1273</v>
      </c>
      <c r="F3243" t="s">
        <v>9398</v>
      </c>
      <c r="G3243" t="s">
        <v>9399</v>
      </c>
      <c r="K3243" t="s">
        <v>9400</v>
      </c>
      <c r="M3243" t="s">
        <v>1634</v>
      </c>
    </row>
    <row r="3244" spans="1:13" x14ac:dyDescent="0.25">
      <c r="A3244">
        <v>1000606</v>
      </c>
      <c r="B3244" t="s">
        <v>9401</v>
      </c>
      <c r="C3244" t="s">
        <v>9402</v>
      </c>
      <c r="D3244" t="s">
        <v>2605</v>
      </c>
      <c r="E3244" t="s">
        <v>1273</v>
      </c>
    </row>
    <row r="3245" spans="1:13" x14ac:dyDescent="0.25">
      <c r="A3245">
        <v>4314</v>
      </c>
      <c r="B3245" t="s">
        <v>980</v>
      </c>
      <c r="C3245" t="s">
        <v>9403</v>
      </c>
      <c r="D3245" t="s">
        <v>2596</v>
      </c>
      <c r="E3245" t="s">
        <v>1273</v>
      </c>
      <c r="F3245" t="s">
        <v>2587</v>
      </c>
      <c r="G3245" t="s">
        <v>1909</v>
      </c>
      <c r="K3245" t="s">
        <v>9404</v>
      </c>
      <c r="L3245" t="s">
        <v>3528</v>
      </c>
      <c r="M3245" t="s">
        <v>1634</v>
      </c>
    </row>
    <row r="3246" spans="1:13" x14ac:dyDescent="0.25">
      <c r="A3246">
        <v>4314</v>
      </c>
      <c r="B3246" t="s">
        <v>980</v>
      </c>
      <c r="C3246" t="s">
        <v>9403</v>
      </c>
      <c r="D3246" t="s">
        <v>2596</v>
      </c>
      <c r="E3246" t="s">
        <v>1273</v>
      </c>
      <c r="F3246" t="s">
        <v>4879</v>
      </c>
      <c r="G3246" t="s">
        <v>1840</v>
      </c>
      <c r="H3246">
        <v>4807318881</v>
      </c>
      <c r="J3246">
        <v>4807318890</v>
      </c>
      <c r="K3246" t="s">
        <v>9405</v>
      </c>
      <c r="L3246" t="s">
        <v>9406</v>
      </c>
      <c r="M3246" t="s">
        <v>1640</v>
      </c>
    </row>
    <row r="3247" spans="1:13" x14ac:dyDescent="0.25">
      <c r="A3247">
        <v>4314</v>
      </c>
      <c r="B3247" t="s">
        <v>980</v>
      </c>
      <c r="C3247" t="s">
        <v>9403</v>
      </c>
      <c r="D3247" t="s">
        <v>2596</v>
      </c>
      <c r="E3247" t="s">
        <v>1273</v>
      </c>
      <c r="F3247" t="s">
        <v>2376</v>
      </c>
      <c r="G3247" t="s">
        <v>3303</v>
      </c>
      <c r="H3247">
        <v>4807318785</v>
      </c>
      <c r="K3247" t="s">
        <v>9407</v>
      </c>
      <c r="L3247" t="s">
        <v>9408</v>
      </c>
      <c r="M3247" t="s">
        <v>1640</v>
      </c>
    </row>
    <row r="3248" spans="1:13" x14ac:dyDescent="0.25">
      <c r="A3248">
        <v>4314</v>
      </c>
      <c r="B3248" t="s">
        <v>980</v>
      </c>
      <c r="C3248" t="s">
        <v>9403</v>
      </c>
      <c r="D3248" t="s">
        <v>2596</v>
      </c>
      <c r="E3248" t="s">
        <v>1273</v>
      </c>
      <c r="F3248" t="s">
        <v>9409</v>
      </c>
      <c r="G3248" t="s">
        <v>9410</v>
      </c>
      <c r="H3248">
        <v>4807318065</v>
      </c>
      <c r="K3248" t="s">
        <v>9411</v>
      </c>
      <c r="M3248" t="s">
        <v>1640</v>
      </c>
    </row>
    <row r="3249" spans="1:13" x14ac:dyDescent="0.25">
      <c r="A3249">
        <v>5480</v>
      </c>
      <c r="B3249" t="s">
        <v>981</v>
      </c>
      <c r="C3249" t="s">
        <v>9412</v>
      </c>
      <c r="D3249" t="s">
        <v>2605</v>
      </c>
      <c r="E3249" t="s">
        <v>1273</v>
      </c>
      <c r="F3249" t="s">
        <v>3057</v>
      </c>
      <c r="G3249" t="s">
        <v>3624</v>
      </c>
      <c r="K3249" t="s">
        <v>9413</v>
      </c>
      <c r="M3249" t="s">
        <v>1634</v>
      </c>
    </row>
    <row r="3250" spans="1:13" x14ac:dyDescent="0.25">
      <c r="A3250">
        <v>5480</v>
      </c>
      <c r="B3250" t="s">
        <v>981</v>
      </c>
      <c r="C3250" t="s">
        <v>9412</v>
      </c>
      <c r="D3250" t="s">
        <v>2605</v>
      </c>
      <c r="E3250" t="s">
        <v>1273</v>
      </c>
      <c r="F3250" t="s">
        <v>3165</v>
      </c>
      <c r="G3250" t="s">
        <v>9414</v>
      </c>
      <c r="H3250">
        <v>6022868017</v>
      </c>
      <c r="K3250" t="s">
        <v>9415</v>
      </c>
      <c r="M3250" t="s">
        <v>1634</v>
      </c>
    </row>
    <row r="3251" spans="1:13" x14ac:dyDescent="0.25">
      <c r="A3251">
        <v>4320</v>
      </c>
      <c r="B3251" t="s">
        <v>875</v>
      </c>
      <c r="C3251" t="s">
        <v>9416</v>
      </c>
      <c r="D3251" t="s">
        <v>2596</v>
      </c>
      <c r="E3251" t="s">
        <v>1273</v>
      </c>
      <c r="F3251" t="s">
        <v>2204</v>
      </c>
      <c r="G3251" t="s">
        <v>9417</v>
      </c>
      <c r="H3251">
        <v>4803622522</v>
      </c>
      <c r="K3251" t="s">
        <v>9418</v>
      </c>
      <c r="L3251" t="s">
        <v>9419</v>
      </c>
      <c r="M3251" t="s">
        <v>1634</v>
      </c>
    </row>
    <row r="3252" spans="1:13" x14ac:dyDescent="0.25">
      <c r="A3252">
        <v>4320</v>
      </c>
      <c r="B3252" t="s">
        <v>875</v>
      </c>
      <c r="C3252" t="s">
        <v>9416</v>
      </c>
      <c r="D3252" t="s">
        <v>2596</v>
      </c>
      <c r="E3252" t="s">
        <v>1273</v>
      </c>
      <c r="F3252" t="s">
        <v>7252</v>
      </c>
      <c r="G3252" t="s">
        <v>9420</v>
      </c>
      <c r="H3252">
        <v>4803622061</v>
      </c>
      <c r="J3252">
        <v>4803622090</v>
      </c>
      <c r="K3252" t="s">
        <v>9421</v>
      </c>
      <c r="L3252" t="s">
        <v>9422</v>
      </c>
      <c r="M3252" t="s">
        <v>1634</v>
      </c>
    </row>
    <row r="3253" spans="1:13" x14ac:dyDescent="0.25">
      <c r="A3253">
        <v>4320</v>
      </c>
      <c r="B3253" t="s">
        <v>875</v>
      </c>
      <c r="C3253" t="s">
        <v>9416</v>
      </c>
      <c r="D3253" t="s">
        <v>2596</v>
      </c>
      <c r="E3253" t="s">
        <v>1273</v>
      </c>
      <c r="F3253" t="s">
        <v>2204</v>
      </c>
      <c r="G3253" t="s">
        <v>9423</v>
      </c>
      <c r="H3253">
        <v>4803622117</v>
      </c>
      <c r="K3253" t="s">
        <v>9424</v>
      </c>
      <c r="M3253" t="s">
        <v>1634</v>
      </c>
    </row>
    <row r="3254" spans="1:13" x14ac:dyDescent="0.25">
      <c r="A3254">
        <v>4320</v>
      </c>
      <c r="B3254" t="s">
        <v>875</v>
      </c>
      <c r="C3254" t="s">
        <v>9416</v>
      </c>
      <c r="D3254" t="s">
        <v>2596</v>
      </c>
      <c r="E3254" t="s">
        <v>1273</v>
      </c>
      <c r="F3254" t="s">
        <v>3178</v>
      </c>
      <c r="G3254" t="s">
        <v>9425</v>
      </c>
      <c r="H3254">
        <v>4803622525</v>
      </c>
      <c r="K3254" t="s">
        <v>9426</v>
      </c>
      <c r="M3254" t="s">
        <v>1640</v>
      </c>
    </row>
    <row r="3255" spans="1:13" x14ac:dyDescent="0.25">
      <c r="A3255">
        <v>4320</v>
      </c>
      <c r="B3255" t="s">
        <v>875</v>
      </c>
      <c r="C3255" t="s">
        <v>9416</v>
      </c>
      <c r="D3255" t="s">
        <v>2596</v>
      </c>
      <c r="E3255" t="s">
        <v>1273</v>
      </c>
      <c r="F3255" t="s">
        <v>3884</v>
      </c>
      <c r="G3255" t="s">
        <v>9427</v>
      </c>
      <c r="H3255">
        <v>4803622584</v>
      </c>
      <c r="K3255" t="s">
        <v>9428</v>
      </c>
      <c r="L3255" t="s">
        <v>8706</v>
      </c>
      <c r="M3255" t="s">
        <v>1640</v>
      </c>
    </row>
    <row r="3256" spans="1:13" x14ac:dyDescent="0.25">
      <c r="A3256">
        <v>90159</v>
      </c>
      <c r="B3256" t="s">
        <v>876</v>
      </c>
      <c r="C3256" t="s">
        <v>9429</v>
      </c>
      <c r="D3256" t="s">
        <v>2605</v>
      </c>
      <c r="E3256" t="s">
        <v>1273</v>
      </c>
      <c r="F3256" t="s">
        <v>2204</v>
      </c>
      <c r="G3256" t="s">
        <v>9417</v>
      </c>
      <c r="H3256">
        <v>4803622522</v>
      </c>
      <c r="K3256" t="s">
        <v>9418</v>
      </c>
      <c r="M3256" t="s">
        <v>1634</v>
      </c>
    </row>
    <row r="3257" spans="1:13" x14ac:dyDescent="0.25">
      <c r="A3257">
        <v>78997</v>
      </c>
      <c r="B3257" t="s">
        <v>983</v>
      </c>
      <c r="C3257" t="s">
        <v>9430</v>
      </c>
      <c r="D3257" t="s">
        <v>2596</v>
      </c>
      <c r="E3257" t="s">
        <v>1273</v>
      </c>
      <c r="F3257" t="s">
        <v>9431</v>
      </c>
      <c r="G3257" t="s">
        <v>9432</v>
      </c>
      <c r="H3257">
        <v>6023502181</v>
      </c>
      <c r="K3257" t="s">
        <v>9433</v>
      </c>
      <c r="L3257" t="s">
        <v>9434</v>
      </c>
      <c r="M3257" t="s">
        <v>1634</v>
      </c>
    </row>
    <row r="3258" spans="1:13" x14ac:dyDescent="0.25">
      <c r="A3258">
        <v>78997</v>
      </c>
      <c r="B3258" t="s">
        <v>983</v>
      </c>
      <c r="C3258" t="s">
        <v>9430</v>
      </c>
      <c r="D3258" t="s">
        <v>2596</v>
      </c>
      <c r="E3258" t="s">
        <v>1273</v>
      </c>
      <c r="F3258" t="s">
        <v>1690</v>
      </c>
      <c r="G3258" t="s">
        <v>6006</v>
      </c>
      <c r="H3258" t="s">
        <v>9435</v>
      </c>
      <c r="K3258" t="s">
        <v>9436</v>
      </c>
      <c r="M3258" t="s">
        <v>1640</v>
      </c>
    </row>
    <row r="3259" spans="1:13" x14ac:dyDescent="0.25">
      <c r="A3259">
        <v>79022</v>
      </c>
      <c r="B3259" t="s">
        <v>984</v>
      </c>
      <c r="C3259" t="s">
        <v>9437</v>
      </c>
      <c r="D3259" t="s">
        <v>2605</v>
      </c>
      <c r="E3259" t="s">
        <v>1273</v>
      </c>
      <c r="F3259" t="s">
        <v>9431</v>
      </c>
      <c r="G3259" t="s">
        <v>9432</v>
      </c>
      <c r="H3259">
        <v>4809479511</v>
      </c>
      <c r="J3259">
        <v>4809479624</v>
      </c>
      <c r="K3259" t="s">
        <v>9438</v>
      </c>
      <c r="M3259" t="s">
        <v>1634</v>
      </c>
    </row>
    <row r="3260" spans="1:13" x14ac:dyDescent="0.25">
      <c r="A3260">
        <v>90737</v>
      </c>
      <c r="B3260" t="s">
        <v>984</v>
      </c>
      <c r="C3260" t="s">
        <v>9439</v>
      </c>
      <c r="D3260" t="s">
        <v>2605</v>
      </c>
      <c r="E3260" t="s">
        <v>1273</v>
      </c>
      <c r="F3260" t="s">
        <v>9431</v>
      </c>
      <c r="G3260" t="s">
        <v>9432</v>
      </c>
      <c r="J3260">
        <v>4809479624</v>
      </c>
      <c r="K3260" t="s">
        <v>9440</v>
      </c>
      <c r="L3260" t="s">
        <v>3043</v>
      </c>
      <c r="M3260" t="s">
        <v>1634</v>
      </c>
    </row>
    <row r="3261" spans="1:13" x14ac:dyDescent="0.25">
      <c r="A3261">
        <v>89412</v>
      </c>
      <c r="B3261" t="s">
        <v>9441</v>
      </c>
      <c r="C3261" t="s">
        <v>9442</v>
      </c>
      <c r="D3261" t="s">
        <v>2596</v>
      </c>
      <c r="E3261" t="s">
        <v>7934</v>
      </c>
      <c r="F3261" t="s">
        <v>2009</v>
      </c>
      <c r="G3261" t="s">
        <v>9365</v>
      </c>
      <c r="H3261">
        <v>4808139537</v>
      </c>
      <c r="J3261">
        <v>4808136742</v>
      </c>
      <c r="K3261" t="s">
        <v>9366</v>
      </c>
      <c r="L3261" t="s">
        <v>9367</v>
      </c>
      <c r="M3261" t="s">
        <v>1634</v>
      </c>
    </row>
    <row r="3262" spans="1:13" x14ac:dyDescent="0.25">
      <c r="A3262">
        <v>89413</v>
      </c>
      <c r="B3262" t="s">
        <v>9443</v>
      </c>
      <c r="C3262" t="s">
        <v>9444</v>
      </c>
      <c r="D3262" t="s">
        <v>2605</v>
      </c>
      <c r="E3262" t="s">
        <v>7934</v>
      </c>
      <c r="F3262" t="s">
        <v>2009</v>
      </c>
      <c r="G3262" t="s">
        <v>9365</v>
      </c>
      <c r="H3262">
        <v>4808139537</v>
      </c>
      <c r="K3262" t="s">
        <v>9445</v>
      </c>
      <c r="L3262" t="s">
        <v>9367</v>
      </c>
      <c r="M3262" t="s">
        <v>1634</v>
      </c>
    </row>
    <row r="3263" spans="1:13" x14ac:dyDescent="0.25">
      <c r="A3263">
        <v>5479</v>
      </c>
      <c r="B3263" t="s">
        <v>9446</v>
      </c>
      <c r="C3263" t="s">
        <v>9447</v>
      </c>
      <c r="D3263" t="s">
        <v>2605</v>
      </c>
      <c r="E3263" t="s">
        <v>1273</v>
      </c>
      <c r="F3263" t="s">
        <v>2009</v>
      </c>
      <c r="G3263" t="s">
        <v>9365</v>
      </c>
      <c r="H3263">
        <v>4808139537</v>
      </c>
      <c r="J3263">
        <v>4808136742</v>
      </c>
      <c r="K3263" t="s">
        <v>9448</v>
      </c>
      <c r="M3263" t="s">
        <v>1634</v>
      </c>
    </row>
    <row r="3264" spans="1:13" x14ac:dyDescent="0.25">
      <c r="A3264">
        <v>89414</v>
      </c>
      <c r="B3264" t="s">
        <v>9449</v>
      </c>
      <c r="C3264" t="s">
        <v>9450</v>
      </c>
      <c r="D3264" t="s">
        <v>2596</v>
      </c>
      <c r="E3264" t="s">
        <v>1273</v>
      </c>
      <c r="F3264" t="s">
        <v>9451</v>
      </c>
      <c r="G3264" t="s">
        <v>9452</v>
      </c>
      <c r="K3264" t="s">
        <v>9453</v>
      </c>
      <c r="L3264" t="s">
        <v>9454</v>
      </c>
      <c r="M3264" t="s">
        <v>1634</v>
      </c>
    </row>
    <row r="3265" spans="1:13" x14ac:dyDescent="0.25">
      <c r="A3265">
        <v>89414</v>
      </c>
      <c r="B3265" t="s">
        <v>9449</v>
      </c>
      <c r="C3265" t="s">
        <v>9450</v>
      </c>
      <c r="D3265" t="s">
        <v>2596</v>
      </c>
      <c r="E3265" t="s">
        <v>1273</v>
      </c>
      <c r="F3265" t="s">
        <v>9455</v>
      </c>
      <c r="G3265" t="s">
        <v>9456</v>
      </c>
      <c r="H3265">
        <v>6024853402</v>
      </c>
      <c r="K3265" t="s">
        <v>9457</v>
      </c>
      <c r="L3265" t="s">
        <v>6618</v>
      </c>
      <c r="M3265" t="s">
        <v>1634</v>
      </c>
    </row>
    <row r="3266" spans="1:13" x14ac:dyDescent="0.25">
      <c r="A3266">
        <v>89414</v>
      </c>
      <c r="B3266" t="s">
        <v>9449</v>
      </c>
      <c r="C3266" t="s">
        <v>9450</v>
      </c>
      <c r="D3266" t="s">
        <v>2596</v>
      </c>
      <c r="E3266" t="s">
        <v>1273</v>
      </c>
      <c r="F3266" t="s">
        <v>4269</v>
      </c>
      <c r="G3266" t="s">
        <v>9452</v>
      </c>
      <c r="K3266" t="s">
        <v>9458</v>
      </c>
      <c r="L3266" t="s">
        <v>1946</v>
      </c>
      <c r="M3266" t="s">
        <v>1765</v>
      </c>
    </row>
    <row r="3267" spans="1:13" x14ac:dyDescent="0.25">
      <c r="A3267">
        <v>89415</v>
      </c>
      <c r="B3267" t="s">
        <v>9459</v>
      </c>
      <c r="C3267" t="s">
        <v>9460</v>
      </c>
      <c r="D3267" t="s">
        <v>2605</v>
      </c>
      <c r="E3267" t="s">
        <v>1273</v>
      </c>
      <c r="F3267" t="s">
        <v>9461</v>
      </c>
      <c r="G3267" t="s">
        <v>9452</v>
      </c>
      <c r="H3267">
        <v>6235830113</v>
      </c>
      <c r="K3267" t="s">
        <v>9462</v>
      </c>
      <c r="L3267" t="s">
        <v>9277</v>
      </c>
      <c r="M3267" t="s">
        <v>1634</v>
      </c>
    </row>
    <row r="3268" spans="1:13" x14ac:dyDescent="0.25">
      <c r="A3268">
        <v>89415</v>
      </c>
      <c r="B3268" t="s">
        <v>9459</v>
      </c>
      <c r="C3268" t="s">
        <v>9460</v>
      </c>
      <c r="D3268" t="s">
        <v>2605</v>
      </c>
      <c r="E3268" t="s">
        <v>1273</v>
      </c>
      <c r="F3268" t="s">
        <v>4269</v>
      </c>
      <c r="G3268" t="s">
        <v>9452</v>
      </c>
      <c r="J3268">
        <v>6024857874</v>
      </c>
      <c r="K3268" t="s">
        <v>9458</v>
      </c>
      <c r="M3268" t="s">
        <v>1634</v>
      </c>
    </row>
    <row r="3269" spans="1:13" x14ac:dyDescent="0.25">
      <c r="A3269">
        <v>89415</v>
      </c>
      <c r="B3269" t="s">
        <v>9459</v>
      </c>
      <c r="C3269" t="s">
        <v>9460</v>
      </c>
      <c r="D3269" t="s">
        <v>2605</v>
      </c>
      <c r="E3269" t="s">
        <v>1273</v>
      </c>
      <c r="F3269" t="s">
        <v>9461</v>
      </c>
      <c r="G3269" t="s">
        <v>9452</v>
      </c>
      <c r="H3269">
        <v>6235830113</v>
      </c>
      <c r="K3269" t="s">
        <v>9462</v>
      </c>
      <c r="L3269" t="s">
        <v>9277</v>
      </c>
      <c r="M3269" t="s">
        <v>1640</v>
      </c>
    </row>
    <row r="3270" spans="1:13" x14ac:dyDescent="0.25">
      <c r="A3270">
        <v>89415</v>
      </c>
      <c r="B3270" t="s">
        <v>9459</v>
      </c>
      <c r="C3270" t="s">
        <v>9460</v>
      </c>
      <c r="D3270" t="s">
        <v>2605</v>
      </c>
      <c r="E3270" t="s">
        <v>1273</v>
      </c>
      <c r="F3270" t="s">
        <v>4269</v>
      </c>
      <c r="G3270" t="s">
        <v>9452</v>
      </c>
      <c r="J3270">
        <v>6024857874</v>
      </c>
      <c r="K3270" t="s">
        <v>9458</v>
      </c>
      <c r="M3270" t="s">
        <v>1640</v>
      </c>
    </row>
    <row r="3271" spans="1:13" x14ac:dyDescent="0.25">
      <c r="A3271">
        <v>320470</v>
      </c>
      <c r="B3271" t="s">
        <v>9463</v>
      </c>
      <c r="C3271" t="s">
        <v>9464</v>
      </c>
      <c r="D3271" t="s">
        <v>2596</v>
      </c>
      <c r="E3271" t="s">
        <v>1273</v>
      </c>
      <c r="F3271" t="s">
        <v>2253</v>
      </c>
      <c r="G3271" t="s">
        <v>4218</v>
      </c>
      <c r="H3271">
        <v>6027409271</v>
      </c>
      <c r="K3271" t="s">
        <v>9465</v>
      </c>
      <c r="L3271" t="s">
        <v>2584</v>
      </c>
      <c r="M3271" t="s">
        <v>1634</v>
      </c>
    </row>
    <row r="3272" spans="1:13" x14ac:dyDescent="0.25">
      <c r="A3272">
        <v>320470</v>
      </c>
      <c r="B3272" t="s">
        <v>9463</v>
      </c>
      <c r="C3272" t="s">
        <v>9464</v>
      </c>
      <c r="D3272" t="s">
        <v>2596</v>
      </c>
      <c r="E3272" t="s">
        <v>1273</v>
      </c>
      <c r="F3272" t="s">
        <v>1938</v>
      </c>
      <c r="G3272" t="s">
        <v>9466</v>
      </c>
      <c r="K3272" t="s">
        <v>9467</v>
      </c>
      <c r="M3272" t="s">
        <v>1634</v>
      </c>
    </row>
    <row r="3273" spans="1:13" x14ac:dyDescent="0.25">
      <c r="A3273">
        <v>320470</v>
      </c>
      <c r="B3273" t="s">
        <v>9463</v>
      </c>
      <c r="C3273" t="s">
        <v>9464</v>
      </c>
      <c r="D3273" t="s">
        <v>2596</v>
      </c>
      <c r="E3273" t="s">
        <v>1273</v>
      </c>
      <c r="F3273" t="s">
        <v>2253</v>
      </c>
      <c r="G3273" t="s">
        <v>4218</v>
      </c>
      <c r="H3273">
        <v>6027409271</v>
      </c>
      <c r="K3273" t="s">
        <v>9465</v>
      </c>
      <c r="L3273" t="s">
        <v>2584</v>
      </c>
      <c r="M3273" t="s">
        <v>1640</v>
      </c>
    </row>
    <row r="3274" spans="1:13" x14ac:dyDescent="0.25">
      <c r="A3274">
        <v>320470</v>
      </c>
      <c r="B3274" t="s">
        <v>9463</v>
      </c>
      <c r="C3274" t="s">
        <v>9464</v>
      </c>
      <c r="D3274" t="s">
        <v>2596</v>
      </c>
      <c r="E3274" t="s">
        <v>1273</v>
      </c>
      <c r="F3274" t="s">
        <v>1938</v>
      </c>
      <c r="G3274" t="s">
        <v>9466</v>
      </c>
      <c r="K3274" t="s">
        <v>9467</v>
      </c>
      <c r="M3274" t="s">
        <v>1640</v>
      </c>
    </row>
    <row r="3275" spans="1:13" x14ac:dyDescent="0.25">
      <c r="A3275">
        <v>320470</v>
      </c>
      <c r="B3275" t="s">
        <v>9463</v>
      </c>
      <c r="C3275" t="s">
        <v>9464</v>
      </c>
      <c r="D3275" t="s">
        <v>2596</v>
      </c>
      <c r="E3275" t="s">
        <v>1273</v>
      </c>
      <c r="F3275" t="s">
        <v>2253</v>
      </c>
      <c r="G3275" t="s">
        <v>4218</v>
      </c>
      <c r="H3275">
        <v>6027409271</v>
      </c>
      <c r="K3275" t="s">
        <v>9465</v>
      </c>
      <c r="L3275" t="s">
        <v>2584</v>
      </c>
      <c r="M3275" t="s">
        <v>1765</v>
      </c>
    </row>
    <row r="3276" spans="1:13" x14ac:dyDescent="0.25">
      <c r="A3276">
        <v>320470</v>
      </c>
      <c r="B3276" t="s">
        <v>9463</v>
      </c>
      <c r="C3276" t="s">
        <v>9464</v>
      </c>
      <c r="D3276" t="s">
        <v>2596</v>
      </c>
      <c r="E3276" t="s">
        <v>1273</v>
      </c>
      <c r="F3276" t="s">
        <v>1938</v>
      </c>
      <c r="G3276" t="s">
        <v>9466</v>
      </c>
      <c r="K3276" t="s">
        <v>9467</v>
      </c>
      <c r="M3276" t="s">
        <v>1765</v>
      </c>
    </row>
    <row r="3277" spans="1:13" x14ac:dyDescent="0.25">
      <c r="A3277">
        <v>117994</v>
      </c>
      <c r="B3277" t="s">
        <v>9468</v>
      </c>
      <c r="C3277" t="s">
        <v>9469</v>
      </c>
      <c r="D3277" t="s">
        <v>2605</v>
      </c>
      <c r="E3277" t="s">
        <v>1273</v>
      </c>
    </row>
    <row r="3278" spans="1:13" x14ac:dyDescent="0.25">
      <c r="A3278">
        <v>903484</v>
      </c>
      <c r="B3278" t="s">
        <v>9470</v>
      </c>
      <c r="C3278" t="s">
        <v>9471</v>
      </c>
      <c r="D3278" t="s">
        <v>2596</v>
      </c>
      <c r="E3278" t="s">
        <v>1273</v>
      </c>
      <c r="F3278" t="s">
        <v>7013</v>
      </c>
      <c r="G3278" t="s">
        <v>9472</v>
      </c>
      <c r="H3278">
        <v>6023845155</v>
      </c>
      <c r="K3278" t="s">
        <v>9473</v>
      </c>
      <c r="L3278" t="s">
        <v>9474</v>
      </c>
      <c r="M3278" t="s">
        <v>1634</v>
      </c>
    </row>
    <row r="3279" spans="1:13" x14ac:dyDescent="0.25">
      <c r="A3279">
        <v>903484</v>
      </c>
      <c r="B3279" t="s">
        <v>9470</v>
      </c>
      <c r="C3279" t="s">
        <v>9471</v>
      </c>
      <c r="D3279" t="s">
        <v>2596</v>
      </c>
      <c r="E3279" t="s">
        <v>1273</v>
      </c>
      <c r="F3279" t="s">
        <v>7013</v>
      </c>
      <c r="G3279" t="s">
        <v>9472</v>
      </c>
      <c r="H3279">
        <v>6023845155</v>
      </c>
      <c r="K3279" t="s">
        <v>9473</v>
      </c>
      <c r="L3279" t="s">
        <v>9474</v>
      </c>
      <c r="M3279" t="s">
        <v>1640</v>
      </c>
    </row>
    <row r="3280" spans="1:13" x14ac:dyDescent="0.25">
      <c r="A3280">
        <v>903484</v>
      </c>
      <c r="B3280" t="s">
        <v>9470</v>
      </c>
      <c r="C3280" t="s">
        <v>9471</v>
      </c>
      <c r="D3280" t="s">
        <v>2596</v>
      </c>
      <c r="E3280" t="s">
        <v>1273</v>
      </c>
      <c r="F3280" t="s">
        <v>7013</v>
      </c>
      <c r="G3280" t="s">
        <v>9472</v>
      </c>
      <c r="H3280">
        <v>6023845155</v>
      </c>
      <c r="K3280" t="s">
        <v>9473</v>
      </c>
      <c r="L3280" t="s">
        <v>9474</v>
      </c>
      <c r="M3280" t="s">
        <v>1765</v>
      </c>
    </row>
    <row r="3281" spans="1:13" x14ac:dyDescent="0.25">
      <c r="A3281">
        <v>292305</v>
      </c>
      <c r="B3281" t="s">
        <v>9470</v>
      </c>
      <c r="C3281" t="s">
        <v>9475</v>
      </c>
      <c r="D3281" t="s">
        <v>2605</v>
      </c>
      <c r="E3281" t="s">
        <v>1273</v>
      </c>
    </row>
    <row r="3282" spans="1:13" x14ac:dyDescent="0.25">
      <c r="A3282">
        <v>520359</v>
      </c>
      <c r="B3282" t="s">
        <v>9476</v>
      </c>
      <c r="C3282" t="s">
        <v>9477</v>
      </c>
      <c r="D3282" t="s">
        <v>2596</v>
      </c>
      <c r="E3282" t="s">
        <v>1273</v>
      </c>
      <c r="F3282" t="s">
        <v>8401</v>
      </c>
      <c r="G3282" t="s">
        <v>8399</v>
      </c>
      <c r="H3282">
        <v>4806412640</v>
      </c>
      <c r="K3282" t="s">
        <v>9478</v>
      </c>
      <c r="L3282" t="s">
        <v>9474</v>
      </c>
      <c r="M3282" t="s">
        <v>1634</v>
      </c>
    </row>
    <row r="3283" spans="1:13" x14ac:dyDescent="0.25">
      <c r="A3283">
        <v>520359</v>
      </c>
      <c r="B3283" t="s">
        <v>9476</v>
      </c>
      <c r="C3283" t="s">
        <v>9477</v>
      </c>
      <c r="D3283" t="s">
        <v>2596</v>
      </c>
      <c r="E3283" t="s">
        <v>1273</v>
      </c>
      <c r="F3283" t="s">
        <v>8398</v>
      </c>
      <c r="G3283" t="s">
        <v>8399</v>
      </c>
      <c r="K3283" t="s">
        <v>8400</v>
      </c>
      <c r="M3283" t="s">
        <v>1640</v>
      </c>
    </row>
    <row r="3284" spans="1:13" x14ac:dyDescent="0.25">
      <c r="A3284">
        <v>520359</v>
      </c>
      <c r="B3284" t="s">
        <v>9476</v>
      </c>
      <c r="C3284" t="s">
        <v>9477</v>
      </c>
      <c r="D3284" t="s">
        <v>2596</v>
      </c>
      <c r="E3284" t="s">
        <v>1273</v>
      </c>
      <c r="F3284" t="s">
        <v>2977</v>
      </c>
      <c r="G3284" t="s">
        <v>9479</v>
      </c>
      <c r="K3284" t="s">
        <v>9480</v>
      </c>
      <c r="M3284" t="s">
        <v>1640</v>
      </c>
    </row>
    <row r="3285" spans="1:13" x14ac:dyDescent="0.25">
      <c r="A3285">
        <v>232786</v>
      </c>
      <c r="B3285" t="s">
        <v>9476</v>
      </c>
      <c r="C3285" t="s">
        <v>9481</v>
      </c>
      <c r="D3285" t="s">
        <v>2605</v>
      </c>
      <c r="E3285" t="s">
        <v>1273</v>
      </c>
    </row>
    <row r="3286" spans="1:13" x14ac:dyDescent="0.25">
      <c r="A3286">
        <v>308420</v>
      </c>
      <c r="B3286" t="s">
        <v>9482</v>
      </c>
      <c r="C3286" t="s">
        <v>9483</v>
      </c>
      <c r="D3286" t="s">
        <v>2596</v>
      </c>
      <c r="E3286" t="s">
        <v>1273</v>
      </c>
      <c r="F3286" t="s">
        <v>8401</v>
      </c>
      <c r="G3286" t="s">
        <v>8399</v>
      </c>
      <c r="H3286">
        <v>4806412640</v>
      </c>
      <c r="K3286" t="s">
        <v>9478</v>
      </c>
      <c r="L3286" t="s">
        <v>9474</v>
      </c>
      <c r="M3286" t="s">
        <v>1634</v>
      </c>
    </row>
    <row r="3287" spans="1:13" x14ac:dyDescent="0.25">
      <c r="A3287">
        <v>308420</v>
      </c>
      <c r="B3287" t="s">
        <v>9482</v>
      </c>
      <c r="C3287" t="s">
        <v>9483</v>
      </c>
      <c r="D3287" t="s">
        <v>2596</v>
      </c>
      <c r="E3287" t="s">
        <v>1273</v>
      </c>
      <c r="F3287" t="s">
        <v>8401</v>
      </c>
      <c r="G3287" t="s">
        <v>8399</v>
      </c>
      <c r="H3287">
        <v>4806412640</v>
      </c>
      <c r="K3287" t="s">
        <v>9478</v>
      </c>
      <c r="L3287" t="s">
        <v>9474</v>
      </c>
      <c r="M3287" t="s">
        <v>1640</v>
      </c>
    </row>
    <row r="3288" spans="1:13" x14ac:dyDescent="0.25">
      <c r="A3288">
        <v>308420</v>
      </c>
      <c r="B3288" t="s">
        <v>9482</v>
      </c>
      <c r="C3288" t="s">
        <v>9483</v>
      </c>
      <c r="D3288" t="s">
        <v>2596</v>
      </c>
      <c r="E3288" t="s">
        <v>1273</v>
      </c>
      <c r="F3288" t="s">
        <v>8398</v>
      </c>
      <c r="G3288" t="s">
        <v>8399</v>
      </c>
      <c r="K3288" t="s">
        <v>8400</v>
      </c>
      <c r="M3288" t="s">
        <v>1640</v>
      </c>
    </row>
    <row r="3289" spans="1:13" x14ac:dyDescent="0.25">
      <c r="A3289">
        <v>308420</v>
      </c>
      <c r="B3289" t="s">
        <v>9482</v>
      </c>
      <c r="C3289" t="s">
        <v>9483</v>
      </c>
      <c r="D3289" t="s">
        <v>2596</v>
      </c>
      <c r="E3289" t="s">
        <v>1273</v>
      </c>
      <c r="F3289" t="s">
        <v>2977</v>
      </c>
      <c r="G3289" t="s">
        <v>9479</v>
      </c>
      <c r="K3289" t="s">
        <v>9484</v>
      </c>
      <c r="M3289" t="s">
        <v>1640</v>
      </c>
    </row>
    <row r="3290" spans="1:13" x14ac:dyDescent="0.25">
      <c r="A3290">
        <v>905186</v>
      </c>
      <c r="B3290" t="s">
        <v>9482</v>
      </c>
      <c r="C3290" t="s">
        <v>9485</v>
      </c>
      <c r="D3290" t="s">
        <v>2605</v>
      </c>
      <c r="E3290" t="s">
        <v>1273</v>
      </c>
    </row>
    <row r="3291" spans="1:13" x14ac:dyDescent="0.25">
      <c r="A3291">
        <v>395879</v>
      </c>
      <c r="B3291" t="s">
        <v>9486</v>
      </c>
      <c r="C3291" t="s">
        <v>9487</v>
      </c>
      <c r="D3291" t="s">
        <v>2596</v>
      </c>
      <c r="E3291" t="s">
        <v>1273</v>
      </c>
      <c r="F3291" t="s">
        <v>9488</v>
      </c>
      <c r="G3291" t="s">
        <v>9489</v>
      </c>
      <c r="H3291">
        <v>4803349655</v>
      </c>
      <c r="K3291" t="s">
        <v>9490</v>
      </c>
      <c r="L3291" t="s">
        <v>9491</v>
      </c>
      <c r="M3291" t="s">
        <v>1634</v>
      </c>
    </row>
    <row r="3292" spans="1:13" x14ac:dyDescent="0.25">
      <c r="A3292">
        <v>395879</v>
      </c>
      <c r="B3292" t="s">
        <v>9486</v>
      </c>
      <c r="C3292" t="s">
        <v>9487</v>
      </c>
      <c r="D3292" t="s">
        <v>2596</v>
      </c>
      <c r="E3292" t="s">
        <v>1273</v>
      </c>
      <c r="F3292" t="s">
        <v>3428</v>
      </c>
      <c r="G3292" t="s">
        <v>5142</v>
      </c>
      <c r="K3292" t="s">
        <v>9492</v>
      </c>
      <c r="L3292" t="s">
        <v>8283</v>
      </c>
      <c r="M3292" t="s">
        <v>1640</v>
      </c>
    </row>
    <row r="3293" spans="1:13" x14ac:dyDescent="0.25">
      <c r="A3293">
        <v>395879</v>
      </c>
      <c r="B3293" t="s">
        <v>9486</v>
      </c>
      <c r="C3293" t="s">
        <v>9487</v>
      </c>
      <c r="D3293" t="s">
        <v>2596</v>
      </c>
      <c r="E3293" t="s">
        <v>1273</v>
      </c>
      <c r="F3293" t="s">
        <v>2508</v>
      </c>
      <c r="G3293" t="s">
        <v>1298</v>
      </c>
      <c r="H3293" t="s">
        <v>2509</v>
      </c>
      <c r="K3293" t="s">
        <v>8529</v>
      </c>
      <c r="L3293" t="s">
        <v>9493</v>
      </c>
      <c r="M3293" t="s">
        <v>1640</v>
      </c>
    </row>
    <row r="3294" spans="1:13" x14ac:dyDescent="0.25">
      <c r="A3294">
        <v>395879</v>
      </c>
      <c r="B3294" t="s">
        <v>9486</v>
      </c>
      <c r="C3294" t="s">
        <v>9487</v>
      </c>
      <c r="D3294" t="s">
        <v>2596</v>
      </c>
      <c r="E3294" t="s">
        <v>1273</v>
      </c>
      <c r="F3294" t="s">
        <v>3428</v>
      </c>
      <c r="G3294" t="s">
        <v>5142</v>
      </c>
      <c r="K3294" t="s">
        <v>9492</v>
      </c>
      <c r="L3294" t="s">
        <v>8283</v>
      </c>
      <c r="M3294" t="s">
        <v>1765</v>
      </c>
    </row>
    <row r="3295" spans="1:13" x14ac:dyDescent="0.25">
      <c r="A3295">
        <v>769544</v>
      </c>
      <c r="B3295" t="s">
        <v>9494</v>
      </c>
      <c r="C3295" t="s">
        <v>9495</v>
      </c>
      <c r="D3295" t="s">
        <v>2605</v>
      </c>
      <c r="E3295" t="s">
        <v>1273</v>
      </c>
    </row>
    <row r="3296" spans="1:13" x14ac:dyDescent="0.25">
      <c r="A3296">
        <v>4325</v>
      </c>
      <c r="B3296" t="s">
        <v>9496</v>
      </c>
      <c r="C3296" t="s">
        <v>9497</v>
      </c>
      <c r="D3296" t="s">
        <v>2596</v>
      </c>
      <c r="E3296" t="s">
        <v>1273</v>
      </c>
      <c r="F3296" t="s">
        <v>3708</v>
      </c>
      <c r="G3296" t="s">
        <v>3661</v>
      </c>
      <c r="H3296">
        <v>6236910919</v>
      </c>
      <c r="J3296">
        <v>6236916091</v>
      </c>
      <c r="K3296" t="s">
        <v>9498</v>
      </c>
      <c r="L3296" t="s">
        <v>3124</v>
      </c>
      <c r="M3296" t="s">
        <v>1634</v>
      </c>
    </row>
    <row r="3297" spans="1:13" x14ac:dyDescent="0.25">
      <c r="A3297">
        <v>4325</v>
      </c>
      <c r="B3297" t="s">
        <v>9496</v>
      </c>
      <c r="C3297" t="s">
        <v>9497</v>
      </c>
      <c r="D3297" t="s">
        <v>2596</v>
      </c>
      <c r="E3297" t="s">
        <v>1273</v>
      </c>
      <c r="F3297" t="s">
        <v>9499</v>
      </c>
      <c r="G3297" t="s">
        <v>5762</v>
      </c>
      <c r="K3297" t="s">
        <v>9500</v>
      </c>
      <c r="L3297" t="s">
        <v>9277</v>
      </c>
      <c r="M3297" t="s">
        <v>1634</v>
      </c>
    </row>
    <row r="3298" spans="1:13" x14ac:dyDescent="0.25">
      <c r="A3298">
        <v>4325</v>
      </c>
      <c r="B3298" t="s">
        <v>9496</v>
      </c>
      <c r="C3298" t="s">
        <v>9497</v>
      </c>
      <c r="D3298" t="s">
        <v>2596</v>
      </c>
      <c r="E3298" t="s">
        <v>1273</v>
      </c>
      <c r="F3298" t="s">
        <v>2508</v>
      </c>
      <c r="G3298" t="s">
        <v>1298</v>
      </c>
      <c r="K3298" t="s">
        <v>9501</v>
      </c>
      <c r="L3298" t="s">
        <v>9502</v>
      </c>
      <c r="M3298" t="s">
        <v>1640</v>
      </c>
    </row>
    <row r="3299" spans="1:13" x14ac:dyDescent="0.25">
      <c r="A3299">
        <v>4325</v>
      </c>
      <c r="B3299" t="s">
        <v>9496</v>
      </c>
      <c r="C3299" t="s">
        <v>9497</v>
      </c>
      <c r="D3299" t="s">
        <v>2596</v>
      </c>
      <c r="E3299" t="s">
        <v>1273</v>
      </c>
      <c r="F3299" t="s">
        <v>2053</v>
      </c>
      <c r="G3299" t="s">
        <v>7989</v>
      </c>
      <c r="K3299" t="s">
        <v>9503</v>
      </c>
      <c r="L3299" t="s">
        <v>9504</v>
      </c>
      <c r="M3299" t="s">
        <v>1640</v>
      </c>
    </row>
    <row r="3300" spans="1:13" x14ac:dyDescent="0.25">
      <c r="A3300">
        <v>5496</v>
      </c>
      <c r="B3300" t="s">
        <v>9505</v>
      </c>
      <c r="C3300" t="s">
        <v>9506</v>
      </c>
      <c r="D3300" t="s">
        <v>2605</v>
      </c>
      <c r="E3300" t="s">
        <v>1273</v>
      </c>
      <c r="F3300" t="s">
        <v>3708</v>
      </c>
      <c r="G3300" t="s">
        <v>3661</v>
      </c>
      <c r="H3300">
        <v>6236910919</v>
      </c>
      <c r="J3300">
        <v>6236916091</v>
      </c>
      <c r="K3300" t="s">
        <v>9498</v>
      </c>
      <c r="L3300" t="s">
        <v>2596</v>
      </c>
      <c r="M3300" t="s">
        <v>1634</v>
      </c>
    </row>
    <row r="3301" spans="1:13" x14ac:dyDescent="0.25">
      <c r="A3301">
        <v>4329</v>
      </c>
      <c r="B3301" t="s">
        <v>9507</v>
      </c>
      <c r="C3301" t="s">
        <v>9508</v>
      </c>
      <c r="D3301" t="s">
        <v>2596</v>
      </c>
      <c r="E3301" t="s">
        <v>1273</v>
      </c>
      <c r="F3301" t="s">
        <v>2082</v>
      </c>
      <c r="G3301" t="s">
        <v>8356</v>
      </c>
      <c r="H3301">
        <v>4804613200</v>
      </c>
      <c r="K3301" t="s">
        <v>8357</v>
      </c>
      <c r="L3301" t="s">
        <v>8358</v>
      </c>
      <c r="M3301" t="s">
        <v>1634</v>
      </c>
    </row>
    <row r="3302" spans="1:13" x14ac:dyDescent="0.25">
      <c r="A3302">
        <v>4329</v>
      </c>
      <c r="B3302" t="s">
        <v>9507</v>
      </c>
      <c r="C3302" t="s">
        <v>9508</v>
      </c>
      <c r="D3302" t="s">
        <v>2596</v>
      </c>
      <c r="E3302" t="s">
        <v>1273</v>
      </c>
      <c r="F3302" t="s">
        <v>9509</v>
      </c>
      <c r="G3302" t="s">
        <v>3346</v>
      </c>
      <c r="K3302" t="s">
        <v>9510</v>
      </c>
      <c r="L3302" t="s">
        <v>1640</v>
      </c>
      <c r="M3302" t="s">
        <v>1640</v>
      </c>
    </row>
    <row r="3303" spans="1:13" x14ac:dyDescent="0.25">
      <c r="A3303">
        <v>4329</v>
      </c>
      <c r="B3303" t="s">
        <v>9507</v>
      </c>
      <c r="C3303" t="s">
        <v>9508</v>
      </c>
      <c r="D3303" t="s">
        <v>2596</v>
      </c>
      <c r="E3303" t="s">
        <v>1273</v>
      </c>
      <c r="F3303" t="s">
        <v>9509</v>
      </c>
      <c r="G3303" t="s">
        <v>3346</v>
      </c>
      <c r="K3303" t="s">
        <v>9510</v>
      </c>
      <c r="L3303" t="s">
        <v>1640</v>
      </c>
      <c r="M3303" t="s">
        <v>1765</v>
      </c>
    </row>
    <row r="3304" spans="1:13" x14ac:dyDescent="0.25">
      <c r="A3304">
        <v>5500</v>
      </c>
      <c r="B3304" t="s">
        <v>9511</v>
      </c>
      <c r="C3304" t="s">
        <v>9512</v>
      </c>
      <c r="D3304" t="s">
        <v>2605</v>
      </c>
      <c r="E3304" t="s">
        <v>1273</v>
      </c>
      <c r="F3304" t="s">
        <v>3040</v>
      </c>
      <c r="G3304" t="s">
        <v>9513</v>
      </c>
      <c r="I3304">
        <v>10643</v>
      </c>
      <c r="K3304" t="s">
        <v>9514</v>
      </c>
      <c r="L3304" t="s">
        <v>1647</v>
      </c>
      <c r="M3304" t="s">
        <v>1634</v>
      </c>
    </row>
    <row r="3305" spans="1:13" x14ac:dyDescent="0.25">
      <c r="A3305">
        <v>90322</v>
      </c>
      <c r="B3305" t="s">
        <v>9515</v>
      </c>
      <c r="C3305" t="s">
        <v>9516</v>
      </c>
      <c r="D3305" t="s">
        <v>2605</v>
      </c>
      <c r="E3305" t="s">
        <v>1273</v>
      </c>
    </row>
    <row r="3306" spans="1:13" x14ac:dyDescent="0.25">
      <c r="A3306">
        <v>4331</v>
      </c>
      <c r="B3306" t="s">
        <v>8676</v>
      </c>
      <c r="C3306" t="s">
        <v>9517</v>
      </c>
      <c r="D3306" t="s">
        <v>2596</v>
      </c>
      <c r="E3306" t="s">
        <v>1273</v>
      </c>
      <c r="F3306" t="s">
        <v>2610</v>
      </c>
      <c r="G3306" t="s">
        <v>9518</v>
      </c>
      <c r="H3306">
        <v>6022978500</v>
      </c>
      <c r="J3306">
        <v>6022438540</v>
      </c>
      <c r="K3306" t="s">
        <v>8679</v>
      </c>
      <c r="L3306" t="s">
        <v>3043</v>
      </c>
      <c r="M3306" t="s">
        <v>1634</v>
      </c>
    </row>
    <row r="3307" spans="1:13" x14ac:dyDescent="0.25">
      <c r="A3307">
        <v>4331</v>
      </c>
      <c r="B3307" t="s">
        <v>8676</v>
      </c>
      <c r="C3307" t="s">
        <v>9517</v>
      </c>
      <c r="D3307" t="s">
        <v>2596</v>
      </c>
      <c r="E3307" t="s">
        <v>1273</v>
      </c>
      <c r="F3307" t="s">
        <v>1914</v>
      </c>
      <c r="G3307" t="s">
        <v>9519</v>
      </c>
      <c r="H3307">
        <v>6025691101</v>
      </c>
      <c r="J3307">
        <v>6025696372</v>
      </c>
      <c r="K3307" t="s">
        <v>9520</v>
      </c>
      <c r="L3307" t="s">
        <v>1647</v>
      </c>
      <c r="M3307" t="s">
        <v>1634</v>
      </c>
    </row>
    <row r="3308" spans="1:13" x14ac:dyDescent="0.25">
      <c r="A3308">
        <v>4331</v>
      </c>
      <c r="B3308" t="s">
        <v>8676</v>
      </c>
      <c r="C3308" t="s">
        <v>9517</v>
      </c>
      <c r="D3308" t="s">
        <v>2596</v>
      </c>
      <c r="E3308" t="s">
        <v>1273</v>
      </c>
      <c r="F3308" t="s">
        <v>4524</v>
      </c>
      <c r="G3308" t="s">
        <v>6931</v>
      </c>
      <c r="H3308">
        <v>6022978500</v>
      </c>
      <c r="J3308">
        <v>6022978540</v>
      </c>
      <c r="K3308" t="s">
        <v>8680</v>
      </c>
      <c r="L3308" t="s">
        <v>2649</v>
      </c>
      <c r="M3308" t="s">
        <v>1640</v>
      </c>
    </row>
    <row r="3309" spans="1:13" x14ac:dyDescent="0.25">
      <c r="A3309">
        <v>4331</v>
      </c>
      <c r="B3309" t="s">
        <v>8676</v>
      </c>
      <c r="C3309" t="s">
        <v>9517</v>
      </c>
      <c r="D3309" t="s">
        <v>2596</v>
      </c>
      <c r="E3309" t="s">
        <v>1273</v>
      </c>
      <c r="F3309" t="s">
        <v>2865</v>
      </c>
      <c r="G3309" t="s">
        <v>8603</v>
      </c>
      <c r="J3309">
        <v>6022978500</v>
      </c>
      <c r="K3309" t="s">
        <v>8604</v>
      </c>
      <c r="L3309" t="s">
        <v>3609</v>
      </c>
      <c r="M3309" t="s">
        <v>1765</v>
      </c>
    </row>
    <row r="3310" spans="1:13" x14ac:dyDescent="0.25">
      <c r="A3310">
        <v>6344</v>
      </c>
      <c r="B3310" t="s">
        <v>9521</v>
      </c>
      <c r="C3310" t="s">
        <v>9522</v>
      </c>
      <c r="D3310" t="s">
        <v>2605</v>
      </c>
      <c r="E3310" t="s">
        <v>1273</v>
      </c>
      <c r="F3310" t="s">
        <v>6342</v>
      </c>
      <c r="G3310" t="s">
        <v>1936</v>
      </c>
      <c r="H3310">
        <v>6025691101</v>
      </c>
      <c r="J3310">
        <v>6025696372</v>
      </c>
      <c r="K3310" t="s">
        <v>9523</v>
      </c>
      <c r="M3310" t="s">
        <v>1634</v>
      </c>
    </row>
    <row r="3311" spans="1:13" x14ac:dyDescent="0.25">
      <c r="A3311">
        <v>6344</v>
      </c>
      <c r="B3311" t="s">
        <v>9521</v>
      </c>
      <c r="C3311" t="s">
        <v>9522</v>
      </c>
      <c r="D3311" t="s">
        <v>2605</v>
      </c>
      <c r="E3311" t="s">
        <v>1273</v>
      </c>
      <c r="F3311" t="s">
        <v>9524</v>
      </c>
      <c r="G3311" t="s">
        <v>9519</v>
      </c>
      <c r="M3311" t="s">
        <v>1634</v>
      </c>
    </row>
    <row r="3312" spans="1:13" x14ac:dyDescent="0.25">
      <c r="A3312">
        <v>4332</v>
      </c>
      <c r="B3312" t="s">
        <v>9525</v>
      </c>
      <c r="C3312" t="s">
        <v>9526</v>
      </c>
      <c r="D3312" t="s">
        <v>2596</v>
      </c>
      <c r="E3312" t="s">
        <v>1273</v>
      </c>
      <c r="F3312" t="s">
        <v>2085</v>
      </c>
      <c r="G3312" t="s">
        <v>9527</v>
      </c>
      <c r="H3312">
        <v>6022548090</v>
      </c>
      <c r="I3312">
        <v>101</v>
      </c>
      <c r="J3312">
        <v>6022548094</v>
      </c>
      <c r="K3312" t="s">
        <v>9528</v>
      </c>
      <c r="L3312" t="s">
        <v>3043</v>
      </c>
      <c r="M3312" t="s">
        <v>1634</v>
      </c>
    </row>
    <row r="3313" spans="1:13" x14ac:dyDescent="0.25">
      <c r="A3313">
        <v>4332</v>
      </c>
      <c r="B3313" t="s">
        <v>9525</v>
      </c>
      <c r="C3313" t="s">
        <v>9526</v>
      </c>
      <c r="D3313" t="s">
        <v>2596</v>
      </c>
      <c r="E3313" t="s">
        <v>1273</v>
      </c>
      <c r="F3313" t="s">
        <v>9529</v>
      </c>
      <c r="G3313" t="s">
        <v>3454</v>
      </c>
      <c r="I3313">
        <v>102</v>
      </c>
      <c r="J3313">
        <v>6022548094</v>
      </c>
      <c r="K3313" t="s">
        <v>9530</v>
      </c>
      <c r="L3313" t="s">
        <v>9531</v>
      </c>
      <c r="M3313" t="s">
        <v>1640</v>
      </c>
    </row>
    <row r="3314" spans="1:13" x14ac:dyDescent="0.25">
      <c r="A3314">
        <v>4332</v>
      </c>
      <c r="B3314" t="s">
        <v>9525</v>
      </c>
      <c r="C3314" t="s">
        <v>9526</v>
      </c>
      <c r="D3314" t="s">
        <v>2596</v>
      </c>
      <c r="E3314" t="s">
        <v>1273</v>
      </c>
      <c r="F3314" t="s">
        <v>9532</v>
      </c>
      <c r="G3314" t="s">
        <v>9533</v>
      </c>
      <c r="H3314">
        <v>4808202479</v>
      </c>
      <c r="J3314">
        <v>4808978675</v>
      </c>
      <c r="K3314" t="s">
        <v>9534</v>
      </c>
      <c r="L3314" t="s">
        <v>8286</v>
      </c>
      <c r="M3314" t="s">
        <v>1640</v>
      </c>
    </row>
    <row r="3315" spans="1:13" x14ac:dyDescent="0.25">
      <c r="A3315">
        <v>4332</v>
      </c>
      <c r="B3315" t="s">
        <v>9525</v>
      </c>
      <c r="C3315" t="s">
        <v>9526</v>
      </c>
      <c r="D3315" t="s">
        <v>2596</v>
      </c>
      <c r="E3315" t="s">
        <v>1273</v>
      </c>
      <c r="F3315" t="s">
        <v>9529</v>
      </c>
      <c r="G3315" t="s">
        <v>3454</v>
      </c>
      <c r="I3315">
        <v>102</v>
      </c>
      <c r="J3315">
        <v>6022548094</v>
      </c>
      <c r="K3315" t="s">
        <v>9530</v>
      </c>
      <c r="L3315" t="s">
        <v>9531</v>
      </c>
      <c r="M3315" t="s">
        <v>1765</v>
      </c>
    </row>
    <row r="3316" spans="1:13" x14ac:dyDescent="0.25">
      <c r="A3316">
        <v>5504</v>
      </c>
      <c r="B3316" t="s">
        <v>9535</v>
      </c>
      <c r="C3316" t="s">
        <v>9536</v>
      </c>
      <c r="D3316" t="s">
        <v>2605</v>
      </c>
      <c r="E3316" t="s">
        <v>1273</v>
      </c>
      <c r="F3316" t="s">
        <v>2085</v>
      </c>
      <c r="G3316" t="s">
        <v>9527</v>
      </c>
      <c r="H3316">
        <v>6022548090</v>
      </c>
      <c r="J3316">
        <v>6022548094</v>
      </c>
      <c r="K3316" t="s">
        <v>9528</v>
      </c>
      <c r="L3316" t="s">
        <v>1647</v>
      </c>
      <c r="M3316" t="s">
        <v>1634</v>
      </c>
    </row>
    <row r="3317" spans="1:13" x14ac:dyDescent="0.25">
      <c r="A3317">
        <v>4334</v>
      </c>
      <c r="B3317" t="s">
        <v>9537</v>
      </c>
      <c r="C3317" t="s">
        <v>9538</v>
      </c>
      <c r="D3317" t="s">
        <v>2596</v>
      </c>
      <c r="E3317" t="s">
        <v>1273</v>
      </c>
      <c r="F3317" t="s">
        <v>5662</v>
      </c>
      <c r="G3317" t="s">
        <v>3085</v>
      </c>
      <c r="J3317">
        <v>6026501777</v>
      </c>
      <c r="K3317" t="s">
        <v>9539</v>
      </c>
      <c r="L3317" t="s">
        <v>8508</v>
      </c>
      <c r="M3317" t="s">
        <v>1634</v>
      </c>
    </row>
    <row r="3318" spans="1:13" x14ac:dyDescent="0.25">
      <c r="A3318">
        <v>4334</v>
      </c>
      <c r="B3318" t="s">
        <v>9537</v>
      </c>
      <c r="C3318" t="s">
        <v>9538</v>
      </c>
      <c r="D3318" t="s">
        <v>2596</v>
      </c>
      <c r="E3318" t="s">
        <v>1273</v>
      </c>
      <c r="F3318" t="s">
        <v>4318</v>
      </c>
      <c r="G3318" t="s">
        <v>9540</v>
      </c>
      <c r="M3318" t="s">
        <v>1765</v>
      </c>
    </row>
    <row r="3319" spans="1:13" x14ac:dyDescent="0.25">
      <c r="A3319">
        <v>4334</v>
      </c>
      <c r="B3319" t="s">
        <v>9537</v>
      </c>
      <c r="C3319" t="s">
        <v>9538</v>
      </c>
      <c r="D3319" t="s">
        <v>2596</v>
      </c>
      <c r="E3319" t="s">
        <v>1273</v>
      </c>
      <c r="F3319" t="s">
        <v>5662</v>
      </c>
      <c r="G3319" t="s">
        <v>3085</v>
      </c>
      <c r="J3319">
        <v>6026501881</v>
      </c>
      <c r="K3319" t="s">
        <v>9539</v>
      </c>
      <c r="L3319" t="s">
        <v>9541</v>
      </c>
      <c r="M3319" t="s">
        <v>1765</v>
      </c>
    </row>
    <row r="3320" spans="1:13" x14ac:dyDescent="0.25">
      <c r="A3320">
        <v>5506</v>
      </c>
      <c r="B3320" t="s">
        <v>9542</v>
      </c>
      <c r="C3320" t="s">
        <v>9543</v>
      </c>
      <c r="D3320" t="s">
        <v>2605</v>
      </c>
      <c r="E3320" t="s">
        <v>1273</v>
      </c>
      <c r="F3320" t="s">
        <v>2521</v>
      </c>
      <c r="G3320" t="s">
        <v>9544</v>
      </c>
      <c r="H3320">
        <v>6026501333</v>
      </c>
      <c r="K3320" t="s">
        <v>9545</v>
      </c>
      <c r="M3320" t="s">
        <v>1634</v>
      </c>
    </row>
    <row r="3321" spans="1:13" x14ac:dyDescent="0.25">
      <c r="A3321">
        <v>5506</v>
      </c>
      <c r="B3321" t="s">
        <v>9542</v>
      </c>
      <c r="C3321" t="s">
        <v>9543</v>
      </c>
      <c r="D3321" t="s">
        <v>2605</v>
      </c>
      <c r="E3321" t="s">
        <v>1273</v>
      </c>
      <c r="F3321" t="s">
        <v>1775</v>
      </c>
      <c r="G3321" t="s">
        <v>9546</v>
      </c>
      <c r="H3321">
        <v>8007620010</v>
      </c>
      <c r="J3321">
        <v>6026501777</v>
      </c>
      <c r="K3321" t="s">
        <v>9547</v>
      </c>
      <c r="L3321" t="s">
        <v>1647</v>
      </c>
      <c r="M3321" t="s">
        <v>1634</v>
      </c>
    </row>
    <row r="3322" spans="1:13" x14ac:dyDescent="0.25">
      <c r="A3322">
        <v>5506</v>
      </c>
      <c r="B3322" t="s">
        <v>9542</v>
      </c>
      <c r="C3322" t="s">
        <v>9543</v>
      </c>
      <c r="D3322" t="s">
        <v>2605</v>
      </c>
      <c r="E3322" t="s">
        <v>1273</v>
      </c>
      <c r="F3322" t="s">
        <v>1707</v>
      </c>
      <c r="G3322" t="s">
        <v>9546</v>
      </c>
      <c r="H3322">
        <v>8007620010</v>
      </c>
      <c r="J3322">
        <v>6026501881</v>
      </c>
      <c r="K3322" t="s">
        <v>9548</v>
      </c>
      <c r="L3322" t="s">
        <v>1668</v>
      </c>
      <c r="M3322" t="s">
        <v>1634</v>
      </c>
    </row>
    <row r="3323" spans="1:13" x14ac:dyDescent="0.25">
      <c r="A3323">
        <v>5506</v>
      </c>
      <c r="B3323" t="s">
        <v>9542</v>
      </c>
      <c r="C3323" t="s">
        <v>9543</v>
      </c>
      <c r="D3323" t="s">
        <v>2605</v>
      </c>
      <c r="E3323" t="s">
        <v>1273</v>
      </c>
      <c r="F3323" t="s">
        <v>9455</v>
      </c>
      <c r="G3323" t="s">
        <v>3060</v>
      </c>
      <c r="H3323">
        <v>6026501333</v>
      </c>
      <c r="K3323" t="s">
        <v>9549</v>
      </c>
      <c r="M3323" t="s">
        <v>1765</v>
      </c>
    </row>
    <row r="3324" spans="1:13" x14ac:dyDescent="0.25">
      <c r="A3324">
        <v>5506</v>
      </c>
      <c r="B3324" t="s">
        <v>9542</v>
      </c>
      <c r="C3324" t="s">
        <v>9543</v>
      </c>
      <c r="D3324" t="s">
        <v>2605</v>
      </c>
      <c r="E3324" t="s">
        <v>1273</v>
      </c>
      <c r="F3324" t="s">
        <v>5662</v>
      </c>
      <c r="G3324" t="s">
        <v>3085</v>
      </c>
      <c r="K3324" t="s">
        <v>9539</v>
      </c>
      <c r="M3324" t="s">
        <v>1765</v>
      </c>
    </row>
    <row r="3325" spans="1:13" x14ac:dyDescent="0.25">
      <c r="A3325">
        <v>5506</v>
      </c>
      <c r="B3325" t="s">
        <v>9542</v>
      </c>
      <c r="C3325" t="s">
        <v>9543</v>
      </c>
      <c r="D3325" t="s">
        <v>2605</v>
      </c>
      <c r="E3325" t="s">
        <v>1273</v>
      </c>
      <c r="F3325" t="s">
        <v>2521</v>
      </c>
      <c r="G3325" t="s">
        <v>9544</v>
      </c>
      <c r="H3325">
        <v>6026501333</v>
      </c>
      <c r="K3325" t="s">
        <v>9545</v>
      </c>
      <c r="M3325" t="s">
        <v>1765</v>
      </c>
    </row>
    <row r="3326" spans="1:13" x14ac:dyDescent="0.25">
      <c r="A3326">
        <v>5506</v>
      </c>
      <c r="B3326" t="s">
        <v>9542</v>
      </c>
      <c r="C3326" t="s">
        <v>9543</v>
      </c>
      <c r="D3326" t="s">
        <v>2605</v>
      </c>
      <c r="E3326" t="s">
        <v>1273</v>
      </c>
      <c r="F3326" t="s">
        <v>4318</v>
      </c>
      <c r="G3326" t="s">
        <v>9540</v>
      </c>
      <c r="M3326" t="s">
        <v>1765</v>
      </c>
    </row>
    <row r="3327" spans="1:13" x14ac:dyDescent="0.25">
      <c r="A3327">
        <v>88232</v>
      </c>
      <c r="B3327" t="s">
        <v>9550</v>
      </c>
      <c r="C3327" t="s">
        <v>9551</v>
      </c>
      <c r="D3327" t="s">
        <v>2605</v>
      </c>
      <c r="E3327" t="s">
        <v>1273</v>
      </c>
      <c r="F3327" t="s">
        <v>2521</v>
      </c>
      <c r="G3327" t="s">
        <v>9544</v>
      </c>
      <c r="H3327">
        <v>6026501333</v>
      </c>
      <c r="K3327" t="s">
        <v>9552</v>
      </c>
      <c r="M3327" t="s">
        <v>1634</v>
      </c>
    </row>
    <row r="3328" spans="1:13" x14ac:dyDescent="0.25">
      <c r="A3328">
        <v>88232</v>
      </c>
      <c r="B3328" t="s">
        <v>9550</v>
      </c>
      <c r="C3328" t="s">
        <v>9551</v>
      </c>
      <c r="D3328" t="s">
        <v>2605</v>
      </c>
      <c r="E3328" t="s">
        <v>1273</v>
      </c>
      <c r="F3328" t="s">
        <v>1775</v>
      </c>
      <c r="G3328" t="s">
        <v>9546</v>
      </c>
      <c r="H3328">
        <v>8007620010</v>
      </c>
      <c r="J3328">
        <v>6026501881</v>
      </c>
      <c r="K3328" t="s">
        <v>9547</v>
      </c>
      <c r="L3328" t="s">
        <v>1647</v>
      </c>
      <c r="M3328" t="s">
        <v>1634</v>
      </c>
    </row>
    <row r="3329" spans="1:13" x14ac:dyDescent="0.25">
      <c r="A3329">
        <v>88232</v>
      </c>
      <c r="B3329" t="s">
        <v>9550</v>
      </c>
      <c r="C3329" t="s">
        <v>9551</v>
      </c>
      <c r="D3329" t="s">
        <v>2605</v>
      </c>
      <c r="E3329" t="s">
        <v>1273</v>
      </c>
      <c r="F3329" t="s">
        <v>1707</v>
      </c>
      <c r="G3329" t="s">
        <v>9546</v>
      </c>
      <c r="H3329">
        <v>8007620010</v>
      </c>
      <c r="J3329">
        <v>6026501881</v>
      </c>
      <c r="K3329" t="s">
        <v>9548</v>
      </c>
      <c r="L3329" t="s">
        <v>1668</v>
      </c>
      <c r="M3329" t="s">
        <v>1634</v>
      </c>
    </row>
    <row r="3330" spans="1:13" x14ac:dyDescent="0.25">
      <c r="A3330">
        <v>88232</v>
      </c>
      <c r="B3330" t="s">
        <v>9550</v>
      </c>
      <c r="C3330" t="s">
        <v>9551</v>
      </c>
      <c r="D3330" t="s">
        <v>2605</v>
      </c>
      <c r="E3330" t="s">
        <v>1273</v>
      </c>
      <c r="F3330" t="s">
        <v>5662</v>
      </c>
      <c r="G3330" t="s">
        <v>3085</v>
      </c>
      <c r="K3330" t="s">
        <v>9539</v>
      </c>
      <c r="M3330" t="s">
        <v>1765</v>
      </c>
    </row>
    <row r="3331" spans="1:13" x14ac:dyDescent="0.25">
      <c r="A3331">
        <v>88232</v>
      </c>
      <c r="B3331" t="s">
        <v>9550</v>
      </c>
      <c r="C3331" t="s">
        <v>9551</v>
      </c>
      <c r="D3331" t="s">
        <v>2605</v>
      </c>
      <c r="E3331" t="s">
        <v>1273</v>
      </c>
      <c r="F3331" t="s">
        <v>4318</v>
      </c>
      <c r="G3331" t="s">
        <v>9540</v>
      </c>
      <c r="M3331" t="s">
        <v>1765</v>
      </c>
    </row>
    <row r="3332" spans="1:13" x14ac:dyDescent="0.25">
      <c r="A3332">
        <v>4335</v>
      </c>
      <c r="B3332" t="s">
        <v>649</v>
      </c>
      <c r="C3332" t="s">
        <v>9553</v>
      </c>
      <c r="D3332" t="s">
        <v>2596</v>
      </c>
      <c r="E3332" t="s">
        <v>1273</v>
      </c>
      <c r="F3332" t="s">
        <v>7957</v>
      </c>
      <c r="G3332" t="s">
        <v>6519</v>
      </c>
      <c r="H3332">
        <v>6022437788</v>
      </c>
      <c r="I3332">
        <v>244</v>
      </c>
      <c r="K3332" t="s">
        <v>7958</v>
      </c>
      <c r="L3332" t="s">
        <v>2649</v>
      </c>
      <c r="M3332" t="s">
        <v>1634</v>
      </c>
    </row>
    <row r="3333" spans="1:13" x14ac:dyDescent="0.25">
      <c r="A3333">
        <v>4335</v>
      </c>
      <c r="B3333" t="s">
        <v>649</v>
      </c>
      <c r="C3333" t="s">
        <v>9553</v>
      </c>
      <c r="D3333" t="s">
        <v>2596</v>
      </c>
      <c r="E3333" t="s">
        <v>1273</v>
      </c>
      <c r="F3333" t="s">
        <v>2977</v>
      </c>
      <c r="G3333" t="s">
        <v>7959</v>
      </c>
      <c r="K3333" t="s">
        <v>7960</v>
      </c>
      <c r="L3333" t="s">
        <v>9554</v>
      </c>
      <c r="M3333" t="s">
        <v>1634</v>
      </c>
    </row>
    <row r="3334" spans="1:13" x14ac:dyDescent="0.25">
      <c r="A3334">
        <v>4335</v>
      </c>
      <c r="B3334" t="s">
        <v>649</v>
      </c>
      <c r="C3334" t="s">
        <v>9553</v>
      </c>
      <c r="D3334" t="s">
        <v>2596</v>
      </c>
      <c r="E3334" t="s">
        <v>1273</v>
      </c>
      <c r="F3334" t="s">
        <v>9555</v>
      </c>
      <c r="G3334" t="s">
        <v>3299</v>
      </c>
      <c r="H3334">
        <v>6022437788</v>
      </c>
      <c r="K3334" t="s">
        <v>9556</v>
      </c>
      <c r="L3334" t="s">
        <v>1647</v>
      </c>
      <c r="M3334" t="s">
        <v>1634</v>
      </c>
    </row>
    <row r="3335" spans="1:13" x14ac:dyDescent="0.25">
      <c r="A3335">
        <v>4335</v>
      </c>
      <c r="B3335" t="s">
        <v>649</v>
      </c>
      <c r="C3335" t="s">
        <v>9553</v>
      </c>
      <c r="D3335" t="s">
        <v>2596</v>
      </c>
      <c r="E3335" t="s">
        <v>1273</v>
      </c>
      <c r="F3335" t="s">
        <v>6009</v>
      </c>
      <c r="G3335" t="s">
        <v>8495</v>
      </c>
      <c r="H3335">
        <v>6022437788</v>
      </c>
      <c r="I3335">
        <v>244</v>
      </c>
      <c r="K3335" t="s">
        <v>7952</v>
      </c>
      <c r="L3335" t="s">
        <v>2649</v>
      </c>
      <c r="M3335" t="s">
        <v>1634</v>
      </c>
    </row>
    <row r="3336" spans="1:13" x14ac:dyDescent="0.25">
      <c r="A3336">
        <v>4335</v>
      </c>
      <c r="B3336" t="s">
        <v>649</v>
      </c>
      <c r="C3336" t="s">
        <v>9553</v>
      </c>
      <c r="D3336" t="s">
        <v>2596</v>
      </c>
      <c r="E3336" t="s">
        <v>1273</v>
      </c>
      <c r="F3336" t="s">
        <v>7953</v>
      </c>
      <c r="G3336" t="s">
        <v>7954</v>
      </c>
      <c r="H3336">
        <v>6022437788</v>
      </c>
      <c r="I3336">
        <v>245</v>
      </c>
      <c r="K3336" t="s">
        <v>7955</v>
      </c>
      <c r="L3336" t="s">
        <v>7956</v>
      </c>
      <c r="M3336" t="s">
        <v>1634</v>
      </c>
    </row>
    <row r="3337" spans="1:13" x14ac:dyDescent="0.25">
      <c r="A3337">
        <v>4335</v>
      </c>
      <c r="B3337" t="s">
        <v>649</v>
      </c>
      <c r="C3337" t="s">
        <v>9553</v>
      </c>
      <c r="D3337" t="s">
        <v>2596</v>
      </c>
      <c r="E3337" t="s">
        <v>1273</v>
      </c>
      <c r="F3337" t="s">
        <v>6009</v>
      </c>
      <c r="G3337" t="s">
        <v>3299</v>
      </c>
      <c r="H3337">
        <v>6022437788</v>
      </c>
      <c r="J3337">
        <v>6022437799</v>
      </c>
      <c r="K3337" t="s">
        <v>9557</v>
      </c>
      <c r="L3337" t="s">
        <v>8181</v>
      </c>
      <c r="M3337" t="s">
        <v>1640</v>
      </c>
    </row>
    <row r="3338" spans="1:13" x14ac:dyDescent="0.25">
      <c r="A3338">
        <v>4335</v>
      </c>
      <c r="B3338" t="s">
        <v>649</v>
      </c>
      <c r="C3338" t="s">
        <v>9553</v>
      </c>
      <c r="D3338" t="s">
        <v>2596</v>
      </c>
      <c r="E3338" t="s">
        <v>1273</v>
      </c>
      <c r="F3338" t="s">
        <v>7957</v>
      </c>
      <c r="G3338" t="s">
        <v>6519</v>
      </c>
      <c r="H3338">
        <v>6022437788</v>
      </c>
      <c r="I3338">
        <v>244</v>
      </c>
      <c r="K3338" t="s">
        <v>7958</v>
      </c>
      <c r="L3338" t="s">
        <v>2649</v>
      </c>
      <c r="M3338" t="s">
        <v>1640</v>
      </c>
    </row>
    <row r="3339" spans="1:13" x14ac:dyDescent="0.25">
      <c r="A3339">
        <v>4335</v>
      </c>
      <c r="B3339" t="s">
        <v>649</v>
      </c>
      <c r="C3339" t="s">
        <v>9553</v>
      </c>
      <c r="D3339" t="s">
        <v>2596</v>
      </c>
      <c r="E3339" t="s">
        <v>1273</v>
      </c>
      <c r="F3339" t="s">
        <v>5808</v>
      </c>
      <c r="G3339" t="s">
        <v>3299</v>
      </c>
      <c r="H3339">
        <v>6022437788</v>
      </c>
      <c r="K3339" t="s">
        <v>8496</v>
      </c>
      <c r="L3339" t="s">
        <v>1668</v>
      </c>
      <c r="M3339" t="s">
        <v>1640</v>
      </c>
    </row>
    <row r="3340" spans="1:13" x14ac:dyDescent="0.25">
      <c r="A3340">
        <v>4335</v>
      </c>
      <c r="B3340" t="s">
        <v>649</v>
      </c>
      <c r="C3340" t="s">
        <v>9553</v>
      </c>
      <c r="D3340" t="s">
        <v>2596</v>
      </c>
      <c r="E3340" t="s">
        <v>1273</v>
      </c>
      <c r="F3340" t="s">
        <v>6009</v>
      </c>
      <c r="G3340" t="s">
        <v>8495</v>
      </c>
      <c r="H3340">
        <v>6022437788</v>
      </c>
      <c r="I3340">
        <v>244</v>
      </c>
      <c r="K3340" t="s">
        <v>7952</v>
      </c>
      <c r="L3340" t="s">
        <v>2649</v>
      </c>
      <c r="M3340" t="s">
        <v>1640</v>
      </c>
    </row>
    <row r="3341" spans="1:13" x14ac:dyDescent="0.25">
      <c r="A3341">
        <v>4335</v>
      </c>
      <c r="B3341" t="s">
        <v>649</v>
      </c>
      <c r="C3341" t="s">
        <v>9553</v>
      </c>
      <c r="D3341" t="s">
        <v>2596</v>
      </c>
      <c r="E3341" t="s">
        <v>1273</v>
      </c>
      <c r="F3341" t="s">
        <v>5808</v>
      </c>
      <c r="G3341" t="s">
        <v>3299</v>
      </c>
      <c r="H3341">
        <v>6022437788</v>
      </c>
      <c r="K3341" t="s">
        <v>8496</v>
      </c>
      <c r="L3341" t="s">
        <v>1668</v>
      </c>
      <c r="M3341" t="s">
        <v>1765</v>
      </c>
    </row>
    <row r="3342" spans="1:13" x14ac:dyDescent="0.25">
      <c r="A3342">
        <v>4335</v>
      </c>
      <c r="B3342" t="s">
        <v>649</v>
      </c>
      <c r="C3342" t="s">
        <v>9553</v>
      </c>
      <c r="D3342" t="s">
        <v>2596</v>
      </c>
      <c r="E3342" t="s">
        <v>1273</v>
      </c>
      <c r="F3342" t="s">
        <v>2977</v>
      </c>
      <c r="G3342" t="s">
        <v>7959</v>
      </c>
      <c r="K3342" t="s">
        <v>7960</v>
      </c>
      <c r="L3342" t="s">
        <v>9554</v>
      </c>
      <c r="M3342" t="s">
        <v>1765</v>
      </c>
    </row>
    <row r="3343" spans="1:13" x14ac:dyDescent="0.25">
      <c r="A3343">
        <v>5507</v>
      </c>
      <c r="B3343" t="s">
        <v>964</v>
      </c>
      <c r="C3343" t="s">
        <v>9558</v>
      </c>
      <c r="D3343" t="s">
        <v>2605</v>
      </c>
      <c r="E3343" t="s">
        <v>1273</v>
      </c>
      <c r="F3343" t="s">
        <v>5808</v>
      </c>
      <c r="G3343" t="s">
        <v>3299</v>
      </c>
      <c r="H3343">
        <v>6022437788</v>
      </c>
      <c r="J3343">
        <v>6022437799</v>
      </c>
      <c r="K3343" t="s">
        <v>7963</v>
      </c>
      <c r="L3343" t="s">
        <v>1668</v>
      </c>
      <c r="M3343" t="s">
        <v>1634</v>
      </c>
    </row>
    <row r="3344" spans="1:13" x14ac:dyDescent="0.25">
      <c r="A3344">
        <v>5507</v>
      </c>
      <c r="B3344" t="s">
        <v>964</v>
      </c>
      <c r="C3344" t="s">
        <v>9558</v>
      </c>
      <c r="D3344" t="s">
        <v>2605</v>
      </c>
      <c r="E3344" t="s">
        <v>1273</v>
      </c>
      <c r="F3344" t="s">
        <v>9555</v>
      </c>
      <c r="G3344" t="s">
        <v>3299</v>
      </c>
      <c r="H3344">
        <v>6022437788</v>
      </c>
      <c r="J3344">
        <v>6022437799</v>
      </c>
      <c r="L3344" t="s">
        <v>5382</v>
      </c>
      <c r="M3344" t="s">
        <v>1634</v>
      </c>
    </row>
    <row r="3345" spans="1:13" x14ac:dyDescent="0.25">
      <c r="A3345">
        <v>4336</v>
      </c>
      <c r="B3345" t="s">
        <v>9559</v>
      </c>
      <c r="C3345" t="s">
        <v>9560</v>
      </c>
      <c r="D3345" t="s">
        <v>2596</v>
      </c>
      <c r="E3345" t="s">
        <v>1273</v>
      </c>
      <c r="F3345" t="s">
        <v>8407</v>
      </c>
      <c r="G3345" t="s">
        <v>8408</v>
      </c>
      <c r="J3345">
        <v>4809696972</v>
      </c>
      <c r="K3345" t="s">
        <v>8409</v>
      </c>
      <c r="L3345" t="s">
        <v>9561</v>
      </c>
      <c r="M3345" t="s">
        <v>1634</v>
      </c>
    </row>
    <row r="3346" spans="1:13" x14ac:dyDescent="0.25">
      <c r="A3346">
        <v>5509</v>
      </c>
      <c r="B3346" t="s">
        <v>9562</v>
      </c>
      <c r="C3346" t="s">
        <v>9563</v>
      </c>
      <c r="D3346" t="s">
        <v>2605</v>
      </c>
      <c r="E3346" t="s">
        <v>1273</v>
      </c>
    </row>
    <row r="3347" spans="1:13" x14ac:dyDescent="0.25">
      <c r="A3347">
        <v>1000169</v>
      </c>
      <c r="B3347" t="s">
        <v>9564</v>
      </c>
      <c r="C3347" t="s">
        <v>9565</v>
      </c>
      <c r="D3347" t="s">
        <v>2605</v>
      </c>
      <c r="E3347" t="s">
        <v>1273</v>
      </c>
    </row>
    <row r="3348" spans="1:13" x14ac:dyDescent="0.25">
      <c r="A3348">
        <v>4337</v>
      </c>
      <c r="B3348" t="s">
        <v>9566</v>
      </c>
      <c r="C3348" t="s">
        <v>9567</v>
      </c>
      <c r="D3348" t="s">
        <v>2596</v>
      </c>
      <c r="E3348" t="s">
        <v>1273</v>
      </c>
      <c r="F3348" t="s">
        <v>5662</v>
      </c>
      <c r="G3348" t="s">
        <v>3085</v>
      </c>
      <c r="J3348">
        <v>6026501881</v>
      </c>
      <c r="K3348" t="s">
        <v>9539</v>
      </c>
      <c r="L3348" t="s">
        <v>8508</v>
      </c>
      <c r="M3348" t="s">
        <v>1634</v>
      </c>
    </row>
    <row r="3349" spans="1:13" x14ac:dyDescent="0.25">
      <c r="A3349">
        <v>4337</v>
      </c>
      <c r="B3349" t="s">
        <v>9566</v>
      </c>
      <c r="C3349" t="s">
        <v>9567</v>
      </c>
      <c r="D3349" t="s">
        <v>2596</v>
      </c>
      <c r="E3349" t="s">
        <v>1273</v>
      </c>
      <c r="F3349" t="s">
        <v>4318</v>
      </c>
      <c r="G3349" t="s">
        <v>9540</v>
      </c>
      <c r="M3349" t="s">
        <v>1765</v>
      </c>
    </row>
    <row r="3350" spans="1:13" x14ac:dyDescent="0.25">
      <c r="A3350">
        <v>4337</v>
      </c>
      <c r="B3350" t="s">
        <v>9566</v>
      </c>
      <c r="C3350" t="s">
        <v>9567</v>
      </c>
      <c r="D3350" t="s">
        <v>2596</v>
      </c>
      <c r="E3350" t="s">
        <v>1273</v>
      </c>
      <c r="F3350" t="s">
        <v>5662</v>
      </c>
      <c r="G3350" t="s">
        <v>3085</v>
      </c>
      <c r="J3350">
        <v>6026501881</v>
      </c>
      <c r="K3350" t="s">
        <v>9539</v>
      </c>
      <c r="L3350" t="s">
        <v>9541</v>
      </c>
      <c r="M3350" t="s">
        <v>1765</v>
      </c>
    </row>
    <row r="3351" spans="1:13" x14ac:dyDescent="0.25">
      <c r="A3351">
        <v>79042</v>
      </c>
      <c r="B3351" t="s">
        <v>9568</v>
      </c>
      <c r="C3351" t="s">
        <v>9569</v>
      </c>
      <c r="D3351" t="s">
        <v>2605</v>
      </c>
      <c r="E3351" t="s">
        <v>1273</v>
      </c>
      <c r="F3351" t="s">
        <v>2273</v>
      </c>
      <c r="G3351" t="s">
        <v>4000</v>
      </c>
      <c r="H3351">
        <v>4803175900</v>
      </c>
      <c r="J3351">
        <v>4808294999</v>
      </c>
      <c r="K3351" t="s">
        <v>9570</v>
      </c>
      <c r="M3351" t="s">
        <v>1634</v>
      </c>
    </row>
    <row r="3352" spans="1:13" x14ac:dyDescent="0.25">
      <c r="A3352">
        <v>79042</v>
      </c>
      <c r="B3352" t="s">
        <v>9568</v>
      </c>
      <c r="C3352" t="s">
        <v>9569</v>
      </c>
      <c r="D3352" t="s">
        <v>2605</v>
      </c>
      <c r="E3352" t="s">
        <v>1273</v>
      </c>
      <c r="F3352" t="s">
        <v>2253</v>
      </c>
      <c r="G3352" t="s">
        <v>9571</v>
      </c>
      <c r="H3352">
        <v>8007620010</v>
      </c>
      <c r="J3352">
        <v>4808294999</v>
      </c>
      <c r="K3352" t="s">
        <v>9572</v>
      </c>
      <c r="L3352" t="s">
        <v>1647</v>
      </c>
      <c r="M3352" t="s">
        <v>1634</v>
      </c>
    </row>
    <row r="3353" spans="1:13" x14ac:dyDescent="0.25">
      <c r="A3353">
        <v>79042</v>
      </c>
      <c r="B3353" t="s">
        <v>9568</v>
      </c>
      <c r="C3353" t="s">
        <v>9569</v>
      </c>
      <c r="D3353" t="s">
        <v>2605</v>
      </c>
      <c r="E3353" t="s">
        <v>1273</v>
      </c>
      <c r="F3353" t="s">
        <v>5662</v>
      </c>
      <c r="G3353" t="s">
        <v>3085</v>
      </c>
      <c r="K3353" t="s">
        <v>9539</v>
      </c>
      <c r="M3353" t="s">
        <v>1765</v>
      </c>
    </row>
    <row r="3354" spans="1:13" x14ac:dyDescent="0.25">
      <c r="A3354">
        <v>79042</v>
      </c>
      <c r="B3354" t="s">
        <v>9568</v>
      </c>
      <c r="C3354" t="s">
        <v>9569</v>
      </c>
      <c r="D3354" t="s">
        <v>2605</v>
      </c>
      <c r="E3354" t="s">
        <v>1273</v>
      </c>
      <c r="F3354" t="s">
        <v>4318</v>
      </c>
      <c r="G3354" t="s">
        <v>9540</v>
      </c>
      <c r="M3354" t="s">
        <v>1765</v>
      </c>
    </row>
    <row r="3355" spans="1:13" x14ac:dyDescent="0.25">
      <c r="A3355">
        <v>79623</v>
      </c>
      <c r="B3355" t="s">
        <v>9573</v>
      </c>
      <c r="C3355" t="s">
        <v>9574</v>
      </c>
      <c r="D3355" t="s">
        <v>2605</v>
      </c>
      <c r="E3355" t="s">
        <v>1273</v>
      </c>
      <c r="F3355" t="s">
        <v>2253</v>
      </c>
      <c r="G3355" t="s">
        <v>9571</v>
      </c>
      <c r="H3355">
        <v>8007620010</v>
      </c>
      <c r="J3355">
        <v>4808294999</v>
      </c>
      <c r="K3355" t="s">
        <v>9572</v>
      </c>
      <c r="L3355" t="s">
        <v>1647</v>
      </c>
      <c r="M3355" t="s">
        <v>1634</v>
      </c>
    </row>
    <row r="3356" spans="1:13" x14ac:dyDescent="0.25">
      <c r="A3356">
        <v>79623</v>
      </c>
      <c r="B3356" t="s">
        <v>9573</v>
      </c>
      <c r="C3356" t="s">
        <v>9574</v>
      </c>
      <c r="D3356" t="s">
        <v>2605</v>
      </c>
      <c r="E3356" t="s">
        <v>1273</v>
      </c>
      <c r="F3356" t="s">
        <v>1707</v>
      </c>
      <c r="G3356" t="s">
        <v>9546</v>
      </c>
      <c r="H3356">
        <v>8007620010</v>
      </c>
      <c r="J3356">
        <v>4808294999</v>
      </c>
      <c r="K3356" t="s">
        <v>9548</v>
      </c>
      <c r="L3356" t="s">
        <v>1668</v>
      </c>
      <c r="M3356" t="s">
        <v>1634</v>
      </c>
    </row>
    <row r="3357" spans="1:13" x14ac:dyDescent="0.25">
      <c r="A3357">
        <v>79623</v>
      </c>
      <c r="B3357" t="s">
        <v>9573</v>
      </c>
      <c r="C3357" t="s">
        <v>9574</v>
      </c>
      <c r="D3357" t="s">
        <v>2605</v>
      </c>
      <c r="E3357" t="s">
        <v>1273</v>
      </c>
      <c r="F3357" t="s">
        <v>5662</v>
      </c>
      <c r="G3357" t="s">
        <v>3085</v>
      </c>
      <c r="K3357" t="s">
        <v>9539</v>
      </c>
      <c r="M3357" t="s">
        <v>1765</v>
      </c>
    </row>
    <row r="3358" spans="1:13" x14ac:dyDescent="0.25">
      <c r="A3358">
        <v>79623</v>
      </c>
      <c r="B3358" t="s">
        <v>9573</v>
      </c>
      <c r="C3358" t="s">
        <v>9574</v>
      </c>
      <c r="D3358" t="s">
        <v>2605</v>
      </c>
      <c r="E3358" t="s">
        <v>1273</v>
      </c>
      <c r="F3358" t="s">
        <v>4318</v>
      </c>
      <c r="G3358" t="s">
        <v>9540</v>
      </c>
      <c r="M3358" t="s">
        <v>1765</v>
      </c>
    </row>
    <row r="3359" spans="1:13" x14ac:dyDescent="0.25">
      <c r="A3359">
        <v>81181</v>
      </c>
      <c r="B3359" t="s">
        <v>9575</v>
      </c>
      <c r="C3359" t="s">
        <v>9576</v>
      </c>
      <c r="D3359" t="s">
        <v>2605</v>
      </c>
      <c r="E3359" t="s">
        <v>1273</v>
      </c>
      <c r="F3359" t="s">
        <v>1775</v>
      </c>
      <c r="G3359" t="s">
        <v>9546</v>
      </c>
      <c r="H3359">
        <v>8007620010</v>
      </c>
      <c r="J3359">
        <v>8007621622</v>
      </c>
      <c r="K3359" t="s">
        <v>9570</v>
      </c>
      <c r="M3359" t="s">
        <v>1634</v>
      </c>
    </row>
    <row r="3360" spans="1:13" x14ac:dyDescent="0.25">
      <c r="A3360">
        <v>81181</v>
      </c>
      <c r="B3360" t="s">
        <v>9575</v>
      </c>
      <c r="C3360" t="s">
        <v>9576</v>
      </c>
      <c r="D3360" t="s">
        <v>2605</v>
      </c>
      <c r="E3360" t="s">
        <v>1273</v>
      </c>
      <c r="F3360" t="s">
        <v>2253</v>
      </c>
      <c r="G3360" t="s">
        <v>9571</v>
      </c>
      <c r="H3360">
        <v>8007620010</v>
      </c>
      <c r="J3360">
        <v>4808294999</v>
      </c>
      <c r="K3360" t="s">
        <v>9572</v>
      </c>
      <c r="L3360" t="s">
        <v>1647</v>
      </c>
      <c r="M3360" t="s">
        <v>1634</v>
      </c>
    </row>
    <row r="3361" spans="1:13" x14ac:dyDescent="0.25">
      <c r="A3361">
        <v>4338</v>
      </c>
      <c r="B3361" t="s">
        <v>1450</v>
      </c>
      <c r="C3361" t="s">
        <v>9577</v>
      </c>
      <c r="D3361" t="s">
        <v>2596</v>
      </c>
      <c r="E3361" t="s">
        <v>1273</v>
      </c>
      <c r="F3361" t="s">
        <v>9578</v>
      </c>
      <c r="G3361" t="s">
        <v>9579</v>
      </c>
      <c r="H3361">
        <v>6023017337</v>
      </c>
      <c r="J3361">
        <v>4807176937</v>
      </c>
      <c r="K3361" t="s">
        <v>9580</v>
      </c>
      <c r="L3361" t="s">
        <v>9581</v>
      </c>
      <c r="M3361" t="s">
        <v>1634</v>
      </c>
    </row>
    <row r="3362" spans="1:13" x14ac:dyDescent="0.25">
      <c r="A3362">
        <v>4338</v>
      </c>
      <c r="B3362" t="s">
        <v>1450</v>
      </c>
      <c r="C3362" t="s">
        <v>9577</v>
      </c>
      <c r="D3362" t="s">
        <v>2596</v>
      </c>
      <c r="E3362" t="s">
        <v>1273</v>
      </c>
      <c r="F3362" t="s">
        <v>2916</v>
      </c>
      <c r="G3362" t="s">
        <v>2647</v>
      </c>
      <c r="K3362" t="s">
        <v>9582</v>
      </c>
      <c r="L3362" t="s">
        <v>2096</v>
      </c>
      <c r="M3362" t="s">
        <v>1634</v>
      </c>
    </row>
    <row r="3363" spans="1:13" x14ac:dyDescent="0.25">
      <c r="A3363">
        <v>4338</v>
      </c>
      <c r="B3363" t="s">
        <v>1450</v>
      </c>
      <c r="C3363" t="s">
        <v>9577</v>
      </c>
      <c r="D3363" t="s">
        <v>2596</v>
      </c>
      <c r="E3363" t="s">
        <v>1273</v>
      </c>
      <c r="F3363" t="s">
        <v>2745</v>
      </c>
      <c r="G3363" t="s">
        <v>8940</v>
      </c>
      <c r="H3363">
        <v>6022853003</v>
      </c>
      <c r="J3363">
        <v>6022855560</v>
      </c>
      <c r="K3363" t="s">
        <v>8941</v>
      </c>
      <c r="L3363" t="s">
        <v>9583</v>
      </c>
      <c r="M3363" t="s">
        <v>1634</v>
      </c>
    </row>
    <row r="3364" spans="1:13" x14ac:dyDescent="0.25">
      <c r="A3364">
        <v>4338</v>
      </c>
      <c r="B3364" t="s">
        <v>1450</v>
      </c>
      <c r="C3364" t="s">
        <v>9577</v>
      </c>
      <c r="D3364" t="s">
        <v>2596</v>
      </c>
      <c r="E3364" t="s">
        <v>1273</v>
      </c>
      <c r="F3364" t="s">
        <v>3994</v>
      </c>
      <c r="G3364" t="s">
        <v>9584</v>
      </c>
      <c r="K3364" t="s">
        <v>9585</v>
      </c>
      <c r="M3364" t="s">
        <v>1634</v>
      </c>
    </row>
    <row r="3365" spans="1:13" x14ac:dyDescent="0.25">
      <c r="A3365">
        <v>4338</v>
      </c>
      <c r="B3365" t="s">
        <v>1450</v>
      </c>
      <c r="C3365" t="s">
        <v>9577</v>
      </c>
      <c r="D3365" t="s">
        <v>2596</v>
      </c>
      <c r="E3365" t="s">
        <v>1273</v>
      </c>
      <c r="F3365" t="s">
        <v>6042</v>
      </c>
      <c r="G3365" t="s">
        <v>9586</v>
      </c>
      <c r="H3365">
        <v>6022638777</v>
      </c>
      <c r="I3365">
        <v>7211</v>
      </c>
      <c r="K3365" t="s">
        <v>9587</v>
      </c>
      <c r="L3365" t="s">
        <v>9588</v>
      </c>
      <c r="M3365" t="s">
        <v>1634</v>
      </c>
    </row>
    <row r="3366" spans="1:13" x14ac:dyDescent="0.25">
      <c r="A3366">
        <v>4338</v>
      </c>
      <c r="B3366" t="s">
        <v>1450</v>
      </c>
      <c r="C3366" t="s">
        <v>9577</v>
      </c>
      <c r="D3366" t="s">
        <v>2596</v>
      </c>
      <c r="E3366" t="s">
        <v>1273</v>
      </c>
      <c r="F3366" t="s">
        <v>6078</v>
      </c>
      <c r="G3366" t="s">
        <v>9589</v>
      </c>
      <c r="K3366" t="s">
        <v>9590</v>
      </c>
      <c r="L3366" t="s">
        <v>9591</v>
      </c>
      <c r="M3366" t="s">
        <v>1765</v>
      </c>
    </row>
    <row r="3367" spans="1:13" x14ac:dyDescent="0.25">
      <c r="A3367">
        <v>5512</v>
      </c>
      <c r="B3367" t="s">
        <v>1451</v>
      </c>
      <c r="C3367" t="s">
        <v>9592</v>
      </c>
      <c r="D3367" t="s">
        <v>2605</v>
      </c>
      <c r="E3367" t="s">
        <v>1273</v>
      </c>
      <c r="F3367" t="s">
        <v>2916</v>
      </c>
      <c r="G3367" t="s">
        <v>2647</v>
      </c>
      <c r="L3367" t="s">
        <v>1647</v>
      </c>
      <c r="M3367" t="s">
        <v>1634</v>
      </c>
    </row>
    <row r="3368" spans="1:13" x14ac:dyDescent="0.25">
      <c r="A3368">
        <v>4339</v>
      </c>
      <c r="B3368" t="s">
        <v>9593</v>
      </c>
      <c r="C3368" t="s">
        <v>9594</v>
      </c>
      <c r="D3368" t="s">
        <v>2596</v>
      </c>
      <c r="E3368" t="s">
        <v>1273</v>
      </c>
      <c r="F3368" t="s">
        <v>9595</v>
      </c>
      <c r="G3368" t="s">
        <v>9596</v>
      </c>
      <c r="K3368" t="s">
        <v>9597</v>
      </c>
      <c r="L3368" t="s">
        <v>1647</v>
      </c>
      <c r="M3368" t="s">
        <v>1634</v>
      </c>
    </row>
    <row r="3369" spans="1:13" x14ac:dyDescent="0.25">
      <c r="A3369">
        <v>4339</v>
      </c>
      <c r="B3369" t="s">
        <v>9593</v>
      </c>
      <c r="C3369" t="s">
        <v>9594</v>
      </c>
      <c r="D3369" t="s">
        <v>2596</v>
      </c>
      <c r="E3369" t="s">
        <v>1273</v>
      </c>
      <c r="F3369" t="s">
        <v>3013</v>
      </c>
      <c r="G3369" t="s">
        <v>9598</v>
      </c>
      <c r="H3369">
        <v>6029552210</v>
      </c>
      <c r="K3369" t="s">
        <v>9599</v>
      </c>
      <c r="L3369" t="s">
        <v>9600</v>
      </c>
      <c r="M3369" t="s">
        <v>1634</v>
      </c>
    </row>
    <row r="3370" spans="1:13" x14ac:dyDescent="0.25">
      <c r="A3370">
        <v>4339</v>
      </c>
      <c r="B3370" t="s">
        <v>9593</v>
      </c>
      <c r="C3370" t="s">
        <v>9594</v>
      </c>
      <c r="D3370" t="s">
        <v>2596</v>
      </c>
      <c r="E3370" t="s">
        <v>1273</v>
      </c>
      <c r="F3370" t="s">
        <v>4073</v>
      </c>
      <c r="G3370" t="s">
        <v>9601</v>
      </c>
      <c r="H3370">
        <v>6023993016</v>
      </c>
      <c r="K3370" t="s">
        <v>9602</v>
      </c>
      <c r="M3370" t="s">
        <v>1640</v>
      </c>
    </row>
    <row r="3371" spans="1:13" x14ac:dyDescent="0.25">
      <c r="A3371">
        <v>4339</v>
      </c>
      <c r="B3371" t="s">
        <v>9593</v>
      </c>
      <c r="C3371" t="s">
        <v>9594</v>
      </c>
      <c r="D3371" t="s">
        <v>2596</v>
      </c>
      <c r="E3371" t="s">
        <v>1273</v>
      </c>
      <c r="F3371" t="s">
        <v>3013</v>
      </c>
      <c r="G3371" t="s">
        <v>9598</v>
      </c>
      <c r="H3371">
        <v>6029552210</v>
      </c>
      <c r="K3371" t="s">
        <v>9599</v>
      </c>
      <c r="L3371" t="s">
        <v>9600</v>
      </c>
      <c r="M3371" t="s">
        <v>1640</v>
      </c>
    </row>
    <row r="3372" spans="1:13" x14ac:dyDescent="0.25">
      <c r="A3372">
        <v>5513</v>
      </c>
      <c r="B3372" t="s">
        <v>9603</v>
      </c>
      <c r="C3372" t="s">
        <v>9604</v>
      </c>
      <c r="D3372" t="s">
        <v>2605</v>
      </c>
      <c r="E3372" t="s">
        <v>1273</v>
      </c>
      <c r="F3372" t="s">
        <v>2192</v>
      </c>
      <c r="G3372" t="s">
        <v>9605</v>
      </c>
      <c r="H3372">
        <v>6023819967</v>
      </c>
      <c r="M3372" t="s">
        <v>1634</v>
      </c>
    </row>
    <row r="3373" spans="1:13" x14ac:dyDescent="0.25">
      <c r="A3373">
        <v>5513</v>
      </c>
      <c r="B3373" t="s">
        <v>9603</v>
      </c>
      <c r="C3373" t="s">
        <v>9604</v>
      </c>
      <c r="D3373" t="s">
        <v>2605</v>
      </c>
      <c r="E3373" t="s">
        <v>1273</v>
      </c>
      <c r="F3373" t="s">
        <v>9595</v>
      </c>
      <c r="G3373" t="s">
        <v>9596</v>
      </c>
      <c r="K3373" t="s">
        <v>9597</v>
      </c>
      <c r="L3373" t="s">
        <v>1647</v>
      </c>
      <c r="M3373" t="s">
        <v>1634</v>
      </c>
    </row>
    <row r="3374" spans="1:13" x14ac:dyDescent="0.25">
      <c r="A3374">
        <v>4340</v>
      </c>
      <c r="B3374" t="s">
        <v>9606</v>
      </c>
      <c r="C3374" t="s">
        <v>9607</v>
      </c>
      <c r="D3374" t="s">
        <v>2596</v>
      </c>
      <c r="E3374" t="s">
        <v>1273</v>
      </c>
      <c r="F3374" t="s">
        <v>9608</v>
      </c>
      <c r="G3374" t="s">
        <v>4341</v>
      </c>
      <c r="H3374">
        <v>6023058665</v>
      </c>
      <c r="K3374" t="s">
        <v>9609</v>
      </c>
      <c r="L3374" t="s">
        <v>3124</v>
      </c>
      <c r="M3374" t="s">
        <v>1634</v>
      </c>
    </row>
    <row r="3375" spans="1:13" x14ac:dyDescent="0.25">
      <c r="A3375">
        <v>4340</v>
      </c>
      <c r="B3375" t="s">
        <v>9606</v>
      </c>
      <c r="C3375" t="s">
        <v>9607</v>
      </c>
      <c r="D3375" t="s">
        <v>2596</v>
      </c>
      <c r="E3375" t="s">
        <v>1273</v>
      </c>
      <c r="F3375" t="s">
        <v>4581</v>
      </c>
      <c r="G3375" t="s">
        <v>7936</v>
      </c>
      <c r="H3375">
        <v>6023058865</v>
      </c>
      <c r="K3375" t="s">
        <v>9610</v>
      </c>
      <c r="M3375" t="s">
        <v>1634</v>
      </c>
    </row>
    <row r="3376" spans="1:13" x14ac:dyDescent="0.25">
      <c r="A3376">
        <v>4340</v>
      </c>
      <c r="B3376" t="s">
        <v>9606</v>
      </c>
      <c r="C3376" t="s">
        <v>9607</v>
      </c>
      <c r="D3376" t="s">
        <v>2596</v>
      </c>
      <c r="E3376" t="s">
        <v>1273</v>
      </c>
      <c r="F3376" t="s">
        <v>9611</v>
      </c>
      <c r="G3376" t="s">
        <v>9612</v>
      </c>
      <c r="H3376">
        <v>6023058865</v>
      </c>
      <c r="K3376" t="s">
        <v>9613</v>
      </c>
      <c r="L3376" t="s">
        <v>9614</v>
      </c>
      <c r="M3376" t="s">
        <v>1640</v>
      </c>
    </row>
    <row r="3377" spans="1:13" x14ac:dyDescent="0.25">
      <c r="A3377">
        <v>4340</v>
      </c>
      <c r="B3377" t="s">
        <v>9606</v>
      </c>
      <c r="C3377" t="s">
        <v>9607</v>
      </c>
      <c r="D3377" t="s">
        <v>2596</v>
      </c>
      <c r="E3377" t="s">
        <v>1273</v>
      </c>
      <c r="F3377" t="s">
        <v>4581</v>
      </c>
      <c r="G3377" t="s">
        <v>7936</v>
      </c>
      <c r="H3377">
        <v>6023058865</v>
      </c>
      <c r="K3377" t="s">
        <v>9610</v>
      </c>
      <c r="M3377" t="s">
        <v>1640</v>
      </c>
    </row>
    <row r="3378" spans="1:13" x14ac:dyDescent="0.25">
      <c r="A3378">
        <v>4340</v>
      </c>
      <c r="B3378" t="s">
        <v>9606</v>
      </c>
      <c r="C3378" t="s">
        <v>9607</v>
      </c>
      <c r="D3378" t="s">
        <v>2596</v>
      </c>
      <c r="E3378" t="s">
        <v>1273</v>
      </c>
      <c r="F3378" t="s">
        <v>2499</v>
      </c>
      <c r="G3378" t="s">
        <v>9615</v>
      </c>
      <c r="H3378">
        <v>6023058865</v>
      </c>
      <c r="K3378" t="s">
        <v>9616</v>
      </c>
      <c r="L3378" t="s">
        <v>9617</v>
      </c>
      <c r="M3378" t="s">
        <v>1765</v>
      </c>
    </row>
    <row r="3379" spans="1:13" x14ac:dyDescent="0.25">
      <c r="A3379">
        <v>5515</v>
      </c>
      <c r="B3379" t="s">
        <v>9618</v>
      </c>
      <c r="C3379" t="s">
        <v>9619</v>
      </c>
      <c r="D3379" t="s">
        <v>2605</v>
      </c>
      <c r="E3379" t="s">
        <v>1273</v>
      </c>
      <c r="F3379" t="s">
        <v>8696</v>
      </c>
      <c r="G3379" t="s">
        <v>9620</v>
      </c>
      <c r="H3379">
        <v>6023058865</v>
      </c>
      <c r="K3379" t="s">
        <v>9621</v>
      </c>
      <c r="M3379" t="s">
        <v>1634</v>
      </c>
    </row>
    <row r="3380" spans="1:13" x14ac:dyDescent="0.25">
      <c r="A3380">
        <v>5515</v>
      </c>
      <c r="B3380" t="s">
        <v>9618</v>
      </c>
      <c r="C3380" t="s">
        <v>9619</v>
      </c>
      <c r="D3380" t="s">
        <v>2605</v>
      </c>
      <c r="E3380" t="s">
        <v>1273</v>
      </c>
      <c r="F3380" t="s">
        <v>2351</v>
      </c>
      <c r="G3380" t="s">
        <v>9622</v>
      </c>
      <c r="K3380" t="s">
        <v>9623</v>
      </c>
      <c r="L3380" t="s">
        <v>1640</v>
      </c>
      <c r="M3380" t="s">
        <v>1640</v>
      </c>
    </row>
    <row r="3381" spans="1:13" x14ac:dyDescent="0.25">
      <c r="A3381">
        <v>5515</v>
      </c>
      <c r="B3381" t="s">
        <v>9618</v>
      </c>
      <c r="C3381" t="s">
        <v>9619</v>
      </c>
      <c r="D3381" t="s">
        <v>2605</v>
      </c>
      <c r="E3381" t="s">
        <v>1273</v>
      </c>
      <c r="F3381" t="s">
        <v>9611</v>
      </c>
      <c r="G3381" t="s">
        <v>9612</v>
      </c>
      <c r="K3381" t="s">
        <v>9613</v>
      </c>
      <c r="M3381" t="s">
        <v>1640</v>
      </c>
    </row>
    <row r="3382" spans="1:13" x14ac:dyDescent="0.25">
      <c r="A3382">
        <v>4341</v>
      </c>
      <c r="B3382" t="s">
        <v>9624</v>
      </c>
      <c r="C3382" t="s">
        <v>9625</v>
      </c>
      <c r="D3382" t="s">
        <v>2596</v>
      </c>
      <c r="E3382" t="s">
        <v>1273</v>
      </c>
      <c r="F3382" t="s">
        <v>2330</v>
      </c>
      <c r="G3382" t="s">
        <v>9626</v>
      </c>
      <c r="J3382">
        <v>6029735510</v>
      </c>
      <c r="K3382" t="s">
        <v>9627</v>
      </c>
      <c r="L3382" t="s">
        <v>8942</v>
      </c>
      <c r="M3382" t="s">
        <v>1634</v>
      </c>
    </row>
    <row r="3383" spans="1:13" x14ac:dyDescent="0.25">
      <c r="A3383">
        <v>10752</v>
      </c>
      <c r="B3383" t="s">
        <v>9628</v>
      </c>
      <c r="C3383" t="s">
        <v>9629</v>
      </c>
      <c r="D3383" t="s">
        <v>2605</v>
      </c>
      <c r="E3383" t="s">
        <v>1273</v>
      </c>
      <c r="F3383" t="s">
        <v>3456</v>
      </c>
      <c r="G3383" t="s">
        <v>9630</v>
      </c>
      <c r="H3383">
        <v>6029738998</v>
      </c>
      <c r="J3383">
        <v>6029735510</v>
      </c>
      <c r="K3383" t="s">
        <v>9631</v>
      </c>
      <c r="M3383" t="s">
        <v>1634</v>
      </c>
    </row>
    <row r="3384" spans="1:13" x14ac:dyDescent="0.25">
      <c r="A3384">
        <v>4342</v>
      </c>
      <c r="B3384" t="s">
        <v>1563</v>
      </c>
      <c r="C3384" t="s">
        <v>9632</v>
      </c>
      <c r="D3384" t="s">
        <v>2596</v>
      </c>
      <c r="E3384" t="s">
        <v>1273</v>
      </c>
      <c r="F3384" t="s">
        <v>5079</v>
      </c>
      <c r="G3384" t="s">
        <v>1918</v>
      </c>
      <c r="J3384">
        <v>6029530831</v>
      </c>
      <c r="K3384" t="s">
        <v>9633</v>
      </c>
      <c r="L3384" t="s">
        <v>1721</v>
      </c>
      <c r="M3384" t="s">
        <v>1634</v>
      </c>
    </row>
    <row r="3385" spans="1:13" x14ac:dyDescent="0.25">
      <c r="A3385">
        <v>4342</v>
      </c>
      <c r="B3385" t="s">
        <v>1563</v>
      </c>
      <c r="C3385" t="s">
        <v>9632</v>
      </c>
      <c r="D3385" t="s">
        <v>2596</v>
      </c>
      <c r="E3385" t="s">
        <v>1273</v>
      </c>
      <c r="F3385" t="s">
        <v>9634</v>
      </c>
      <c r="G3385" t="s">
        <v>3680</v>
      </c>
      <c r="K3385" t="s">
        <v>9635</v>
      </c>
      <c r="M3385" t="s">
        <v>1634</v>
      </c>
    </row>
    <row r="3386" spans="1:13" x14ac:dyDescent="0.25">
      <c r="A3386">
        <v>4342</v>
      </c>
      <c r="B3386" t="s">
        <v>1563</v>
      </c>
      <c r="C3386" t="s">
        <v>9632</v>
      </c>
      <c r="D3386" t="s">
        <v>2596</v>
      </c>
      <c r="E3386" t="s">
        <v>1273</v>
      </c>
      <c r="F3386" t="s">
        <v>3570</v>
      </c>
      <c r="G3386" t="s">
        <v>5188</v>
      </c>
      <c r="K3386" t="s">
        <v>9636</v>
      </c>
      <c r="L3386" t="s">
        <v>9637</v>
      </c>
      <c r="M3386" t="s">
        <v>1640</v>
      </c>
    </row>
    <row r="3387" spans="1:13" x14ac:dyDescent="0.25">
      <c r="A3387">
        <v>4342</v>
      </c>
      <c r="B3387" t="s">
        <v>1563</v>
      </c>
      <c r="C3387" t="s">
        <v>9632</v>
      </c>
      <c r="D3387" t="s">
        <v>2596</v>
      </c>
      <c r="E3387" t="s">
        <v>1273</v>
      </c>
      <c r="F3387" t="s">
        <v>1848</v>
      </c>
      <c r="G3387" t="s">
        <v>2927</v>
      </c>
      <c r="K3387" t="s">
        <v>8243</v>
      </c>
      <c r="M3387" t="s">
        <v>1765</v>
      </c>
    </row>
    <row r="3388" spans="1:13" x14ac:dyDescent="0.25">
      <c r="A3388">
        <v>78899</v>
      </c>
      <c r="B3388" t="s">
        <v>1563</v>
      </c>
      <c r="C3388" t="s">
        <v>9638</v>
      </c>
      <c r="D3388" t="s">
        <v>2605</v>
      </c>
      <c r="E3388" t="s">
        <v>1273</v>
      </c>
      <c r="F3388" t="s">
        <v>3945</v>
      </c>
      <c r="G3388" t="s">
        <v>8722</v>
      </c>
      <c r="K3388" t="s">
        <v>8723</v>
      </c>
      <c r="M3388" t="s">
        <v>1634</v>
      </c>
    </row>
    <row r="3389" spans="1:13" x14ac:dyDescent="0.25">
      <c r="A3389">
        <v>78899</v>
      </c>
      <c r="B3389" t="s">
        <v>1563</v>
      </c>
      <c r="C3389" t="s">
        <v>9638</v>
      </c>
      <c r="D3389" t="s">
        <v>2605</v>
      </c>
      <c r="E3389" t="s">
        <v>1273</v>
      </c>
      <c r="F3389" t="s">
        <v>3570</v>
      </c>
      <c r="G3389" t="s">
        <v>5188</v>
      </c>
      <c r="K3389" t="s">
        <v>8727</v>
      </c>
      <c r="M3389" t="s">
        <v>1640</v>
      </c>
    </row>
    <row r="3390" spans="1:13" x14ac:dyDescent="0.25">
      <c r="A3390">
        <v>78899</v>
      </c>
      <c r="B3390" t="s">
        <v>1563</v>
      </c>
      <c r="C3390" t="s">
        <v>9638</v>
      </c>
      <c r="D3390" t="s">
        <v>2605</v>
      </c>
      <c r="E3390" t="s">
        <v>1273</v>
      </c>
      <c r="F3390" t="s">
        <v>2053</v>
      </c>
      <c r="G3390" t="s">
        <v>6310</v>
      </c>
      <c r="K3390" t="s">
        <v>9120</v>
      </c>
      <c r="L3390" t="s">
        <v>8731</v>
      </c>
      <c r="M3390" t="s">
        <v>1765</v>
      </c>
    </row>
    <row r="3391" spans="1:13" x14ac:dyDescent="0.25">
      <c r="A3391">
        <v>92246</v>
      </c>
      <c r="B3391" t="s">
        <v>1564</v>
      </c>
      <c r="C3391" t="s">
        <v>9639</v>
      </c>
      <c r="D3391" t="s">
        <v>2605</v>
      </c>
      <c r="E3391" t="s">
        <v>1273</v>
      </c>
      <c r="F3391" t="s">
        <v>9097</v>
      </c>
      <c r="G3391" t="s">
        <v>4267</v>
      </c>
      <c r="K3391" t="s">
        <v>9640</v>
      </c>
      <c r="M3391" t="s">
        <v>1634</v>
      </c>
    </row>
    <row r="3392" spans="1:13" x14ac:dyDescent="0.25">
      <c r="A3392">
        <v>92246</v>
      </c>
      <c r="B3392" t="s">
        <v>1564</v>
      </c>
      <c r="C3392" t="s">
        <v>9639</v>
      </c>
      <c r="D3392" t="s">
        <v>2605</v>
      </c>
      <c r="E3392" t="s">
        <v>1273</v>
      </c>
      <c r="F3392" t="s">
        <v>9634</v>
      </c>
      <c r="G3392" t="s">
        <v>3680</v>
      </c>
      <c r="K3392" t="s">
        <v>9641</v>
      </c>
      <c r="M3392" t="s">
        <v>1634</v>
      </c>
    </row>
    <row r="3393" spans="1:13" x14ac:dyDescent="0.25">
      <c r="A3393">
        <v>92246</v>
      </c>
      <c r="B3393" t="s">
        <v>1564</v>
      </c>
      <c r="C3393" t="s">
        <v>9639</v>
      </c>
      <c r="D3393" t="s">
        <v>2605</v>
      </c>
      <c r="E3393" t="s">
        <v>1273</v>
      </c>
      <c r="F3393" t="s">
        <v>2156</v>
      </c>
      <c r="G3393" t="s">
        <v>2287</v>
      </c>
      <c r="K3393" t="s">
        <v>9642</v>
      </c>
      <c r="M3393" t="s">
        <v>1634</v>
      </c>
    </row>
    <row r="3394" spans="1:13" x14ac:dyDescent="0.25">
      <c r="A3394">
        <v>92246</v>
      </c>
      <c r="B3394" t="s">
        <v>1564</v>
      </c>
      <c r="C3394" t="s">
        <v>9639</v>
      </c>
      <c r="D3394" t="s">
        <v>2605</v>
      </c>
      <c r="E3394" t="s">
        <v>1273</v>
      </c>
      <c r="F3394" t="s">
        <v>2053</v>
      </c>
      <c r="G3394" t="s">
        <v>6310</v>
      </c>
      <c r="K3394" t="s">
        <v>8246</v>
      </c>
      <c r="M3394" t="s">
        <v>1634</v>
      </c>
    </row>
    <row r="3395" spans="1:13" x14ac:dyDescent="0.25">
      <c r="A3395">
        <v>4345</v>
      </c>
      <c r="B3395" t="s">
        <v>9643</v>
      </c>
      <c r="C3395" t="s">
        <v>9644</v>
      </c>
      <c r="D3395" t="s">
        <v>2596</v>
      </c>
      <c r="E3395" t="s">
        <v>1273</v>
      </c>
      <c r="F3395" t="s">
        <v>2894</v>
      </c>
      <c r="G3395" t="s">
        <v>9645</v>
      </c>
      <c r="H3395">
        <v>6022571444</v>
      </c>
      <c r="J3395">
        <v>6022527795</v>
      </c>
      <c r="K3395" t="s">
        <v>9646</v>
      </c>
      <c r="L3395" t="s">
        <v>1668</v>
      </c>
      <c r="M3395" t="s">
        <v>1634</v>
      </c>
    </row>
    <row r="3396" spans="1:13" x14ac:dyDescent="0.25">
      <c r="A3396">
        <v>4345</v>
      </c>
      <c r="B3396" t="s">
        <v>9643</v>
      </c>
      <c r="C3396" t="s">
        <v>9644</v>
      </c>
      <c r="D3396" t="s">
        <v>2596</v>
      </c>
      <c r="E3396" t="s">
        <v>1273</v>
      </c>
      <c r="F3396" t="s">
        <v>2894</v>
      </c>
      <c r="G3396" t="s">
        <v>9645</v>
      </c>
      <c r="H3396">
        <v>6022571444</v>
      </c>
      <c r="J3396">
        <v>6022527795</v>
      </c>
      <c r="K3396" t="s">
        <v>9646</v>
      </c>
      <c r="L3396" t="s">
        <v>1668</v>
      </c>
      <c r="M3396" t="s">
        <v>1640</v>
      </c>
    </row>
    <row r="3397" spans="1:13" x14ac:dyDescent="0.25">
      <c r="A3397">
        <v>4345</v>
      </c>
      <c r="B3397" t="s">
        <v>9643</v>
      </c>
      <c r="C3397" t="s">
        <v>9644</v>
      </c>
      <c r="D3397" t="s">
        <v>2596</v>
      </c>
      <c r="E3397" t="s">
        <v>1273</v>
      </c>
      <c r="F3397" t="s">
        <v>4799</v>
      </c>
      <c r="G3397" t="s">
        <v>5142</v>
      </c>
      <c r="I3397">
        <v>4359</v>
      </c>
      <c r="K3397" t="s">
        <v>9647</v>
      </c>
      <c r="M3397" t="s">
        <v>1640</v>
      </c>
    </row>
    <row r="3398" spans="1:13" x14ac:dyDescent="0.25">
      <c r="A3398">
        <v>5519</v>
      </c>
      <c r="B3398" t="s">
        <v>9643</v>
      </c>
      <c r="C3398" t="s">
        <v>9648</v>
      </c>
      <c r="D3398" t="s">
        <v>2605</v>
      </c>
      <c r="E3398" t="s">
        <v>1273</v>
      </c>
    </row>
    <row r="3399" spans="1:13" x14ac:dyDescent="0.25">
      <c r="A3399">
        <v>4346</v>
      </c>
      <c r="B3399" t="s">
        <v>9649</v>
      </c>
      <c r="C3399" t="s">
        <v>9650</v>
      </c>
      <c r="D3399" t="s">
        <v>2596</v>
      </c>
      <c r="E3399" t="s">
        <v>1273</v>
      </c>
      <c r="F3399" t="s">
        <v>9651</v>
      </c>
      <c r="G3399" t="s">
        <v>9652</v>
      </c>
      <c r="I3399">
        <v>209</v>
      </c>
      <c r="J3399">
        <v>6022522952</v>
      </c>
      <c r="K3399" t="s">
        <v>9653</v>
      </c>
      <c r="L3399" t="s">
        <v>2404</v>
      </c>
      <c r="M3399" t="s">
        <v>1634</v>
      </c>
    </row>
    <row r="3400" spans="1:13" x14ac:dyDescent="0.25">
      <c r="A3400">
        <v>4346</v>
      </c>
      <c r="B3400" t="s">
        <v>9649</v>
      </c>
      <c r="C3400" t="s">
        <v>9650</v>
      </c>
      <c r="D3400" t="s">
        <v>2596</v>
      </c>
      <c r="E3400" t="s">
        <v>1273</v>
      </c>
      <c r="F3400" t="s">
        <v>9654</v>
      </c>
      <c r="G3400" t="s">
        <v>9655</v>
      </c>
      <c r="H3400">
        <v>6022526721</v>
      </c>
      <c r="J3400">
        <v>6022522953</v>
      </c>
      <c r="K3400" t="s">
        <v>9656</v>
      </c>
      <c r="L3400" t="s">
        <v>1668</v>
      </c>
      <c r="M3400" t="s">
        <v>1634</v>
      </c>
    </row>
    <row r="3401" spans="1:13" x14ac:dyDescent="0.25">
      <c r="A3401">
        <v>4346</v>
      </c>
      <c r="B3401" t="s">
        <v>9649</v>
      </c>
      <c r="C3401" t="s">
        <v>9650</v>
      </c>
      <c r="D3401" t="s">
        <v>2596</v>
      </c>
      <c r="E3401" t="s">
        <v>1273</v>
      </c>
      <c r="F3401" t="s">
        <v>9657</v>
      </c>
      <c r="G3401" t="s">
        <v>9658</v>
      </c>
      <c r="H3401">
        <v>6022526721</v>
      </c>
      <c r="I3401">
        <v>236</v>
      </c>
      <c r="K3401" t="s">
        <v>9659</v>
      </c>
      <c r="L3401" t="s">
        <v>9660</v>
      </c>
      <c r="M3401" t="s">
        <v>1640</v>
      </c>
    </row>
    <row r="3402" spans="1:13" x14ac:dyDescent="0.25">
      <c r="A3402">
        <v>4346</v>
      </c>
      <c r="B3402" t="s">
        <v>9649</v>
      </c>
      <c r="C3402" t="s">
        <v>9650</v>
      </c>
      <c r="D3402" t="s">
        <v>2596</v>
      </c>
      <c r="E3402" t="s">
        <v>1273</v>
      </c>
      <c r="F3402" t="s">
        <v>1775</v>
      </c>
      <c r="G3402" t="s">
        <v>7172</v>
      </c>
      <c r="H3402">
        <v>6022526721</v>
      </c>
      <c r="K3402" t="s">
        <v>9661</v>
      </c>
      <c r="M3402" t="s">
        <v>1640</v>
      </c>
    </row>
    <row r="3403" spans="1:13" x14ac:dyDescent="0.25">
      <c r="A3403">
        <v>5520</v>
      </c>
      <c r="B3403" t="s">
        <v>9662</v>
      </c>
      <c r="C3403" t="s">
        <v>9663</v>
      </c>
      <c r="D3403" t="s">
        <v>2605</v>
      </c>
      <c r="E3403" t="s">
        <v>1273</v>
      </c>
      <c r="F3403" t="s">
        <v>9654</v>
      </c>
      <c r="G3403" t="s">
        <v>9655</v>
      </c>
      <c r="K3403" t="s">
        <v>9664</v>
      </c>
      <c r="M3403" t="s">
        <v>1634</v>
      </c>
    </row>
    <row r="3404" spans="1:13" x14ac:dyDescent="0.25">
      <c r="A3404">
        <v>4347</v>
      </c>
      <c r="B3404" t="s">
        <v>9665</v>
      </c>
      <c r="C3404" t="s">
        <v>9666</v>
      </c>
      <c r="D3404" t="s">
        <v>2596</v>
      </c>
      <c r="E3404" t="s">
        <v>1273</v>
      </c>
      <c r="F3404" t="s">
        <v>3057</v>
      </c>
      <c r="G3404" t="s">
        <v>9667</v>
      </c>
      <c r="H3404">
        <v>4806321940</v>
      </c>
      <c r="J3404">
        <v>4806321398</v>
      </c>
      <c r="K3404" t="s">
        <v>9668</v>
      </c>
      <c r="L3404" t="s">
        <v>9277</v>
      </c>
      <c r="M3404" t="s">
        <v>1634</v>
      </c>
    </row>
    <row r="3405" spans="1:13" x14ac:dyDescent="0.25">
      <c r="A3405">
        <v>4347</v>
      </c>
      <c r="B3405" t="s">
        <v>9665</v>
      </c>
      <c r="C3405" t="s">
        <v>9666</v>
      </c>
      <c r="D3405" t="s">
        <v>2596</v>
      </c>
      <c r="E3405" t="s">
        <v>1273</v>
      </c>
      <c r="F3405" t="s">
        <v>1973</v>
      </c>
      <c r="G3405" t="s">
        <v>8709</v>
      </c>
      <c r="H3405">
        <v>4806321940</v>
      </c>
      <c r="K3405" t="s">
        <v>9669</v>
      </c>
      <c r="L3405" t="s">
        <v>9670</v>
      </c>
      <c r="M3405" t="s">
        <v>1634</v>
      </c>
    </row>
    <row r="3406" spans="1:13" x14ac:dyDescent="0.25">
      <c r="A3406">
        <v>4347</v>
      </c>
      <c r="B3406" t="s">
        <v>9665</v>
      </c>
      <c r="C3406" t="s">
        <v>9666</v>
      </c>
      <c r="D3406" t="s">
        <v>2596</v>
      </c>
      <c r="E3406" t="s">
        <v>1273</v>
      </c>
      <c r="F3406" t="s">
        <v>3057</v>
      </c>
      <c r="G3406" t="s">
        <v>9667</v>
      </c>
      <c r="H3406">
        <v>4806321940</v>
      </c>
      <c r="J3406">
        <v>4806321398</v>
      </c>
      <c r="K3406" t="s">
        <v>9668</v>
      </c>
      <c r="L3406" t="s">
        <v>9277</v>
      </c>
      <c r="M3406" t="s">
        <v>1640</v>
      </c>
    </row>
    <row r="3407" spans="1:13" x14ac:dyDescent="0.25">
      <c r="A3407">
        <v>4347</v>
      </c>
      <c r="B3407" t="s">
        <v>9665</v>
      </c>
      <c r="C3407" t="s">
        <v>9666</v>
      </c>
      <c r="D3407" t="s">
        <v>2596</v>
      </c>
      <c r="E3407" t="s">
        <v>1273</v>
      </c>
      <c r="F3407" t="s">
        <v>1973</v>
      </c>
      <c r="G3407" t="s">
        <v>8709</v>
      </c>
      <c r="H3407">
        <v>4806321940</v>
      </c>
      <c r="K3407" t="s">
        <v>9669</v>
      </c>
      <c r="L3407" t="s">
        <v>9670</v>
      </c>
      <c r="M3407" t="s">
        <v>1765</v>
      </c>
    </row>
    <row r="3408" spans="1:13" x14ac:dyDescent="0.25">
      <c r="A3408">
        <v>5521</v>
      </c>
      <c r="B3408" t="s">
        <v>9671</v>
      </c>
      <c r="C3408" t="s">
        <v>9672</v>
      </c>
      <c r="D3408" t="s">
        <v>2605</v>
      </c>
      <c r="E3408" t="s">
        <v>1273</v>
      </c>
      <c r="F3408" t="s">
        <v>3057</v>
      </c>
      <c r="G3408" t="s">
        <v>9667</v>
      </c>
      <c r="H3408">
        <v>4806321940</v>
      </c>
      <c r="J3408">
        <v>4806321398</v>
      </c>
      <c r="K3408" t="s">
        <v>9668</v>
      </c>
      <c r="M3408" t="s">
        <v>1634</v>
      </c>
    </row>
    <row r="3409" spans="1:13" x14ac:dyDescent="0.25">
      <c r="A3409">
        <v>4348</v>
      </c>
      <c r="B3409" t="s">
        <v>9673</v>
      </c>
      <c r="C3409" t="s">
        <v>9674</v>
      </c>
      <c r="D3409" t="s">
        <v>2596</v>
      </c>
      <c r="E3409" t="s">
        <v>1273</v>
      </c>
      <c r="F3409" t="s">
        <v>9675</v>
      </c>
      <c r="G3409" t="s">
        <v>9676</v>
      </c>
      <c r="H3409">
        <v>4804202101</v>
      </c>
      <c r="K3409" t="s">
        <v>9677</v>
      </c>
      <c r="L3409" t="s">
        <v>3124</v>
      </c>
      <c r="M3409" t="s">
        <v>1634</v>
      </c>
    </row>
    <row r="3410" spans="1:13" x14ac:dyDescent="0.25">
      <c r="A3410">
        <v>4348</v>
      </c>
      <c r="B3410" t="s">
        <v>9673</v>
      </c>
      <c r="C3410" t="s">
        <v>9674</v>
      </c>
      <c r="D3410" t="s">
        <v>2596</v>
      </c>
      <c r="E3410" t="s">
        <v>1273</v>
      </c>
      <c r="F3410" t="s">
        <v>3692</v>
      </c>
      <c r="G3410" t="s">
        <v>8020</v>
      </c>
      <c r="K3410" t="s">
        <v>9678</v>
      </c>
      <c r="M3410" t="s">
        <v>1634</v>
      </c>
    </row>
    <row r="3411" spans="1:13" x14ac:dyDescent="0.25">
      <c r="A3411">
        <v>4348</v>
      </c>
      <c r="B3411" t="s">
        <v>9673</v>
      </c>
      <c r="C3411" t="s">
        <v>9674</v>
      </c>
      <c r="D3411" t="s">
        <v>2596</v>
      </c>
      <c r="E3411" t="s">
        <v>1273</v>
      </c>
      <c r="F3411" t="s">
        <v>9679</v>
      </c>
      <c r="G3411" t="s">
        <v>9680</v>
      </c>
      <c r="K3411" t="s">
        <v>9681</v>
      </c>
      <c r="L3411" t="s">
        <v>1664</v>
      </c>
      <c r="M3411" t="s">
        <v>1634</v>
      </c>
    </row>
    <row r="3412" spans="1:13" x14ac:dyDescent="0.25">
      <c r="A3412">
        <v>4348</v>
      </c>
      <c r="B3412" t="s">
        <v>9673</v>
      </c>
      <c r="C3412" t="s">
        <v>9674</v>
      </c>
      <c r="D3412" t="s">
        <v>2596</v>
      </c>
      <c r="E3412" t="s">
        <v>1273</v>
      </c>
      <c r="F3412" t="s">
        <v>2046</v>
      </c>
      <c r="G3412" t="s">
        <v>2223</v>
      </c>
      <c r="H3412">
        <v>4804202101</v>
      </c>
      <c r="K3412" t="s">
        <v>9682</v>
      </c>
      <c r="L3412" t="s">
        <v>1640</v>
      </c>
      <c r="M3412" t="s">
        <v>1640</v>
      </c>
    </row>
    <row r="3413" spans="1:13" x14ac:dyDescent="0.25">
      <c r="A3413">
        <v>5522</v>
      </c>
      <c r="B3413" t="s">
        <v>9683</v>
      </c>
      <c r="C3413" t="s">
        <v>9684</v>
      </c>
      <c r="D3413" t="s">
        <v>2605</v>
      </c>
      <c r="E3413" t="s">
        <v>1273</v>
      </c>
      <c r="F3413" t="s">
        <v>2851</v>
      </c>
      <c r="G3413" t="s">
        <v>2571</v>
      </c>
      <c r="L3413" t="s">
        <v>1647</v>
      </c>
      <c r="M3413" t="s">
        <v>1634</v>
      </c>
    </row>
    <row r="3414" spans="1:13" x14ac:dyDescent="0.25">
      <c r="A3414">
        <v>90769</v>
      </c>
      <c r="B3414" t="s">
        <v>9685</v>
      </c>
      <c r="C3414" t="s">
        <v>9686</v>
      </c>
      <c r="D3414" t="s">
        <v>2605</v>
      </c>
      <c r="E3414" t="s">
        <v>1273</v>
      </c>
      <c r="F3414" t="s">
        <v>9687</v>
      </c>
      <c r="G3414" t="s">
        <v>3985</v>
      </c>
      <c r="H3414">
        <v>4809874500</v>
      </c>
      <c r="J3414">
        <v>4808821330</v>
      </c>
      <c r="K3414" t="s">
        <v>9688</v>
      </c>
      <c r="L3414" t="s">
        <v>9689</v>
      </c>
      <c r="M3414" t="s">
        <v>1634</v>
      </c>
    </row>
    <row r="3415" spans="1:13" x14ac:dyDescent="0.25">
      <c r="A3415">
        <v>91173</v>
      </c>
      <c r="B3415" t="s">
        <v>9690</v>
      </c>
      <c r="C3415" t="s">
        <v>9691</v>
      </c>
      <c r="D3415" t="s">
        <v>2605</v>
      </c>
      <c r="E3415" t="s">
        <v>1273</v>
      </c>
      <c r="F3415" t="s">
        <v>3345</v>
      </c>
      <c r="G3415" t="s">
        <v>9692</v>
      </c>
      <c r="H3415">
        <v>4804202100</v>
      </c>
      <c r="J3415">
        <v>4808880881</v>
      </c>
      <c r="K3415" t="s">
        <v>9693</v>
      </c>
      <c r="L3415" t="s">
        <v>9694</v>
      </c>
      <c r="M3415" t="s">
        <v>1634</v>
      </c>
    </row>
    <row r="3416" spans="1:13" x14ac:dyDescent="0.25">
      <c r="A3416">
        <v>91778</v>
      </c>
      <c r="B3416" t="s">
        <v>9695</v>
      </c>
      <c r="C3416" t="s">
        <v>9696</v>
      </c>
      <c r="D3416" t="s">
        <v>2605</v>
      </c>
      <c r="E3416" t="s">
        <v>1273</v>
      </c>
      <c r="F3416" t="s">
        <v>3692</v>
      </c>
      <c r="G3416" t="s">
        <v>9697</v>
      </c>
      <c r="K3416" t="s">
        <v>9698</v>
      </c>
      <c r="M3416" t="s">
        <v>1634</v>
      </c>
    </row>
    <row r="3417" spans="1:13" x14ac:dyDescent="0.25">
      <c r="A3417">
        <v>91778</v>
      </c>
      <c r="B3417" t="s">
        <v>9695</v>
      </c>
      <c r="C3417" t="s">
        <v>9696</v>
      </c>
      <c r="D3417" t="s">
        <v>2605</v>
      </c>
      <c r="E3417" t="s">
        <v>1273</v>
      </c>
      <c r="F3417" t="s">
        <v>3303</v>
      </c>
      <c r="G3417" t="s">
        <v>9699</v>
      </c>
      <c r="H3417">
        <v>4804202110</v>
      </c>
      <c r="J3417">
        <v>4804202109</v>
      </c>
      <c r="K3417" t="s">
        <v>9700</v>
      </c>
      <c r="L3417" t="s">
        <v>3528</v>
      </c>
      <c r="M3417" t="s">
        <v>1634</v>
      </c>
    </row>
    <row r="3418" spans="1:13" x14ac:dyDescent="0.25">
      <c r="A3418">
        <v>91778</v>
      </c>
      <c r="B3418" t="s">
        <v>9695</v>
      </c>
      <c r="C3418" t="s">
        <v>9696</v>
      </c>
      <c r="D3418" t="s">
        <v>2605</v>
      </c>
      <c r="E3418" t="s">
        <v>1273</v>
      </c>
      <c r="F3418" t="s">
        <v>1690</v>
      </c>
      <c r="G3418" t="s">
        <v>1960</v>
      </c>
      <c r="K3418" t="s">
        <v>9701</v>
      </c>
      <c r="M3418" t="s">
        <v>1640</v>
      </c>
    </row>
    <row r="3419" spans="1:13" x14ac:dyDescent="0.25">
      <c r="A3419">
        <v>92348</v>
      </c>
      <c r="B3419" t="s">
        <v>9702</v>
      </c>
      <c r="C3419" t="s">
        <v>9703</v>
      </c>
      <c r="D3419" t="s">
        <v>2605</v>
      </c>
      <c r="E3419" t="s">
        <v>7934</v>
      </c>
      <c r="F3419" t="s">
        <v>7051</v>
      </c>
      <c r="G3419" t="s">
        <v>9704</v>
      </c>
      <c r="H3419">
        <v>4803449800</v>
      </c>
      <c r="J3419">
        <v>5205185245</v>
      </c>
      <c r="K3419" t="s">
        <v>9705</v>
      </c>
      <c r="L3419" t="s">
        <v>3528</v>
      </c>
      <c r="M3419" t="s">
        <v>1634</v>
      </c>
    </row>
    <row r="3420" spans="1:13" x14ac:dyDescent="0.25">
      <c r="A3420">
        <v>92885</v>
      </c>
      <c r="B3420" t="s">
        <v>9706</v>
      </c>
      <c r="C3420" t="s">
        <v>9707</v>
      </c>
      <c r="D3420" t="s">
        <v>2605</v>
      </c>
      <c r="E3420" t="s">
        <v>1273</v>
      </c>
      <c r="F3420" t="s">
        <v>3910</v>
      </c>
      <c r="G3420" t="s">
        <v>9708</v>
      </c>
      <c r="K3420" t="s">
        <v>9709</v>
      </c>
      <c r="L3420" t="s">
        <v>9710</v>
      </c>
      <c r="M3420" t="s">
        <v>1634</v>
      </c>
    </row>
    <row r="3421" spans="1:13" x14ac:dyDescent="0.25">
      <c r="A3421">
        <v>865358</v>
      </c>
      <c r="B3421" t="s">
        <v>9711</v>
      </c>
      <c r="C3421" t="s">
        <v>9712</v>
      </c>
      <c r="D3421" t="s">
        <v>2605</v>
      </c>
      <c r="E3421" t="s">
        <v>1273</v>
      </c>
    </row>
    <row r="3422" spans="1:13" x14ac:dyDescent="0.25">
      <c r="A3422">
        <v>509281</v>
      </c>
      <c r="B3422" t="s">
        <v>9713</v>
      </c>
      <c r="C3422" t="s">
        <v>9714</v>
      </c>
      <c r="D3422" t="s">
        <v>2605</v>
      </c>
      <c r="E3422" t="s">
        <v>1273</v>
      </c>
    </row>
    <row r="3423" spans="1:13" x14ac:dyDescent="0.25">
      <c r="A3423">
        <v>242454</v>
      </c>
      <c r="B3423" t="s">
        <v>9715</v>
      </c>
      <c r="C3423" t="s">
        <v>9716</v>
      </c>
      <c r="D3423" t="s">
        <v>2605</v>
      </c>
      <c r="E3423" t="s">
        <v>1273</v>
      </c>
    </row>
    <row r="3424" spans="1:13" x14ac:dyDescent="0.25">
      <c r="A3424">
        <v>81001</v>
      </c>
      <c r="B3424" t="s">
        <v>9717</v>
      </c>
      <c r="C3424" t="s">
        <v>9718</v>
      </c>
      <c r="D3424" t="s">
        <v>2596</v>
      </c>
      <c r="E3424" t="s">
        <v>1273</v>
      </c>
      <c r="F3424" t="s">
        <v>9719</v>
      </c>
      <c r="G3424" t="s">
        <v>9720</v>
      </c>
      <c r="H3424">
        <v>4807558222</v>
      </c>
      <c r="I3424">
        <v>4471</v>
      </c>
      <c r="K3424" t="s">
        <v>9721</v>
      </c>
      <c r="L3424" t="s">
        <v>9722</v>
      </c>
      <c r="M3424" t="s">
        <v>1640</v>
      </c>
    </row>
    <row r="3425" spans="1:13" x14ac:dyDescent="0.25">
      <c r="A3425">
        <v>5463</v>
      </c>
      <c r="B3425" t="s">
        <v>9723</v>
      </c>
      <c r="C3425" t="s">
        <v>9724</v>
      </c>
      <c r="D3425" t="s">
        <v>2605</v>
      </c>
      <c r="E3425" t="s">
        <v>1273</v>
      </c>
      <c r="F3425" t="s">
        <v>9719</v>
      </c>
      <c r="G3425" t="s">
        <v>9720</v>
      </c>
      <c r="H3425">
        <v>4807558222</v>
      </c>
      <c r="I3425">
        <v>4471</v>
      </c>
      <c r="K3425" t="s">
        <v>9721</v>
      </c>
      <c r="L3425" t="s">
        <v>9722</v>
      </c>
      <c r="M3425" t="s">
        <v>1634</v>
      </c>
    </row>
    <row r="3426" spans="1:13" x14ac:dyDescent="0.25">
      <c r="A3426">
        <v>5463</v>
      </c>
      <c r="B3426" t="s">
        <v>9723</v>
      </c>
      <c r="C3426" t="s">
        <v>9724</v>
      </c>
      <c r="D3426" t="s">
        <v>2605</v>
      </c>
      <c r="E3426" t="s">
        <v>1273</v>
      </c>
      <c r="F3426" t="s">
        <v>9725</v>
      </c>
      <c r="G3426" t="s">
        <v>9726</v>
      </c>
      <c r="H3426" t="s">
        <v>9727</v>
      </c>
      <c r="K3426" t="s">
        <v>9728</v>
      </c>
      <c r="M3426" t="s">
        <v>1634</v>
      </c>
    </row>
    <row r="3427" spans="1:13" x14ac:dyDescent="0.25">
      <c r="A3427">
        <v>5463</v>
      </c>
      <c r="B3427" t="s">
        <v>9723</v>
      </c>
      <c r="C3427" t="s">
        <v>9724</v>
      </c>
      <c r="D3427" t="s">
        <v>2605</v>
      </c>
      <c r="E3427" t="s">
        <v>1273</v>
      </c>
      <c r="F3427" t="s">
        <v>9719</v>
      </c>
      <c r="G3427" t="s">
        <v>9720</v>
      </c>
      <c r="H3427">
        <v>4807558222</v>
      </c>
      <c r="I3427">
        <v>4471</v>
      </c>
      <c r="K3427" t="s">
        <v>9721</v>
      </c>
      <c r="L3427" t="s">
        <v>9722</v>
      </c>
      <c r="M3427" t="s">
        <v>1640</v>
      </c>
    </row>
    <row r="3428" spans="1:13" x14ac:dyDescent="0.25">
      <c r="A3428">
        <v>81180</v>
      </c>
      <c r="B3428" t="s">
        <v>9729</v>
      </c>
      <c r="C3428" t="s">
        <v>9730</v>
      </c>
      <c r="D3428" t="s">
        <v>2605</v>
      </c>
      <c r="E3428" t="s">
        <v>1273</v>
      </c>
      <c r="F3428" t="s">
        <v>9719</v>
      </c>
      <c r="G3428" t="s">
        <v>9720</v>
      </c>
      <c r="H3428">
        <v>4807558222</v>
      </c>
      <c r="I3428">
        <v>4471</v>
      </c>
      <c r="K3428" t="s">
        <v>9721</v>
      </c>
      <c r="L3428" t="s">
        <v>9722</v>
      </c>
      <c r="M3428" t="s">
        <v>1640</v>
      </c>
    </row>
    <row r="3429" spans="1:13" x14ac:dyDescent="0.25">
      <c r="A3429">
        <v>81033</v>
      </c>
      <c r="B3429" t="s">
        <v>9731</v>
      </c>
      <c r="C3429" t="s">
        <v>9732</v>
      </c>
      <c r="D3429" t="s">
        <v>2596</v>
      </c>
      <c r="E3429" t="s">
        <v>1273</v>
      </c>
      <c r="F3429" t="s">
        <v>1931</v>
      </c>
      <c r="G3429" t="s">
        <v>2210</v>
      </c>
      <c r="H3429">
        <v>6029930436</v>
      </c>
      <c r="J3429">
        <v>6029930506</v>
      </c>
      <c r="K3429" t="s">
        <v>9733</v>
      </c>
      <c r="L3429" t="s">
        <v>8770</v>
      </c>
      <c r="M3429" t="s">
        <v>1634</v>
      </c>
    </row>
    <row r="3430" spans="1:13" x14ac:dyDescent="0.25">
      <c r="A3430">
        <v>90825</v>
      </c>
      <c r="B3430" t="s">
        <v>9734</v>
      </c>
      <c r="C3430" t="s">
        <v>9735</v>
      </c>
      <c r="D3430" t="s">
        <v>2605</v>
      </c>
      <c r="E3430" t="s">
        <v>1273</v>
      </c>
      <c r="F3430" t="s">
        <v>1931</v>
      </c>
      <c r="G3430" t="s">
        <v>2210</v>
      </c>
      <c r="H3430">
        <v>6029930436</v>
      </c>
      <c r="J3430">
        <v>6029930506</v>
      </c>
      <c r="K3430" t="s">
        <v>9733</v>
      </c>
      <c r="L3430" t="s">
        <v>9736</v>
      </c>
      <c r="M3430" t="s">
        <v>1634</v>
      </c>
    </row>
    <row r="3431" spans="1:13" x14ac:dyDescent="0.25">
      <c r="A3431">
        <v>81078</v>
      </c>
      <c r="B3431" t="s">
        <v>3049</v>
      </c>
      <c r="C3431" t="s">
        <v>9737</v>
      </c>
      <c r="D3431" t="s">
        <v>2596</v>
      </c>
      <c r="E3431" t="s">
        <v>1273</v>
      </c>
      <c r="F3431" t="s">
        <v>3057</v>
      </c>
      <c r="G3431" t="s">
        <v>2969</v>
      </c>
      <c r="H3431">
        <v>4802892088</v>
      </c>
      <c r="K3431" t="s">
        <v>3058</v>
      </c>
      <c r="M3431" t="s">
        <v>1634</v>
      </c>
    </row>
    <row r="3432" spans="1:13" x14ac:dyDescent="0.25">
      <c r="A3432">
        <v>81078</v>
      </c>
      <c r="B3432" t="s">
        <v>3049</v>
      </c>
      <c r="C3432" t="s">
        <v>9737</v>
      </c>
      <c r="D3432" t="s">
        <v>2596</v>
      </c>
      <c r="E3432" t="s">
        <v>1273</v>
      </c>
      <c r="F3432" t="s">
        <v>1848</v>
      </c>
      <c r="G3432" t="s">
        <v>3060</v>
      </c>
      <c r="K3432" t="s">
        <v>3061</v>
      </c>
      <c r="L3432" t="s">
        <v>3062</v>
      </c>
      <c r="M3432" t="s">
        <v>1634</v>
      </c>
    </row>
    <row r="3433" spans="1:13" x14ac:dyDescent="0.25">
      <c r="A3433">
        <v>81078</v>
      </c>
      <c r="B3433" t="s">
        <v>3049</v>
      </c>
      <c r="C3433" t="s">
        <v>9737</v>
      </c>
      <c r="D3433" t="s">
        <v>2596</v>
      </c>
      <c r="E3433" t="s">
        <v>1273</v>
      </c>
      <c r="F3433" t="s">
        <v>2261</v>
      </c>
      <c r="G3433" t="s">
        <v>3063</v>
      </c>
      <c r="K3433" t="s">
        <v>3064</v>
      </c>
      <c r="L3433" t="s">
        <v>3065</v>
      </c>
      <c r="M3433" t="s">
        <v>1634</v>
      </c>
    </row>
    <row r="3434" spans="1:13" x14ac:dyDescent="0.25">
      <c r="A3434">
        <v>81079</v>
      </c>
      <c r="B3434" t="s">
        <v>9738</v>
      </c>
      <c r="C3434" t="s">
        <v>9739</v>
      </c>
      <c r="D3434" t="s">
        <v>2605</v>
      </c>
      <c r="E3434" t="s">
        <v>1273</v>
      </c>
      <c r="F3434" t="s">
        <v>4799</v>
      </c>
      <c r="G3434" t="s">
        <v>9740</v>
      </c>
      <c r="H3434">
        <v>4804517500</v>
      </c>
      <c r="J3434">
        <v>4804514555</v>
      </c>
      <c r="K3434" t="s">
        <v>9741</v>
      </c>
      <c r="L3434" t="s">
        <v>9742</v>
      </c>
      <c r="M3434" t="s">
        <v>1634</v>
      </c>
    </row>
    <row r="3435" spans="1:13" x14ac:dyDescent="0.25">
      <c r="A3435">
        <v>81079</v>
      </c>
      <c r="B3435" t="s">
        <v>9738</v>
      </c>
      <c r="C3435" t="s">
        <v>9739</v>
      </c>
      <c r="D3435" t="s">
        <v>2605</v>
      </c>
      <c r="E3435" t="s">
        <v>1273</v>
      </c>
      <c r="F3435" t="s">
        <v>9743</v>
      </c>
      <c r="G3435" t="s">
        <v>9744</v>
      </c>
      <c r="H3435">
        <v>4804517500</v>
      </c>
      <c r="J3435">
        <v>4804514555</v>
      </c>
      <c r="K3435" t="s">
        <v>9745</v>
      </c>
      <c r="L3435" t="s">
        <v>8942</v>
      </c>
      <c r="M3435" t="s">
        <v>1634</v>
      </c>
    </row>
    <row r="3436" spans="1:13" x14ac:dyDescent="0.25">
      <c r="A3436">
        <v>81079</v>
      </c>
      <c r="B3436" t="s">
        <v>9738</v>
      </c>
      <c r="C3436" t="s">
        <v>9739</v>
      </c>
      <c r="D3436" t="s">
        <v>2605</v>
      </c>
      <c r="E3436" t="s">
        <v>1273</v>
      </c>
      <c r="F3436" t="s">
        <v>1925</v>
      </c>
      <c r="G3436" t="s">
        <v>3072</v>
      </c>
      <c r="H3436">
        <v>5202196000</v>
      </c>
      <c r="J3436">
        <v>5202196006</v>
      </c>
      <c r="K3436" t="s">
        <v>3073</v>
      </c>
      <c r="L3436" t="s">
        <v>3074</v>
      </c>
      <c r="M3436" t="s">
        <v>1634</v>
      </c>
    </row>
    <row r="3437" spans="1:13" x14ac:dyDescent="0.25">
      <c r="A3437">
        <v>81079</v>
      </c>
      <c r="B3437" t="s">
        <v>9738</v>
      </c>
      <c r="C3437" t="s">
        <v>9739</v>
      </c>
      <c r="D3437" t="s">
        <v>2605</v>
      </c>
      <c r="E3437" t="s">
        <v>1273</v>
      </c>
      <c r="F3437" t="s">
        <v>3068</v>
      </c>
      <c r="G3437" t="s">
        <v>3069</v>
      </c>
      <c r="H3437">
        <v>4802892088</v>
      </c>
      <c r="J3437">
        <v>4802892089</v>
      </c>
      <c r="K3437" t="s">
        <v>3070</v>
      </c>
      <c r="L3437" t="s">
        <v>9746</v>
      </c>
      <c r="M3437" t="s">
        <v>1634</v>
      </c>
    </row>
    <row r="3438" spans="1:13" x14ac:dyDescent="0.25">
      <c r="A3438">
        <v>81079</v>
      </c>
      <c r="B3438" t="s">
        <v>9738</v>
      </c>
      <c r="C3438" t="s">
        <v>9739</v>
      </c>
      <c r="D3438" t="s">
        <v>2605</v>
      </c>
      <c r="E3438" t="s">
        <v>1273</v>
      </c>
      <c r="F3438" t="s">
        <v>3068</v>
      </c>
      <c r="G3438" t="s">
        <v>6980</v>
      </c>
      <c r="H3438">
        <v>4804517500</v>
      </c>
      <c r="J3438">
        <v>4804514555</v>
      </c>
      <c r="K3438" t="s">
        <v>9747</v>
      </c>
      <c r="L3438" t="s">
        <v>9748</v>
      </c>
      <c r="M3438" t="s">
        <v>1634</v>
      </c>
    </row>
    <row r="3439" spans="1:13" x14ac:dyDescent="0.25">
      <c r="A3439">
        <v>81043</v>
      </c>
      <c r="B3439" t="s">
        <v>9749</v>
      </c>
      <c r="C3439" t="s">
        <v>9750</v>
      </c>
      <c r="D3439" t="s">
        <v>2596</v>
      </c>
      <c r="E3439" t="s">
        <v>1273</v>
      </c>
      <c r="F3439" t="s">
        <v>2082</v>
      </c>
      <c r="G3439" t="s">
        <v>8356</v>
      </c>
      <c r="H3439">
        <v>4804613200</v>
      </c>
      <c r="K3439" t="s">
        <v>8357</v>
      </c>
      <c r="L3439" t="s">
        <v>8358</v>
      </c>
      <c r="M3439" t="s">
        <v>1634</v>
      </c>
    </row>
    <row r="3440" spans="1:13" x14ac:dyDescent="0.25">
      <c r="A3440">
        <v>81043</v>
      </c>
      <c r="B3440" t="s">
        <v>9749</v>
      </c>
      <c r="C3440" t="s">
        <v>9750</v>
      </c>
      <c r="D3440" t="s">
        <v>2596</v>
      </c>
      <c r="E3440" t="s">
        <v>1273</v>
      </c>
      <c r="F3440" t="s">
        <v>2408</v>
      </c>
      <c r="G3440" t="s">
        <v>3346</v>
      </c>
      <c r="H3440">
        <v>6027174578</v>
      </c>
      <c r="K3440" t="s">
        <v>9751</v>
      </c>
      <c r="L3440" t="s">
        <v>9752</v>
      </c>
      <c r="M3440" t="s">
        <v>1640</v>
      </c>
    </row>
    <row r="3441" spans="1:13" x14ac:dyDescent="0.25">
      <c r="A3441">
        <v>79263</v>
      </c>
      <c r="B3441" t="s">
        <v>9753</v>
      </c>
      <c r="C3441" t="s">
        <v>9754</v>
      </c>
      <c r="D3441" t="s">
        <v>2605</v>
      </c>
      <c r="E3441" t="s">
        <v>1273</v>
      </c>
    </row>
    <row r="3442" spans="1:13" x14ac:dyDescent="0.25">
      <c r="A3442">
        <v>4352</v>
      </c>
      <c r="B3442" t="s">
        <v>9755</v>
      </c>
      <c r="C3442" t="s">
        <v>9756</v>
      </c>
      <c r="D3442" t="s">
        <v>2596</v>
      </c>
      <c r="E3442" t="s">
        <v>1273</v>
      </c>
      <c r="F3442" t="s">
        <v>4581</v>
      </c>
      <c r="G3442" t="s">
        <v>5142</v>
      </c>
      <c r="H3442">
        <v>6025647310</v>
      </c>
      <c r="J3442">
        <v>6025647301</v>
      </c>
      <c r="K3442" t="s">
        <v>9757</v>
      </c>
      <c r="L3442" t="s">
        <v>8508</v>
      </c>
      <c r="M3442" t="s">
        <v>1634</v>
      </c>
    </row>
    <row r="3443" spans="1:13" x14ac:dyDescent="0.25">
      <c r="A3443">
        <v>4352</v>
      </c>
      <c r="B3443" t="s">
        <v>9755</v>
      </c>
      <c r="C3443" t="s">
        <v>9756</v>
      </c>
      <c r="D3443" t="s">
        <v>2596</v>
      </c>
      <c r="E3443" t="s">
        <v>1273</v>
      </c>
      <c r="F3443" t="s">
        <v>2256</v>
      </c>
      <c r="G3443" t="s">
        <v>9758</v>
      </c>
      <c r="H3443">
        <v>6025647365</v>
      </c>
      <c r="J3443">
        <v>6025647361</v>
      </c>
      <c r="K3443" t="s">
        <v>9759</v>
      </c>
      <c r="L3443" t="s">
        <v>1640</v>
      </c>
      <c r="M3443" t="s">
        <v>1634</v>
      </c>
    </row>
    <row r="3444" spans="1:13" x14ac:dyDescent="0.25">
      <c r="A3444">
        <v>4352</v>
      </c>
      <c r="B3444" t="s">
        <v>9755</v>
      </c>
      <c r="C3444" t="s">
        <v>9756</v>
      </c>
      <c r="D3444" t="s">
        <v>2596</v>
      </c>
      <c r="E3444" t="s">
        <v>1273</v>
      </c>
      <c r="F3444" t="s">
        <v>2256</v>
      </c>
      <c r="G3444" t="s">
        <v>9758</v>
      </c>
      <c r="H3444">
        <v>6025647365</v>
      </c>
      <c r="J3444">
        <v>6025647361</v>
      </c>
      <c r="K3444" t="s">
        <v>9759</v>
      </c>
      <c r="L3444" t="s">
        <v>1640</v>
      </c>
      <c r="M3444" t="s">
        <v>1640</v>
      </c>
    </row>
    <row r="3445" spans="1:13" x14ac:dyDescent="0.25">
      <c r="A3445">
        <v>10746</v>
      </c>
      <c r="B3445" t="s">
        <v>9760</v>
      </c>
      <c r="C3445" t="s">
        <v>9761</v>
      </c>
      <c r="D3445" t="s">
        <v>2605</v>
      </c>
      <c r="E3445" t="s">
        <v>1273</v>
      </c>
      <c r="F3445" t="s">
        <v>4581</v>
      </c>
      <c r="G3445" t="s">
        <v>5142</v>
      </c>
      <c r="H3445">
        <v>6025647312</v>
      </c>
      <c r="K3445" t="s">
        <v>9757</v>
      </c>
      <c r="L3445" t="s">
        <v>1647</v>
      </c>
      <c r="M3445" t="s">
        <v>1634</v>
      </c>
    </row>
    <row r="3446" spans="1:13" x14ac:dyDescent="0.25">
      <c r="A3446">
        <v>10746</v>
      </c>
      <c r="B3446" t="s">
        <v>9760</v>
      </c>
      <c r="C3446" t="s">
        <v>9761</v>
      </c>
      <c r="D3446" t="s">
        <v>2605</v>
      </c>
      <c r="E3446" t="s">
        <v>1273</v>
      </c>
      <c r="F3446" t="s">
        <v>9762</v>
      </c>
      <c r="G3446" t="s">
        <v>9763</v>
      </c>
      <c r="K3446" t="s">
        <v>9764</v>
      </c>
      <c r="M3446" t="s">
        <v>1640</v>
      </c>
    </row>
    <row r="3447" spans="1:13" x14ac:dyDescent="0.25">
      <c r="A3447">
        <v>81045</v>
      </c>
      <c r="B3447" t="s">
        <v>9765</v>
      </c>
      <c r="C3447" t="s">
        <v>9766</v>
      </c>
      <c r="D3447" t="s">
        <v>2596</v>
      </c>
      <c r="E3447" t="s">
        <v>1273</v>
      </c>
      <c r="F3447" t="s">
        <v>2082</v>
      </c>
      <c r="G3447" t="s">
        <v>8356</v>
      </c>
      <c r="H3447">
        <v>4804613200</v>
      </c>
      <c r="K3447" t="s">
        <v>8357</v>
      </c>
      <c r="L3447" t="s">
        <v>8358</v>
      </c>
      <c r="M3447" t="s">
        <v>1634</v>
      </c>
    </row>
    <row r="3448" spans="1:13" x14ac:dyDescent="0.25">
      <c r="A3448">
        <v>81045</v>
      </c>
      <c r="B3448" t="s">
        <v>9765</v>
      </c>
      <c r="C3448" t="s">
        <v>9766</v>
      </c>
      <c r="D3448" t="s">
        <v>2596</v>
      </c>
      <c r="E3448" t="s">
        <v>1273</v>
      </c>
      <c r="F3448" t="s">
        <v>2408</v>
      </c>
      <c r="G3448" t="s">
        <v>3346</v>
      </c>
      <c r="H3448">
        <v>4806497737</v>
      </c>
      <c r="J3448">
        <v>4806490747</v>
      </c>
      <c r="K3448" t="s">
        <v>9751</v>
      </c>
      <c r="L3448" t="s">
        <v>2946</v>
      </c>
      <c r="M3448" t="s">
        <v>1640</v>
      </c>
    </row>
    <row r="3449" spans="1:13" x14ac:dyDescent="0.25">
      <c r="A3449">
        <v>81045</v>
      </c>
      <c r="B3449" t="s">
        <v>9765</v>
      </c>
      <c r="C3449" t="s">
        <v>9766</v>
      </c>
      <c r="D3449" t="s">
        <v>2596</v>
      </c>
      <c r="E3449" t="s">
        <v>1273</v>
      </c>
      <c r="F3449" t="s">
        <v>7511</v>
      </c>
      <c r="G3449" t="s">
        <v>7989</v>
      </c>
      <c r="H3449">
        <v>4804613200</v>
      </c>
      <c r="I3449">
        <v>10614</v>
      </c>
      <c r="K3449" t="s">
        <v>9767</v>
      </c>
      <c r="L3449" t="s">
        <v>1765</v>
      </c>
      <c r="M3449" t="s">
        <v>1765</v>
      </c>
    </row>
    <row r="3450" spans="1:13" x14ac:dyDescent="0.25">
      <c r="A3450">
        <v>10753</v>
      </c>
      <c r="B3450" t="s">
        <v>9768</v>
      </c>
      <c r="C3450" t="s">
        <v>9769</v>
      </c>
      <c r="D3450" t="s">
        <v>2605</v>
      </c>
      <c r="E3450" t="s">
        <v>1273</v>
      </c>
      <c r="F3450" t="s">
        <v>1726</v>
      </c>
      <c r="G3450" t="s">
        <v>9770</v>
      </c>
      <c r="H3450">
        <v>4809867071</v>
      </c>
      <c r="J3450">
        <v>4809869858</v>
      </c>
      <c r="K3450" t="s">
        <v>9771</v>
      </c>
      <c r="L3450" t="s">
        <v>1647</v>
      </c>
      <c r="M3450" t="s">
        <v>1634</v>
      </c>
    </row>
    <row r="3451" spans="1:13" x14ac:dyDescent="0.25">
      <c r="A3451">
        <v>92290</v>
      </c>
      <c r="B3451" t="s">
        <v>9772</v>
      </c>
      <c r="C3451" t="s">
        <v>9773</v>
      </c>
      <c r="D3451" t="s">
        <v>2605</v>
      </c>
      <c r="E3451" t="s">
        <v>1273</v>
      </c>
      <c r="F3451" t="s">
        <v>7511</v>
      </c>
      <c r="G3451" t="s">
        <v>7989</v>
      </c>
      <c r="H3451">
        <v>4804613200</v>
      </c>
      <c r="I3451">
        <v>10614</v>
      </c>
      <c r="K3451" t="s">
        <v>9767</v>
      </c>
      <c r="L3451" t="s">
        <v>1765</v>
      </c>
      <c r="M3451" t="s">
        <v>1765</v>
      </c>
    </row>
    <row r="3452" spans="1:13" x14ac:dyDescent="0.25">
      <c r="A3452">
        <v>92492</v>
      </c>
      <c r="B3452" t="s">
        <v>9774</v>
      </c>
      <c r="C3452" t="s">
        <v>9775</v>
      </c>
      <c r="D3452" t="s">
        <v>2605</v>
      </c>
      <c r="E3452" t="s">
        <v>1273</v>
      </c>
    </row>
    <row r="3453" spans="1:13" x14ac:dyDescent="0.25">
      <c r="A3453">
        <v>81174</v>
      </c>
      <c r="B3453" t="s">
        <v>9776</v>
      </c>
      <c r="C3453" t="s">
        <v>9777</v>
      </c>
      <c r="D3453" t="s">
        <v>2596</v>
      </c>
      <c r="E3453" t="s">
        <v>1273</v>
      </c>
      <c r="F3453" t="s">
        <v>2177</v>
      </c>
      <c r="G3453" t="s">
        <v>2571</v>
      </c>
      <c r="H3453">
        <v>6022857998</v>
      </c>
      <c r="K3453" t="s">
        <v>9778</v>
      </c>
      <c r="L3453" t="s">
        <v>1647</v>
      </c>
      <c r="M3453" t="s">
        <v>1634</v>
      </c>
    </row>
    <row r="3454" spans="1:13" x14ac:dyDescent="0.25">
      <c r="A3454">
        <v>81174</v>
      </c>
      <c r="B3454" t="s">
        <v>9776</v>
      </c>
      <c r="C3454" t="s">
        <v>9777</v>
      </c>
      <c r="D3454" t="s">
        <v>2596</v>
      </c>
      <c r="E3454" t="s">
        <v>1273</v>
      </c>
      <c r="F3454" t="s">
        <v>9779</v>
      </c>
      <c r="G3454" t="s">
        <v>9780</v>
      </c>
      <c r="H3454">
        <v>6022857218</v>
      </c>
      <c r="K3454" t="s">
        <v>9781</v>
      </c>
      <c r="L3454" t="s">
        <v>9782</v>
      </c>
      <c r="M3454" t="s">
        <v>1634</v>
      </c>
    </row>
    <row r="3455" spans="1:13" x14ac:dyDescent="0.25">
      <c r="A3455">
        <v>81174</v>
      </c>
      <c r="B3455" t="s">
        <v>9776</v>
      </c>
      <c r="C3455" t="s">
        <v>9777</v>
      </c>
      <c r="D3455" t="s">
        <v>2596</v>
      </c>
      <c r="E3455" t="s">
        <v>1273</v>
      </c>
      <c r="F3455" t="s">
        <v>2376</v>
      </c>
      <c r="G3455" t="s">
        <v>3303</v>
      </c>
      <c r="K3455" t="s">
        <v>9407</v>
      </c>
      <c r="L3455" t="s">
        <v>9783</v>
      </c>
      <c r="M3455" t="s">
        <v>1640</v>
      </c>
    </row>
    <row r="3456" spans="1:13" x14ac:dyDescent="0.25">
      <c r="A3456">
        <v>81174</v>
      </c>
      <c r="B3456" t="s">
        <v>9776</v>
      </c>
      <c r="C3456" t="s">
        <v>9777</v>
      </c>
      <c r="D3456" t="s">
        <v>2596</v>
      </c>
      <c r="E3456" t="s">
        <v>1273</v>
      </c>
      <c r="F3456" t="s">
        <v>9784</v>
      </c>
      <c r="G3456" t="s">
        <v>9785</v>
      </c>
      <c r="H3456">
        <v>6232166740</v>
      </c>
      <c r="K3456" t="s">
        <v>9786</v>
      </c>
      <c r="L3456" t="s">
        <v>9787</v>
      </c>
      <c r="M3456" t="s">
        <v>1640</v>
      </c>
    </row>
    <row r="3457" spans="1:13" x14ac:dyDescent="0.25">
      <c r="A3457">
        <v>81174</v>
      </c>
      <c r="B3457" t="s">
        <v>9776</v>
      </c>
      <c r="C3457" t="s">
        <v>9777</v>
      </c>
      <c r="D3457" t="s">
        <v>2596</v>
      </c>
      <c r="E3457" t="s">
        <v>1273</v>
      </c>
      <c r="F3457" t="s">
        <v>9779</v>
      </c>
      <c r="G3457" t="s">
        <v>9780</v>
      </c>
      <c r="H3457">
        <v>6022857218</v>
      </c>
      <c r="K3457" t="s">
        <v>9781</v>
      </c>
      <c r="L3457" t="s">
        <v>9782</v>
      </c>
      <c r="M3457" t="s">
        <v>1640</v>
      </c>
    </row>
    <row r="3458" spans="1:13" x14ac:dyDescent="0.25">
      <c r="A3458">
        <v>81174</v>
      </c>
      <c r="B3458" t="s">
        <v>9776</v>
      </c>
      <c r="C3458" t="s">
        <v>9777</v>
      </c>
      <c r="D3458" t="s">
        <v>2596</v>
      </c>
      <c r="E3458" t="s">
        <v>1273</v>
      </c>
      <c r="F3458" t="s">
        <v>9409</v>
      </c>
      <c r="G3458" t="s">
        <v>9410</v>
      </c>
      <c r="H3458">
        <v>4807318065</v>
      </c>
      <c r="I3458">
        <v>18065</v>
      </c>
      <c r="K3458" t="s">
        <v>9411</v>
      </c>
      <c r="L3458" t="s">
        <v>9788</v>
      </c>
      <c r="M3458" t="s">
        <v>1640</v>
      </c>
    </row>
    <row r="3459" spans="1:13" x14ac:dyDescent="0.25">
      <c r="A3459">
        <v>81174</v>
      </c>
      <c r="B3459" t="s">
        <v>9776</v>
      </c>
      <c r="C3459" t="s">
        <v>9777</v>
      </c>
      <c r="D3459" t="s">
        <v>2596</v>
      </c>
      <c r="E3459" t="s">
        <v>1273</v>
      </c>
      <c r="F3459" t="s">
        <v>6685</v>
      </c>
      <c r="G3459" t="s">
        <v>9789</v>
      </c>
      <c r="H3459">
        <v>6022857998</v>
      </c>
      <c r="K3459" t="s">
        <v>9790</v>
      </c>
      <c r="M3459" t="s">
        <v>1765</v>
      </c>
    </row>
    <row r="3460" spans="1:13" x14ac:dyDescent="0.25">
      <c r="A3460">
        <v>81175</v>
      </c>
      <c r="B3460" t="s">
        <v>9791</v>
      </c>
      <c r="C3460" t="s">
        <v>9792</v>
      </c>
      <c r="D3460" t="s">
        <v>2605</v>
      </c>
      <c r="E3460" t="s">
        <v>1273</v>
      </c>
      <c r="F3460" t="s">
        <v>4725</v>
      </c>
      <c r="G3460" t="s">
        <v>9793</v>
      </c>
      <c r="K3460" t="s">
        <v>9794</v>
      </c>
      <c r="M3460" t="s">
        <v>1634</v>
      </c>
    </row>
    <row r="3461" spans="1:13" x14ac:dyDescent="0.25">
      <c r="A3461">
        <v>81175</v>
      </c>
      <c r="B3461" t="s">
        <v>9791</v>
      </c>
      <c r="C3461" t="s">
        <v>9792</v>
      </c>
      <c r="D3461" t="s">
        <v>2605</v>
      </c>
      <c r="E3461" t="s">
        <v>1273</v>
      </c>
      <c r="F3461" t="s">
        <v>2177</v>
      </c>
      <c r="G3461" t="s">
        <v>2571</v>
      </c>
      <c r="H3461">
        <v>6022857979</v>
      </c>
      <c r="J3461">
        <v>6022857697</v>
      </c>
      <c r="K3461" t="s">
        <v>9778</v>
      </c>
      <c r="L3461" t="s">
        <v>1647</v>
      </c>
      <c r="M3461" t="s">
        <v>1634</v>
      </c>
    </row>
    <row r="3462" spans="1:13" x14ac:dyDescent="0.25">
      <c r="A3462">
        <v>81050</v>
      </c>
      <c r="B3462" t="s">
        <v>9795</v>
      </c>
      <c r="C3462" t="s">
        <v>9796</v>
      </c>
      <c r="D3462" t="s">
        <v>2596</v>
      </c>
      <c r="E3462" t="s">
        <v>1273</v>
      </c>
      <c r="F3462" t="s">
        <v>2082</v>
      </c>
      <c r="G3462" t="s">
        <v>8356</v>
      </c>
      <c r="H3462">
        <v>4804613200</v>
      </c>
      <c r="K3462" t="s">
        <v>8357</v>
      </c>
      <c r="L3462" t="s">
        <v>8358</v>
      </c>
      <c r="M3462" t="s">
        <v>1634</v>
      </c>
    </row>
    <row r="3463" spans="1:13" x14ac:dyDescent="0.25">
      <c r="A3463">
        <v>81050</v>
      </c>
      <c r="B3463" t="s">
        <v>9795</v>
      </c>
      <c r="C3463" t="s">
        <v>9796</v>
      </c>
      <c r="D3463" t="s">
        <v>2596</v>
      </c>
      <c r="E3463" t="s">
        <v>1273</v>
      </c>
      <c r="F3463" t="s">
        <v>9509</v>
      </c>
      <c r="G3463" t="s">
        <v>3346</v>
      </c>
      <c r="H3463">
        <v>6027174578</v>
      </c>
      <c r="K3463" t="s">
        <v>9751</v>
      </c>
      <c r="L3463" t="s">
        <v>9752</v>
      </c>
      <c r="M3463" t="s">
        <v>1640</v>
      </c>
    </row>
    <row r="3464" spans="1:13" x14ac:dyDescent="0.25">
      <c r="A3464">
        <v>79219</v>
      </c>
      <c r="B3464" t="s">
        <v>9797</v>
      </c>
      <c r="C3464" t="s">
        <v>9798</v>
      </c>
      <c r="D3464" t="s">
        <v>2605</v>
      </c>
      <c r="E3464" t="s">
        <v>1273</v>
      </c>
      <c r="F3464" t="s">
        <v>1779</v>
      </c>
      <c r="G3464" t="s">
        <v>3871</v>
      </c>
      <c r="K3464" t="s">
        <v>9799</v>
      </c>
      <c r="L3464" t="s">
        <v>1738</v>
      </c>
      <c r="M3464" t="s">
        <v>1634</v>
      </c>
    </row>
    <row r="3465" spans="1:13" x14ac:dyDescent="0.25">
      <c r="A3465">
        <v>79219</v>
      </c>
      <c r="B3465" t="s">
        <v>9797</v>
      </c>
      <c r="C3465" t="s">
        <v>9798</v>
      </c>
      <c r="D3465" t="s">
        <v>2605</v>
      </c>
      <c r="E3465" t="s">
        <v>1273</v>
      </c>
      <c r="F3465" t="s">
        <v>2381</v>
      </c>
      <c r="G3465" t="s">
        <v>9800</v>
      </c>
      <c r="K3465" t="s">
        <v>9801</v>
      </c>
      <c r="L3465" t="s">
        <v>1647</v>
      </c>
      <c r="M3465" t="s">
        <v>1634</v>
      </c>
    </row>
    <row r="3466" spans="1:13" x14ac:dyDescent="0.25">
      <c r="A3466">
        <v>920316</v>
      </c>
      <c r="B3466" t="s">
        <v>9802</v>
      </c>
      <c r="C3466" t="s">
        <v>9803</v>
      </c>
      <c r="D3466" t="s">
        <v>2605</v>
      </c>
      <c r="E3466" t="s">
        <v>1273</v>
      </c>
      <c r="F3466" t="s">
        <v>9509</v>
      </c>
      <c r="G3466" t="s">
        <v>3346</v>
      </c>
      <c r="H3466">
        <v>4804613200</v>
      </c>
      <c r="I3466">
        <v>10635</v>
      </c>
      <c r="K3466" t="s">
        <v>9804</v>
      </c>
      <c r="L3466" t="s">
        <v>1640</v>
      </c>
      <c r="M3466" t="s">
        <v>1640</v>
      </c>
    </row>
    <row r="3467" spans="1:13" x14ac:dyDescent="0.25">
      <c r="A3467">
        <v>81041</v>
      </c>
      <c r="B3467" t="s">
        <v>9805</v>
      </c>
      <c r="C3467" t="s">
        <v>9806</v>
      </c>
      <c r="D3467" t="s">
        <v>2596</v>
      </c>
      <c r="E3467" t="s">
        <v>1273</v>
      </c>
      <c r="F3467" t="s">
        <v>2082</v>
      </c>
      <c r="G3467" t="s">
        <v>6940</v>
      </c>
      <c r="K3467" t="s">
        <v>9807</v>
      </c>
      <c r="L3467" t="s">
        <v>9808</v>
      </c>
      <c r="M3467" t="s">
        <v>1634</v>
      </c>
    </row>
    <row r="3468" spans="1:13" x14ac:dyDescent="0.25">
      <c r="A3468">
        <v>81041</v>
      </c>
      <c r="B3468" t="s">
        <v>9805</v>
      </c>
      <c r="C3468" t="s">
        <v>9806</v>
      </c>
      <c r="D3468" t="s">
        <v>2596</v>
      </c>
      <c r="E3468" t="s">
        <v>1273</v>
      </c>
      <c r="F3468" t="s">
        <v>2204</v>
      </c>
      <c r="G3468" t="s">
        <v>9809</v>
      </c>
      <c r="H3468">
        <v>6029064870</v>
      </c>
      <c r="K3468" t="s">
        <v>9810</v>
      </c>
      <c r="L3468" t="s">
        <v>9811</v>
      </c>
      <c r="M3468" t="s">
        <v>1634</v>
      </c>
    </row>
    <row r="3469" spans="1:13" x14ac:dyDescent="0.25">
      <c r="A3469">
        <v>81041</v>
      </c>
      <c r="B3469" t="s">
        <v>9805</v>
      </c>
      <c r="C3469" t="s">
        <v>9806</v>
      </c>
      <c r="D3469" t="s">
        <v>2596</v>
      </c>
      <c r="E3469" t="s">
        <v>1273</v>
      </c>
      <c r="F3469" t="s">
        <v>3456</v>
      </c>
      <c r="G3469" t="s">
        <v>9812</v>
      </c>
      <c r="J3469">
        <v>6237728021</v>
      </c>
      <c r="K3469" t="s">
        <v>9813</v>
      </c>
      <c r="L3469" t="s">
        <v>9814</v>
      </c>
      <c r="M3469" t="s">
        <v>1640</v>
      </c>
    </row>
    <row r="3470" spans="1:13" x14ac:dyDescent="0.25">
      <c r="A3470">
        <v>81042</v>
      </c>
      <c r="B3470" t="s">
        <v>9815</v>
      </c>
      <c r="C3470" t="s">
        <v>9816</v>
      </c>
      <c r="D3470" t="s">
        <v>2605</v>
      </c>
      <c r="E3470" t="s">
        <v>1273</v>
      </c>
      <c r="F3470" t="s">
        <v>9817</v>
      </c>
      <c r="G3470" t="s">
        <v>9818</v>
      </c>
      <c r="L3470" t="s">
        <v>1721</v>
      </c>
      <c r="M3470" t="s">
        <v>1634</v>
      </c>
    </row>
    <row r="3471" spans="1:13" x14ac:dyDescent="0.25">
      <c r="A3471">
        <v>81182</v>
      </c>
      <c r="B3471" t="s">
        <v>9819</v>
      </c>
      <c r="C3471" t="s">
        <v>9820</v>
      </c>
      <c r="D3471" t="s">
        <v>2605</v>
      </c>
      <c r="E3471" t="s">
        <v>1273</v>
      </c>
      <c r="F3471" t="s">
        <v>2672</v>
      </c>
      <c r="G3471" t="s">
        <v>9821</v>
      </c>
      <c r="L3471" t="s">
        <v>1721</v>
      </c>
      <c r="M3471" t="s">
        <v>1634</v>
      </c>
    </row>
    <row r="3472" spans="1:13" x14ac:dyDescent="0.25">
      <c r="A3472">
        <v>81182</v>
      </c>
      <c r="B3472" t="s">
        <v>9819</v>
      </c>
      <c r="C3472" t="s">
        <v>9820</v>
      </c>
      <c r="D3472" t="s">
        <v>2605</v>
      </c>
      <c r="E3472" t="s">
        <v>1273</v>
      </c>
      <c r="F3472" t="s">
        <v>2402</v>
      </c>
      <c r="G3472" t="s">
        <v>2571</v>
      </c>
      <c r="H3472">
        <v>6029064816</v>
      </c>
      <c r="J3472">
        <v>6029439700</v>
      </c>
      <c r="K3472" t="s">
        <v>9822</v>
      </c>
      <c r="L3472" t="s">
        <v>2404</v>
      </c>
      <c r="M3472" t="s">
        <v>1765</v>
      </c>
    </row>
    <row r="3473" spans="1:13" x14ac:dyDescent="0.25">
      <c r="A3473">
        <v>4306</v>
      </c>
      <c r="B3473" t="s">
        <v>9823</v>
      </c>
      <c r="C3473" t="s">
        <v>9824</v>
      </c>
      <c r="D3473" t="s">
        <v>2596</v>
      </c>
      <c r="E3473" t="s">
        <v>1273</v>
      </c>
      <c r="F3473" t="s">
        <v>7252</v>
      </c>
      <c r="G3473" t="s">
        <v>5472</v>
      </c>
      <c r="H3473">
        <v>6235167747</v>
      </c>
      <c r="I3473">
        <v>115</v>
      </c>
      <c r="K3473" t="s">
        <v>9825</v>
      </c>
      <c r="L3473" t="s">
        <v>1647</v>
      </c>
      <c r="M3473" t="s">
        <v>1634</v>
      </c>
    </row>
    <row r="3474" spans="1:13" x14ac:dyDescent="0.25">
      <c r="A3474">
        <v>4306</v>
      </c>
      <c r="B3474" t="s">
        <v>9823</v>
      </c>
      <c r="C3474" t="s">
        <v>9824</v>
      </c>
      <c r="D3474" t="s">
        <v>2596</v>
      </c>
      <c r="E3474" t="s">
        <v>1273</v>
      </c>
      <c r="F3474" t="s">
        <v>3760</v>
      </c>
      <c r="G3474" t="s">
        <v>1905</v>
      </c>
      <c r="H3474">
        <v>6234782344</v>
      </c>
      <c r="K3474" t="s">
        <v>8044</v>
      </c>
      <c r="L3474" t="s">
        <v>1668</v>
      </c>
      <c r="M3474" t="s">
        <v>1640</v>
      </c>
    </row>
    <row r="3475" spans="1:13" x14ac:dyDescent="0.25">
      <c r="A3475">
        <v>5471</v>
      </c>
      <c r="B3475" t="s">
        <v>9826</v>
      </c>
      <c r="C3475" t="s">
        <v>9827</v>
      </c>
      <c r="D3475" t="s">
        <v>2605</v>
      </c>
      <c r="E3475" t="s">
        <v>1273</v>
      </c>
      <c r="F3475" t="s">
        <v>7252</v>
      </c>
      <c r="G3475" t="s">
        <v>5472</v>
      </c>
      <c r="H3475">
        <v>6235167747</v>
      </c>
      <c r="I3475">
        <v>115</v>
      </c>
      <c r="K3475" t="s">
        <v>9828</v>
      </c>
      <c r="L3475" t="s">
        <v>1647</v>
      </c>
      <c r="M3475" t="s">
        <v>1634</v>
      </c>
    </row>
    <row r="3476" spans="1:13" x14ac:dyDescent="0.25">
      <c r="A3476">
        <v>5174</v>
      </c>
      <c r="B3476" t="s">
        <v>9829</v>
      </c>
      <c r="C3476" t="s">
        <v>9830</v>
      </c>
      <c r="D3476" t="s">
        <v>2596</v>
      </c>
      <c r="E3476" t="s">
        <v>1273</v>
      </c>
      <c r="F3476" t="s">
        <v>4140</v>
      </c>
      <c r="G3476" t="s">
        <v>9831</v>
      </c>
      <c r="H3476">
        <v>4807314829</v>
      </c>
      <c r="J3476">
        <v>4803940711</v>
      </c>
      <c r="K3476" t="s">
        <v>9832</v>
      </c>
      <c r="L3476" t="s">
        <v>2635</v>
      </c>
      <c r="M3476" t="s">
        <v>1634</v>
      </c>
    </row>
    <row r="3477" spans="1:13" x14ac:dyDescent="0.25">
      <c r="A3477">
        <v>5174</v>
      </c>
      <c r="B3477" t="s">
        <v>9829</v>
      </c>
      <c r="C3477" t="s">
        <v>9830</v>
      </c>
      <c r="D3477" t="s">
        <v>2596</v>
      </c>
      <c r="E3477" t="s">
        <v>1273</v>
      </c>
      <c r="F3477" t="s">
        <v>2365</v>
      </c>
      <c r="G3477" t="s">
        <v>9831</v>
      </c>
      <c r="H3477">
        <v>4807314829</v>
      </c>
      <c r="K3477" t="s">
        <v>9833</v>
      </c>
      <c r="L3477" t="s">
        <v>5089</v>
      </c>
      <c r="M3477" t="s">
        <v>1640</v>
      </c>
    </row>
    <row r="3478" spans="1:13" x14ac:dyDescent="0.25">
      <c r="A3478">
        <v>5174</v>
      </c>
      <c r="B3478" t="s">
        <v>9829</v>
      </c>
      <c r="C3478" t="s">
        <v>9830</v>
      </c>
      <c r="D3478" t="s">
        <v>2596</v>
      </c>
      <c r="E3478" t="s">
        <v>1273</v>
      </c>
      <c r="F3478" t="s">
        <v>2745</v>
      </c>
      <c r="G3478" t="s">
        <v>2647</v>
      </c>
      <c r="K3478" t="s">
        <v>8637</v>
      </c>
      <c r="L3478" t="s">
        <v>4466</v>
      </c>
      <c r="M3478" t="s">
        <v>1640</v>
      </c>
    </row>
    <row r="3479" spans="1:13" x14ac:dyDescent="0.25">
      <c r="A3479">
        <v>5174</v>
      </c>
      <c r="B3479" t="s">
        <v>9829</v>
      </c>
      <c r="C3479" t="s">
        <v>9830</v>
      </c>
      <c r="D3479" t="s">
        <v>2596</v>
      </c>
      <c r="E3479" t="s">
        <v>1273</v>
      </c>
      <c r="F3479" t="s">
        <v>1726</v>
      </c>
      <c r="G3479" t="s">
        <v>1690</v>
      </c>
      <c r="H3479">
        <v>4807314829</v>
      </c>
      <c r="J3479">
        <v>4809452008</v>
      </c>
      <c r="K3479" t="s">
        <v>9834</v>
      </c>
      <c r="L3479" t="s">
        <v>9835</v>
      </c>
      <c r="M3479" t="s">
        <v>1765</v>
      </c>
    </row>
    <row r="3480" spans="1:13" x14ac:dyDescent="0.25">
      <c r="A3480">
        <v>10811</v>
      </c>
      <c r="B3480" t="s">
        <v>9836</v>
      </c>
      <c r="C3480" t="s">
        <v>9837</v>
      </c>
      <c r="D3480" t="s">
        <v>2605</v>
      </c>
      <c r="E3480" t="s">
        <v>1273</v>
      </c>
      <c r="F3480" t="s">
        <v>4140</v>
      </c>
      <c r="G3480" t="s">
        <v>9831</v>
      </c>
      <c r="H3480">
        <v>4807314829</v>
      </c>
      <c r="J3480">
        <v>4803940711</v>
      </c>
      <c r="K3480" t="s">
        <v>9832</v>
      </c>
      <c r="M3480" t="s">
        <v>1634</v>
      </c>
    </row>
    <row r="3481" spans="1:13" x14ac:dyDescent="0.25">
      <c r="A3481">
        <v>79264</v>
      </c>
      <c r="B3481" t="s">
        <v>8252</v>
      </c>
      <c r="C3481" t="s">
        <v>9838</v>
      </c>
      <c r="D3481" t="s">
        <v>2596</v>
      </c>
      <c r="E3481" t="s">
        <v>1273</v>
      </c>
      <c r="F3481" t="s">
        <v>3910</v>
      </c>
      <c r="G3481" t="s">
        <v>1840</v>
      </c>
      <c r="H3481">
        <v>4806593000</v>
      </c>
      <c r="K3481" t="s">
        <v>8254</v>
      </c>
      <c r="L3481" t="s">
        <v>3124</v>
      </c>
      <c r="M3481" t="s">
        <v>1634</v>
      </c>
    </row>
    <row r="3482" spans="1:13" x14ac:dyDescent="0.25">
      <c r="A3482">
        <v>79264</v>
      </c>
      <c r="B3482" t="s">
        <v>8252</v>
      </c>
      <c r="C3482" t="s">
        <v>9838</v>
      </c>
      <c r="D3482" t="s">
        <v>2596</v>
      </c>
      <c r="E3482" t="s">
        <v>1273</v>
      </c>
      <c r="F3482" t="s">
        <v>1856</v>
      </c>
      <c r="G3482" t="s">
        <v>9839</v>
      </c>
      <c r="H3482">
        <v>4806593052</v>
      </c>
      <c r="K3482" t="s">
        <v>9840</v>
      </c>
      <c r="L3482" t="s">
        <v>1668</v>
      </c>
      <c r="M3482" t="s">
        <v>1634</v>
      </c>
    </row>
    <row r="3483" spans="1:13" x14ac:dyDescent="0.25">
      <c r="A3483">
        <v>79264</v>
      </c>
      <c r="B3483" t="s">
        <v>8252</v>
      </c>
      <c r="C3483" t="s">
        <v>9838</v>
      </c>
      <c r="D3483" t="s">
        <v>2596</v>
      </c>
      <c r="E3483" t="s">
        <v>1273</v>
      </c>
      <c r="F3483" t="s">
        <v>3910</v>
      </c>
      <c r="G3483" t="s">
        <v>1840</v>
      </c>
      <c r="H3483">
        <v>4806593000</v>
      </c>
      <c r="K3483" t="s">
        <v>8254</v>
      </c>
      <c r="L3483" t="s">
        <v>3124</v>
      </c>
      <c r="M3483" t="s">
        <v>1640</v>
      </c>
    </row>
    <row r="3484" spans="1:13" x14ac:dyDescent="0.25">
      <c r="A3484">
        <v>79264</v>
      </c>
      <c r="B3484" t="s">
        <v>8252</v>
      </c>
      <c r="C3484" t="s">
        <v>9838</v>
      </c>
      <c r="D3484" t="s">
        <v>2596</v>
      </c>
      <c r="E3484" t="s">
        <v>1273</v>
      </c>
      <c r="F3484" t="s">
        <v>4217</v>
      </c>
      <c r="G3484" t="s">
        <v>9841</v>
      </c>
      <c r="K3484" t="s">
        <v>9842</v>
      </c>
      <c r="L3484" t="s">
        <v>1765</v>
      </c>
      <c r="M3484" t="s">
        <v>1765</v>
      </c>
    </row>
    <row r="3485" spans="1:13" x14ac:dyDescent="0.25">
      <c r="A3485">
        <v>79264</v>
      </c>
      <c r="B3485" t="s">
        <v>8252</v>
      </c>
      <c r="C3485" t="s">
        <v>9838</v>
      </c>
      <c r="D3485" t="s">
        <v>2596</v>
      </c>
      <c r="E3485" t="s">
        <v>1273</v>
      </c>
      <c r="F3485" t="s">
        <v>9843</v>
      </c>
      <c r="G3485" t="s">
        <v>3572</v>
      </c>
      <c r="H3485">
        <v>4806593020</v>
      </c>
      <c r="K3485" t="s">
        <v>9844</v>
      </c>
      <c r="L3485" t="s">
        <v>1765</v>
      </c>
      <c r="M3485" t="s">
        <v>1765</v>
      </c>
    </row>
    <row r="3486" spans="1:13" x14ac:dyDescent="0.25">
      <c r="A3486">
        <v>79264</v>
      </c>
      <c r="B3486" t="s">
        <v>8252</v>
      </c>
      <c r="C3486" t="s">
        <v>9838</v>
      </c>
      <c r="D3486" t="s">
        <v>2596</v>
      </c>
      <c r="E3486" t="s">
        <v>1273</v>
      </c>
      <c r="F3486" t="s">
        <v>9845</v>
      </c>
      <c r="G3486" t="s">
        <v>4051</v>
      </c>
      <c r="H3486">
        <v>4806593027</v>
      </c>
      <c r="K3486" t="s">
        <v>9846</v>
      </c>
      <c r="L3486" t="s">
        <v>1765</v>
      </c>
      <c r="M3486" t="s">
        <v>1765</v>
      </c>
    </row>
    <row r="3487" spans="1:13" x14ac:dyDescent="0.25">
      <c r="A3487">
        <v>78809</v>
      </c>
      <c r="B3487" t="s">
        <v>9847</v>
      </c>
      <c r="C3487" t="s">
        <v>9848</v>
      </c>
      <c r="D3487" t="s">
        <v>2605</v>
      </c>
      <c r="E3487" t="s">
        <v>1273</v>
      </c>
      <c r="F3487" t="s">
        <v>2156</v>
      </c>
      <c r="G3487" t="s">
        <v>9849</v>
      </c>
      <c r="H3487">
        <v>4806593005</v>
      </c>
      <c r="J3487">
        <v>4806593022</v>
      </c>
      <c r="K3487" t="s">
        <v>9850</v>
      </c>
      <c r="L3487" t="s">
        <v>1647</v>
      </c>
      <c r="M3487" t="s">
        <v>1634</v>
      </c>
    </row>
    <row r="3488" spans="1:13" x14ac:dyDescent="0.25">
      <c r="A3488">
        <v>78809</v>
      </c>
      <c r="B3488" t="s">
        <v>9847</v>
      </c>
      <c r="C3488" t="s">
        <v>9848</v>
      </c>
      <c r="D3488" t="s">
        <v>2605</v>
      </c>
      <c r="E3488" t="s">
        <v>1273</v>
      </c>
      <c r="F3488" t="s">
        <v>3551</v>
      </c>
      <c r="G3488" t="s">
        <v>9851</v>
      </c>
      <c r="K3488" t="s">
        <v>9852</v>
      </c>
      <c r="M3488" t="s">
        <v>1634</v>
      </c>
    </row>
    <row r="3489" spans="1:13" x14ac:dyDescent="0.25">
      <c r="A3489">
        <v>4355</v>
      </c>
      <c r="B3489" t="s">
        <v>9853</v>
      </c>
      <c r="C3489" t="s">
        <v>9854</v>
      </c>
      <c r="D3489" t="s">
        <v>2596</v>
      </c>
      <c r="E3489" t="s">
        <v>1273</v>
      </c>
      <c r="F3489" t="s">
        <v>1707</v>
      </c>
      <c r="G3489" t="s">
        <v>3486</v>
      </c>
      <c r="H3489">
        <v>4802643710</v>
      </c>
      <c r="K3489" t="s">
        <v>9855</v>
      </c>
      <c r="L3489" t="s">
        <v>3043</v>
      </c>
      <c r="M3489" t="s">
        <v>1634</v>
      </c>
    </row>
    <row r="3490" spans="1:13" x14ac:dyDescent="0.25">
      <c r="A3490">
        <v>4355</v>
      </c>
      <c r="B3490" t="s">
        <v>9853</v>
      </c>
      <c r="C3490" t="s">
        <v>9854</v>
      </c>
      <c r="D3490" t="s">
        <v>2596</v>
      </c>
      <c r="E3490" t="s">
        <v>1273</v>
      </c>
      <c r="F3490" t="s">
        <v>3910</v>
      </c>
      <c r="G3490" t="s">
        <v>9856</v>
      </c>
      <c r="H3490">
        <v>4802643710</v>
      </c>
      <c r="I3490">
        <v>1001</v>
      </c>
      <c r="K3490" t="s">
        <v>9857</v>
      </c>
      <c r="L3490" t="s">
        <v>3043</v>
      </c>
      <c r="M3490" t="s">
        <v>1634</v>
      </c>
    </row>
    <row r="3491" spans="1:13" x14ac:dyDescent="0.25">
      <c r="A3491">
        <v>4355</v>
      </c>
      <c r="B3491" t="s">
        <v>9853</v>
      </c>
      <c r="C3491" t="s">
        <v>9854</v>
      </c>
      <c r="D3491" t="s">
        <v>2596</v>
      </c>
      <c r="E3491" t="s">
        <v>1273</v>
      </c>
      <c r="F3491" t="s">
        <v>2587</v>
      </c>
      <c r="G3491" t="s">
        <v>9858</v>
      </c>
      <c r="H3491">
        <v>4802643710</v>
      </c>
      <c r="K3491" t="s">
        <v>9859</v>
      </c>
      <c r="L3491" t="s">
        <v>9860</v>
      </c>
      <c r="M3491" t="s">
        <v>1634</v>
      </c>
    </row>
    <row r="3492" spans="1:13" x14ac:dyDescent="0.25">
      <c r="A3492">
        <v>4355</v>
      </c>
      <c r="B3492" t="s">
        <v>9853</v>
      </c>
      <c r="C3492" t="s">
        <v>9854</v>
      </c>
      <c r="D3492" t="s">
        <v>2596</v>
      </c>
      <c r="E3492" t="s">
        <v>1273</v>
      </c>
      <c r="F3492" t="s">
        <v>1761</v>
      </c>
      <c r="G3492" t="s">
        <v>1909</v>
      </c>
      <c r="H3492">
        <v>4802643710</v>
      </c>
      <c r="K3492" t="s">
        <v>9861</v>
      </c>
      <c r="L3492" t="s">
        <v>2358</v>
      </c>
      <c r="M3492" t="s">
        <v>1640</v>
      </c>
    </row>
    <row r="3493" spans="1:13" x14ac:dyDescent="0.25">
      <c r="A3493">
        <v>4355</v>
      </c>
      <c r="B3493" t="s">
        <v>9853</v>
      </c>
      <c r="C3493" t="s">
        <v>9854</v>
      </c>
      <c r="D3493" t="s">
        <v>2596</v>
      </c>
      <c r="E3493" t="s">
        <v>1273</v>
      </c>
      <c r="F3493" t="s">
        <v>1707</v>
      </c>
      <c r="G3493" t="s">
        <v>3486</v>
      </c>
      <c r="H3493">
        <v>4802643710</v>
      </c>
      <c r="K3493" t="s">
        <v>9855</v>
      </c>
      <c r="L3493" t="s">
        <v>3043</v>
      </c>
      <c r="M3493" t="s">
        <v>1640</v>
      </c>
    </row>
    <row r="3494" spans="1:13" x14ac:dyDescent="0.25">
      <c r="A3494">
        <v>4355</v>
      </c>
      <c r="B3494" t="s">
        <v>9853</v>
      </c>
      <c r="C3494" t="s">
        <v>9854</v>
      </c>
      <c r="D3494" t="s">
        <v>2596</v>
      </c>
      <c r="E3494" t="s">
        <v>1273</v>
      </c>
      <c r="F3494" t="s">
        <v>3910</v>
      </c>
      <c r="G3494" t="s">
        <v>9856</v>
      </c>
      <c r="H3494">
        <v>4802643710</v>
      </c>
      <c r="I3494">
        <v>1001</v>
      </c>
      <c r="K3494" t="s">
        <v>9857</v>
      </c>
      <c r="L3494" t="s">
        <v>3043</v>
      </c>
      <c r="M3494" t="s">
        <v>1640</v>
      </c>
    </row>
    <row r="3495" spans="1:13" x14ac:dyDescent="0.25">
      <c r="A3495">
        <v>4355</v>
      </c>
      <c r="B3495" t="s">
        <v>9853</v>
      </c>
      <c r="C3495" t="s">
        <v>9854</v>
      </c>
      <c r="D3495" t="s">
        <v>2596</v>
      </c>
      <c r="E3495" t="s">
        <v>1273</v>
      </c>
      <c r="F3495" t="s">
        <v>4598</v>
      </c>
      <c r="G3495" t="s">
        <v>8232</v>
      </c>
      <c r="H3495">
        <v>4802643710</v>
      </c>
      <c r="K3495" t="s">
        <v>9862</v>
      </c>
      <c r="L3495" t="s">
        <v>2368</v>
      </c>
      <c r="M3495" t="s">
        <v>1640</v>
      </c>
    </row>
    <row r="3496" spans="1:13" x14ac:dyDescent="0.25">
      <c r="A3496">
        <v>4355</v>
      </c>
      <c r="B3496" t="s">
        <v>9853</v>
      </c>
      <c r="C3496" t="s">
        <v>9854</v>
      </c>
      <c r="D3496" t="s">
        <v>2596</v>
      </c>
      <c r="E3496" t="s">
        <v>1273</v>
      </c>
      <c r="F3496" t="s">
        <v>3910</v>
      </c>
      <c r="G3496" t="s">
        <v>9856</v>
      </c>
      <c r="H3496">
        <v>4802643710</v>
      </c>
      <c r="I3496">
        <v>1001</v>
      </c>
      <c r="K3496" t="s">
        <v>9857</v>
      </c>
      <c r="L3496" t="s">
        <v>3043</v>
      </c>
      <c r="M3496" t="s">
        <v>1765</v>
      </c>
    </row>
    <row r="3497" spans="1:13" x14ac:dyDescent="0.25">
      <c r="A3497">
        <v>4355</v>
      </c>
      <c r="B3497" t="s">
        <v>9853</v>
      </c>
      <c r="C3497" t="s">
        <v>9854</v>
      </c>
      <c r="D3497" t="s">
        <v>2596</v>
      </c>
      <c r="E3497" t="s">
        <v>1273</v>
      </c>
      <c r="F3497" t="s">
        <v>2587</v>
      </c>
      <c r="G3497" t="s">
        <v>9858</v>
      </c>
      <c r="H3497">
        <v>4802643710</v>
      </c>
      <c r="K3497" t="s">
        <v>9859</v>
      </c>
      <c r="L3497" t="s">
        <v>9860</v>
      </c>
      <c r="M3497" t="s">
        <v>1765</v>
      </c>
    </row>
    <row r="3498" spans="1:13" x14ac:dyDescent="0.25">
      <c r="A3498">
        <v>5537</v>
      </c>
      <c r="B3498" t="s">
        <v>9863</v>
      </c>
      <c r="C3498" t="s">
        <v>9864</v>
      </c>
      <c r="D3498" t="s">
        <v>2605</v>
      </c>
      <c r="E3498" t="s">
        <v>1273</v>
      </c>
      <c r="F3498" t="s">
        <v>2587</v>
      </c>
      <c r="G3498" t="s">
        <v>9858</v>
      </c>
      <c r="H3498">
        <v>4802643710</v>
      </c>
      <c r="K3498" t="s">
        <v>9859</v>
      </c>
      <c r="L3498" t="s">
        <v>9860</v>
      </c>
      <c r="M3498" t="s">
        <v>1634</v>
      </c>
    </row>
    <row r="3499" spans="1:13" x14ac:dyDescent="0.25">
      <c r="A3499">
        <v>5537</v>
      </c>
      <c r="B3499" t="s">
        <v>9863</v>
      </c>
      <c r="C3499" t="s">
        <v>9864</v>
      </c>
      <c r="D3499" t="s">
        <v>2605</v>
      </c>
      <c r="E3499" t="s">
        <v>1273</v>
      </c>
      <c r="F3499" t="s">
        <v>1761</v>
      </c>
      <c r="G3499" t="s">
        <v>9865</v>
      </c>
      <c r="H3499">
        <v>4809870722</v>
      </c>
      <c r="K3499" t="s">
        <v>9866</v>
      </c>
      <c r="L3499" t="s">
        <v>1647</v>
      </c>
      <c r="M3499" t="s">
        <v>1634</v>
      </c>
    </row>
    <row r="3500" spans="1:13" x14ac:dyDescent="0.25">
      <c r="A3500">
        <v>5537</v>
      </c>
      <c r="B3500" t="s">
        <v>9863</v>
      </c>
      <c r="C3500" t="s">
        <v>9864</v>
      </c>
      <c r="D3500" t="s">
        <v>2605</v>
      </c>
      <c r="E3500" t="s">
        <v>1273</v>
      </c>
      <c r="F3500" t="s">
        <v>2587</v>
      </c>
      <c r="G3500" t="s">
        <v>9858</v>
      </c>
      <c r="H3500">
        <v>4802643710</v>
      </c>
      <c r="K3500" t="s">
        <v>9859</v>
      </c>
      <c r="L3500" t="s">
        <v>9860</v>
      </c>
      <c r="M3500" t="s">
        <v>1765</v>
      </c>
    </row>
    <row r="3501" spans="1:13" x14ac:dyDescent="0.25">
      <c r="A3501">
        <v>5538</v>
      </c>
      <c r="B3501" t="s">
        <v>9867</v>
      </c>
      <c r="C3501" t="s">
        <v>9868</v>
      </c>
      <c r="D3501" t="s">
        <v>2605</v>
      </c>
      <c r="E3501" t="s">
        <v>1273</v>
      </c>
      <c r="F3501" t="s">
        <v>4811</v>
      </c>
      <c r="G3501" t="s">
        <v>4121</v>
      </c>
      <c r="H3501">
        <v>4806320722</v>
      </c>
      <c r="J3501">
        <v>4806328716</v>
      </c>
      <c r="K3501" t="s">
        <v>9869</v>
      </c>
      <c r="L3501" t="s">
        <v>1647</v>
      </c>
      <c r="M3501" t="s">
        <v>1634</v>
      </c>
    </row>
    <row r="3502" spans="1:13" x14ac:dyDescent="0.25">
      <c r="A3502">
        <v>88341</v>
      </c>
      <c r="B3502" t="s">
        <v>9870</v>
      </c>
      <c r="C3502" t="s">
        <v>9871</v>
      </c>
      <c r="D3502" t="s">
        <v>2605</v>
      </c>
      <c r="E3502" t="s">
        <v>1273</v>
      </c>
      <c r="F3502" t="s">
        <v>2587</v>
      </c>
      <c r="G3502" t="s">
        <v>9858</v>
      </c>
      <c r="H3502">
        <v>4802643710</v>
      </c>
      <c r="K3502" t="s">
        <v>9859</v>
      </c>
      <c r="L3502" t="s">
        <v>9860</v>
      </c>
      <c r="M3502" t="s">
        <v>1634</v>
      </c>
    </row>
    <row r="3503" spans="1:13" x14ac:dyDescent="0.25">
      <c r="A3503">
        <v>88341</v>
      </c>
      <c r="B3503" t="s">
        <v>9870</v>
      </c>
      <c r="C3503" t="s">
        <v>9871</v>
      </c>
      <c r="D3503" t="s">
        <v>2605</v>
      </c>
      <c r="E3503" t="s">
        <v>1273</v>
      </c>
      <c r="F3503" t="s">
        <v>3018</v>
      </c>
      <c r="G3503" t="s">
        <v>1960</v>
      </c>
      <c r="H3503">
        <v>4806778400</v>
      </c>
      <c r="K3503" t="s">
        <v>9872</v>
      </c>
      <c r="L3503" t="s">
        <v>1647</v>
      </c>
      <c r="M3503" t="s">
        <v>1634</v>
      </c>
    </row>
    <row r="3504" spans="1:13" x14ac:dyDescent="0.25">
      <c r="A3504">
        <v>88341</v>
      </c>
      <c r="B3504" t="s">
        <v>9870</v>
      </c>
      <c r="C3504" t="s">
        <v>9871</v>
      </c>
      <c r="D3504" t="s">
        <v>2605</v>
      </c>
      <c r="E3504" t="s">
        <v>1273</v>
      </c>
      <c r="F3504" t="s">
        <v>2587</v>
      </c>
      <c r="G3504" t="s">
        <v>9858</v>
      </c>
      <c r="H3504">
        <v>4802643710</v>
      </c>
      <c r="K3504" t="s">
        <v>9859</v>
      </c>
      <c r="L3504" t="s">
        <v>9860</v>
      </c>
      <c r="M3504" t="s">
        <v>1765</v>
      </c>
    </row>
    <row r="3505" spans="1:13" x14ac:dyDescent="0.25">
      <c r="A3505">
        <v>92270</v>
      </c>
      <c r="B3505" t="s">
        <v>9873</v>
      </c>
      <c r="C3505" t="s">
        <v>9874</v>
      </c>
      <c r="D3505" t="s">
        <v>2605</v>
      </c>
      <c r="E3505" t="s">
        <v>1273</v>
      </c>
      <c r="F3505" t="s">
        <v>2587</v>
      </c>
      <c r="G3505" t="s">
        <v>9858</v>
      </c>
      <c r="H3505">
        <v>4802643710</v>
      </c>
      <c r="K3505" t="s">
        <v>9859</v>
      </c>
      <c r="L3505" t="s">
        <v>9860</v>
      </c>
      <c r="M3505" t="s">
        <v>1634</v>
      </c>
    </row>
    <row r="3506" spans="1:13" x14ac:dyDescent="0.25">
      <c r="A3506">
        <v>92270</v>
      </c>
      <c r="B3506" t="s">
        <v>9873</v>
      </c>
      <c r="C3506" t="s">
        <v>9874</v>
      </c>
      <c r="D3506" t="s">
        <v>2605</v>
      </c>
      <c r="E3506" t="s">
        <v>1273</v>
      </c>
      <c r="F3506" t="s">
        <v>1959</v>
      </c>
      <c r="G3506" t="s">
        <v>9875</v>
      </c>
      <c r="H3506">
        <v>4805581197</v>
      </c>
      <c r="K3506" t="s">
        <v>9876</v>
      </c>
      <c r="L3506" t="s">
        <v>1647</v>
      </c>
      <c r="M3506" t="s">
        <v>1634</v>
      </c>
    </row>
    <row r="3507" spans="1:13" x14ac:dyDescent="0.25">
      <c r="A3507">
        <v>92270</v>
      </c>
      <c r="B3507" t="s">
        <v>9873</v>
      </c>
      <c r="C3507" t="s">
        <v>9874</v>
      </c>
      <c r="D3507" t="s">
        <v>2605</v>
      </c>
      <c r="E3507" t="s">
        <v>1273</v>
      </c>
      <c r="F3507" t="s">
        <v>2587</v>
      </c>
      <c r="G3507" t="s">
        <v>9858</v>
      </c>
      <c r="H3507">
        <v>4802643710</v>
      </c>
      <c r="K3507" t="s">
        <v>9859</v>
      </c>
      <c r="L3507" t="s">
        <v>9860</v>
      </c>
      <c r="M3507" t="s">
        <v>1765</v>
      </c>
    </row>
    <row r="3508" spans="1:13" x14ac:dyDescent="0.25">
      <c r="A3508">
        <v>4356</v>
      </c>
      <c r="B3508" t="s">
        <v>9877</v>
      </c>
      <c r="C3508" t="s">
        <v>9878</v>
      </c>
      <c r="D3508" t="s">
        <v>2596</v>
      </c>
      <c r="E3508" t="s">
        <v>1273</v>
      </c>
      <c r="F3508" t="s">
        <v>4167</v>
      </c>
      <c r="G3508" t="s">
        <v>9879</v>
      </c>
      <c r="H3508">
        <v>4808370046</v>
      </c>
      <c r="K3508" t="s">
        <v>9880</v>
      </c>
      <c r="L3508" t="s">
        <v>1640</v>
      </c>
      <c r="M3508" t="s">
        <v>1634</v>
      </c>
    </row>
    <row r="3509" spans="1:13" x14ac:dyDescent="0.25">
      <c r="A3509">
        <v>4356</v>
      </c>
      <c r="B3509" t="s">
        <v>9877</v>
      </c>
      <c r="C3509" t="s">
        <v>9878</v>
      </c>
      <c r="D3509" t="s">
        <v>2596</v>
      </c>
      <c r="E3509" t="s">
        <v>1273</v>
      </c>
      <c r="F3509" t="s">
        <v>4167</v>
      </c>
      <c r="G3509" t="s">
        <v>9879</v>
      </c>
      <c r="H3509">
        <v>4808370046</v>
      </c>
      <c r="K3509" t="s">
        <v>9880</v>
      </c>
      <c r="L3509" t="s">
        <v>1640</v>
      </c>
      <c r="M3509" t="s">
        <v>1640</v>
      </c>
    </row>
    <row r="3510" spans="1:13" x14ac:dyDescent="0.25">
      <c r="A3510">
        <v>4356</v>
      </c>
      <c r="B3510" t="s">
        <v>9877</v>
      </c>
      <c r="C3510" t="s">
        <v>9878</v>
      </c>
      <c r="D3510" t="s">
        <v>2596</v>
      </c>
      <c r="E3510" t="s">
        <v>1273</v>
      </c>
      <c r="F3510" t="s">
        <v>9881</v>
      </c>
      <c r="G3510" t="s">
        <v>9882</v>
      </c>
      <c r="H3510">
        <v>9283790031</v>
      </c>
      <c r="K3510" t="s">
        <v>9883</v>
      </c>
      <c r="M3510" t="s">
        <v>1640</v>
      </c>
    </row>
    <row r="3511" spans="1:13" x14ac:dyDescent="0.25">
      <c r="A3511">
        <v>5539</v>
      </c>
      <c r="B3511" t="s">
        <v>9877</v>
      </c>
      <c r="C3511" t="s">
        <v>9884</v>
      </c>
      <c r="D3511" t="s">
        <v>2605</v>
      </c>
      <c r="E3511" t="s">
        <v>1273</v>
      </c>
    </row>
    <row r="3512" spans="1:13" x14ac:dyDescent="0.25">
      <c r="A3512">
        <v>4358</v>
      </c>
      <c r="B3512" t="s">
        <v>9885</v>
      </c>
      <c r="C3512" t="s">
        <v>9886</v>
      </c>
      <c r="D3512" t="s">
        <v>2596</v>
      </c>
      <c r="E3512" t="s">
        <v>1273</v>
      </c>
      <c r="F3512" t="s">
        <v>2745</v>
      </c>
      <c r="G3512" t="s">
        <v>2647</v>
      </c>
      <c r="K3512" t="s">
        <v>8637</v>
      </c>
      <c r="M3512" t="s">
        <v>1640</v>
      </c>
    </row>
    <row r="3513" spans="1:13" x14ac:dyDescent="0.25">
      <c r="A3513">
        <v>78822</v>
      </c>
      <c r="B3513" t="s">
        <v>9887</v>
      </c>
      <c r="C3513" t="s">
        <v>9888</v>
      </c>
      <c r="D3513" t="s">
        <v>2605</v>
      </c>
      <c r="E3513" t="s">
        <v>1273</v>
      </c>
      <c r="F3513" t="s">
        <v>2033</v>
      </c>
      <c r="G3513" t="s">
        <v>9889</v>
      </c>
      <c r="H3513">
        <v>6022437583</v>
      </c>
      <c r="J3513">
        <v>6022437563</v>
      </c>
      <c r="K3513" t="s">
        <v>9890</v>
      </c>
      <c r="M3513" t="s">
        <v>1634</v>
      </c>
    </row>
    <row r="3514" spans="1:13" x14ac:dyDescent="0.25">
      <c r="A3514">
        <v>4359</v>
      </c>
      <c r="B3514" t="s">
        <v>9891</v>
      </c>
      <c r="C3514" t="s">
        <v>9892</v>
      </c>
      <c r="D3514" t="s">
        <v>2596</v>
      </c>
      <c r="E3514" t="s">
        <v>1273</v>
      </c>
      <c r="F3514" t="s">
        <v>4473</v>
      </c>
      <c r="G3514" t="s">
        <v>9893</v>
      </c>
      <c r="H3514">
        <v>6026165148</v>
      </c>
      <c r="J3514">
        <v>6026740094</v>
      </c>
      <c r="K3514" t="s">
        <v>9894</v>
      </c>
      <c r="L3514" t="s">
        <v>9895</v>
      </c>
      <c r="M3514" t="s">
        <v>1634</v>
      </c>
    </row>
    <row r="3515" spans="1:13" x14ac:dyDescent="0.25">
      <c r="A3515">
        <v>4359</v>
      </c>
      <c r="B3515" t="s">
        <v>9891</v>
      </c>
      <c r="C3515" t="s">
        <v>9892</v>
      </c>
      <c r="D3515" t="s">
        <v>2596</v>
      </c>
      <c r="E3515" t="s">
        <v>1273</v>
      </c>
      <c r="F3515" t="s">
        <v>5273</v>
      </c>
      <c r="G3515" t="s">
        <v>9893</v>
      </c>
      <c r="H3515">
        <v>6028700004</v>
      </c>
      <c r="K3515" t="s">
        <v>9896</v>
      </c>
      <c r="L3515" t="s">
        <v>1640</v>
      </c>
      <c r="M3515" t="s">
        <v>1634</v>
      </c>
    </row>
    <row r="3516" spans="1:13" x14ac:dyDescent="0.25">
      <c r="A3516">
        <v>4359</v>
      </c>
      <c r="B3516" t="s">
        <v>9891</v>
      </c>
      <c r="C3516" t="s">
        <v>9892</v>
      </c>
      <c r="D3516" t="s">
        <v>2596</v>
      </c>
      <c r="E3516" t="s">
        <v>1273</v>
      </c>
      <c r="F3516" t="s">
        <v>2192</v>
      </c>
      <c r="G3516" t="s">
        <v>9605</v>
      </c>
      <c r="K3516" t="s">
        <v>9897</v>
      </c>
      <c r="M3516" t="s">
        <v>1634</v>
      </c>
    </row>
    <row r="3517" spans="1:13" x14ac:dyDescent="0.25">
      <c r="A3517">
        <v>4359</v>
      </c>
      <c r="B3517" t="s">
        <v>9891</v>
      </c>
      <c r="C3517" t="s">
        <v>9892</v>
      </c>
      <c r="D3517" t="s">
        <v>2596</v>
      </c>
      <c r="E3517" t="s">
        <v>1273</v>
      </c>
      <c r="F3517" t="s">
        <v>9879</v>
      </c>
      <c r="G3517" t="s">
        <v>9898</v>
      </c>
      <c r="H3517">
        <v>6029423435</v>
      </c>
      <c r="I3517">
        <v>7</v>
      </c>
      <c r="K3517" t="s">
        <v>9899</v>
      </c>
      <c r="L3517" t="s">
        <v>1634</v>
      </c>
      <c r="M3517" t="s">
        <v>1634</v>
      </c>
    </row>
    <row r="3518" spans="1:13" x14ac:dyDescent="0.25">
      <c r="A3518">
        <v>5542</v>
      </c>
      <c r="B3518" t="s">
        <v>9900</v>
      </c>
      <c r="C3518" t="s">
        <v>9901</v>
      </c>
      <c r="D3518" t="s">
        <v>2605</v>
      </c>
      <c r="E3518" t="s">
        <v>1273</v>
      </c>
    </row>
    <row r="3519" spans="1:13" x14ac:dyDescent="0.25">
      <c r="A3519">
        <v>5544</v>
      </c>
      <c r="B3519" t="s">
        <v>9902</v>
      </c>
      <c r="C3519" t="s">
        <v>9903</v>
      </c>
      <c r="D3519" t="s">
        <v>2605</v>
      </c>
      <c r="E3519" t="s">
        <v>1273</v>
      </c>
      <c r="F3519" t="s">
        <v>2408</v>
      </c>
      <c r="G3519" t="s">
        <v>6937</v>
      </c>
      <c r="H3519">
        <v>6026165148</v>
      </c>
      <c r="J3519">
        <v>6023950271</v>
      </c>
      <c r="K3519" t="s">
        <v>9904</v>
      </c>
      <c r="M3519" t="s">
        <v>1634</v>
      </c>
    </row>
    <row r="3520" spans="1:13" x14ac:dyDescent="0.25">
      <c r="A3520">
        <v>4360</v>
      </c>
      <c r="B3520" t="s">
        <v>9905</v>
      </c>
      <c r="C3520" t="s">
        <v>9906</v>
      </c>
      <c r="D3520" t="s">
        <v>2596</v>
      </c>
      <c r="E3520" t="s">
        <v>1273</v>
      </c>
      <c r="F3520" t="s">
        <v>9907</v>
      </c>
      <c r="G3520" t="s">
        <v>9908</v>
      </c>
      <c r="H3520">
        <v>6022523759</v>
      </c>
      <c r="J3520">
        <v>6022525224</v>
      </c>
      <c r="K3520" t="s">
        <v>9909</v>
      </c>
      <c r="L3520" t="s">
        <v>8508</v>
      </c>
      <c r="M3520" t="s">
        <v>1634</v>
      </c>
    </row>
    <row r="3521" spans="1:13" x14ac:dyDescent="0.25">
      <c r="A3521">
        <v>4360</v>
      </c>
      <c r="B3521" t="s">
        <v>9905</v>
      </c>
      <c r="C3521" t="s">
        <v>9906</v>
      </c>
      <c r="D3521" t="s">
        <v>2596</v>
      </c>
      <c r="E3521" t="s">
        <v>1273</v>
      </c>
      <c r="F3521" t="s">
        <v>9910</v>
      </c>
      <c r="G3521" t="s">
        <v>9911</v>
      </c>
      <c r="M3521" t="s">
        <v>1634</v>
      </c>
    </row>
    <row r="3522" spans="1:13" x14ac:dyDescent="0.25">
      <c r="A3522">
        <v>5547</v>
      </c>
      <c r="B3522" t="s">
        <v>9912</v>
      </c>
      <c r="C3522" t="s">
        <v>9913</v>
      </c>
      <c r="D3522" t="s">
        <v>2605</v>
      </c>
      <c r="E3522" t="s">
        <v>1273</v>
      </c>
      <c r="F3522" t="s">
        <v>6014</v>
      </c>
      <c r="G3522" t="s">
        <v>9914</v>
      </c>
      <c r="H3522">
        <v>6023221050</v>
      </c>
      <c r="J3522">
        <v>6022525224</v>
      </c>
      <c r="K3522" t="s">
        <v>9915</v>
      </c>
      <c r="M3522" t="s">
        <v>1634</v>
      </c>
    </row>
    <row r="3523" spans="1:13" x14ac:dyDescent="0.25">
      <c r="A3523">
        <v>5547</v>
      </c>
      <c r="B3523" t="s">
        <v>9912</v>
      </c>
      <c r="C3523" t="s">
        <v>9913</v>
      </c>
      <c r="D3523" t="s">
        <v>2605</v>
      </c>
      <c r="E3523" t="s">
        <v>1273</v>
      </c>
      <c r="F3523" t="s">
        <v>9910</v>
      </c>
      <c r="G3523" t="s">
        <v>9911</v>
      </c>
      <c r="H3523">
        <v>6022523759</v>
      </c>
      <c r="K3523" t="s">
        <v>9916</v>
      </c>
      <c r="M3523" t="s">
        <v>1634</v>
      </c>
    </row>
    <row r="3524" spans="1:13" x14ac:dyDescent="0.25">
      <c r="A3524">
        <v>78882</v>
      </c>
      <c r="B3524" t="s">
        <v>9917</v>
      </c>
      <c r="C3524" t="s">
        <v>9918</v>
      </c>
      <c r="D3524" t="s">
        <v>2596</v>
      </c>
      <c r="E3524" t="s">
        <v>1273</v>
      </c>
      <c r="F3524" t="s">
        <v>9919</v>
      </c>
      <c r="G3524" t="s">
        <v>3198</v>
      </c>
      <c r="J3524">
        <v>6022389577</v>
      </c>
      <c r="K3524" t="s">
        <v>9920</v>
      </c>
      <c r="L3524" t="s">
        <v>1647</v>
      </c>
      <c r="M3524" t="s">
        <v>1634</v>
      </c>
    </row>
    <row r="3525" spans="1:13" x14ac:dyDescent="0.25">
      <c r="A3525">
        <v>78882</v>
      </c>
      <c r="B3525" t="s">
        <v>9917</v>
      </c>
      <c r="C3525" t="s">
        <v>9918</v>
      </c>
      <c r="D3525" t="s">
        <v>2596</v>
      </c>
      <c r="E3525" t="s">
        <v>1273</v>
      </c>
      <c r="F3525" t="s">
        <v>9921</v>
      </c>
      <c r="G3525" t="s">
        <v>9922</v>
      </c>
      <c r="K3525" t="s">
        <v>9923</v>
      </c>
      <c r="L3525" t="s">
        <v>9924</v>
      </c>
      <c r="M3525" t="s">
        <v>1634</v>
      </c>
    </row>
    <row r="3526" spans="1:13" x14ac:dyDescent="0.25">
      <c r="A3526">
        <v>78883</v>
      </c>
      <c r="B3526" t="s">
        <v>9917</v>
      </c>
      <c r="C3526" t="s">
        <v>9925</v>
      </c>
      <c r="D3526" t="s">
        <v>2605</v>
      </c>
      <c r="E3526" t="s">
        <v>1273</v>
      </c>
      <c r="F3526" t="s">
        <v>8347</v>
      </c>
      <c r="G3526" t="s">
        <v>9926</v>
      </c>
      <c r="K3526" t="s">
        <v>9927</v>
      </c>
      <c r="L3526" t="s">
        <v>1721</v>
      </c>
      <c r="M3526" t="s">
        <v>1634</v>
      </c>
    </row>
    <row r="3527" spans="1:13" x14ac:dyDescent="0.25">
      <c r="A3527">
        <v>78883</v>
      </c>
      <c r="B3527" t="s">
        <v>9917</v>
      </c>
      <c r="C3527" t="s">
        <v>9925</v>
      </c>
      <c r="D3527" t="s">
        <v>2605</v>
      </c>
      <c r="E3527" t="s">
        <v>1273</v>
      </c>
      <c r="F3527" t="s">
        <v>9919</v>
      </c>
      <c r="G3527" t="s">
        <v>3198</v>
      </c>
      <c r="K3527" t="s">
        <v>9920</v>
      </c>
      <c r="L3527" t="s">
        <v>1647</v>
      </c>
      <c r="M3527" t="s">
        <v>1634</v>
      </c>
    </row>
    <row r="3528" spans="1:13" x14ac:dyDescent="0.25">
      <c r="A3528">
        <v>4361</v>
      </c>
      <c r="B3528" t="s">
        <v>9928</v>
      </c>
      <c r="C3528" t="s">
        <v>9929</v>
      </c>
      <c r="D3528" t="s">
        <v>2596</v>
      </c>
      <c r="E3528" t="s">
        <v>1273</v>
      </c>
      <c r="F3528" t="s">
        <v>3162</v>
      </c>
      <c r="G3528" t="s">
        <v>9930</v>
      </c>
      <c r="K3528" t="s">
        <v>9931</v>
      </c>
      <c r="L3528" t="s">
        <v>1647</v>
      </c>
      <c r="M3528" t="s">
        <v>1634</v>
      </c>
    </row>
    <row r="3529" spans="1:13" x14ac:dyDescent="0.25">
      <c r="A3529">
        <v>4361</v>
      </c>
      <c r="B3529" t="s">
        <v>9928</v>
      </c>
      <c r="C3529" t="s">
        <v>9929</v>
      </c>
      <c r="D3529" t="s">
        <v>2596</v>
      </c>
      <c r="E3529" t="s">
        <v>1273</v>
      </c>
      <c r="F3529" t="s">
        <v>3013</v>
      </c>
      <c r="G3529" t="s">
        <v>9932</v>
      </c>
      <c r="K3529" t="s">
        <v>9933</v>
      </c>
      <c r="L3529" t="s">
        <v>1923</v>
      </c>
      <c r="M3529" t="s">
        <v>1634</v>
      </c>
    </row>
    <row r="3530" spans="1:13" x14ac:dyDescent="0.25">
      <c r="A3530">
        <v>4361</v>
      </c>
      <c r="B3530" t="s">
        <v>9928</v>
      </c>
      <c r="C3530" t="s">
        <v>9929</v>
      </c>
      <c r="D3530" t="s">
        <v>2596</v>
      </c>
      <c r="E3530" t="s">
        <v>1273</v>
      </c>
      <c r="F3530" t="s">
        <v>6770</v>
      </c>
      <c r="G3530" t="s">
        <v>8642</v>
      </c>
      <c r="H3530">
        <v>4802271198</v>
      </c>
      <c r="K3530" t="s">
        <v>9934</v>
      </c>
      <c r="L3530" t="s">
        <v>8710</v>
      </c>
      <c r="M3530" t="s">
        <v>1634</v>
      </c>
    </row>
    <row r="3531" spans="1:13" x14ac:dyDescent="0.25">
      <c r="A3531">
        <v>4361</v>
      </c>
      <c r="B3531" t="s">
        <v>9928</v>
      </c>
      <c r="C3531" t="s">
        <v>9929</v>
      </c>
      <c r="D3531" t="s">
        <v>2596</v>
      </c>
      <c r="E3531" t="s">
        <v>1273</v>
      </c>
      <c r="F3531" t="s">
        <v>2806</v>
      </c>
      <c r="G3531" t="s">
        <v>9935</v>
      </c>
      <c r="H3531">
        <v>4808393402</v>
      </c>
      <c r="K3531" t="s">
        <v>9936</v>
      </c>
      <c r="L3531" t="s">
        <v>2207</v>
      </c>
      <c r="M3531" t="s">
        <v>1634</v>
      </c>
    </row>
    <row r="3532" spans="1:13" x14ac:dyDescent="0.25">
      <c r="A3532">
        <v>4361</v>
      </c>
      <c r="B3532" t="s">
        <v>9928</v>
      </c>
      <c r="C3532" t="s">
        <v>9929</v>
      </c>
      <c r="D3532" t="s">
        <v>2596</v>
      </c>
      <c r="E3532" t="s">
        <v>1273</v>
      </c>
      <c r="F3532" t="s">
        <v>9937</v>
      </c>
      <c r="G3532" t="s">
        <v>9938</v>
      </c>
      <c r="H3532">
        <v>4806191751</v>
      </c>
      <c r="K3532" t="s">
        <v>9939</v>
      </c>
      <c r="L3532" t="s">
        <v>9940</v>
      </c>
      <c r="M3532" t="s">
        <v>1640</v>
      </c>
    </row>
    <row r="3533" spans="1:13" x14ac:dyDescent="0.25">
      <c r="A3533">
        <v>4361</v>
      </c>
      <c r="B3533" t="s">
        <v>9928</v>
      </c>
      <c r="C3533" t="s">
        <v>9929</v>
      </c>
      <c r="D3533" t="s">
        <v>2596</v>
      </c>
      <c r="E3533" t="s">
        <v>1273</v>
      </c>
      <c r="F3533" t="s">
        <v>9937</v>
      </c>
      <c r="G3533" t="s">
        <v>9938</v>
      </c>
      <c r="H3533">
        <v>4806191751</v>
      </c>
      <c r="K3533" t="s">
        <v>9939</v>
      </c>
      <c r="L3533" t="s">
        <v>9940</v>
      </c>
      <c r="M3533" t="s">
        <v>1765</v>
      </c>
    </row>
    <row r="3534" spans="1:13" x14ac:dyDescent="0.25">
      <c r="A3534">
        <v>5549</v>
      </c>
      <c r="B3534" t="s">
        <v>9928</v>
      </c>
      <c r="C3534" t="s">
        <v>9941</v>
      </c>
      <c r="D3534" t="s">
        <v>2605</v>
      </c>
      <c r="E3534" t="s">
        <v>1273</v>
      </c>
      <c r="F3534" t="s">
        <v>6770</v>
      </c>
      <c r="G3534" t="s">
        <v>8642</v>
      </c>
      <c r="H3534">
        <v>4808393402</v>
      </c>
      <c r="J3534">
        <v>4807550546</v>
      </c>
      <c r="K3534" t="s">
        <v>9942</v>
      </c>
      <c r="L3534" t="s">
        <v>9943</v>
      </c>
      <c r="M3534" t="s">
        <v>1634</v>
      </c>
    </row>
    <row r="3535" spans="1:13" x14ac:dyDescent="0.25">
      <c r="A3535">
        <v>5549</v>
      </c>
      <c r="B3535" t="s">
        <v>9928</v>
      </c>
      <c r="C3535" t="s">
        <v>9941</v>
      </c>
      <c r="D3535" t="s">
        <v>2605</v>
      </c>
      <c r="E3535" t="s">
        <v>1273</v>
      </c>
      <c r="F3535" t="s">
        <v>2806</v>
      </c>
      <c r="G3535" t="s">
        <v>9935</v>
      </c>
      <c r="H3535">
        <v>6025105250</v>
      </c>
      <c r="K3535" t="s">
        <v>9936</v>
      </c>
      <c r="L3535" t="s">
        <v>2207</v>
      </c>
      <c r="M3535" t="s">
        <v>1634</v>
      </c>
    </row>
    <row r="3536" spans="1:13" x14ac:dyDescent="0.25">
      <c r="A3536">
        <v>5549</v>
      </c>
      <c r="B3536" t="s">
        <v>9928</v>
      </c>
      <c r="C3536" t="s">
        <v>9941</v>
      </c>
      <c r="D3536" t="s">
        <v>2605</v>
      </c>
      <c r="E3536" t="s">
        <v>1273</v>
      </c>
      <c r="F3536" t="s">
        <v>9937</v>
      </c>
      <c r="G3536" t="s">
        <v>9938</v>
      </c>
      <c r="H3536">
        <v>4806191751</v>
      </c>
      <c r="K3536" t="s">
        <v>9939</v>
      </c>
      <c r="L3536" t="s">
        <v>9940</v>
      </c>
      <c r="M3536" t="s">
        <v>1640</v>
      </c>
    </row>
    <row r="3537" spans="1:13" x14ac:dyDescent="0.25">
      <c r="A3537">
        <v>5549</v>
      </c>
      <c r="B3537" t="s">
        <v>9928</v>
      </c>
      <c r="C3537" t="s">
        <v>9941</v>
      </c>
      <c r="D3537" t="s">
        <v>2605</v>
      </c>
      <c r="E3537" t="s">
        <v>1273</v>
      </c>
      <c r="F3537" t="s">
        <v>9937</v>
      </c>
      <c r="G3537" t="s">
        <v>9938</v>
      </c>
      <c r="H3537">
        <v>4806191751</v>
      </c>
      <c r="K3537" t="s">
        <v>9939</v>
      </c>
      <c r="L3537" t="s">
        <v>9940</v>
      </c>
      <c r="M3537" t="s">
        <v>1765</v>
      </c>
    </row>
    <row r="3538" spans="1:13" x14ac:dyDescent="0.25">
      <c r="A3538">
        <v>4362</v>
      </c>
      <c r="B3538" t="s">
        <v>9944</v>
      </c>
      <c r="C3538" t="s">
        <v>9945</v>
      </c>
      <c r="D3538" t="s">
        <v>2596</v>
      </c>
      <c r="E3538" t="s">
        <v>1273</v>
      </c>
      <c r="F3538" t="s">
        <v>9431</v>
      </c>
      <c r="G3538" t="s">
        <v>6940</v>
      </c>
      <c r="K3538" t="s">
        <v>9946</v>
      </c>
      <c r="M3538" t="s">
        <v>1640</v>
      </c>
    </row>
    <row r="3539" spans="1:13" x14ac:dyDescent="0.25">
      <c r="A3539">
        <v>5550</v>
      </c>
      <c r="B3539" t="s">
        <v>9947</v>
      </c>
      <c r="C3539" t="s">
        <v>9948</v>
      </c>
      <c r="D3539" t="s">
        <v>2605</v>
      </c>
      <c r="E3539" t="s">
        <v>1273</v>
      </c>
      <c r="F3539" t="s">
        <v>9431</v>
      </c>
      <c r="G3539" t="s">
        <v>6940</v>
      </c>
      <c r="K3539" t="s">
        <v>9949</v>
      </c>
      <c r="M3539" t="s">
        <v>1634</v>
      </c>
    </row>
    <row r="3540" spans="1:13" x14ac:dyDescent="0.25">
      <c r="A3540">
        <v>5550</v>
      </c>
      <c r="B3540" t="s">
        <v>9947</v>
      </c>
      <c r="C3540" t="s">
        <v>9948</v>
      </c>
      <c r="D3540" t="s">
        <v>2605</v>
      </c>
      <c r="E3540" t="s">
        <v>1273</v>
      </c>
      <c r="F3540" t="s">
        <v>2997</v>
      </c>
      <c r="G3540" t="s">
        <v>9950</v>
      </c>
      <c r="H3540">
        <v>4808211404</v>
      </c>
      <c r="K3540" t="s">
        <v>9951</v>
      </c>
      <c r="M3540" t="s">
        <v>1634</v>
      </c>
    </row>
    <row r="3541" spans="1:13" x14ac:dyDescent="0.25">
      <c r="A3541">
        <v>4363</v>
      </c>
      <c r="B3541" t="s">
        <v>9952</v>
      </c>
      <c r="C3541" t="s">
        <v>9953</v>
      </c>
      <c r="D3541" t="s">
        <v>2596</v>
      </c>
      <c r="E3541" t="s">
        <v>1273</v>
      </c>
      <c r="F3541" t="s">
        <v>2429</v>
      </c>
      <c r="G3541" t="s">
        <v>9954</v>
      </c>
      <c r="H3541">
        <v>4809268375</v>
      </c>
      <c r="I3541">
        <v>1160</v>
      </c>
      <c r="K3541" t="s">
        <v>9955</v>
      </c>
      <c r="L3541" t="s">
        <v>2596</v>
      </c>
      <c r="M3541" t="s">
        <v>1634</v>
      </c>
    </row>
    <row r="3542" spans="1:13" x14ac:dyDescent="0.25">
      <c r="A3542">
        <v>4363</v>
      </c>
      <c r="B3542" t="s">
        <v>9952</v>
      </c>
      <c r="C3542" t="s">
        <v>9953</v>
      </c>
      <c r="D3542" t="s">
        <v>2596</v>
      </c>
      <c r="E3542" t="s">
        <v>1273</v>
      </c>
      <c r="F3542" t="s">
        <v>9956</v>
      </c>
      <c r="G3542" t="s">
        <v>9957</v>
      </c>
      <c r="K3542" t="s">
        <v>9958</v>
      </c>
      <c r="L3542" t="s">
        <v>2052</v>
      </c>
      <c r="M3542" t="s">
        <v>1634</v>
      </c>
    </row>
    <row r="3543" spans="1:13" x14ac:dyDescent="0.25">
      <c r="A3543">
        <v>4363</v>
      </c>
      <c r="B3543" t="s">
        <v>9952</v>
      </c>
      <c r="C3543" t="s">
        <v>9953</v>
      </c>
      <c r="D3543" t="s">
        <v>2596</v>
      </c>
      <c r="E3543" t="s">
        <v>1273</v>
      </c>
      <c r="F3543" t="s">
        <v>2256</v>
      </c>
      <c r="G3543" t="s">
        <v>9959</v>
      </c>
      <c r="H3543">
        <v>4809268375</v>
      </c>
      <c r="I3543">
        <v>1157</v>
      </c>
      <c r="K3543" t="s">
        <v>9960</v>
      </c>
      <c r="L3543" t="s">
        <v>2446</v>
      </c>
      <c r="M3543" t="s">
        <v>1640</v>
      </c>
    </row>
    <row r="3544" spans="1:13" x14ac:dyDescent="0.25">
      <c r="A3544">
        <v>5552</v>
      </c>
      <c r="B3544" t="s">
        <v>9961</v>
      </c>
      <c r="C3544" t="s">
        <v>9962</v>
      </c>
      <c r="D3544" t="s">
        <v>2605</v>
      </c>
      <c r="E3544" t="s">
        <v>1273</v>
      </c>
      <c r="F3544" t="s">
        <v>2429</v>
      </c>
      <c r="G3544" t="s">
        <v>9954</v>
      </c>
      <c r="H3544">
        <v>4809268375</v>
      </c>
      <c r="J3544">
        <v>4805030515</v>
      </c>
      <c r="K3544" t="s">
        <v>9963</v>
      </c>
      <c r="L3544" t="s">
        <v>2596</v>
      </c>
      <c r="M3544" t="s">
        <v>1634</v>
      </c>
    </row>
    <row r="3545" spans="1:13" x14ac:dyDescent="0.25">
      <c r="A3545">
        <v>5552</v>
      </c>
      <c r="B3545" t="s">
        <v>9961</v>
      </c>
      <c r="C3545" t="s">
        <v>9962</v>
      </c>
      <c r="D3545" t="s">
        <v>2605</v>
      </c>
      <c r="E3545" t="s">
        <v>1273</v>
      </c>
      <c r="F3545" t="s">
        <v>2307</v>
      </c>
      <c r="G3545" t="s">
        <v>9964</v>
      </c>
      <c r="H3545">
        <v>4809641381</v>
      </c>
      <c r="J3545">
        <v>4806685457</v>
      </c>
      <c r="K3545" t="s">
        <v>9965</v>
      </c>
      <c r="L3545" t="s">
        <v>1746</v>
      </c>
      <c r="M3545" t="s">
        <v>1634</v>
      </c>
    </row>
    <row r="3546" spans="1:13" x14ac:dyDescent="0.25">
      <c r="A3546">
        <v>79707</v>
      </c>
      <c r="B3546" t="s">
        <v>9966</v>
      </c>
      <c r="C3546" t="s">
        <v>9967</v>
      </c>
      <c r="D3546" t="s">
        <v>2605</v>
      </c>
      <c r="E3546" t="s">
        <v>1273</v>
      </c>
      <c r="F3546" t="s">
        <v>2307</v>
      </c>
      <c r="G3546" t="s">
        <v>9964</v>
      </c>
      <c r="H3546">
        <v>4809641381</v>
      </c>
      <c r="J3546">
        <v>4806685457</v>
      </c>
      <c r="K3546" t="s">
        <v>9965</v>
      </c>
      <c r="L3546" t="s">
        <v>1746</v>
      </c>
      <c r="M3546" t="s">
        <v>1634</v>
      </c>
    </row>
    <row r="3547" spans="1:13" x14ac:dyDescent="0.25">
      <c r="A3547">
        <v>78965</v>
      </c>
      <c r="B3547" t="s">
        <v>643</v>
      </c>
      <c r="C3547" t="s">
        <v>9968</v>
      </c>
      <c r="D3547" t="s">
        <v>2596</v>
      </c>
      <c r="E3547" t="s">
        <v>1273</v>
      </c>
      <c r="F3547" t="s">
        <v>8300</v>
      </c>
      <c r="G3547" t="s">
        <v>8301</v>
      </c>
      <c r="H3547">
        <v>6029532933</v>
      </c>
      <c r="K3547" t="s">
        <v>8302</v>
      </c>
      <c r="M3547" t="s">
        <v>1634</v>
      </c>
    </row>
    <row r="3548" spans="1:13" x14ac:dyDescent="0.25">
      <c r="A3548">
        <v>78965</v>
      </c>
      <c r="B3548" t="s">
        <v>643</v>
      </c>
      <c r="C3548" t="s">
        <v>9968</v>
      </c>
      <c r="D3548" t="s">
        <v>2596</v>
      </c>
      <c r="E3548" t="s">
        <v>1273</v>
      </c>
      <c r="F3548" t="s">
        <v>1750</v>
      </c>
      <c r="G3548" t="s">
        <v>4537</v>
      </c>
      <c r="H3548">
        <v>6029532933</v>
      </c>
      <c r="K3548" t="s">
        <v>9071</v>
      </c>
      <c r="L3548" t="s">
        <v>1746</v>
      </c>
      <c r="M3548" t="s">
        <v>1634</v>
      </c>
    </row>
    <row r="3549" spans="1:13" x14ac:dyDescent="0.25">
      <c r="A3549">
        <v>78965</v>
      </c>
      <c r="B3549" t="s">
        <v>643</v>
      </c>
      <c r="C3549" t="s">
        <v>9968</v>
      </c>
      <c r="D3549" t="s">
        <v>2596</v>
      </c>
      <c r="E3549" t="s">
        <v>1273</v>
      </c>
      <c r="F3549" t="s">
        <v>3570</v>
      </c>
      <c r="G3549" t="s">
        <v>5188</v>
      </c>
      <c r="K3549" t="s">
        <v>9636</v>
      </c>
      <c r="L3549" t="s">
        <v>9637</v>
      </c>
      <c r="M3549" t="s">
        <v>1640</v>
      </c>
    </row>
    <row r="3550" spans="1:13" x14ac:dyDescent="0.25">
      <c r="A3550">
        <v>78965</v>
      </c>
      <c r="B3550" t="s">
        <v>643</v>
      </c>
      <c r="C3550" t="s">
        <v>9968</v>
      </c>
      <c r="D3550" t="s">
        <v>2596</v>
      </c>
      <c r="E3550" t="s">
        <v>1273</v>
      </c>
      <c r="F3550" t="s">
        <v>1848</v>
      </c>
      <c r="G3550" t="s">
        <v>2927</v>
      </c>
      <c r="K3550" t="s">
        <v>8243</v>
      </c>
      <c r="M3550" t="s">
        <v>1765</v>
      </c>
    </row>
    <row r="3551" spans="1:13" x14ac:dyDescent="0.25">
      <c r="A3551">
        <v>79178</v>
      </c>
      <c r="B3551" t="s">
        <v>644</v>
      </c>
      <c r="C3551" t="s">
        <v>9969</v>
      </c>
      <c r="D3551" t="s">
        <v>2605</v>
      </c>
      <c r="E3551" t="s">
        <v>1273</v>
      </c>
      <c r="F3551" t="s">
        <v>3570</v>
      </c>
      <c r="G3551" t="s">
        <v>5188</v>
      </c>
      <c r="K3551" t="s">
        <v>8727</v>
      </c>
      <c r="M3551" t="s">
        <v>1634</v>
      </c>
    </row>
    <row r="3552" spans="1:13" x14ac:dyDescent="0.25">
      <c r="A3552">
        <v>79178</v>
      </c>
      <c r="B3552" t="s">
        <v>644</v>
      </c>
      <c r="C3552" t="s">
        <v>9969</v>
      </c>
      <c r="D3552" t="s">
        <v>2605</v>
      </c>
      <c r="E3552" t="s">
        <v>1273</v>
      </c>
      <c r="F3552" t="s">
        <v>4013</v>
      </c>
      <c r="G3552" t="s">
        <v>1588</v>
      </c>
      <c r="K3552" t="s">
        <v>9970</v>
      </c>
      <c r="M3552" t="s">
        <v>1634</v>
      </c>
    </row>
    <row r="3553" spans="1:13" x14ac:dyDescent="0.25">
      <c r="A3553">
        <v>79178</v>
      </c>
      <c r="B3553" t="s">
        <v>644</v>
      </c>
      <c r="C3553" t="s">
        <v>9969</v>
      </c>
      <c r="D3553" t="s">
        <v>2605</v>
      </c>
      <c r="E3553" t="s">
        <v>1273</v>
      </c>
      <c r="F3553" t="s">
        <v>3570</v>
      </c>
      <c r="G3553" t="s">
        <v>5188</v>
      </c>
      <c r="K3553" t="s">
        <v>8727</v>
      </c>
      <c r="M3553" t="s">
        <v>1640</v>
      </c>
    </row>
    <row r="3554" spans="1:13" x14ac:dyDescent="0.25">
      <c r="A3554">
        <v>79178</v>
      </c>
      <c r="B3554" t="s">
        <v>644</v>
      </c>
      <c r="C3554" t="s">
        <v>9969</v>
      </c>
      <c r="D3554" t="s">
        <v>2605</v>
      </c>
      <c r="E3554" t="s">
        <v>1273</v>
      </c>
      <c r="F3554" t="s">
        <v>2053</v>
      </c>
      <c r="G3554" t="s">
        <v>6310</v>
      </c>
      <c r="K3554" t="s">
        <v>9120</v>
      </c>
      <c r="L3554" t="s">
        <v>8731</v>
      </c>
      <c r="M3554" t="s">
        <v>1765</v>
      </c>
    </row>
    <row r="3555" spans="1:13" x14ac:dyDescent="0.25">
      <c r="A3555">
        <v>10972</v>
      </c>
      <c r="B3555" t="s">
        <v>9971</v>
      </c>
      <c r="C3555" t="s">
        <v>9972</v>
      </c>
      <c r="D3555" t="s">
        <v>2596</v>
      </c>
      <c r="E3555" t="s">
        <v>1273</v>
      </c>
      <c r="F3555" t="s">
        <v>2229</v>
      </c>
      <c r="G3555" t="s">
        <v>6662</v>
      </c>
      <c r="H3555">
        <v>6027176057</v>
      </c>
      <c r="K3555" t="s">
        <v>9973</v>
      </c>
      <c r="L3555" t="s">
        <v>7287</v>
      </c>
      <c r="M3555" t="s">
        <v>1634</v>
      </c>
    </row>
    <row r="3556" spans="1:13" x14ac:dyDescent="0.25">
      <c r="A3556">
        <v>10972</v>
      </c>
      <c r="B3556" t="s">
        <v>9971</v>
      </c>
      <c r="C3556" t="s">
        <v>9972</v>
      </c>
      <c r="D3556" t="s">
        <v>2596</v>
      </c>
      <c r="E3556" t="s">
        <v>1273</v>
      </c>
      <c r="F3556" t="s">
        <v>6078</v>
      </c>
      <c r="G3556" t="s">
        <v>9974</v>
      </c>
      <c r="H3556">
        <v>6262008222</v>
      </c>
      <c r="K3556" t="s">
        <v>9975</v>
      </c>
      <c r="L3556" t="s">
        <v>7171</v>
      </c>
      <c r="M3556" t="s">
        <v>1634</v>
      </c>
    </row>
    <row r="3557" spans="1:13" x14ac:dyDescent="0.25">
      <c r="A3557">
        <v>10972</v>
      </c>
      <c r="B3557" t="s">
        <v>9971</v>
      </c>
      <c r="C3557" t="s">
        <v>9972</v>
      </c>
      <c r="D3557" t="s">
        <v>2596</v>
      </c>
      <c r="E3557" t="s">
        <v>1273</v>
      </c>
      <c r="F3557" t="s">
        <v>9024</v>
      </c>
      <c r="G3557" t="s">
        <v>8642</v>
      </c>
      <c r="H3557">
        <v>6029445111</v>
      </c>
      <c r="K3557" t="s">
        <v>9025</v>
      </c>
      <c r="L3557" t="s">
        <v>6249</v>
      </c>
      <c r="M3557" t="s">
        <v>1640</v>
      </c>
    </row>
    <row r="3558" spans="1:13" x14ac:dyDescent="0.25">
      <c r="A3558">
        <v>10972</v>
      </c>
      <c r="B3558" t="s">
        <v>9971</v>
      </c>
      <c r="C3558" t="s">
        <v>9972</v>
      </c>
      <c r="D3558" t="s">
        <v>2596</v>
      </c>
      <c r="E3558" t="s">
        <v>1273</v>
      </c>
      <c r="F3558" t="s">
        <v>2745</v>
      </c>
      <c r="G3558" t="s">
        <v>2647</v>
      </c>
      <c r="K3558" t="s">
        <v>8637</v>
      </c>
      <c r="L3558" t="s">
        <v>6249</v>
      </c>
      <c r="M3558" t="s">
        <v>1640</v>
      </c>
    </row>
    <row r="3559" spans="1:13" x14ac:dyDescent="0.25">
      <c r="A3559">
        <v>10972</v>
      </c>
      <c r="B3559" t="s">
        <v>9971</v>
      </c>
      <c r="C3559" t="s">
        <v>9972</v>
      </c>
      <c r="D3559" t="s">
        <v>2596</v>
      </c>
      <c r="E3559" t="s">
        <v>1273</v>
      </c>
      <c r="F3559" t="s">
        <v>2099</v>
      </c>
      <c r="G3559" t="s">
        <v>8638</v>
      </c>
      <c r="K3559" t="s">
        <v>8639</v>
      </c>
      <c r="L3559" t="s">
        <v>1765</v>
      </c>
      <c r="M3559" t="s">
        <v>1765</v>
      </c>
    </row>
    <row r="3560" spans="1:13" x14ac:dyDescent="0.25">
      <c r="A3560">
        <v>10972</v>
      </c>
      <c r="B3560" t="s">
        <v>9971</v>
      </c>
      <c r="C3560" t="s">
        <v>9972</v>
      </c>
      <c r="D3560" t="s">
        <v>2596</v>
      </c>
      <c r="E3560" t="s">
        <v>1273</v>
      </c>
      <c r="F3560" t="s">
        <v>2229</v>
      </c>
      <c r="G3560" t="s">
        <v>6662</v>
      </c>
      <c r="H3560">
        <v>6027176057</v>
      </c>
      <c r="K3560" t="s">
        <v>9973</v>
      </c>
      <c r="L3560" t="s">
        <v>7287</v>
      </c>
      <c r="M3560" t="s">
        <v>1765</v>
      </c>
    </row>
    <row r="3561" spans="1:13" x14ac:dyDescent="0.25">
      <c r="A3561">
        <v>10972</v>
      </c>
      <c r="B3561" t="s">
        <v>9971</v>
      </c>
      <c r="C3561" t="s">
        <v>9972</v>
      </c>
      <c r="D3561" t="s">
        <v>2596</v>
      </c>
      <c r="E3561" t="s">
        <v>1273</v>
      </c>
      <c r="F3561" t="s">
        <v>6078</v>
      </c>
      <c r="G3561" t="s">
        <v>9974</v>
      </c>
      <c r="H3561">
        <v>6262008222</v>
      </c>
      <c r="K3561" t="s">
        <v>9975</v>
      </c>
      <c r="L3561" t="s">
        <v>7171</v>
      </c>
      <c r="M3561" t="s">
        <v>1765</v>
      </c>
    </row>
    <row r="3562" spans="1:13" x14ac:dyDescent="0.25">
      <c r="A3562">
        <v>78803</v>
      </c>
      <c r="B3562" t="s">
        <v>9976</v>
      </c>
      <c r="C3562" t="s">
        <v>9977</v>
      </c>
      <c r="D3562" t="s">
        <v>2605</v>
      </c>
      <c r="E3562" t="s">
        <v>1273</v>
      </c>
      <c r="F3562" t="s">
        <v>1812</v>
      </c>
      <c r="G3562" t="s">
        <v>9978</v>
      </c>
      <c r="J3562">
        <v>6027651932</v>
      </c>
      <c r="K3562" t="s">
        <v>9979</v>
      </c>
      <c r="M3562" t="s">
        <v>1634</v>
      </c>
    </row>
    <row r="3563" spans="1:13" x14ac:dyDescent="0.25">
      <c r="A3563">
        <v>4323</v>
      </c>
      <c r="B3563" t="s">
        <v>9980</v>
      </c>
      <c r="C3563" t="s">
        <v>9981</v>
      </c>
      <c r="D3563" t="s">
        <v>2596</v>
      </c>
      <c r="E3563" t="s">
        <v>1273</v>
      </c>
      <c r="F3563" t="s">
        <v>5693</v>
      </c>
      <c r="G3563" t="s">
        <v>9596</v>
      </c>
      <c r="H3563">
        <v>8008339235</v>
      </c>
      <c r="K3563" t="s">
        <v>9982</v>
      </c>
      <c r="L3563" t="s">
        <v>8096</v>
      </c>
      <c r="M3563" t="s">
        <v>1634</v>
      </c>
    </row>
    <row r="3564" spans="1:13" x14ac:dyDescent="0.25">
      <c r="A3564">
        <v>4323</v>
      </c>
      <c r="B3564" t="s">
        <v>9980</v>
      </c>
      <c r="C3564" t="s">
        <v>9981</v>
      </c>
      <c r="D3564" t="s">
        <v>2596</v>
      </c>
      <c r="E3564" t="s">
        <v>1273</v>
      </c>
      <c r="F3564" t="s">
        <v>4318</v>
      </c>
      <c r="G3564" t="s">
        <v>9983</v>
      </c>
      <c r="H3564">
        <v>8473676383</v>
      </c>
      <c r="K3564" t="s">
        <v>9984</v>
      </c>
      <c r="L3564" t="s">
        <v>2358</v>
      </c>
      <c r="M3564" t="s">
        <v>1640</v>
      </c>
    </row>
    <row r="3565" spans="1:13" x14ac:dyDescent="0.25">
      <c r="A3565">
        <v>4323</v>
      </c>
      <c r="B3565" t="s">
        <v>9980</v>
      </c>
      <c r="C3565" t="s">
        <v>9981</v>
      </c>
      <c r="D3565" t="s">
        <v>2596</v>
      </c>
      <c r="E3565" t="s">
        <v>1273</v>
      </c>
      <c r="F3565" t="s">
        <v>5115</v>
      </c>
      <c r="G3565" t="s">
        <v>9985</v>
      </c>
      <c r="H3565">
        <v>6233229122</v>
      </c>
      <c r="K3565" t="s">
        <v>9986</v>
      </c>
      <c r="L3565" t="s">
        <v>2446</v>
      </c>
      <c r="M3565" t="s">
        <v>1765</v>
      </c>
    </row>
    <row r="3566" spans="1:13" x14ac:dyDescent="0.25">
      <c r="A3566">
        <v>10737</v>
      </c>
      <c r="B3566" t="s">
        <v>9987</v>
      </c>
      <c r="C3566" t="s">
        <v>9988</v>
      </c>
      <c r="D3566" t="s">
        <v>2605</v>
      </c>
      <c r="E3566" t="s">
        <v>1273</v>
      </c>
      <c r="F3566" t="s">
        <v>3945</v>
      </c>
      <c r="G3566" t="s">
        <v>9989</v>
      </c>
      <c r="H3566">
        <v>8472476621</v>
      </c>
      <c r="J3566">
        <v>8473670367</v>
      </c>
      <c r="L3566" t="s">
        <v>9990</v>
      </c>
      <c r="M3566" t="s">
        <v>1634</v>
      </c>
    </row>
    <row r="3567" spans="1:13" x14ac:dyDescent="0.25">
      <c r="A3567">
        <v>78814</v>
      </c>
      <c r="B3567" t="s">
        <v>9991</v>
      </c>
      <c r="C3567" t="s">
        <v>9992</v>
      </c>
      <c r="D3567" t="s">
        <v>2605</v>
      </c>
      <c r="E3567" t="s">
        <v>1273</v>
      </c>
      <c r="F3567" t="s">
        <v>3945</v>
      </c>
      <c r="G3567" t="s">
        <v>9989</v>
      </c>
      <c r="H3567">
        <v>8472476621</v>
      </c>
      <c r="J3567">
        <v>8473670367</v>
      </c>
      <c r="L3567" t="s">
        <v>9993</v>
      </c>
      <c r="M3567" t="s">
        <v>1634</v>
      </c>
    </row>
    <row r="3568" spans="1:13" x14ac:dyDescent="0.25">
      <c r="A3568">
        <v>79174</v>
      </c>
      <c r="B3568" t="s">
        <v>9994</v>
      </c>
      <c r="C3568" t="s">
        <v>9995</v>
      </c>
      <c r="D3568" t="s">
        <v>2605</v>
      </c>
      <c r="E3568" t="s">
        <v>1273</v>
      </c>
      <c r="F3568" t="s">
        <v>3945</v>
      </c>
      <c r="G3568" t="s">
        <v>9989</v>
      </c>
      <c r="H3568">
        <v>8472476621</v>
      </c>
      <c r="J3568">
        <v>8473670367</v>
      </c>
      <c r="L3568" t="s">
        <v>9990</v>
      </c>
      <c r="M3568" t="s">
        <v>1634</v>
      </c>
    </row>
    <row r="3569" spans="1:13" x14ac:dyDescent="0.25">
      <c r="A3569">
        <v>80026</v>
      </c>
      <c r="B3569" t="s">
        <v>9996</v>
      </c>
      <c r="C3569" t="s">
        <v>9997</v>
      </c>
      <c r="D3569" t="s">
        <v>2605</v>
      </c>
      <c r="E3569" t="s">
        <v>1273</v>
      </c>
      <c r="F3569" t="s">
        <v>3945</v>
      </c>
      <c r="G3569" t="s">
        <v>9989</v>
      </c>
      <c r="H3569">
        <v>8472476621</v>
      </c>
      <c r="J3569">
        <v>8473670367</v>
      </c>
      <c r="L3569" t="s">
        <v>9990</v>
      </c>
      <c r="M3569" t="s">
        <v>1634</v>
      </c>
    </row>
    <row r="3570" spans="1:13" x14ac:dyDescent="0.25">
      <c r="A3570">
        <v>5493</v>
      </c>
      <c r="B3570" t="s">
        <v>9998</v>
      </c>
      <c r="C3570" t="s">
        <v>9999</v>
      </c>
      <c r="D3570" t="s">
        <v>2605</v>
      </c>
      <c r="E3570" t="s">
        <v>1273</v>
      </c>
      <c r="F3570" t="s">
        <v>3945</v>
      </c>
      <c r="G3570" t="s">
        <v>9989</v>
      </c>
      <c r="H3570">
        <v>8472476621</v>
      </c>
      <c r="J3570">
        <v>8473670367</v>
      </c>
      <c r="L3570" t="s">
        <v>9990</v>
      </c>
      <c r="M3570" t="s">
        <v>1634</v>
      </c>
    </row>
    <row r="3571" spans="1:13" x14ac:dyDescent="0.25">
      <c r="A3571">
        <v>5493</v>
      </c>
      <c r="B3571" t="s">
        <v>9998</v>
      </c>
      <c r="C3571" t="s">
        <v>9999</v>
      </c>
      <c r="D3571" t="s">
        <v>2605</v>
      </c>
      <c r="E3571" t="s">
        <v>1273</v>
      </c>
      <c r="F3571" t="s">
        <v>5115</v>
      </c>
      <c r="G3571" t="s">
        <v>9985</v>
      </c>
      <c r="I3571">
        <v>2204</v>
      </c>
      <c r="K3571" t="s">
        <v>10000</v>
      </c>
      <c r="M3571" t="s">
        <v>1765</v>
      </c>
    </row>
    <row r="3572" spans="1:13" x14ac:dyDescent="0.25">
      <c r="A3572">
        <v>89440</v>
      </c>
      <c r="B3572" t="s">
        <v>10001</v>
      </c>
      <c r="C3572" t="s">
        <v>10002</v>
      </c>
      <c r="D3572" t="s">
        <v>2605</v>
      </c>
      <c r="E3572" t="s">
        <v>1273</v>
      </c>
    </row>
    <row r="3573" spans="1:13" x14ac:dyDescent="0.25">
      <c r="A3573">
        <v>89827</v>
      </c>
      <c r="B3573" t="s">
        <v>10003</v>
      </c>
      <c r="C3573" t="s">
        <v>10004</v>
      </c>
      <c r="D3573" t="s">
        <v>2605</v>
      </c>
      <c r="E3573" t="s">
        <v>1273</v>
      </c>
      <c r="F3573" t="s">
        <v>3945</v>
      </c>
      <c r="G3573" t="s">
        <v>9989</v>
      </c>
      <c r="M3573" t="s">
        <v>1634</v>
      </c>
    </row>
    <row r="3574" spans="1:13" x14ac:dyDescent="0.25">
      <c r="A3574">
        <v>78888</v>
      </c>
      <c r="B3574" t="s">
        <v>10005</v>
      </c>
      <c r="C3574" t="s">
        <v>10006</v>
      </c>
      <c r="D3574" t="s">
        <v>2596</v>
      </c>
      <c r="E3574" t="s">
        <v>1273</v>
      </c>
      <c r="F3574" t="s">
        <v>10007</v>
      </c>
      <c r="G3574" t="s">
        <v>7006</v>
      </c>
      <c r="H3574">
        <v>4806412828</v>
      </c>
      <c r="J3574">
        <v>4803252365</v>
      </c>
      <c r="K3574" t="s">
        <v>10008</v>
      </c>
      <c r="L3574" t="s">
        <v>8508</v>
      </c>
      <c r="M3574" t="s">
        <v>1634</v>
      </c>
    </row>
    <row r="3575" spans="1:13" x14ac:dyDescent="0.25">
      <c r="A3575">
        <v>78888</v>
      </c>
      <c r="B3575" t="s">
        <v>10005</v>
      </c>
      <c r="C3575" t="s">
        <v>10006</v>
      </c>
      <c r="D3575" t="s">
        <v>2596</v>
      </c>
      <c r="E3575" t="s">
        <v>1273</v>
      </c>
      <c r="F3575" t="s">
        <v>2610</v>
      </c>
      <c r="G3575" t="s">
        <v>7006</v>
      </c>
      <c r="H3575">
        <v>4806412828</v>
      </c>
      <c r="J3575">
        <v>4803252365</v>
      </c>
      <c r="K3575" t="s">
        <v>10008</v>
      </c>
      <c r="L3575" t="s">
        <v>2596</v>
      </c>
      <c r="M3575" t="s">
        <v>1634</v>
      </c>
    </row>
    <row r="3576" spans="1:13" x14ac:dyDescent="0.25">
      <c r="A3576">
        <v>78888</v>
      </c>
      <c r="B3576" t="s">
        <v>10005</v>
      </c>
      <c r="C3576" t="s">
        <v>10006</v>
      </c>
      <c r="D3576" t="s">
        <v>2596</v>
      </c>
      <c r="E3576" t="s">
        <v>1273</v>
      </c>
      <c r="F3576" t="s">
        <v>1775</v>
      </c>
      <c r="G3576" t="s">
        <v>6075</v>
      </c>
      <c r="H3576">
        <v>6028813280</v>
      </c>
      <c r="K3576" t="s">
        <v>10009</v>
      </c>
      <c r="L3576" t="s">
        <v>10010</v>
      </c>
      <c r="M3576" t="s">
        <v>1634</v>
      </c>
    </row>
    <row r="3577" spans="1:13" x14ac:dyDescent="0.25">
      <c r="A3577">
        <v>78888</v>
      </c>
      <c r="B3577" t="s">
        <v>10005</v>
      </c>
      <c r="C3577" t="s">
        <v>10006</v>
      </c>
      <c r="D3577" t="s">
        <v>2596</v>
      </c>
      <c r="E3577" t="s">
        <v>1273</v>
      </c>
      <c r="F3577" t="s">
        <v>3570</v>
      </c>
      <c r="G3577" t="s">
        <v>9129</v>
      </c>
      <c r="J3577">
        <v>4802642696</v>
      </c>
      <c r="K3577" t="s">
        <v>10011</v>
      </c>
      <c r="L3577" t="s">
        <v>1640</v>
      </c>
      <c r="M3577" t="s">
        <v>1640</v>
      </c>
    </row>
    <row r="3578" spans="1:13" x14ac:dyDescent="0.25">
      <c r="A3578">
        <v>78889</v>
      </c>
      <c r="B3578" t="s">
        <v>10012</v>
      </c>
      <c r="C3578" t="s">
        <v>10013</v>
      </c>
      <c r="D3578" t="s">
        <v>2605</v>
      </c>
      <c r="E3578" t="s">
        <v>1273</v>
      </c>
      <c r="F3578" t="s">
        <v>2610</v>
      </c>
      <c r="G3578" t="s">
        <v>7006</v>
      </c>
      <c r="H3578">
        <v>4806412828</v>
      </c>
      <c r="J3578">
        <v>4803252365</v>
      </c>
      <c r="K3578" t="s">
        <v>10008</v>
      </c>
      <c r="M3578" t="s">
        <v>1634</v>
      </c>
    </row>
    <row r="3579" spans="1:13" x14ac:dyDescent="0.25">
      <c r="A3579">
        <v>90325</v>
      </c>
      <c r="B3579" t="s">
        <v>10012</v>
      </c>
      <c r="C3579" t="s">
        <v>10014</v>
      </c>
      <c r="D3579" t="s">
        <v>2605</v>
      </c>
      <c r="E3579" t="s">
        <v>1273</v>
      </c>
    </row>
    <row r="3580" spans="1:13" x14ac:dyDescent="0.25">
      <c r="A3580">
        <v>4366</v>
      </c>
      <c r="B3580" t="s">
        <v>726</v>
      </c>
      <c r="C3580" t="s">
        <v>10015</v>
      </c>
      <c r="D3580" t="s">
        <v>2596</v>
      </c>
      <c r="E3580" t="s">
        <v>1273</v>
      </c>
      <c r="F3580" t="s">
        <v>1723</v>
      </c>
      <c r="G3580" t="s">
        <v>10016</v>
      </c>
      <c r="H3580">
        <v>4806557444</v>
      </c>
      <c r="J3580">
        <v>4806558220</v>
      </c>
      <c r="K3580" t="s">
        <v>10017</v>
      </c>
      <c r="L3580" t="s">
        <v>10018</v>
      </c>
      <c r="M3580" t="s">
        <v>1634</v>
      </c>
    </row>
    <row r="3581" spans="1:13" x14ac:dyDescent="0.25">
      <c r="A3581">
        <v>4366</v>
      </c>
      <c r="B3581" t="s">
        <v>726</v>
      </c>
      <c r="C3581" t="s">
        <v>10015</v>
      </c>
      <c r="D3581" t="s">
        <v>2596</v>
      </c>
      <c r="E3581" t="s">
        <v>1273</v>
      </c>
      <c r="F3581" t="s">
        <v>10019</v>
      </c>
      <c r="G3581" t="s">
        <v>10016</v>
      </c>
      <c r="H3581">
        <v>6026975471</v>
      </c>
      <c r="J3581">
        <v>4806557444</v>
      </c>
      <c r="K3581" t="s">
        <v>10020</v>
      </c>
      <c r="L3581" t="s">
        <v>10018</v>
      </c>
      <c r="M3581" t="s">
        <v>1634</v>
      </c>
    </row>
    <row r="3582" spans="1:13" x14ac:dyDescent="0.25">
      <c r="A3582">
        <v>5554</v>
      </c>
      <c r="B3582" t="s">
        <v>726</v>
      </c>
      <c r="C3582" t="s">
        <v>10021</v>
      </c>
      <c r="D3582" t="s">
        <v>2605</v>
      </c>
      <c r="E3582" t="s">
        <v>1273</v>
      </c>
      <c r="F3582" t="s">
        <v>10019</v>
      </c>
      <c r="G3582" t="s">
        <v>10016</v>
      </c>
      <c r="H3582">
        <v>4806557444</v>
      </c>
      <c r="M3582" t="s">
        <v>1634</v>
      </c>
    </row>
    <row r="3583" spans="1:13" x14ac:dyDescent="0.25">
      <c r="A3583">
        <v>6362</v>
      </c>
      <c r="B3583" t="s">
        <v>10022</v>
      </c>
      <c r="C3583" t="s">
        <v>10023</v>
      </c>
      <c r="D3583" t="s">
        <v>2596</v>
      </c>
      <c r="E3583" t="s">
        <v>1273</v>
      </c>
      <c r="F3583" t="s">
        <v>1692</v>
      </c>
      <c r="G3583" t="s">
        <v>1918</v>
      </c>
      <c r="H3583">
        <v>6029385411</v>
      </c>
      <c r="K3583" t="s">
        <v>10024</v>
      </c>
      <c r="L3583" t="s">
        <v>10025</v>
      </c>
      <c r="M3583" t="s">
        <v>1634</v>
      </c>
    </row>
    <row r="3584" spans="1:13" x14ac:dyDescent="0.25">
      <c r="A3584">
        <v>6362</v>
      </c>
      <c r="B3584" t="s">
        <v>10022</v>
      </c>
      <c r="C3584" t="s">
        <v>10023</v>
      </c>
      <c r="D3584" t="s">
        <v>2596</v>
      </c>
      <c r="E3584" t="s">
        <v>1273</v>
      </c>
      <c r="F3584" t="s">
        <v>2229</v>
      </c>
      <c r="G3584" t="s">
        <v>1918</v>
      </c>
      <c r="H3584">
        <v>6029385411</v>
      </c>
      <c r="K3584" t="s">
        <v>10026</v>
      </c>
      <c r="L3584" t="s">
        <v>10027</v>
      </c>
      <c r="M3584" t="s">
        <v>1634</v>
      </c>
    </row>
    <row r="3585" spans="1:13" x14ac:dyDescent="0.25">
      <c r="A3585">
        <v>6362</v>
      </c>
      <c r="B3585" t="s">
        <v>10022</v>
      </c>
      <c r="C3585" t="s">
        <v>10023</v>
      </c>
      <c r="D3585" t="s">
        <v>2596</v>
      </c>
      <c r="E3585" t="s">
        <v>1273</v>
      </c>
      <c r="F3585" t="s">
        <v>1723</v>
      </c>
      <c r="G3585" t="s">
        <v>10028</v>
      </c>
      <c r="H3585" t="s">
        <v>10029</v>
      </c>
      <c r="K3585" t="s">
        <v>10030</v>
      </c>
      <c r="L3585" t="s">
        <v>10031</v>
      </c>
      <c r="M3585" t="s">
        <v>1634</v>
      </c>
    </row>
    <row r="3586" spans="1:13" x14ac:dyDescent="0.25">
      <c r="A3586">
        <v>6362</v>
      </c>
      <c r="B3586" t="s">
        <v>10022</v>
      </c>
      <c r="C3586" t="s">
        <v>10023</v>
      </c>
      <c r="D3586" t="s">
        <v>2596</v>
      </c>
      <c r="E3586" t="s">
        <v>1273</v>
      </c>
      <c r="F3586" t="s">
        <v>1692</v>
      </c>
      <c r="G3586" t="s">
        <v>1918</v>
      </c>
      <c r="H3586">
        <v>6029385411</v>
      </c>
      <c r="K3586" t="s">
        <v>10024</v>
      </c>
      <c r="L3586" t="s">
        <v>10025</v>
      </c>
      <c r="M3586" t="s">
        <v>1640</v>
      </c>
    </row>
    <row r="3587" spans="1:13" x14ac:dyDescent="0.25">
      <c r="A3587">
        <v>5555</v>
      </c>
      <c r="B3587" t="s">
        <v>10032</v>
      </c>
      <c r="C3587" t="s">
        <v>10033</v>
      </c>
      <c r="D3587" t="s">
        <v>2605</v>
      </c>
      <c r="E3587" t="s">
        <v>1273</v>
      </c>
      <c r="F3587" t="s">
        <v>5734</v>
      </c>
      <c r="G3587" t="s">
        <v>1918</v>
      </c>
      <c r="H3587">
        <v>6029385411</v>
      </c>
      <c r="J3587">
        <v>6029385393</v>
      </c>
      <c r="K3587" t="s">
        <v>10034</v>
      </c>
      <c r="M3587" t="s">
        <v>1634</v>
      </c>
    </row>
    <row r="3588" spans="1:13" x14ac:dyDescent="0.25">
      <c r="A3588">
        <v>5555</v>
      </c>
      <c r="B3588" t="s">
        <v>10032</v>
      </c>
      <c r="C3588" t="s">
        <v>10033</v>
      </c>
      <c r="D3588" t="s">
        <v>2605</v>
      </c>
      <c r="E3588" t="s">
        <v>1273</v>
      </c>
      <c r="F3588" t="s">
        <v>5752</v>
      </c>
      <c r="G3588" t="s">
        <v>1918</v>
      </c>
      <c r="H3588">
        <v>6029385411</v>
      </c>
      <c r="J3588">
        <v>6029385411</v>
      </c>
      <c r="K3588" t="s">
        <v>10024</v>
      </c>
      <c r="L3588" t="s">
        <v>10025</v>
      </c>
      <c r="M3588" t="s">
        <v>1634</v>
      </c>
    </row>
    <row r="3589" spans="1:13" x14ac:dyDescent="0.25">
      <c r="A3589">
        <v>5555</v>
      </c>
      <c r="B3589" t="s">
        <v>10032</v>
      </c>
      <c r="C3589" t="s">
        <v>10033</v>
      </c>
      <c r="D3589" t="s">
        <v>2605</v>
      </c>
      <c r="E3589" t="s">
        <v>1273</v>
      </c>
      <c r="F3589" t="s">
        <v>2229</v>
      </c>
      <c r="G3589" t="s">
        <v>1918</v>
      </c>
      <c r="H3589">
        <v>6029385411</v>
      </c>
      <c r="J3589">
        <v>6029385393</v>
      </c>
      <c r="K3589" t="s">
        <v>10026</v>
      </c>
      <c r="L3589" t="s">
        <v>10027</v>
      </c>
      <c r="M3589" t="s">
        <v>1634</v>
      </c>
    </row>
    <row r="3590" spans="1:13" x14ac:dyDescent="0.25">
      <c r="A3590">
        <v>5555</v>
      </c>
      <c r="B3590" t="s">
        <v>10032</v>
      </c>
      <c r="C3590" t="s">
        <v>10033</v>
      </c>
      <c r="D3590" t="s">
        <v>2605</v>
      </c>
      <c r="E3590" t="s">
        <v>1273</v>
      </c>
      <c r="F3590" t="s">
        <v>1723</v>
      </c>
      <c r="G3590" t="s">
        <v>10028</v>
      </c>
      <c r="H3590" t="s">
        <v>10029</v>
      </c>
      <c r="K3590" t="s">
        <v>10035</v>
      </c>
      <c r="L3590" t="s">
        <v>10036</v>
      </c>
      <c r="M3590" t="s">
        <v>1634</v>
      </c>
    </row>
    <row r="3591" spans="1:13" x14ac:dyDescent="0.25">
      <c r="A3591">
        <v>5555</v>
      </c>
      <c r="B3591" t="s">
        <v>10032</v>
      </c>
      <c r="C3591" t="s">
        <v>10033</v>
      </c>
      <c r="D3591" t="s">
        <v>2605</v>
      </c>
      <c r="E3591" t="s">
        <v>1273</v>
      </c>
      <c r="F3591" t="s">
        <v>1908</v>
      </c>
      <c r="G3591" t="s">
        <v>10037</v>
      </c>
      <c r="H3591">
        <v>6029385411</v>
      </c>
      <c r="K3591" t="s">
        <v>10038</v>
      </c>
      <c r="M3591" t="s">
        <v>1634</v>
      </c>
    </row>
    <row r="3592" spans="1:13" x14ac:dyDescent="0.25">
      <c r="A3592">
        <v>5555</v>
      </c>
      <c r="B3592" t="s">
        <v>10032</v>
      </c>
      <c r="C3592" t="s">
        <v>10033</v>
      </c>
      <c r="D3592" t="s">
        <v>2605</v>
      </c>
      <c r="E3592" t="s">
        <v>1273</v>
      </c>
      <c r="F3592" t="s">
        <v>2229</v>
      </c>
      <c r="G3592" t="s">
        <v>1918</v>
      </c>
      <c r="H3592">
        <v>6029385411</v>
      </c>
      <c r="J3592">
        <v>6029385393</v>
      </c>
      <c r="K3592" t="s">
        <v>10026</v>
      </c>
      <c r="L3592" t="s">
        <v>10027</v>
      </c>
      <c r="M3592" t="s">
        <v>1640</v>
      </c>
    </row>
    <row r="3593" spans="1:13" x14ac:dyDescent="0.25">
      <c r="A3593">
        <v>5555</v>
      </c>
      <c r="B3593" t="s">
        <v>10032</v>
      </c>
      <c r="C3593" t="s">
        <v>10033</v>
      </c>
      <c r="D3593" t="s">
        <v>2605</v>
      </c>
      <c r="E3593" t="s">
        <v>1273</v>
      </c>
      <c r="F3593" t="s">
        <v>1723</v>
      </c>
      <c r="G3593" t="s">
        <v>10028</v>
      </c>
      <c r="H3593" t="s">
        <v>10029</v>
      </c>
      <c r="K3593" t="s">
        <v>10035</v>
      </c>
      <c r="L3593" t="s">
        <v>10036</v>
      </c>
      <c r="M3593" t="s">
        <v>1640</v>
      </c>
    </row>
    <row r="3594" spans="1:13" x14ac:dyDescent="0.25">
      <c r="A3594">
        <v>5555</v>
      </c>
      <c r="B3594" t="s">
        <v>10032</v>
      </c>
      <c r="C3594" t="s">
        <v>10033</v>
      </c>
      <c r="D3594" t="s">
        <v>2605</v>
      </c>
      <c r="E3594" t="s">
        <v>1273</v>
      </c>
      <c r="F3594" t="s">
        <v>1723</v>
      </c>
      <c r="G3594" t="s">
        <v>10028</v>
      </c>
      <c r="H3594" t="s">
        <v>10029</v>
      </c>
      <c r="K3594" t="s">
        <v>10035</v>
      </c>
      <c r="L3594" t="s">
        <v>10036</v>
      </c>
      <c r="M3594" t="s">
        <v>1765</v>
      </c>
    </row>
    <row r="3595" spans="1:13" x14ac:dyDescent="0.25">
      <c r="A3595">
        <v>6372</v>
      </c>
      <c r="B3595" t="s">
        <v>10039</v>
      </c>
      <c r="C3595" t="s">
        <v>10040</v>
      </c>
      <c r="D3595" t="s">
        <v>2596</v>
      </c>
      <c r="E3595" t="s">
        <v>1273</v>
      </c>
      <c r="F3595" t="s">
        <v>10041</v>
      </c>
      <c r="G3595" t="s">
        <v>10042</v>
      </c>
      <c r="J3595">
        <v>4808332655</v>
      </c>
      <c r="K3595" t="s">
        <v>10043</v>
      </c>
      <c r="L3595" t="s">
        <v>3043</v>
      </c>
      <c r="M3595" t="s">
        <v>1634</v>
      </c>
    </row>
    <row r="3596" spans="1:13" x14ac:dyDescent="0.25">
      <c r="A3596">
        <v>6372</v>
      </c>
      <c r="B3596" t="s">
        <v>10039</v>
      </c>
      <c r="C3596" t="s">
        <v>10040</v>
      </c>
      <c r="D3596" t="s">
        <v>2596</v>
      </c>
      <c r="E3596" t="s">
        <v>1273</v>
      </c>
      <c r="F3596" t="s">
        <v>2455</v>
      </c>
      <c r="G3596" t="s">
        <v>7494</v>
      </c>
      <c r="H3596">
        <v>4808332622</v>
      </c>
      <c r="K3596" t="s">
        <v>10044</v>
      </c>
      <c r="L3596" t="s">
        <v>1640</v>
      </c>
      <c r="M3596" t="s">
        <v>1634</v>
      </c>
    </row>
    <row r="3597" spans="1:13" x14ac:dyDescent="0.25">
      <c r="A3597">
        <v>6372</v>
      </c>
      <c r="B3597" t="s">
        <v>10039</v>
      </c>
      <c r="C3597" t="s">
        <v>10040</v>
      </c>
      <c r="D3597" t="s">
        <v>2596</v>
      </c>
      <c r="E3597" t="s">
        <v>1273</v>
      </c>
      <c r="F3597" t="s">
        <v>10045</v>
      </c>
      <c r="G3597" t="s">
        <v>10046</v>
      </c>
      <c r="H3597">
        <v>4808332622</v>
      </c>
      <c r="K3597" t="s">
        <v>10047</v>
      </c>
      <c r="L3597" t="s">
        <v>2052</v>
      </c>
      <c r="M3597" t="s">
        <v>1634</v>
      </c>
    </row>
    <row r="3598" spans="1:13" x14ac:dyDescent="0.25">
      <c r="A3598">
        <v>6372</v>
      </c>
      <c r="B3598" t="s">
        <v>10039</v>
      </c>
      <c r="C3598" t="s">
        <v>10040</v>
      </c>
      <c r="D3598" t="s">
        <v>2596</v>
      </c>
      <c r="E3598" t="s">
        <v>1273</v>
      </c>
      <c r="F3598" t="s">
        <v>2455</v>
      </c>
      <c r="G3598" t="s">
        <v>7494</v>
      </c>
      <c r="H3598">
        <v>4808332622</v>
      </c>
      <c r="K3598" t="s">
        <v>10044</v>
      </c>
      <c r="L3598" t="s">
        <v>1640</v>
      </c>
      <c r="M3598" t="s">
        <v>1640</v>
      </c>
    </row>
    <row r="3599" spans="1:13" x14ac:dyDescent="0.25">
      <c r="A3599">
        <v>6372</v>
      </c>
      <c r="B3599" t="s">
        <v>10039</v>
      </c>
      <c r="C3599" t="s">
        <v>10040</v>
      </c>
      <c r="D3599" t="s">
        <v>2596</v>
      </c>
      <c r="E3599" t="s">
        <v>1273</v>
      </c>
      <c r="F3599" t="s">
        <v>2455</v>
      </c>
      <c r="G3599" t="s">
        <v>7494</v>
      </c>
      <c r="H3599">
        <v>4808332622</v>
      </c>
      <c r="K3599" t="s">
        <v>10044</v>
      </c>
      <c r="L3599" t="s">
        <v>1640</v>
      </c>
      <c r="M3599" t="s">
        <v>1765</v>
      </c>
    </row>
    <row r="3600" spans="1:13" x14ac:dyDescent="0.25">
      <c r="A3600">
        <v>6045</v>
      </c>
      <c r="B3600" t="s">
        <v>10048</v>
      </c>
      <c r="C3600" t="s">
        <v>10049</v>
      </c>
      <c r="D3600" t="s">
        <v>2605</v>
      </c>
      <c r="E3600" t="s">
        <v>1273</v>
      </c>
      <c r="F3600" t="s">
        <v>6120</v>
      </c>
      <c r="G3600" t="s">
        <v>10050</v>
      </c>
      <c r="H3600">
        <v>4808332622</v>
      </c>
      <c r="K3600" t="s">
        <v>10051</v>
      </c>
      <c r="L3600" t="s">
        <v>1640</v>
      </c>
      <c r="M3600" t="s">
        <v>1640</v>
      </c>
    </row>
    <row r="3601" spans="1:13" x14ac:dyDescent="0.25">
      <c r="A3601">
        <v>6379</v>
      </c>
      <c r="B3601" t="s">
        <v>10052</v>
      </c>
      <c r="C3601" t="s">
        <v>10053</v>
      </c>
      <c r="D3601" t="s">
        <v>2596</v>
      </c>
      <c r="E3601" t="s">
        <v>1273</v>
      </c>
      <c r="F3601" t="s">
        <v>6558</v>
      </c>
      <c r="G3601" t="s">
        <v>10054</v>
      </c>
      <c r="H3601">
        <v>6022417876</v>
      </c>
      <c r="K3601" t="s">
        <v>10055</v>
      </c>
      <c r="L3601" t="s">
        <v>8508</v>
      </c>
      <c r="M3601" t="s">
        <v>1634</v>
      </c>
    </row>
    <row r="3602" spans="1:13" x14ac:dyDescent="0.25">
      <c r="A3602">
        <v>6379</v>
      </c>
      <c r="B3602" t="s">
        <v>10052</v>
      </c>
      <c r="C3602" t="s">
        <v>10053</v>
      </c>
      <c r="D3602" t="s">
        <v>2596</v>
      </c>
      <c r="E3602" t="s">
        <v>1273</v>
      </c>
      <c r="F3602" t="s">
        <v>6558</v>
      </c>
      <c r="G3602" t="s">
        <v>10054</v>
      </c>
      <c r="H3602">
        <v>6022417876</v>
      </c>
      <c r="K3602" t="s">
        <v>10055</v>
      </c>
      <c r="L3602" t="s">
        <v>8508</v>
      </c>
      <c r="M3602" t="s">
        <v>1640</v>
      </c>
    </row>
    <row r="3603" spans="1:13" x14ac:dyDescent="0.25">
      <c r="A3603">
        <v>10814</v>
      </c>
      <c r="B3603" t="s">
        <v>10056</v>
      </c>
      <c r="C3603" t="s">
        <v>10057</v>
      </c>
      <c r="D3603" t="s">
        <v>2605</v>
      </c>
      <c r="E3603" t="s">
        <v>1273</v>
      </c>
      <c r="F3603" t="s">
        <v>2401</v>
      </c>
      <c r="G3603" t="s">
        <v>10054</v>
      </c>
      <c r="H3603">
        <v>6023391558</v>
      </c>
      <c r="K3603" t="s">
        <v>10058</v>
      </c>
      <c r="L3603" t="s">
        <v>10059</v>
      </c>
      <c r="M3603" t="s">
        <v>1634</v>
      </c>
    </row>
    <row r="3604" spans="1:13" x14ac:dyDescent="0.25">
      <c r="A3604">
        <v>10814</v>
      </c>
      <c r="B3604" t="s">
        <v>10056</v>
      </c>
      <c r="C3604" t="s">
        <v>10057</v>
      </c>
      <c r="D3604" t="s">
        <v>2605</v>
      </c>
      <c r="E3604" t="s">
        <v>1273</v>
      </c>
      <c r="F3604" t="s">
        <v>6558</v>
      </c>
      <c r="G3604" t="s">
        <v>10054</v>
      </c>
      <c r="K3604" t="s">
        <v>10060</v>
      </c>
      <c r="M3604" t="s">
        <v>1640</v>
      </c>
    </row>
    <row r="3605" spans="1:13" x14ac:dyDescent="0.25">
      <c r="A3605">
        <v>10878</v>
      </c>
      <c r="B3605" t="s">
        <v>10061</v>
      </c>
      <c r="C3605" t="s">
        <v>10062</v>
      </c>
      <c r="D3605" t="s">
        <v>2596</v>
      </c>
      <c r="E3605" t="s">
        <v>1273</v>
      </c>
      <c r="F3605" t="s">
        <v>3040</v>
      </c>
      <c r="G3605" t="s">
        <v>10063</v>
      </c>
      <c r="K3605" t="s">
        <v>10064</v>
      </c>
      <c r="L3605" t="s">
        <v>2117</v>
      </c>
      <c r="M3605" t="s">
        <v>1634</v>
      </c>
    </row>
    <row r="3606" spans="1:13" x14ac:dyDescent="0.25">
      <c r="A3606">
        <v>10878</v>
      </c>
      <c r="B3606" t="s">
        <v>10061</v>
      </c>
      <c r="C3606" t="s">
        <v>10062</v>
      </c>
      <c r="D3606" t="s">
        <v>2596</v>
      </c>
      <c r="E3606" t="s">
        <v>1273</v>
      </c>
      <c r="F3606" t="s">
        <v>2156</v>
      </c>
      <c r="G3606" t="s">
        <v>10065</v>
      </c>
      <c r="K3606" t="s">
        <v>10066</v>
      </c>
      <c r="L3606" t="s">
        <v>8942</v>
      </c>
      <c r="M3606" t="s">
        <v>1634</v>
      </c>
    </row>
    <row r="3607" spans="1:13" x14ac:dyDescent="0.25">
      <c r="A3607">
        <v>10878</v>
      </c>
      <c r="B3607" t="s">
        <v>10061</v>
      </c>
      <c r="C3607" t="s">
        <v>10062</v>
      </c>
      <c r="D3607" t="s">
        <v>2596</v>
      </c>
      <c r="E3607" t="s">
        <v>1273</v>
      </c>
      <c r="F3607" t="s">
        <v>2156</v>
      </c>
      <c r="G3607" t="s">
        <v>10065</v>
      </c>
      <c r="K3607" t="s">
        <v>10066</v>
      </c>
      <c r="L3607" t="s">
        <v>8942</v>
      </c>
      <c r="M3607" t="s">
        <v>1640</v>
      </c>
    </row>
    <row r="3608" spans="1:13" x14ac:dyDescent="0.25">
      <c r="A3608">
        <v>10884</v>
      </c>
      <c r="B3608" t="s">
        <v>10067</v>
      </c>
      <c r="C3608" t="s">
        <v>10068</v>
      </c>
      <c r="D3608" t="s">
        <v>2605</v>
      </c>
      <c r="E3608" t="s">
        <v>1273</v>
      </c>
      <c r="F3608" t="s">
        <v>2455</v>
      </c>
      <c r="G3608" t="s">
        <v>7494</v>
      </c>
      <c r="H3608">
        <v>4804607312</v>
      </c>
      <c r="J3608">
        <v>4802838402</v>
      </c>
      <c r="K3608" t="s">
        <v>10069</v>
      </c>
      <c r="L3608" t="s">
        <v>9277</v>
      </c>
      <c r="M3608" t="s">
        <v>1634</v>
      </c>
    </row>
    <row r="3609" spans="1:13" x14ac:dyDescent="0.25">
      <c r="A3609">
        <v>10966</v>
      </c>
      <c r="B3609" t="s">
        <v>10070</v>
      </c>
      <c r="C3609" t="s">
        <v>10071</v>
      </c>
      <c r="D3609" t="s">
        <v>2596</v>
      </c>
      <c r="E3609" t="s">
        <v>1273</v>
      </c>
      <c r="F3609" t="s">
        <v>10072</v>
      </c>
      <c r="G3609" t="s">
        <v>10073</v>
      </c>
      <c r="J3609">
        <v>6235878514</v>
      </c>
      <c r="K3609" t="s">
        <v>10074</v>
      </c>
      <c r="L3609" t="s">
        <v>9277</v>
      </c>
      <c r="M3609" t="s">
        <v>1634</v>
      </c>
    </row>
    <row r="3610" spans="1:13" x14ac:dyDescent="0.25">
      <c r="A3610">
        <v>10966</v>
      </c>
      <c r="B3610" t="s">
        <v>10070</v>
      </c>
      <c r="C3610" t="s">
        <v>10071</v>
      </c>
      <c r="D3610" t="s">
        <v>2596</v>
      </c>
      <c r="E3610" t="s">
        <v>1273</v>
      </c>
      <c r="F3610" t="s">
        <v>10072</v>
      </c>
      <c r="G3610" t="s">
        <v>10073</v>
      </c>
      <c r="J3610">
        <v>6235878514</v>
      </c>
      <c r="K3610" t="s">
        <v>10074</v>
      </c>
      <c r="L3610" t="s">
        <v>9277</v>
      </c>
      <c r="M3610" t="s">
        <v>1640</v>
      </c>
    </row>
    <row r="3611" spans="1:13" x14ac:dyDescent="0.25">
      <c r="A3611">
        <v>78818</v>
      </c>
      <c r="B3611" t="s">
        <v>10070</v>
      </c>
      <c r="C3611" t="s">
        <v>10075</v>
      </c>
      <c r="D3611" t="s">
        <v>2605</v>
      </c>
      <c r="E3611" t="s">
        <v>1273</v>
      </c>
      <c r="F3611" t="s">
        <v>10072</v>
      </c>
      <c r="G3611" t="s">
        <v>10073</v>
      </c>
      <c r="J3611">
        <v>6235878514</v>
      </c>
      <c r="K3611" t="s">
        <v>10074</v>
      </c>
      <c r="L3611" t="s">
        <v>9277</v>
      </c>
      <c r="M3611" t="s">
        <v>1634</v>
      </c>
    </row>
    <row r="3612" spans="1:13" x14ac:dyDescent="0.25">
      <c r="A3612">
        <v>10968</v>
      </c>
      <c r="B3612" t="s">
        <v>588</v>
      </c>
      <c r="C3612" t="s">
        <v>10076</v>
      </c>
      <c r="D3612" t="s">
        <v>2596</v>
      </c>
      <c r="E3612" t="s">
        <v>1273</v>
      </c>
      <c r="F3612" t="s">
        <v>2325</v>
      </c>
      <c r="G3612" t="s">
        <v>2658</v>
      </c>
      <c r="H3612">
        <v>6024428791</v>
      </c>
      <c r="I3612">
        <v>2203</v>
      </c>
      <c r="K3612" t="s">
        <v>10077</v>
      </c>
      <c r="L3612" t="s">
        <v>1647</v>
      </c>
      <c r="M3612" t="s">
        <v>1634</v>
      </c>
    </row>
    <row r="3613" spans="1:13" x14ac:dyDescent="0.25">
      <c r="A3613">
        <v>10968</v>
      </c>
      <c r="B3613" t="s">
        <v>588</v>
      </c>
      <c r="C3613" t="s">
        <v>10076</v>
      </c>
      <c r="D3613" t="s">
        <v>2596</v>
      </c>
      <c r="E3613" t="s">
        <v>1273</v>
      </c>
      <c r="F3613" t="s">
        <v>10078</v>
      </c>
      <c r="G3613" t="s">
        <v>3419</v>
      </c>
      <c r="H3613">
        <v>5203646311</v>
      </c>
      <c r="K3613" t="s">
        <v>10079</v>
      </c>
      <c r="L3613" t="s">
        <v>1647</v>
      </c>
      <c r="M3613" t="s">
        <v>1634</v>
      </c>
    </row>
    <row r="3614" spans="1:13" x14ac:dyDescent="0.25">
      <c r="A3614">
        <v>10968</v>
      </c>
      <c r="B3614" t="s">
        <v>588</v>
      </c>
      <c r="C3614" t="s">
        <v>10076</v>
      </c>
      <c r="D3614" t="s">
        <v>2596</v>
      </c>
      <c r="E3614" t="s">
        <v>1273</v>
      </c>
      <c r="F3614" t="s">
        <v>4283</v>
      </c>
      <c r="G3614" t="s">
        <v>3063</v>
      </c>
      <c r="J3614">
        <v>5202025835</v>
      </c>
      <c r="K3614" t="s">
        <v>10080</v>
      </c>
      <c r="L3614" t="s">
        <v>1668</v>
      </c>
      <c r="M3614" t="s">
        <v>1640</v>
      </c>
    </row>
    <row r="3615" spans="1:13" x14ac:dyDescent="0.25">
      <c r="A3615">
        <v>10968</v>
      </c>
      <c r="B3615" t="s">
        <v>588</v>
      </c>
      <c r="C3615" t="s">
        <v>10076</v>
      </c>
      <c r="D3615" t="s">
        <v>2596</v>
      </c>
      <c r="E3615" t="s">
        <v>1273</v>
      </c>
      <c r="F3615" t="s">
        <v>3842</v>
      </c>
      <c r="G3615" t="s">
        <v>10081</v>
      </c>
      <c r="H3615">
        <v>6024428791</v>
      </c>
      <c r="K3615" t="s">
        <v>10082</v>
      </c>
      <c r="L3615" t="s">
        <v>10083</v>
      </c>
      <c r="M3615" t="s">
        <v>1765</v>
      </c>
    </row>
    <row r="3616" spans="1:13" x14ac:dyDescent="0.25">
      <c r="A3616">
        <v>10968</v>
      </c>
      <c r="B3616" t="s">
        <v>588</v>
      </c>
      <c r="C3616" t="s">
        <v>10076</v>
      </c>
      <c r="D3616" t="s">
        <v>2596</v>
      </c>
      <c r="E3616" t="s">
        <v>1273</v>
      </c>
      <c r="F3616" t="s">
        <v>10084</v>
      </c>
      <c r="G3616" t="s">
        <v>10085</v>
      </c>
      <c r="H3616">
        <v>6024428791</v>
      </c>
      <c r="K3616" t="s">
        <v>10086</v>
      </c>
      <c r="L3616" t="s">
        <v>10083</v>
      </c>
      <c r="M3616" t="s">
        <v>1765</v>
      </c>
    </row>
    <row r="3617" spans="1:13" x14ac:dyDescent="0.25">
      <c r="A3617">
        <v>78811</v>
      </c>
      <c r="B3617" t="s">
        <v>588</v>
      </c>
      <c r="C3617" t="s">
        <v>10087</v>
      </c>
      <c r="D3617" t="s">
        <v>2605</v>
      </c>
      <c r="E3617" t="s">
        <v>1273</v>
      </c>
      <c r="F3617" t="s">
        <v>10088</v>
      </c>
      <c r="G3617" t="s">
        <v>10089</v>
      </c>
      <c r="K3617" t="s">
        <v>10090</v>
      </c>
      <c r="M3617" t="s">
        <v>1634</v>
      </c>
    </row>
    <row r="3618" spans="1:13" x14ac:dyDescent="0.25">
      <c r="A3618">
        <v>91204</v>
      </c>
      <c r="B3618" t="s">
        <v>10091</v>
      </c>
      <c r="C3618" t="s">
        <v>10092</v>
      </c>
      <c r="D3618" t="s">
        <v>2605</v>
      </c>
      <c r="E3618" t="s">
        <v>3494</v>
      </c>
      <c r="F3618" t="s">
        <v>10088</v>
      </c>
      <c r="G3618" t="s">
        <v>10089</v>
      </c>
      <c r="H3618">
        <v>5205450575</v>
      </c>
      <c r="J3618">
        <v>5202025838</v>
      </c>
      <c r="K3618" t="s">
        <v>10090</v>
      </c>
      <c r="L3618" t="s">
        <v>3124</v>
      </c>
      <c r="M3618" t="s">
        <v>1634</v>
      </c>
    </row>
    <row r="3619" spans="1:13" x14ac:dyDescent="0.25">
      <c r="A3619">
        <v>78783</v>
      </c>
      <c r="B3619" t="s">
        <v>1302</v>
      </c>
      <c r="C3619" t="s">
        <v>10093</v>
      </c>
      <c r="D3619" t="s">
        <v>2596</v>
      </c>
      <c r="E3619" t="s">
        <v>1273</v>
      </c>
      <c r="F3619" t="s">
        <v>2307</v>
      </c>
      <c r="G3619" t="s">
        <v>10094</v>
      </c>
      <c r="H3619">
        <v>3109487656</v>
      </c>
      <c r="K3619" t="s">
        <v>10095</v>
      </c>
      <c r="L3619" t="s">
        <v>7701</v>
      </c>
      <c r="M3619" t="s">
        <v>1634</v>
      </c>
    </row>
    <row r="3620" spans="1:13" x14ac:dyDescent="0.25">
      <c r="A3620">
        <v>78820</v>
      </c>
      <c r="B3620" t="s">
        <v>1303</v>
      </c>
      <c r="C3620" t="s">
        <v>10096</v>
      </c>
      <c r="D3620" t="s">
        <v>2605</v>
      </c>
      <c r="E3620" t="s">
        <v>1273</v>
      </c>
      <c r="F3620" t="s">
        <v>1925</v>
      </c>
      <c r="G3620" t="s">
        <v>10094</v>
      </c>
      <c r="H3620">
        <v>4806590044</v>
      </c>
      <c r="J3620">
        <v>6022527729</v>
      </c>
      <c r="M3620" t="s">
        <v>1634</v>
      </c>
    </row>
    <row r="3621" spans="1:13" x14ac:dyDescent="0.25">
      <c r="A3621">
        <v>78820</v>
      </c>
      <c r="B3621" t="s">
        <v>1303</v>
      </c>
      <c r="C3621" t="s">
        <v>10096</v>
      </c>
      <c r="D3621" t="s">
        <v>2605</v>
      </c>
      <c r="E3621" t="s">
        <v>1273</v>
      </c>
      <c r="F3621" t="s">
        <v>10097</v>
      </c>
      <c r="G3621" t="s">
        <v>2322</v>
      </c>
      <c r="K3621" t="s">
        <v>10098</v>
      </c>
      <c r="L3621" t="s">
        <v>1647</v>
      </c>
      <c r="M3621" t="s">
        <v>1634</v>
      </c>
    </row>
    <row r="3622" spans="1:13" x14ac:dyDescent="0.25">
      <c r="A3622">
        <v>78820</v>
      </c>
      <c r="B3622" t="s">
        <v>1303</v>
      </c>
      <c r="C3622" t="s">
        <v>10096</v>
      </c>
      <c r="D3622" t="s">
        <v>2605</v>
      </c>
      <c r="E3622" t="s">
        <v>1273</v>
      </c>
      <c r="F3622" t="s">
        <v>2307</v>
      </c>
      <c r="G3622" t="s">
        <v>10094</v>
      </c>
      <c r="K3622" t="s">
        <v>10095</v>
      </c>
      <c r="M3622" t="s">
        <v>1634</v>
      </c>
    </row>
    <row r="3623" spans="1:13" x14ac:dyDescent="0.25">
      <c r="A3623">
        <v>92501</v>
      </c>
      <c r="B3623" t="s">
        <v>10099</v>
      </c>
      <c r="C3623" t="s">
        <v>10100</v>
      </c>
      <c r="D3623" t="s">
        <v>2605</v>
      </c>
      <c r="E3623" t="s">
        <v>1273</v>
      </c>
      <c r="F3623" t="s">
        <v>10101</v>
      </c>
      <c r="G3623" t="s">
        <v>10094</v>
      </c>
      <c r="J3623">
        <v>4806566445</v>
      </c>
      <c r="K3623" t="s">
        <v>10102</v>
      </c>
      <c r="L3623" t="s">
        <v>1668</v>
      </c>
      <c r="M3623" t="s">
        <v>1634</v>
      </c>
    </row>
    <row r="3624" spans="1:13" x14ac:dyDescent="0.25">
      <c r="A3624">
        <v>460111</v>
      </c>
      <c r="B3624" t="s">
        <v>10103</v>
      </c>
      <c r="C3624" t="s">
        <v>10104</v>
      </c>
      <c r="D3624" t="s">
        <v>2605</v>
      </c>
      <c r="E3624" t="s">
        <v>1273</v>
      </c>
      <c r="F3624" t="s">
        <v>10101</v>
      </c>
      <c r="G3624" t="s">
        <v>10094</v>
      </c>
      <c r="K3624" t="s">
        <v>10102</v>
      </c>
      <c r="M3624" t="s">
        <v>1634</v>
      </c>
    </row>
    <row r="3625" spans="1:13" x14ac:dyDescent="0.25">
      <c r="A3625">
        <v>79207</v>
      </c>
      <c r="B3625" t="s">
        <v>10105</v>
      </c>
      <c r="C3625" t="s">
        <v>10106</v>
      </c>
      <c r="D3625" t="s">
        <v>2596</v>
      </c>
      <c r="E3625" t="s">
        <v>1273</v>
      </c>
      <c r="F3625" t="s">
        <v>5611</v>
      </c>
      <c r="G3625" t="s">
        <v>10107</v>
      </c>
      <c r="J3625">
        <v>6024045456</v>
      </c>
      <c r="K3625" t="s">
        <v>10108</v>
      </c>
      <c r="L3625" t="s">
        <v>2596</v>
      </c>
      <c r="M3625" t="s">
        <v>1634</v>
      </c>
    </row>
    <row r="3626" spans="1:13" x14ac:dyDescent="0.25">
      <c r="A3626">
        <v>79207</v>
      </c>
      <c r="B3626" t="s">
        <v>10105</v>
      </c>
      <c r="C3626" t="s">
        <v>10106</v>
      </c>
      <c r="D3626" t="s">
        <v>2596</v>
      </c>
      <c r="E3626" t="s">
        <v>1273</v>
      </c>
      <c r="F3626" t="s">
        <v>1732</v>
      </c>
      <c r="G3626" t="s">
        <v>10109</v>
      </c>
      <c r="H3626">
        <v>4804041000</v>
      </c>
      <c r="K3626" t="s">
        <v>10110</v>
      </c>
      <c r="L3626" t="s">
        <v>10111</v>
      </c>
      <c r="M3626" t="s">
        <v>1634</v>
      </c>
    </row>
    <row r="3627" spans="1:13" x14ac:dyDescent="0.25">
      <c r="A3627">
        <v>79207</v>
      </c>
      <c r="B3627" t="s">
        <v>10105</v>
      </c>
      <c r="C3627" t="s">
        <v>10106</v>
      </c>
      <c r="D3627" t="s">
        <v>2596</v>
      </c>
      <c r="E3627" t="s">
        <v>1273</v>
      </c>
      <c r="F3627" t="s">
        <v>2587</v>
      </c>
      <c r="G3627" t="s">
        <v>10112</v>
      </c>
      <c r="H3627">
        <v>6024041009</v>
      </c>
      <c r="K3627" t="s">
        <v>10113</v>
      </c>
      <c r="M3627" t="s">
        <v>1765</v>
      </c>
    </row>
    <row r="3628" spans="1:13" x14ac:dyDescent="0.25">
      <c r="A3628">
        <v>78843</v>
      </c>
      <c r="B3628" t="s">
        <v>10105</v>
      </c>
      <c r="C3628" t="s">
        <v>10114</v>
      </c>
      <c r="D3628" t="s">
        <v>2605</v>
      </c>
      <c r="E3628" t="s">
        <v>1273</v>
      </c>
      <c r="F3628" t="s">
        <v>5611</v>
      </c>
      <c r="G3628" t="s">
        <v>10107</v>
      </c>
      <c r="J3628">
        <v>6024045456</v>
      </c>
      <c r="K3628" t="s">
        <v>10108</v>
      </c>
      <c r="M3628" t="s">
        <v>1634</v>
      </c>
    </row>
    <row r="3629" spans="1:13" x14ac:dyDescent="0.25">
      <c r="A3629">
        <v>79024</v>
      </c>
      <c r="B3629" t="s">
        <v>10115</v>
      </c>
      <c r="C3629" t="s">
        <v>10116</v>
      </c>
      <c r="D3629" t="s">
        <v>2596</v>
      </c>
      <c r="E3629" t="s">
        <v>1273</v>
      </c>
      <c r="F3629" t="s">
        <v>3310</v>
      </c>
      <c r="G3629" t="s">
        <v>8657</v>
      </c>
      <c r="H3629">
        <v>4803550505</v>
      </c>
      <c r="K3629" t="s">
        <v>8658</v>
      </c>
      <c r="M3629" t="s">
        <v>1634</v>
      </c>
    </row>
    <row r="3630" spans="1:13" x14ac:dyDescent="0.25">
      <c r="A3630">
        <v>79024</v>
      </c>
      <c r="B3630" t="s">
        <v>10115</v>
      </c>
      <c r="C3630" t="s">
        <v>10116</v>
      </c>
      <c r="D3630" t="s">
        <v>2596</v>
      </c>
      <c r="E3630" t="s">
        <v>1273</v>
      </c>
      <c r="F3630" t="s">
        <v>3772</v>
      </c>
      <c r="G3630" t="s">
        <v>10117</v>
      </c>
      <c r="H3630">
        <v>6025899840</v>
      </c>
      <c r="K3630" t="s">
        <v>10118</v>
      </c>
      <c r="L3630" t="s">
        <v>1647</v>
      </c>
      <c r="M3630" t="s">
        <v>1634</v>
      </c>
    </row>
    <row r="3631" spans="1:13" x14ac:dyDescent="0.25">
      <c r="A3631">
        <v>79024</v>
      </c>
      <c r="B3631" t="s">
        <v>10115</v>
      </c>
      <c r="C3631" t="s">
        <v>10116</v>
      </c>
      <c r="D3631" t="s">
        <v>2596</v>
      </c>
      <c r="E3631" t="s">
        <v>1273</v>
      </c>
      <c r="F3631" t="s">
        <v>3570</v>
      </c>
      <c r="G3631" t="s">
        <v>8660</v>
      </c>
      <c r="K3631" t="s">
        <v>8661</v>
      </c>
      <c r="L3631" t="s">
        <v>8662</v>
      </c>
      <c r="M3631" t="s">
        <v>1634</v>
      </c>
    </row>
    <row r="3632" spans="1:13" x14ac:dyDescent="0.25">
      <c r="A3632">
        <v>79024</v>
      </c>
      <c r="B3632" t="s">
        <v>10115</v>
      </c>
      <c r="C3632" t="s">
        <v>10116</v>
      </c>
      <c r="D3632" t="s">
        <v>2596</v>
      </c>
      <c r="E3632" t="s">
        <v>1273</v>
      </c>
      <c r="F3632" t="s">
        <v>2142</v>
      </c>
      <c r="G3632" t="s">
        <v>10119</v>
      </c>
      <c r="K3632" t="s">
        <v>10120</v>
      </c>
      <c r="L3632" t="s">
        <v>1640</v>
      </c>
      <c r="M3632" t="s">
        <v>1640</v>
      </c>
    </row>
    <row r="3633" spans="1:13" x14ac:dyDescent="0.25">
      <c r="A3633">
        <v>79024</v>
      </c>
      <c r="B3633" t="s">
        <v>10115</v>
      </c>
      <c r="C3633" t="s">
        <v>10116</v>
      </c>
      <c r="D3633" t="s">
        <v>2596</v>
      </c>
      <c r="E3633" t="s">
        <v>1273</v>
      </c>
      <c r="F3633" t="s">
        <v>3673</v>
      </c>
      <c r="G3633" t="s">
        <v>10121</v>
      </c>
      <c r="K3633" t="s">
        <v>10122</v>
      </c>
      <c r="L3633" t="s">
        <v>1640</v>
      </c>
      <c r="M3633" t="s">
        <v>1640</v>
      </c>
    </row>
    <row r="3634" spans="1:13" x14ac:dyDescent="0.25">
      <c r="A3634">
        <v>79024</v>
      </c>
      <c r="B3634" t="s">
        <v>10115</v>
      </c>
      <c r="C3634" t="s">
        <v>10116</v>
      </c>
      <c r="D3634" t="s">
        <v>2596</v>
      </c>
      <c r="E3634" t="s">
        <v>1273</v>
      </c>
      <c r="F3634" t="s">
        <v>10123</v>
      </c>
      <c r="G3634" t="s">
        <v>10124</v>
      </c>
      <c r="H3634">
        <v>6025899840</v>
      </c>
      <c r="K3634" t="s">
        <v>10125</v>
      </c>
      <c r="M3634" t="s">
        <v>1640</v>
      </c>
    </row>
    <row r="3635" spans="1:13" x14ac:dyDescent="0.25">
      <c r="A3635">
        <v>79024</v>
      </c>
      <c r="B3635" t="s">
        <v>10115</v>
      </c>
      <c r="C3635" t="s">
        <v>10116</v>
      </c>
      <c r="D3635" t="s">
        <v>2596</v>
      </c>
      <c r="E3635" t="s">
        <v>1273</v>
      </c>
      <c r="F3635" t="s">
        <v>8839</v>
      </c>
      <c r="G3635" t="s">
        <v>8840</v>
      </c>
      <c r="K3635" t="s">
        <v>8996</v>
      </c>
      <c r="M3635" t="s">
        <v>1640</v>
      </c>
    </row>
    <row r="3636" spans="1:13" x14ac:dyDescent="0.25">
      <c r="A3636">
        <v>79024</v>
      </c>
      <c r="B3636" t="s">
        <v>10115</v>
      </c>
      <c r="C3636" t="s">
        <v>10116</v>
      </c>
      <c r="D3636" t="s">
        <v>2596</v>
      </c>
      <c r="E3636" t="s">
        <v>1273</v>
      </c>
      <c r="F3636" t="s">
        <v>2204</v>
      </c>
      <c r="G3636" t="s">
        <v>8763</v>
      </c>
      <c r="K3636" t="s">
        <v>10126</v>
      </c>
      <c r="M3636" t="s">
        <v>1640</v>
      </c>
    </row>
    <row r="3637" spans="1:13" x14ac:dyDescent="0.25">
      <c r="A3637">
        <v>79024</v>
      </c>
      <c r="B3637" t="s">
        <v>10115</v>
      </c>
      <c r="C3637" t="s">
        <v>10116</v>
      </c>
      <c r="D3637" t="s">
        <v>2596</v>
      </c>
      <c r="E3637" t="s">
        <v>1273</v>
      </c>
      <c r="F3637" t="s">
        <v>8736</v>
      </c>
      <c r="G3637" t="s">
        <v>8737</v>
      </c>
      <c r="K3637" t="s">
        <v>8748</v>
      </c>
      <c r="M3637" t="s">
        <v>1640</v>
      </c>
    </row>
    <row r="3638" spans="1:13" x14ac:dyDescent="0.25">
      <c r="A3638">
        <v>79509</v>
      </c>
      <c r="B3638" t="s">
        <v>10127</v>
      </c>
      <c r="C3638" t="s">
        <v>10128</v>
      </c>
      <c r="D3638" t="s">
        <v>2605</v>
      </c>
      <c r="E3638" t="s">
        <v>1273</v>
      </c>
      <c r="F3638" t="s">
        <v>3772</v>
      </c>
      <c r="G3638" t="s">
        <v>10129</v>
      </c>
      <c r="H3638">
        <v>6025899840</v>
      </c>
      <c r="K3638" t="s">
        <v>10130</v>
      </c>
      <c r="L3638" t="s">
        <v>8744</v>
      </c>
      <c r="M3638" t="s">
        <v>1634</v>
      </c>
    </row>
    <row r="3639" spans="1:13" x14ac:dyDescent="0.25">
      <c r="A3639">
        <v>79053</v>
      </c>
      <c r="B3639" t="s">
        <v>10131</v>
      </c>
      <c r="C3639" t="s">
        <v>10132</v>
      </c>
      <c r="D3639" t="s">
        <v>2596</v>
      </c>
      <c r="E3639" t="s">
        <v>1273</v>
      </c>
      <c r="F3639" t="s">
        <v>2997</v>
      </c>
      <c r="G3639" t="s">
        <v>8527</v>
      </c>
      <c r="K3639" t="s">
        <v>8528</v>
      </c>
      <c r="L3639" t="s">
        <v>8770</v>
      </c>
      <c r="M3639" t="s">
        <v>1634</v>
      </c>
    </row>
    <row r="3640" spans="1:13" x14ac:dyDescent="0.25">
      <c r="A3640">
        <v>79053</v>
      </c>
      <c r="B3640" t="s">
        <v>10131</v>
      </c>
      <c r="C3640" t="s">
        <v>10132</v>
      </c>
      <c r="D3640" t="s">
        <v>2596</v>
      </c>
      <c r="E3640" t="s">
        <v>1273</v>
      </c>
      <c r="F3640" t="s">
        <v>10133</v>
      </c>
      <c r="G3640" t="s">
        <v>10134</v>
      </c>
      <c r="K3640" t="s">
        <v>10135</v>
      </c>
      <c r="M3640" t="s">
        <v>1634</v>
      </c>
    </row>
    <row r="3641" spans="1:13" x14ac:dyDescent="0.25">
      <c r="A3641">
        <v>79053</v>
      </c>
      <c r="B3641" t="s">
        <v>10131</v>
      </c>
      <c r="C3641" t="s">
        <v>10132</v>
      </c>
      <c r="D3641" t="s">
        <v>2596</v>
      </c>
      <c r="E3641" t="s">
        <v>1273</v>
      </c>
      <c r="F3641" t="s">
        <v>1679</v>
      </c>
      <c r="G3641" t="s">
        <v>8530</v>
      </c>
      <c r="M3641" t="s">
        <v>1634</v>
      </c>
    </row>
    <row r="3642" spans="1:13" x14ac:dyDescent="0.25">
      <c r="A3642">
        <v>79123</v>
      </c>
      <c r="B3642" t="s">
        <v>10136</v>
      </c>
      <c r="C3642" t="s">
        <v>10137</v>
      </c>
      <c r="D3642" t="s">
        <v>2605</v>
      </c>
      <c r="E3642" t="s">
        <v>1273</v>
      </c>
      <c r="F3642" t="s">
        <v>10133</v>
      </c>
      <c r="G3642" t="s">
        <v>10134</v>
      </c>
      <c r="K3642" t="s">
        <v>10138</v>
      </c>
      <c r="M3642" t="s">
        <v>1634</v>
      </c>
    </row>
    <row r="3643" spans="1:13" x14ac:dyDescent="0.25">
      <c r="A3643">
        <v>79123</v>
      </c>
      <c r="B3643" t="s">
        <v>10136</v>
      </c>
      <c r="C3643" t="s">
        <v>10137</v>
      </c>
      <c r="D3643" t="s">
        <v>2605</v>
      </c>
      <c r="E3643" t="s">
        <v>1273</v>
      </c>
      <c r="F3643" t="s">
        <v>2997</v>
      </c>
      <c r="G3643" t="s">
        <v>8527</v>
      </c>
      <c r="K3643" t="s">
        <v>8528</v>
      </c>
      <c r="L3643" t="s">
        <v>8636</v>
      </c>
      <c r="M3643" t="s">
        <v>1634</v>
      </c>
    </row>
    <row r="3644" spans="1:13" x14ac:dyDescent="0.25">
      <c r="A3644">
        <v>79123</v>
      </c>
      <c r="B3644" t="s">
        <v>10136</v>
      </c>
      <c r="C3644" t="s">
        <v>10137</v>
      </c>
      <c r="D3644" t="s">
        <v>2605</v>
      </c>
      <c r="E3644" t="s">
        <v>1273</v>
      </c>
      <c r="F3644" t="s">
        <v>4799</v>
      </c>
      <c r="G3644" t="s">
        <v>8535</v>
      </c>
      <c r="K3644" t="s">
        <v>8536</v>
      </c>
      <c r="M3644" t="s">
        <v>1634</v>
      </c>
    </row>
    <row r="3645" spans="1:13" x14ac:dyDescent="0.25">
      <c r="A3645">
        <v>79123</v>
      </c>
      <c r="B3645" t="s">
        <v>10136</v>
      </c>
      <c r="C3645" t="s">
        <v>10137</v>
      </c>
      <c r="D3645" t="s">
        <v>2605</v>
      </c>
      <c r="E3645" t="s">
        <v>1273</v>
      </c>
      <c r="F3645" t="s">
        <v>10139</v>
      </c>
      <c r="G3645" t="s">
        <v>2162</v>
      </c>
      <c r="K3645" t="s">
        <v>10140</v>
      </c>
      <c r="M3645" t="s">
        <v>1765</v>
      </c>
    </row>
    <row r="3646" spans="1:13" x14ac:dyDescent="0.25">
      <c r="A3646">
        <v>79213</v>
      </c>
      <c r="B3646" t="s">
        <v>10141</v>
      </c>
      <c r="C3646" t="s">
        <v>10142</v>
      </c>
      <c r="D3646" t="s">
        <v>2596</v>
      </c>
      <c r="E3646" t="s">
        <v>1273</v>
      </c>
      <c r="F3646" t="s">
        <v>4473</v>
      </c>
      <c r="G3646" t="s">
        <v>10143</v>
      </c>
      <c r="J3646">
        <v>4808338966</v>
      </c>
      <c r="K3646" t="s">
        <v>10144</v>
      </c>
      <c r="L3646" t="s">
        <v>10145</v>
      </c>
      <c r="M3646" t="s">
        <v>1634</v>
      </c>
    </row>
    <row r="3647" spans="1:13" x14ac:dyDescent="0.25">
      <c r="A3647">
        <v>79213</v>
      </c>
      <c r="B3647" t="s">
        <v>10141</v>
      </c>
      <c r="C3647" t="s">
        <v>10142</v>
      </c>
      <c r="D3647" t="s">
        <v>2596</v>
      </c>
      <c r="E3647" t="s">
        <v>1273</v>
      </c>
      <c r="F3647" t="s">
        <v>6887</v>
      </c>
      <c r="G3647" t="s">
        <v>10146</v>
      </c>
      <c r="H3647" t="s">
        <v>10147</v>
      </c>
      <c r="K3647" t="s">
        <v>10148</v>
      </c>
      <c r="L3647" t="s">
        <v>8344</v>
      </c>
      <c r="M3647" t="s">
        <v>1640</v>
      </c>
    </row>
    <row r="3648" spans="1:13" x14ac:dyDescent="0.25">
      <c r="A3648">
        <v>79213</v>
      </c>
      <c r="B3648" t="s">
        <v>10141</v>
      </c>
      <c r="C3648" t="s">
        <v>10142</v>
      </c>
      <c r="D3648" t="s">
        <v>2596</v>
      </c>
      <c r="E3648" t="s">
        <v>1273</v>
      </c>
      <c r="F3648" t="s">
        <v>10149</v>
      </c>
      <c r="G3648" t="s">
        <v>10150</v>
      </c>
      <c r="K3648" t="s">
        <v>10151</v>
      </c>
      <c r="L3648" t="s">
        <v>10152</v>
      </c>
      <c r="M3648" t="s">
        <v>1765</v>
      </c>
    </row>
    <row r="3649" spans="1:13" x14ac:dyDescent="0.25">
      <c r="A3649">
        <v>79213</v>
      </c>
      <c r="B3649" t="s">
        <v>10141</v>
      </c>
      <c r="C3649" t="s">
        <v>10142</v>
      </c>
      <c r="D3649" t="s">
        <v>2596</v>
      </c>
      <c r="E3649" t="s">
        <v>1273</v>
      </c>
      <c r="F3649" t="s">
        <v>8338</v>
      </c>
      <c r="G3649" t="s">
        <v>6343</v>
      </c>
      <c r="K3649" t="s">
        <v>10153</v>
      </c>
      <c r="M3649" t="s">
        <v>1765</v>
      </c>
    </row>
    <row r="3650" spans="1:13" x14ac:dyDescent="0.25">
      <c r="A3650">
        <v>10795</v>
      </c>
      <c r="B3650" t="s">
        <v>10154</v>
      </c>
      <c r="C3650" t="s">
        <v>10155</v>
      </c>
      <c r="D3650" t="s">
        <v>2605</v>
      </c>
      <c r="E3650" t="s">
        <v>1273</v>
      </c>
      <c r="F3650" t="s">
        <v>4473</v>
      </c>
      <c r="G3650" t="s">
        <v>10143</v>
      </c>
      <c r="H3650">
        <v>4808330068</v>
      </c>
      <c r="J3650">
        <v>4808338966</v>
      </c>
      <c r="K3650" t="s">
        <v>10156</v>
      </c>
      <c r="M3650" t="s">
        <v>1634</v>
      </c>
    </row>
    <row r="3651" spans="1:13" x14ac:dyDescent="0.25">
      <c r="A3651">
        <v>10795</v>
      </c>
      <c r="B3651" t="s">
        <v>10154</v>
      </c>
      <c r="C3651" t="s">
        <v>10155</v>
      </c>
      <c r="D3651" t="s">
        <v>2605</v>
      </c>
      <c r="E3651" t="s">
        <v>1273</v>
      </c>
      <c r="F3651" t="s">
        <v>8338</v>
      </c>
      <c r="G3651" t="s">
        <v>6343</v>
      </c>
      <c r="M3651" t="s">
        <v>1765</v>
      </c>
    </row>
    <row r="3652" spans="1:13" x14ac:dyDescent="0.25">
      <c r="A3652">
        <v>79063</v>
      </c>
      <c r="B3652" t="s">
        <v>10157</v>
      </c>
      <c r="C3652" t="s">
        <v>10158</v>
      </c>
      <c r="D3652" t="s">
        <v>2596</v>
      </c>
      <c r="E3652" t="s">
        <v>1273</v>
      </c>
      <c r="F3652" t="s">
        <v>1707</v>
      </c>
      <c r="G3652" t="s">
        <v>10159</v>
      </c>
      <c r="H3652">
        <v>4803452306</v>
      </c>
      <c r="J3652">
        <v>4803450059</v>
      </c>
      <c r="K3652" t="s">
        <v>10160</v>
      </c>
      <c r="L3652" t="s">
        <v>8309</v>
      </c>
      <c r="M3652" t="s">
        <v>1634</v>
      </c>
    </row>
    <row r="3653" spans="1:13" x14ac:dyDescent="0.25">
      <c r="A3653">
        <v>79063</v>
      </c>
      <c r="B3653" t="s">
        <v>10157</v>
      </c>
      <c r="C3653" t="s">
        <v>10158</v>
      </c>
      <c r="D3653" t="s">
        <v>2596</v>
      </c>
      <c r="E3653" t="s">
        <v>1273</v>
      </c>
      <c r="F3653" t="s">
        <v>3303</v>
      </c>
      <c r="G3653" t="s">
        <v>10161</v>
      </c>
      <c r="H3653">
        <v>4803452306</v>
      </c>
      <c r="I3653">
        <v>209</v>
      </c>
      <c r="K3653" t="s">
        <v>10162</v>
      </c>
      <c r="L3653" t="s">
        <v>1721</v>
      </c>
      <c r="M3653" t="s">
        <v>1634</v>
      </c>
    </row>
    <row r="3654" spans="1:13" x14ac:dyDescent="0.25">
      <c r="A3654">
        <v>79113</v>
      </c>
      <c r="B3654" t="s">
        <v>10157</v>
      </c>
      <c r="C3654" t="s">
        <v>10163</v>
      </c>
      <c r="D3654" t="s">
        <v>2605</v>
      </c>
      <c r="E3654" t="s">
        <v>1273</v>
      </c>
      <c r="F3654" t="s">
        <v>1707</v>
      </c>
      <c r="G3654" t="s">
        <v>10159</v>
      </c>
      <c r="H3654">
        <v>4803452306</v>
      </c>
      <c r="J3654">
        <v>4803450059</v>
      </c>
      <c r="K3654" t="s">
        <v>10164</v>
      </c>
      <c r="L3654" t="s">
        <v>8309</v>
      </c>
      <c r="M3654" t="s">
        <v>1634</v>
      </c>
    </row>
    <row r="3655" spans="1:13" x14ac:dyDescent="0.25">
      <c r="A3655">
        <v>79113</v>
      </c>
      <c r="B3655" t="s">
        <v>10157</v>
      </c>
      <c r="C3655" t="s">
        <v>10163</v>
      </c>
      <c r="D3655" t="s">
        <v>2605</v>
      </c>
      <c r="E3655" t="s">
        <v>1273</v>
      </c>
      <c r="F3655" t="s">
        <v>3303</v>
      </c>
      <c r="G3655" t="s">
        <v>10161</v>
      </c>
      <c r="L3655" t="s">
        <v>1647</v>
      </c>
      <c r="M3655" t="s">
        <v>1634</v>
      </c>
    </row>
    <row r="3656" spans="1:13" x14ac:dyDescent="0.25">
      <c r="A3656">
        <v>79072</v>
      </c>
      <c r="B3656" t="s">
        <v>10165</v>
      </c>
      <c r="C3656" t="s">
        <v>10166</v>
      </c>
      <c r="D3656" t="s">
        <v>2596</v>
      </c>
      <c r="E3656" t="s">
        <v>1273</v>
      </c>
      <c r="F3656" t="s">
        <v>8398</v>
      </c>
      <c r="G3656" t="s">
        <v>8399</v>
      </c>
      <c r="J3656">
        <v>4803961104</v>
      </c>
      <c r="K3656" t="s">
        <v>8400</v>
      </c>
      <c r="L3656" t="s">
        <v>9722</v>
      </c>
      <c r="M3656" t="s">
        <v>1634</v>
      </c>
    </row>
    <row r="3657" spans="1:13" x14ac:dyDescent="0.25">
      <c r="A3657">
        <v>79072</v>
      </c>
      <c r="B3657" t="s">
        <v>10165</v>
      </c>
      <c r="C3657" t="s">
        <v>10166</v>
      </c>
      <c r="D3657" t="s">
        <v>2596</v>
      </c>
      <c r="E3657" t="s">
        <v>1273</v>
      </c>
      <c r="F3657" t="s">
        <v>4858</v>
      </c>
      <c r="G3657" t="s">
        <v>2050</v>
      </c>
      <c r="K3657" t="s">
        <v>10167</v>
      </c>
      <c r="L3657" t="s">
        <v>4430</v>
      </c>
      <c r="M3657" t="s">
        <v>1634</v>
      </c>
    </row>
    <row r="3658" spans="1:13" x14ac:dyDescent="0.25">
      <c r="A3658">
        <v>79072</v>
      </c>
      <c r="B3658" t="s">
        <v>10165</v>
      </c>
      <c r="C3658" t="s">
        <v>10166</v>
      </c>
      <c r="D3658" t="s">
        <v>2596</v>
      </c>
      <c r="E3658" t="s">
        <v>1273</v>
      </c>
      <c r="F3658" t="s">
        <v>10168</v>
      </c>
      <c r="G3658" t="s">
        <v>6075</v>
      </c>
      <c r="H3658">
        <v>4806412640</v>
      </c>
      <c r="K3658" t="s">
        <v>10169</v>
      </c>
      <c r="M3658" t="s">
        <v>1765</v>
      </c>
    </row>
    <row r="3659" spans="1:13" x14ac:dyDescent="0.25">
      <c r="A3659">
        <v>79104</v>
      </c>
      <c r="B3659" t="s">
        <v>10165</v>
      </c>
      <c r="C3659" t="s">
        <v>10170</v>
      </c>
      <c r="D3659" t="s">
        <v>2605</v>
      </c>
      <c r="E3659" t="s">
        <v>1273</v>
      </c>
    </row>
    <row r="3660" spans="1:13" x14ac:dyDescent="0.25">
      <c r="A3660">
        <v>79214</v>
      </c>
      <c r="B3660" t="s">
        <v>10171</v>
      </c>
      <c r="C3660" t="s">
        <v>10172</v>
      </c>
      <c r="D3660" t="s">
        <v>2596</v>
      </c>
      <c r="E3660" t="s">
        <v>1273</v>
      </c>
      <c r="F3660" t="s">
        <v>1775</v>
      </c>
      <c r="G3660" t="s">
        <v>4278</v>
      </c>
      <c r="K3660" t="s">
        <v>10173</v>
      </c>
      <c r="L3660" t="s">
        <v>10174</v>
      </c>
      <c r="M3660" t="s">
        <v>1634</v>
      </c>
    </row>
    <row r="3661" spans="1:13" x14ac:dyDescent="0.25">
      <c r="A3661">
        <v>79214</v>
      </c>
      <c r="B3661" t="s">
        <v>10171</v>
      </c>
      <c r="C3661" t="s">
        <v>10172</v>
      </c>
      <c r="D3661" t="s">
        <v>2596</v>
      </c>
      <c r="E3661" t="s">
        <v>1273</v>
      </c>
      <c r="F3661" t="s">
        <v>10175</v>
      </c>
      <c r="G3661" t="s">
        <v>10176</v>
      </c>
      <c r="H3661">
        <v>4806714584</v>
      </c>
      <c r="J3661">
        <v>4806714584</v>
      </c>
      <c r="K3661" t="s">
        <v>10177</v>
      </c>
      <c r="M3661" t="s">
        <v>1765</v>
      </c>
    </row>
    <row r="3662" spans="1:13" x14ac:dyDescent="0.25">
      <c r="A3662">
        <v>81173</v>
      </c>
      <c r="B3662" t="s">
        <v>10178</v>
      </c>
      <c r="C3662" t="s">
        <v>10179</v>
      </c>
      <c r="D3662" t="s">
        <v>2605</v>
      </c>
      <c r="E3662" t="s">
        <v>7934</v>
      </c>
      <c r="F3662" t="s">
        <v>10175</v>
      </c>
      <c r="G3662" t="s">
        <v>10176</v>
      </c>
      <c r="J3662">
        <v>4806714586</v>
      </c>
      <c r="K3662" t="s">
        <v>10180</v>
      </c>
      <c r="L3662" t="s">
        <v>1765</v>
      </c>
      <c r="M3662" t="s">
        <v>1765</v>
      </c>
    </row>
    <row r="3663" spans="1:13" x14ac:dyDescent="0.25">
      <c r="A3663">
        <v>81173</v>
      </c>
      <c r="B3663" t="s">
        <v>10178</v>
      </c>
      <c r="C3663" t="s">
        <v>10179</v>
      </c>
      <c r="D3663" t="s">
        <v>2605</v>
      </c>
      <c r="E3663" t="s">
        <v>7934</v>
      </c>
      <c r="F3663" t="s">
        <v>2082</v>
      </c>
      <c r="G3663" t="s">
        <v>9964</v>
      </c>
      <c r="H3663">
        <v>4806714584</v>
      </c>
      <c r="J3663">
        <v>4806714586</v>
      </c>
      <c r="K3663" t="s">
        <v>10181</v>
      </c>
      <c r="M3663" t="s">
        <v>1765</v>
      </c>
    </row>
    <row r="3664" spans="1:13" x14ac:dyDescent="0.25">
      <c r="A3664">
        <v>4316</v>
      </c>
      <c r="B3664" t="s">
        <v>10182</v>
      </c>
      <c r="C3664" t="s">
        <v>10183</v>
      </c>
      <c r="D3664" t="s">
        <v>2596</v>
      </c>
      <c r="E3664" t="s">
        <v>1273</v>
      </c>
      <c r="F3664" t="s">
        <v>4887</v>
      </c>
      <c r="G3664" t="s">
        <v>10184</v>
      </c>
      <c r="H3664">
        <v>4802525414</v>
      </c>
      <c r="J3664">
        <v>4809706625</v>
      </c>
      <c r="K3664" t="s">
        <v>10185</v>
      </c>
      <c r="L3664" t="s">
        <v>10186</v>
      </c>
      <c r="M3664" t="s">
        <v>1634</v>
      </c>
    </row>
    <row r="3665" spans="1:13" x14ac:dyDescent="0.25">
      <c r="A3665">
        <v>4316</v>
      </c>
      <c r="B3665" t="s">
        <v>10182</v>
      </c>
      <c r="C3665" t="s">
        <v>10183</v>
      </c>
      <c r="D3665" t="s">
        <v>2596</v>
      </c>
      <c r="E3665" t="s">
        <v>1273</v>
      </c>
      <c r="F3665" t="s">
        <v>1812</v>
      </c>
      <c r="G3665" t="s">
        <v>10187</v>
      </c>
      <c r="H3665">
        <v>4809473917</v>
      </c>
      <c r="K3665" t="s">
        <v>10188</v>
      </c>
      <c r="L3665" t="s">
        <v>1640</v>
      </c>
      <c r="M3665" t="s">
        <v>1640</v>
      </c>
    </row>
    <row r="3666" spans="1:13" x14ac:dyDescent="0.25">
      <c r="A3666">
        <v>5482</v>
      </c>
      <c r="B3666" t="s">
        <v>10189</v>
      </c>
      <c r="C3666" t="s">
        <v>10190</v>
      </c>
      <c r="D3666" t="s">
        <v>2605</v>
      </c>
      <c r="E3666" t="s">
        <v>1273</v>
      </c>
      <c r="F3666" t="s">
        <v>4887</v>
      </c>
      <c r="G3666" t="s">
        <v>10184</v>
      </c>
      <c r="H3666">
        <v>4804819235</v>
      </c>
      <c r="J3666">
        <v>4809706625</v>
      </c>
      <c r="K3666" t="s">
        <v>10191</v>
      </c>
      <c r="M3666" t="s">
        <v>1634</v>
      </c>
    </row>
    <row r="3667" spans="1:13" x14ac:dyDescent="0.25">
      <c r="A3667">
        <v>79205</v>
      </c>
      <c r="B3667" t="s">
        <v>10192</v>
      </c>
      <c r="C3667" t="s">
        <v>10193</v>
      </c>
      <c r="D3667" t="s">
        <v>2596</v>
      </c>
      <c r="E3667" t="s">
        <v>1273</v>
      </c>
      <c r="F3667" t="s">
        <v>2556</v>
      </c>
      <c r="G3667" t="s">
        <v>10194</v>
      </c>
      <c r="H3667">
        <v>6239770614</v>
      </c>
      <c r="K3667" t="s">
        <v>10195</v>
      </c>
      <c r="L3667" t="s">
        <v>8283</v>
      </c>
      <c r="M3667" t="s">
        <v>1634</v>
      </c>
    </row>
    <row r="3668" spans="1:13" x14ac:dyDescent="0.25">
      <c r="A3668">
        <v>79205</v>
      </c>
      <c r="B3668" t="s">
        <v>10192</v>
      </c>
      <c r="C3668" t="s">
        <v>10193</v>
      </c>
      <c r="D3668" t="s">
        <v>2596</v>
      </c>
      <c r="E3668" t="s">
        <v>1273</v>
      </c>
      <c r="F3668" t="s">
        <v>2376</v>
      </c>
      <c r="G3668" t="s">
        <v>7941</v>
      </c>
      <c r="H3668">
        <v>6239770614</v>
      </c>
      <c r="I3668">
        <v>202</v>
      </c>
      <c r="K3668" t="s">
        <v>10196</v>
      </c>
      <c r="L3668" t="s">
        <v>5727</v>
      </c>
      <c r="M3668" t="s">
        <v>1634</v>
      </c>
    </row>
    <row r="3669" spans="1:13" x14ac:dyDescent="0.25">
      <c r="A3669">
        <v>79205</v>
      </c>
      <c r="B3669" t="s">
        <v>10192</v>
      </c>
      <c r="C3669" t="s">
        <v>10193</v>
      </c>
      <c r="D3669" t="s">
        <v>2596</v>
      </c>
      <c r="E3669" t="s">
        <v>1273</v>
      </c>
      <c r="F3669" t="s">
        <v>2376</v>
      </c>
      <c r="G3669" t="s">
        <v>7941</v>
      </c>
      <c r="H3669">
        <v>6239770614</v>
      </c>
      <c r="I3669">
        <v>202</v>
      </c>
      <c r="J3669">
        <v>6239770615</v>
      </c>
      <c r="K3669" t="s">
        <v>10196</v>
      </c>
      <c r="L3669" t="s">
        <v>5727</v>
      </c>
      <c r="M3669" t="s">
        <v>1634</v>
      </c>
    </row>
    <row r="3670" spans="1:13" x14ac:dyDescent="0.25">
      <c r="A3670">
        <v>79205</v>
      </c>
      <c r="B3670" t="s">
        <v>10192</v>
      </c>
      <c r="C3670" t="s">
        <v>10193</v>
      </c>
      <c r="D3670" t="s">
        <v>2596</v>
      </c>
      <c r="E3670" t="s">
        <v>1273</v>
      </c>
      <c r="F3670" t="s">
        <v>1908</v>
      </c>
      <c r="G3670" t="s">
        <v>10194</v>
      </c>
      <c r="H3670">
        <v>6239770614</v>
      </c>
      <c r="I3670">
        <v>105</v>
      </c>
      <c r="J3670">
        <v>6239770615</v>
      </c>
      <c r="K3670" t="s">
        <v>10197</v>
      </c>
      <c r="M3670" t="s">
        <v>1640</v>
      </c>
    </row>
    <row r="3671" spans="1:13" x14ac:dyDescent="0.25">
      <c r="A3671">
        <v>78977</v>
      </c>
      <c r="B3671" t="s">
        <v>10198</v>
      </c>
      <c r="C3671" t="s">
        <v>10199</v>
      </c>
      <c r="D3671" t="s">
        <v>2605</v>
      </c>
      <c r="E3671" t="s">
        <v>1273</v>
      </c>
    </row>
    <row r="3672" spans="1:13" x14ac:dyDescent="0.25">
      <c r="A3672">
        <v>5181</v>
      </c>
      <c r="B3672" t="s">
        <v>10200</v>
      </c>
      <c r="C3672" t="s">
        <v>10201</v>
      </c>
      <c r="D3672" t="s">
        <v>2596</v>
      </c>
      <c r="E3672" t="s">
        <v>1273</v>
      </c>
      <c r="F3672" t="s">
        <v>2835</v>
      </c>
      <c r="G3672" t="s">
        <v>10202</v>
      </c>
      <c r="H3672">
        <v>6022589500</v>
      </c>
      <c r="J3672">
        <v>6022589500</v>
      </c>
      <c r="K3672" t="s">
        <v>10203</v>
      </c>
      <c r="L3672" t="s">
        <v>3043</v>
      </c>
      <c r="M3672" t="s">
        <v>1634</v>
      </c>
    </row>
    <row r="3673" spans="1:13" x14ac:dyDescent="0.25">
      <c r="A3673">
        <v>5181</v>
      </c>
      <c r="B3673" t="s">
        <v>10200</v>
      </c>
      <c r="C3673" t="s">
        <v>10201</v>
      </c>
      <c r="D3673" t="s">
        <v>2596</v>
      </c>
      <c r="E3673" t="s">
        <v>1273</v>
      </c>
      <c r="F3673" t="s">
        <v>1856</v>
      </c>
      <c r="G3673" t="s">
        <v>10204</v>
      </c>
      <c r="I3673">
        <v>14</v>
      </c>
      <c r="J3673">
        <v>6022589504</v>
      </c>
      <c r="K3673" t="s">
        <v>10205</v>
      </c>
      <c r="L3673" t="s">
        <v>1640</v>
      </c>
      <c r="M3673" t="s">
        <v>1634</v>
      </c>
    </row>
    <row r="3674" spans="1:13" x14ac:dyDescent="0.25">
      <c r="A3674">
        <v>5181</v>
      </c>
      <c r="B3674" t="s">
        <v>10200</v>
      </c>
      <c r="C3674" t="s">
        <v>10201</v>
      </c>
      <c r="D3674" t="s">
        <v>2596</v>
      </c>
      <c r="E3674" t="s">
        <v>1273</v>
      </c>
      <c r="F3674" t="s">
        <v>1856</v>
      </c>
      <c r="G3674" t="s">
        <v>10204</v>
      </c>
      <c r="I3674">
        <v>14</v>
      </c>
      <c r="J3674">
        <v>6022589504</v>
      </c>
      <c r="K3674" t="s">
        <v>10205</v>
      </c>
      <c r="L3674" t="s">
        <v>1640</v>
      </c>
      <c r="M3674" t="s">
        <v>1765</v>
      </c>
    </row>
    <row r="3675" spans="1:13" x14ac:dyDescent="0.25">
      <c r="A3675">
        <v>10847</v>
      </c>
      <c r="B3675" t="s">
        <v>10206</v>
      </c>
      <c r="C3675" t="s">
        <v>10207</v>
      </c>
      <c r="D3675" t="s">
        <v>2605</v>
      </c>
      <c r="E3675" t="s">
        <v>1273</v>
      </c>
      <c r="F3675" t="s">
        <v>2835</v>
      </c>
      <c r="G3675" t="s">
        <v>10202</v>
      </c>
      <c r="H3675">
        <v>6022589500</v>
      </c>
      <c r="J3675">
        <v>6022589504</v>
      </c>
      <c r="K3675" t="s">
        <v>10208</v>
      </c>
      <c r="M3675" t="s">
        <v>1634</v>
      </c>
    </row>
    <row r="3676" spans="1:13" x14ac:dyDescent="0.25">
      <c r="A3676">
        <v>10847</v>
      </c>
      <c r="B3676" t="s">
        <v>10206</v>
      </c>
      <c r="C3676" t="s">
        <v>10207</v>
      </c>
      <c r="D3676" t="s">
        <v>2605</v>
      </c>
      <c r="E3676" t="s">
        <v>1273</v>
      </c>
      <c r="F3676" t="s">
        <v>1856</v>
      </c>
      <c r="G3676" t="s">
        <v>10204</v>
      </c>
      <c r="K3676" t="s">
        <v>10205</v>
      </c>
      <c r="M3676" t="s">
        <v>1640</v>
      </c>
    </row>
    <row r="3677" spans="1:13" x14ac:dyDescent="0.25">
      <c r="A3677">
        <v>6235</v>
      </c>
      <c r="B3677" t="s">
        <v>10209</v>
      </c>
      <c r="C3677" t="s">
        <v>10210</v>
      </c>
      <c r="D3677" t="s">
        <v>2596</v>
      </c>
      <c r="E3677" t="s">
        <v>1273</v>
      </c>
      <c r="F3677" t="s">
        <v>4217</v>
      </c>
      <c r="G3677" t="s">
        <v>10211</v>
      </c>
      <c r="J3677">
        <v>6239365337</v>
      </c>
      <c r="K3677" t="s">
        <v>10212</v>
      </c>
      <c r="L3677" t="s">
        <v>1640</v>
      </c>
      <c r="M3677" t="s">
        <v>1634</v>
      </c>
    </row>
    <row r="3678" spans="1:13" x14ac:dyDescent="0.25">
      <c r="A3678">
        <v>6235</v>
      </c>
      <c r="B3678" t="s">
        <v>10209</v>
      </c>
      <c r="C3678" t="s">
        <v>10210</v>
      </c>
      <c r="D3678" t="s">
        <v>2596</v>
      </c>
      <c r="E3678" t="s">
        <v>1273</v>
      </c>
      <c r="F3678" t="s">
        <v>1635</v>
      </c>
      <c r="G3678" t="s">
        <v>10213</v>
      </c>
      <c r="H3678">
        <v>6028196249</v>
      </c>
      <c r="J3678">
        <v>6024261342</v>
      </c>
      <c r="K3678" t="s">
        <v>10214</v>
      </c>
      <c r="L3678" t="s">
        <v>10215</v>
      </c>
      <c r="M3678" t="s">
        <v>1634</v>
      </c>
    </row>
    <row r="3679" spans="1:13" x14ac:dyDescent="0.25">
      <c r="A3679">
        <v>6235</v>
      </c>
      <c r="B3679" t="s">
        <v>10209</v>
      </c>
      <c r="C3679" t="s">
        <v>10210</v>
      </c>
      <c r="D3679" t="s">
        <v>2596</v>
      </c>
      <c r="E3679" t="s">
        <v>1273</v>
      </c>
      <c r="F3679" t="s">
        <v>4217</v>
      </c>
      <c r="G3679" t="s">
        <v>10211</v>
      </c>
      <c r="J3679">
        <v>6239365337</v>
      </c>
      <c r="K3679" t="s">
        <v>10212</v>
      </c>
      <c r="L3679" t="s">
        <v>1640</v>
      </c>
      <c r="M3679" t="s">
        <v>1640</v>
      </c>
    </row>
    <row r="3680" spans="1:13" x14ac:dyDescent="0.25">
      <c r="A3680">
        <v>6235</v>
      </c>
      <c r="B3680" t="s">
        <v>10209</v>
      </c>
      <c r="C3680" t="s">
        <v>10210</v>
      </c>
      <c r="D3680" t="s">
        <v>2596</v>
      </c>
      <c r="E3680" t="s">
        <v>1273</v>
      </c>
      <c r="F3680" t="s">
        <v>1635</v>
      </c>
      <c r="G3680" t="s">
        <v>10213</v>
      </c>
      <c r="H3680">
        <v>6028196249</v>
      </c>
      <c r="J3680">
        <v>6024261342</v>
      </c>
      <c r="K3680" t="s">
        <v>10214</v>
      </c>
      <c r="L3680" t="s">
        <v>10215</v>
      </c>
      <c r="M3680" t="s">
        <v>1640</v>
      </c>
    </row>
    <row r="3681" spans="1:13" x14ac:dyDescent="0.25">
      <c r="A3681">
        <v>6235</v>
      </c>
      <c r="B3681" t="s">
        <v>10209</v>
      </c>
      <c r="C3681" t="s">
        <v>10210</v>
      </c>
      <c r="D3681" t="s">
        <v>2596</v>
      </c>
      <c r="E3681" t="s">
        <v>1273</v>
      </c>
      <c r="F3681" t="s">
        <v>2947</v>
      </c>
      <c r="G3681" t="s">
        <v>2948</v>
      </c>
      <c r="K3681" t="s">
        <v>10216</v>
      </c>
      <c r="L3681" t="s">
        <v>5374</v>
      </c>
      <c r="M3681" t="s">
        <v>1765</v>
      </c>
    </row>
    <row r="3682" spans="1:13" x14ac:dyDescent="0.25">
      <c r="A3682">
        <v>87413</v>
      </c>
      <c r="B3682" t="s">
        <v>10217</v>
      </c>
      <c r="C3682" t="s">
        <v>10218</v>
      </c>
      <c r="D3682" t="s">
        <v>2605</v>
      </c>
      <c r="E3682" t="s">
        <v>1273</v>
      </c>
      <c r="F3682" t="s">
        <v>1635</v>
      </c>
      <c r="G3682" t="s">
        <v>10213</v>
      </c>
      <c r="H3682">
        <v>6028196249</v>
      </c>
      <c r="K3682" t="s">
        <v>10214</v>
      </c>
      <c r="L3682" t="s">
        <v>8181</v>
      </c>
      <c r="M3682" t="s">
        <v>1634</v>
      </c>
    </row>
    <row r="3683" spans="1:13" x14ac:dyDescent="0.25">
      <c r="A3683">
        <v>87413</v>
      </c>
      <c r="B3683" t="s">
        <v>10217</v>
      </c>
      <c r="C3683" t="s">
        <v>10218</v>
      </c>
      <c r="D3683" t="s">
        <v>2605</v>
      </c>
      <c r="E3683" t="s">
        <v>1273</v>
      </c>
      <c r="F3683" t="s">
        <v>4217</v>
      </c>
      <c r="G3683" t="s">
        <v>10211</v>
      </c>
      <c r="J3683">
        <v>6239365337</v>
      </c>
      <c r="K3683" t="s">
        <v>10212</v>
      </c>
      <c r="L3683" t="s">
        <v>1855</v>
      </c>
      <c r="M3683" t="s">
        <v>1640</v>
      </c>
    </row>
    <row r="3684" spans="1:13" x14ac:dyDescent="0.25">
      <c r="A3684">
        <v>79055</v>
      </c>
      <c r="B3684" t="s">
        <v>10219</v>
      </c>
      <c r="C3684" t="s">
        <v>10220</v>
      </c>
      <c r="D3684" t="s">
        <v>2596</v>
      </c>
      <c r="E3684" t="s">
        <v>1273</v>
      </c>
      <c r="F3684" t="s">
        <v>10221</v>
      </c>
      <c r="G3684" t="s">
        <v>1909</v>
      </c>
      <c r="H3684">
        <v>6024395026</v>
      </c>
      <c r="J3684">
        <v>6024395029</v>
      </c>
      <c r="K3684" t="s">
        <v>10222</v>
      </c>
      <c r="L3684" t="s">
        <v>3043</v>
      </c>
      <c r="M3684" t="s">
        <v>1634</v>
      </c>
    </row>
    <row r="3685" spans="1:13" x14ac:dyDescent="0.25">
      <c r="A3685">
        <v>79055</v>
      </c>
      <c r="B3685" t="s">
        <v>10219</v>
      </c>
      <c r="C3685" t="s">
        <v>10220</v>
      </c>
      <c r="D3685" t="s">
        <v>2596</v>
      </c>
      <c r="E3685" t="s">
        <v>1273</v>
      </c>
      <c r="F3685" t="s">
        <v>10223</v>
      </c>
      <c r="G3685" t="s">
        <v>10224</v>
      </c>
      <c r="H3685">
        <v>6024395026</v>
      </c>
      <c r="K3685" t="s">
        <v>10225</v>
      </c>
      <c r="L3685" t="s">
        <v>1647</v>
      </c>
      <c r="M3685" t="s">
        <v>1634</v>
      </c>
    </row>
    <row r="3686" spans="1:13" x14ac:dyDescent="0.25">
      <c r="A3686">
        <v>79055</v>
      </c>
      <c r="B3686" t="s">
        <v>10219</v>
      </c>
      <c r="C3686" t="s">
        <v>10220</v>
      </c>
      <c r="D3686" t="s">
        <v>2596</v>
      </c>
      <c r="E3686" t="s">
        <v>1273</v>
      </c>
      <c r="F3686" t="s">
        <v>10226</v>
      </c>
      <c r="G3686" t="s">
        <v>10227</v>
      </c>
      <c r="H3686">
        <v>6235562179</v>
      </c>
      <c r="K3686" t="s">
        <v>10228</v>
      </c>
      <c r="M3686" t="s">
        <v>1634</v>
      </c>
    </row>
    <row r="3687" spans="1:13" x14ac:dyDescent="0.25">
      <c r="A3687">
        <v>80463</v>
      </c>
      <c r="B3687" t="s">
        <v>10229</v>
      </c>
      <c r="C3687" t="s">
        <v>10230</v>
      </c>
      <c r="D3687" t="s">
        <v>2605</v>
      </c>
      <c r="E3687" t="s">
        <v>1273</v>
      </c>
      <c r="F3687" t="s">
        <v>10221</v>
      </c>
      <c r="G3687" t="s">
        <v>1909</v>
      </c>
      <c r="H3687">
        <v>6024395026</v>
      </c>
      <c r="J3687">
        <v>6024395029</v>
      </c>
      <c r="K3687" t="s">
        <v>10222</v>
      </c>
      <c r="L3687" t="s">
        <v>3043</v>
      </c>
      <c r="M3687" t="s">
        <v>1634</v>
      </c>
    </row>
    <row r="3688" spans="1:13" x14ac:dyDescent="0.25">
      <c r="A3688">
        <v>80463</v>
      </c>
      <c r="B3688" t="s">
        <v>10229</v>
      </c>
      <c r="C3688" t="s">
        <v>10230</v>
      </c>
      <c r="D3688" t="s">
        <v>2605</v>
      </c>
      <c r="E3688" t="s">
        <v>1273</v>
      </c>
      <c r="F3688" t="s">
        <v>2587</v>
      </c>
      <c r="G3688" t="s">
        <v>10231</v>
      </c>
      <c r="M3688" t="s">
        <v>1634</v>
      </c>
    </row>
    <row r="3689" spans="1:13" x14ac:dyDescent="0.25">
      <c r="A3689">
        <v>80463</v>
      </c>
      <c r="B3689" t="s">
        <v>10229</v>
      </c>
      <c r="C3689" t="s">
        <v>10230</v>
      </c>
      <c r="D3689" t="s">
        <v>2605</v>
      </c>
      <c r="E3689" t="s">
        <v>1273</v>
      </c>
      <c r="F3689" t="s">
        <v>3253</v>
      </c>
      <c r="G3689" t="s">
        <v>9466</v>
      </c>
      <c r="H3689">
        <v>6024395026</v>
      </c>
      <c r="K3689" t="s">
        <v>10232</v>
      </c>
      <c r="L3689" t="s">
        <v>1738</v>
      </c>
      <c r="M3689" t="s">
        <v>1634</v>
      </c>
    </row>
    <row r="3690" spans="1:13" x14ac:dyDescent="0.25">
      <c r="A3690">
        <v>79059</v>
      </c>
      <c r="B3690" t="s">
        <v>10233</v>
      </c>
      <c r="C3690" t="s">
        <v>10234</v>
      </c>
      <c r="D3690" t="s">
        <v>2596</v>
      </c>
      <c r="E3690" t="s">
        <v>1273</v>
      </c>
      <c r="F3690" t="s">
        <v>10221</v>
      </c>
      <c r="G3690" t="s">
        <v>1909</v>
      </c>
      <c r="H3690">
        <v>6024395026</v>
      </c>
      <c r="J3690">
        <v>6024395029</v>
      </c>
      <c r="K3690" t="s">
        <v>10222</v>
      </c>
      <c r="L3690" t="s">
        <v>3043</v>
      </c>
      <c r="M3690" t="s">
        <v>1634</v>
      </c>
    </row>
    <row r="3691" spans="1:13" x14ac:dyDescent="0.25">
      <c r="A3691">
        <v>79059</v>
      </c>
      <c r="B3691" t="s">
        <v>10233</v>
      </c>
      <c r="C3691" t="s">
        <v>10234</v>
      </c>
      <c r="D3691" t="s">
        <v>2596</v>
      </c>
      <c r="E3691" t="s">
        <v>1273</v>
      </c>
      <c r="F3691" t="s">
        <v>10235</v>
      </c>
      <c r="G3691" t="s">
        <v>10236</v>
      </c>
      <c r="M3691" t="s">
        <v>1765</v>
      </c>
    </row>
    <row r="3692" spans="1:13" x14ac:dyDescent="0.25">
      <c r="A3692">
        <v>79117</v>
      </c>
      <c r="B3692" t="s">
        <v>10237</v>
      </c>
      <c r="C3692" t="s">
        <v>10238</v>
      </c>
      <c r="D3692" t="s">
        <v>2605</v>
      </c>
      <c r="E3692" t="s">
        <v>1273</v>
      </c>
      <c r="F3692" t="s">
        <v>10239</v>
      </c>
      <c r="G3692" t="s">
        <v>1974</v>
      </c>
      <c r="H3692">
        <v>6028433077</v>
      </c>
      <c r="K3692" t="s">
        <v>10240</v>
      </c>
      <c r="L3692" t="s">
        <v>1647</v>
      </c>
      <c r="M3692" t="s">
        <v>1634</v>
      </c>
    </row>
    <row r="3693" spans="1:13" x14ac:dyDescent="0.25">
      <c r="A3693">
        <v>81143</v>
      </c>
      <c r="B3693" t="s">
        <v>10241</v>
      </c>
      <c r="C3693" t="s">
        <v>10242</v>
      </c>
      <c r="D3693" t="s">
        <v>2605</v>
      </c>
      <c r="E3693" t="s">
        <v>1273</v>
      </c>
      <c r="F3693" t="s">
        <v>10221</v>
      </c>
      <c r="G3693" t="s">
        <v>1909</v>
      </c>
      <c r="H3693">
        <v>6024395026</v>
      </c>
      <c r="K3693" t="s">
        <v>10222</v>
      </c>
      <c r="L3693" t="s">
        <v>3043</v>
      </c>
      <c r="M3693" t="s">
        <v>1634</v>
      </c>
    </row>
    <row r="3694" spans="1:13" x14ac:dyDescent="0.25">
      <c r="A3694">
        <v>81143</v>
      </c>
      <c r="B3694" t="s">
        <v>10241</v>
      </c>
      <c r="C3694" t="s">
        <v>10242</v>
      </c>
      <c r="D3694" t="s">
        <v>2605</v>
      </c>
      <c r="E3694" t="s">
        <v>1273</v>
      </c>
      <c r="F3694" t="s">
        <v>1679</v>
      </c>
      <c r="G3694" t="s">
        <v>10243</v>
      </c>
      <c r="H3694">
        <v>6237609061</v>
      </c>
      <c r="K3694" t="s">
        <v>10244</v>
      </c>
      <c r="L3694" t="s">
        <v>1647</v>
      </c>
      <c r="M3694" t="s">
        <v>1634</v>
      </c>
    </row>
    <row r="3695" spans="1:13" x14ac:dyDescent="0.25">
      <c r="A3695">
        <v>90075</v>
      </c>
      <c r="B3695" t="s">
        <v>10245</v>
      </c>
      <c r="C3695" t="s">
        <v>10246</v>
      </c>
      <c r="D3695" t="s">
        <v>2605</v>
      </c>
      <c r="E3695" t="s">
        <v>1273</v>
      </c>
      <c r="F3695" t="s">
        <v>3024</v>
      </c>
      <c r="G3695" t="s">
        <v>10247</v>
      </c>
      <c r="H3695">
        <v>6029432236</v>
      </c>
      <c r="J3695">
        <v>6029441248</v>
      </c>
      <c r="K3695" t="s">
        <v>10248</v>
      </c>
      <c r="L3695" t="s">
        <v>1647</v>
      </c>
      <c r="M3695" t="s">
        <v>1634</v>
      </c>
    </row>
    <row r="3696" spans="1:13" x14ac:dyDescent="0.25">
      <c r="A3696">
        <v>90389</v>
      </c>
      <c r="B3696" t="s">
        <v>10249</v>
      </c>
      <c r="C3696" t="s">
        <v>10250</v>
      </c>
      <c r="D3696" t="s">
        <v>2605</v>
      </c>
      <c r="E3696" t="s">
        <v>1273</v>
      </c>
    </row>
    <row r="3697" spans="1:13" x14ac:dyDescent="0.25">
      <c r="A3697">
        <v>90768</v>
      </c>
      <c r="B3697" t="s">
        <v>10251</v>
      </c>
      <c r="C3697" t="s">
        <v>10252</v>
      </c>
      <c r="D3697" t="s">
        <v>2605</v>
      </c>
      <c r="E3697" t="s">
        <v>1273</v>
      </c>
    </row>
    <row r="3698" spans="1:13" x14ac:dyDescent="0.25">
      <c r="A3698">
        <v>90815</v>
      </c>
      <c r="B3698" t="s">
        <v>10253</v>
      </c>
      <c r="C3698" t="s">
        <v>10254</v>
      </c>
      <c r="D3698" t="s">
        <v>2605</v>
      </c>
      <c r="E3698" t="s">
        <v>1273</v>
      </c>
      <c r="F3698" t="s">
        <v>10221</v>
      </c>
      <c r="G3698" t="s">
        <v>1909</v>
      </c>
      <c r="H3698">
        <v>6024395026</v>
      </c>
      <c r="J3698">
        <v>6024395029</v>
      </c>
      <c r="K3698" t="s">
        <v>10222</v>
      </c>
      <c r="L3698" t="s">
        <v>3043</v>
      </c>
      <c r="M3698" t="s">
        <v>1634</v>
      </c>
    </row>
    <row r="3699" spans="1:13" x14ac:dyDescent="0.25">
      <c r="A3699">
        <v>90815</v>
      </c>
      <c r="B3699" t="s">
        <v>10253</v>
      </c>
      <c r="C3699" t="s">
        <v>10254</v>
      </c>
      <c r="D3699" t="s">
        <v>2605</v>
      </c>
      <c r="E3699" t="s">
        <v>1273</v>
      </c>
      <c r="F3699" t="s">
        <v>10255</v>
      </c>
      <c r="G3699" t="s">
        <v>10256</v>
      </c>
      <c r="H3699">
        <v>6024395026</v>
      </c>
      <c r="J3699">
        <v>6028890351</v>
      </c>
      <c r="K3699" t="s">
        <v>10257</v>
      </c>
      <c r="L3699" t="s">
        <v>3124</v>
      </c>
      <c r="M3699" t="s">
        <v>1634</v>
      </c>
    </row>
    <row r="3700" spans="1:13" x14ac:dyDescent="0.25">
      <c r="A3700">
        <v>91199</v>
      </c>
      <c r="B3700" t="s">
        <v>10258</v>
      </c>
      <c r="C3700" t="s">
        <v>10259</v>
      </c>
      <c r="D3700" t="s">
        <v>2605</v>
      </c>
      <c r="E3700" t="s">
        <v>1273</v>
      </c>
      <c r="F3700" t="s">
        <v>10221</v>
      </c>
      <c r="G3700" t="s">
        <v>1909</v>
      </c>
      <c r="H3700">
        <v>6024395026</v>
      </c>
      <c r="K3700" t="s">
        <v>10222</v>
      </c>
      <c r="L3700" t="s">
        <v>3043</v>
      </c>
      <c r="M3700" t="s">
        <v>1634</v>
      </c>
    </row>
    <row r="3701" spans="1:13" x14ac:dyDescent="0.25">
      <c r="A3701">
        <v>5180</v>
      </c>
      <c r="B3701" t="s">
        <v>10260</v>
      </c>
      <c r="C3701" t="s">
        <v>10261</v>
      </c>
      <c r="D3701" t="s">
        <v>2596</v>
      </c>
      <c r="E3701" t="s">
        <v>1273</v>
      </c>
      <c r="F3701" t="s">
        <v>3387</v>
      </c>
      <c r="G3701" t="s">
        <v>7125</v>
      </c>
      <c r="H3701">
        <v>6234557405</v>
      </c>
      <c r="J3701">
        <v>6239752841</v>
      </c>
      <c r="K3701" t="s">
        <v>10262</v>
      </c>
      <c r="L3701" t="s">
        <v>3043</v>
      </c>
      <c r="M3701" t="s">
        <v>1634</v>
      </c>
    </row>
    <row r="3702" spans="1:13" x14ac:dyDescent="0.25">
      <c r="A3702">
        <v>5180</v>
      </c>
      <c r="B3702" t="s">
        <v>10260</v>
      </c>
      <c r="C3702" t="s">
        <v>10261</v>
      </c>
      <c r="D3702" t="s">
        <v>2596</v>
      </c>
      <c r="E3702" t="s">
        <v>1273</v>
      </c>
      <c r="F3702" t="s">
        <v>2499</v>
      </c>
      <c r="G3702" t="s">
        <v>10263</v>
      </c>
      <c r="K3702" t="s">
        <v>10264</v>
      </c>
      <c r="L3702" t="s">
        <v>5727</v>
      </c>
      <c r="M3702" t="s">
        <v>1640</v>
      </c>
    </row>
    <row r="3703" spans="1:13" x14ac:dyDescent="0.25">
      <c r="A3703">
        <v>5180</v>
      </c>
      <c r="B3703" t="s">
        <v>10260</v>
      </c>
      <c r="C3703" t="s">
        <v>10261</v>
      </c>
      <c r="D3703" t="s">
        <v>2596</v>
      </c>
      <c r="E3703" t="s">
        <v>1273</v>
      </c>
      <c r="F3703" t="s">
        <v>2704</v>
      </c>
      <c r="G3703" t="s">
        <v>10265</v>
      </c>
      <c r="K3703" t="s">
        <v>10266</v>
      </c>
      <c r="M3703" t="s">
        <v>1640</v>
      </c>
    </row>
    <row r="3704" spans="1:13" x14ac:dyDescent="0.25">
      <c r="A3704">
        <v>5180</v>
      </c>
      <c r="B3704" t="s">
        <v>10260</v>
      </c>
      <c r="C3704" t="s">
        <v>10261</v>
      </c>
      <c r="D3704" t="s">
        <v>2596</v>
      </c>
      <c r="E3704" t="s">
        <v>1273</v>
      </c>
      <c r="F3704" t="s">
        <v>2734</v>
      </c>
      <c r="G3704" t="s">
        <v>5753</v>
      </c>
      <c r="H3704">
        <v>6234557405</v>
      </c>
      <c r="K3704" t="s">
        <v>10262</v>
      </c>
      <c r="L3704" t="s">
        <v>1668</v>
      </c>
      <c r="M3704" t="s">
        <v>1765</v>
      </c>
    </row>
    <row r="3705" spans="1:13" x14ac:dyDescent="0.25">
      <c r="A3705">
        <v>5180</v>
      </c>
      <c r="B3705" t="s">
        <v>10260</v>
      </c>
      <c r="C3705" t="s">
        <v>10261</v>
      </c>
      <c r="D3705" t="s">
        <v>2596</v>
      </c>
      <c r="E3705" t="s">
        <v>1273</v>
      </c>
      <c r="F3705" t="s">
        <v>3253</v>
      </c>
      <c r="G3705" t="s">
        <v>6781</v>
      </c>
      <c r="H3705">
        <v>6235467207</v>
      </c>
      <c r="J3705">
        <v>6239752041</v>
      </c>
      <c r="K3705" t="s">
        <v>10267</v>
      </c>
      <c r="M3705" t="s">
        <v>1765</v>
      </c>
    </row>
    <row r="3706" spans="1:13" x14ac:dyDescent="0.25">
      <c r="A3706">
        <v>10820</v>
      </c>
      <c r="B3706" t="s">
        <v>10268</v>
      </c>
      <c r="C3706" t="s">
        <v>10269</v>
      </c>
      <c r="D3706" t="s">
        <v>2605</v>
      </c>
      <c r="E3706" t="s">
        <v>1273</v>
      </c>
      <c r="F3706" t="s">
        <v>2734</v>
      </c>
      <c r="G3706" t="s">
        <v>5753</v>
      </c>
      <c r="M3706" t="s">
        <v>1634</v>
      </c>
    </row>
    <row r="3707" spans="1:13" x14ac:dyDescent="0.25">
      <c r="A3707">
        <v>10820</v>
      </c>
      <c r="B3707" t="s">
        <v>10268</v>
      </c>
      <c r="C3707" t="s">
        <v>10269</v>
      </c>
      <c r="D3707" t="s">
        <v>2605</v>
      </c>
      <c r="E3707" t="s">
        <v>1273</v>
      </c>
      <c r="F3707" t="s">
        <v>9779</v>
      </c>
      <c r="G3707" t="s">
        <v>3721</v>
      </c>
      <c r="H3707">
        <v>6235647217</v>
      </c>
      <c r="K3707" t="s">
        <v>10270</v>
      </c>
      <c r="M3707" t="s">
        <v>1634</v>
      </c>
    </row>
    <row r="3708" spans="1:13" x14ac:dyDescent="0.25">
      <c r="A3708">
        <v>10820</v>
      </c>
      <c r="B3708" t="s">
        <v>10268</v>
      </c>
      <c r="C3708" t="s">
        <v>10269</v>
      </c>
      <c r="D3708" t="s">
        <v>2605</v>
      </c>
      <c r="E3708" t="s">
        <v>1273</v>
      </c>
      <c r="F3708" t="s">
        <v>2704</v>
      </c>
      <c r="G3708" t="s">
        <v>10265</v>
      </c>
      <c r="K3708" t="s">
        <v>10266</v>
      </c>
      <c r="M3708" t="s">
        <v>1640</v>
      </c>
    </row>
    <row r="3709" spans="1:13" x14ac:dyDescent="0.25">
      <c r="A3709">
        <v>89828</v>
      </c>
      <c r="B3709" t="s">
        <v>10271</v>
      </c>
      <c r="C3709" t="s">
        <v>10272</v>
      </c>
      <c r="D3709" t="s">
        <v>2605</v>
      </c>
      <c r="E3709" t="s">
        <v>1273</v>
      </c>
      <c r="F3709" t="s">
        <v>1775</v>
      </c>
      <c r="G3709" t="s">
        <v>10273</v>
      </c>
      <c r="K3709" t="s">
        <v>10274</v>
      </c>
      <c r="L3709" t="s">
        <v>1647</v>
      </c>
      <c r="M3709" t="s">
        <v>1634</v>
      </c>
    </row>
    <row r="3710" spans="1:13" x14ac:dyDescent="0.25">
      <c r="A3710">
        <v>89828</v>
      </c>
      <c r="B3710" t="s">
        <v>10271</v>
      </c>
      <c r="C3710" t="s">
        <v>10272</v>
      </c>
      <c r="D3710" t="s">
        <v>2605</v>
      </c>
      <c r="E3710" t="s">
        <v>1273</v>
      </c>
      <c r="F3710" t="s">
        <v>2704</v>
      </c>
      <c r="G3710" t="s">
        <v>10265</v>
      </c>
      <c r="K3710" t="s">
        <v>10275</v>
      </c>
      <c r="L3710" t="s">
        <v>10276</v>
      </c>
      <c r="M3710" t="s">
        <v>1640</v>
      </c>
    </row>
    <row r="3711" spans="1:13" x14ac:dyDescent="0.25">
      <c r="A3711">
        <v>79084</v>
      </c>
      <c r="B3711" t="s">
        <v>10277</v>
      </c>
      <c r="C3711" t="s">
        <v>10278</v>
      </c>
      <c r="D3711" t="s">
        <v>2596</v>
      </c>
      <c r="E3711" t="s">
        <v>1273</v>
      </c>
      <c r="F3711" t="s">
        <v>8901</v>
      </c>
      <c r="G3711" t="s">
        <v>4769</v>
      </c>
      <c r="H3711">
        <v>4807792010</v>
      </c>
      <c r="K3711" t="s">
        <v>8902</v>
      </c>
      <c r="L3711" t="s">
        <v>8508</v>
      </c>
      <c r="M3711" t="s">
        <v>1634</v>
      </c>
    </row>
    <row r="3712" spans="1:13" x14ac:dyDescent="0.25">
      <c r="A3712">
        <v>79084</v>
      </c>
      <c r="B3712" t="s">
        <v>10277</v>
      </c>
      <c r="C3712" t="s">
        <v>10278</v>
      </c>
      <c r="D3712" t="s">
        <v>2596</v>
      </c>
      <c r="E3712" t="s">
        <v>1273</v>
      </c>
      <c r="F3712" t="s">
        <v>8901</v>
      </c>
      <c r="G3712" t="s">
        <v>4769</v>
      </c>
      <c r="H3712">
        <v>4807792010</v>
      </c>
      <c r="K3712" t="s">
        <v>8902</v>
      </c>
      <c r="L3712" t="s">
        <v>8508</v>
      </c>
      <c r="M3712" t="s">
        <v>1765</v>
      </c>
    </row>
    <row r="3713" spans="1:13" x14ac:dyDescent="0.25">
      <c r="A3713">
        <v>79092</v>
      </c>
      <c r="B3713" t="s">
        <v>10279</v>
      </c>
      <c r="C3713" t="s">
        <v>10280</v>
      </c>
      <c r="D3713" t="s">
        <v>2605</v>
      </c>
      <c r="E3713" t="s">
        <v>1273</v>
      </c>
      <c r="F3713" t="s">
        <v>10281</v>
      </c>
      <c r="G3713" t="s">
        <v>10282</v>
      </c>
      <c r="H3713">
        <v>4807638425</v>
      </c>
      <c r="J3713">
        <v>4807638427</v>
      </c>
      <c r="K3713" t="s">
        <v>10283</v>
      </c>
      <c r="L3713" t="s">
        <v>1647</v>
      </c>
      <c r="M3713" t="s">
        <v>1634</v>
      </c>
    </row>
    <row r="3714" spans="1:13" x14ac:dyDescent="0.25">
      <c r="A3714">
        <v>79092</v>
      </c>
      <c r="B3714" t="s">
        <v>10279</v>
      </c>
      <c r="C3714" t="s">
        <v>10280</v>
      </c>
      <c r="D3714" t="s">
        <v>2605</v>
      </c>
      <c r="E3714" t="s">
        <v>1273</v>
      </c>
      <c r="F3714" t="s">
        <v>10284</v>
      </c>
      <c r="G3714" t="s">
        <v>5151</v>
      </c>
      <c r="K3714" t="s">
        <v>10285</v>
      </c>
      <c r="M3714" t="s">
        <v>1634</v>
      </c>
    </row>
    <row r="3715" spans="1:13" x14ac:dyDescent="0.25">
      <c r="A3715">
        <v>79092</v>
      </c>
      <c r="B3715" t="s">
        <v>10279</v>
      </c>
      <c r="C3715" t="s">
        <v>10280</v>
      </c>
      <c r="D3715" t="s">
        <v>2605</v>
      </c>
      <c r="E3715" t="s">
        <v>1273</v>
      </c>
      <c r="F3715" t="s">
        <v>10286</v>
      </c>
      <c r="G3715" t="s">
        <v>10287</v>
      </c>
      <c r="H3715">
        <v>4897792000</v>
      </c>
      <c r="K3715" t="s">
        <v>10288</v>
      </c>
      <c r="M3715" t="s">
        <v>1634</v>
      </c>
    </row>
    <row r="3716" spans="1:13" x14ac:dyDescent="0.25">
      <c r="A3716">
        <v>79092</v>
      </c>
      <c r="B3716" t="s">
        <v>10279</v>
      </c>
      <c r="C3716" t="s">
        <v>10280</v>
      </c>
      <c r="D3716" t="s">
        <v>2605</v>
      </c>
      <c r="E3716" t="s">
        <v>1273</v>
      </c>
      <c r="F3716" t="s">
        <v>8908</v>
      </c>
      <c r="G3716" t="s">
        <v>8909</v>
      </c>
      <c r="K3716" t="s">
        <v>8910</v>
      </c>
      <c r="M3716" t="s">
        <v>1634</v>
      </c>
    </row>
    <row r="3717" spans="1:13" x14ac:dyDescent="0.25">
      <c r="A3717">
        <v>6446</v>
      </c>
      <c r="B3717" t="s">
        <v>732</v>
      </c>
      <c r="C3717" t="s">
        <v>10289</v>
      </c>
      <c r="D3717" t="s">
        <v>2596</v>
      </c>
      <c r="E3717" t="s">
        <v>1273</v>
      </c>
      <c r="F3717" t="s">
        <v>2082</v>
      </c>
      <c r="G3717" t="s">
        <v>8356</v>
      </c>
      <c r="H3717">
        <v>4804613200</v>
      </c>
      <c r="K3717" t="s">
        <v>8357</v>
      </c>
      <c r="L3717" t="s">
        <v>10290</v>
      </c>
      <c r="M3717" t="s">
        <v>1634</v>
      </c>
    </row>
    <row r="3718" spans="1:13" x14ac:dyDescent="0.25">
      <c r="A3718">
        <v>6446</v>
      </c>
      <c r="B3718" t="s">
        <v>732</v>
      </c>
      <c r="C3718" t="s">
        <v>10289</v>
      </c>
      <c r="D3718" t="s">
        <v>2596</v>
      </c>
      <c r="E3718" t="s">
        <v>1273</v>
      </c>
      <c r="F3718" t="s">
        <v>9509</v>
      </c>
      <c r="G3718" t="s">
        <v>3346</v>
      </c>
      <c r="K3718" t="s">
        <v>9510</v>
      </c>
      <c r="L3718" t="s">
        <v>2946</v>
      </c>
      <c r="M3718" t="s">
        <v>1640</v>
      </c>
    </row>
    <row r="3719" spans="1:13" x14ac:dyDescent="0.25">
      <c r="A3719">
        <v>10849</v>
      </c>
      <c r="B3719" t="s">
        <v>10291</v>
      </c>
      <c r="C3719" t="s">
        <v>10292</v>
      </c>
      <c r="D3719" t="s">
        <v>2605</v>
      </c>
      <c r="E3719" t="s">
        <v>1273</v>
      </c>
      <c r="F3719" t="s">
        <v>4154</v>
      </c>
      <c r="G3719" t="s">
        <v>6980</v>
      </c>
      <c r="H3719">
        <v>4804613200</v>
      </c>
      <c r="I3719">
        <v>10632</v>
      </c>
      <c r="K3719" t="s">
        <v>10293</v>
      </c>
      <c r="L3719" t="s">
        <v>3704</v>
      </c>
      <c r="M3719" t="s">
        <v>1634</v>
      </c>
    </row>
    <row r="3720" spans="1:13" x14ac:dyDescent="0.25">
      <c r="A3720">
        <v>79697</v>
      </c>
      <c r="B3720" t="s">
        <v>10294</v>
      </c>
      <c r="C3720" t="s">
        <v>10295</v>
      </c>
      <c r="D3720" t="s">
        <v>2605</v>
      </c>
      <c r="E3720" t="s">
        <v>1273</v>
      </c>
      <c r="F3720" t="s">
        <v>2001</v>
      </c>
      <c r="G3720" t="s">
        <v>10296</v>
      </c>
      <c r="M3720" t="s">
        <v>1765</v>
      </c>
    </row>
    <row r="3721" spans="1:13" x14ac:dyDescent="0.25">
      <c r="A3721">
        <v>79211</v>
      </c>
      <c r="B3721" t="s">
        <v>10297</v>
      </c>
      <c r="C3721" t="s">
        <v>10298</v>
      </c>
      <c r="D3721" t="s">
        <v>2596</v>
      </c>
      <c r="E3721" t="s">
        <v>1273</v>
      </c>
      <c r="F3721" t="s">
        <v>2082</v>
      </c>
      <c r="G3721" t="s">
        <v>8356</v>
      </c>
      <c r="H3721">
        <v>4804613200</v>
      </c>
      <c r="K3721" t="s">
        <v>8357</v>
      </c>
      <c r="L3721" t="s">
        <v>8358</v>
      </c>
      <c r="M3721" t="s">
        <v>1634</v>
      </c>
    </row>
    <row r="3722" spans="1:13" x14ac:dyDescent="0.25">
      <c r="A3722">
        <v>10848</v>
      </c>
      <c r="B3722" t="s">
        <v>10299</v>
      </c>
      <c r="C3722" t="s">
        <v>10300</v>
      </c>
      <c r="D3722" t="s">
        <v>2605</v>
      </c>
      <c r="E3722" t="s">
        <v>7889</v>
      </c>
    </row>
    <row r="3723" spans="1:13" x14ac:dyDescent="0.25">
      <c r="A3723">
        <v>92912</v>
      </c>
      <c r="B3723" t="s">
        <v>10301</v>
      </c>
      <c r="C3723" t="s">
        <v>10302</v>
      </c>
      <c r="D3723" t="s">
        <v>2605</v>
      </c>
      <c r="E3723" t="s">
        <v>7889</v>
      </c>
    </row>
    <row r="3724" spans="1:13" x14ac:dyDescent="0.25">
      <c r="A3724">
        <v>90324</v>
      </c>
      <c r="B3724" t="s">
        <v>10303</v>
      </c>
      <c r="C3724" t="s">
        <v>10304</v>
      </c>
      <c r="D3724" t="s">
        <v>2605</v>
      </c>
      <c r="E3724" t="s">
        <v>1273</v>
      </c>
    </row>
    <row r="3725" spans="1:13" x14ac:dyDescent="0.25">
      <c r="A3725">
        <v>79439</v>
      </c>
      <c r="B3725" t="s">
        <v>10305</v>
      </c>
      <c r="C3725" t="s">
        <v>10306</v>
      </c>
      <c r="D3725" t="s">
        <v>2596</v>
      </c>
      <c r="E3725" t="s">
        <v>1273</v>
      </c>
      <c r="F3725" t="s">
        <v>9725</v>
      </c>
      <c r="G3725" t="s">
        <v>9726</v>
      </c>
      <c r="H3725" t="s">
        <v>9727</v>
      </c>
      <c r="I3725">
        <v>2718</v>
      </c>
      <c r="J3725">
        <v>4803362696</v>
      </c>
      <c r="K3725" t="s">
        <v>10307</v>
      </c>
      <c r="L3725" t="s">
        <v>4054</v>
      </c>
      <c r="M3725" t="s">
        <v>1634</v>
      </c>
    </row>
    <row r="3726" spans="1:13" x14ac:dyDescent="0.25">
      <c r="A3726">
        <v>79439</v>
      </c>
      <c r="B3726" t="s">
        <v>10305</v>
      </c>
      <c r="C3726" t="s">
        <v>10306</v>
      </c>
      <c r="D3726" t="s">
        <v>2596</v>
      </c>
      <c r="E3726" t="s">
        <v>1273</v>
      </c>
      <c r="F3726" t="s">
        <v>9719</v>
      </c>
      <c r="G3726" t="s">
        <v>9720</v>
      </c>
      <c r="H3726">
        <v>4807558222</v>
      </c>
      <c r="I3726">
        <v>4471</v>
      </c>
      <c r="K3726" t="s">
        <v>10308</v>
      </c>
      <c r="L3726" t="s">
        <v>9722</v>
      </c>
      <c r="M3726" t="s">
        <v>1640</v>
      </c>
    </row>
    <row r="3727" spans="1:13" x14ac:dyDescent="0.25">
      <c r="A3727">
        <v>289884</v>
      </c>
      <c r="B3727" t="s">
        <v>10309</v>
      </c>
      <c r="C3727" t="s">
        <v>10310</v>
      </c>
      <c r="D3727" t="s">
        <v>2605</v>
      </c>
      <c r="E3727" t="s">
        <v>1273</v>
      </c>
      <c r="F3727" t="s">
        <v>9719</v>
      </c>
      <c r="G3727" t="s">
        <v>9720</v>
      </c>
      <c r="H3727">
        <v>4807558222</v>
      </c>
      <c r="J3727">
        <v>4807558111</v>
      </c>
      <c r="K3727" t="s">
        <v>9721</v>
      </c>
      <c r="M3727" t="s">
        <v>1634</v>
      </c>
    </row>
    <row r="3728" spans="1:13" x14ac:dyDescent="0.25">
      <c r="A3728">
        <v>289884</v>
      </c>
      <c r="B3728" t="s">
        <v>10309</v>
      </c>
      <c r="C3728" t="s">
        <v>10310</v>
      </c>
      <c r="D3728" t="s">
        <v>2605</v>
      </c>
      <c r="E3728" t="s">
        <v>1273</v>
      </c>
      <c r="F3728" t="s">
        <v>9725</v>
      </c>
      <c r="G3728" t="s">
        <v>9726</v>
      </c>
      <c r="H3728" t="s">
        <v>9727</v>
      </c>
      <c r="I3728">
        <v>2718</v>
      </c>
      <c r="K3728" t="s">
        <v>9728</v>
      </c>
      <c r="M3728" t="s">
        <v>1634</v>
      </c>
    </row>
    <row r="3729" spans="1:13" x14ac:dyDescent="0.25">
      <c r="A3729">
        <v>289884</v>
      </c>
      <c r="B3729" t="s">
        <v>10309</v>
      </c>
      <c r="C3729" t="s">
        <v>10310</v>
      </c>
      <c r="D3729" t="s">
        <v>2605</v>
      </c>
      <c r="E3729" t="s">
        <v>1273</v>
      </c>
      <c r="F3729" t="s">
        <v>9719</v>
      </c>
      <c r="G3729" t="s">
        <v>9720</v>
      </c>
      <c r="H3729">
        <v>4807558222</v>
      </c>
      <c r="J3729">
        <v>4807558111</v>
      </c>
      <c r="K3729" t="s">
        <v>9721</v>
      </c>
      <c r="M3729" t="s">
        <v>1640</v>
      </c>
    </row>
    <row r="3730" spans="1:13" x14ac:dyDescent="0.25">
      <c r="A3730">
        <v>79619</v>
      </c>
      <c r="B3730" t="s">
        <v>10311</v>
      </c>
      <c r="C3730" t="s">
        <v>10312</v>
      </c>
      <c r="D3730" t="s">
        <v>2605</v>
      </c>
      <c r="E3730" t="s">
        <v>1273</v>
      </c>
      <c r="F3730" t="s">
        <v>9719</v>
      </c>
      <c r="G3730" t="s">
        <v>9720</v>
      </c>
      <c r="H3730">
        <v>4807558222</v>
      </c>
      <c r="I3730">
        <v>4471</v>
      </c>
      <c r="K3730" t="s">
        <v>9721</v>
      </c>
      <c r="L3730" t="s">
        <v>9722</v>
      </c>
      <c r="M3730" t="s">
        <v>1634</v>
      </c>
    </row>
    <row r="3731" spans="1:13" x14ac:dyDescent="0.25">
      <c r="A3731">
        <v>79619</v>
      </c>
      <c r="B3731" t="s">
        <v>10311</v>
      </c>
      <c r="C3731" t="s">
        <v>10312</v>
      </c>
      <c r="D3731" t="s">
        <v>2605</v>
      </c>
      <c r="E3731" t="s">
        <v>1273</v>
      </c>
      <c r="F3731" t="s">
        <v>9725</v>
      </c>
      <c r="G3731" t="s">
        <v>9726</v>
      </c>
      <c r="H3731" t="s">
        <v>9727</v>
      </c>
      <c r="I3731">
        <v>2718</v>
      </c>
      <c r="K3731" t="s">
        <v>9728</v>
      </c>
      <c r="M3731" t="s">
        <v>1634</v>
      </c>
    </row>
    <row r="3732" spans="1:13" x14ac:dyDescent="0.25">
      <c r="A3732">
        <v>79619</v>
      </c>
      <c r="B3732" t="s">
        <v>10311</v>
      </c>
      <c r="C3732" t="s">
        <v>10312</v>
      </c>
      <c r="D3732" t="s">
        <v>2605</v>
      </c>
      <c r="E3732" t="s">
        <v>1273</v>
      </c>
      <c r="F3732" t="s">
        <v>9719</v>
      </c>
      <c r="G3732" t="s">
        <v>9720</v>
      </c>
      <c r="H3732">
        <v>4807558222</v>
      </c>
      <c r="I3732">
        <v>4471</v>
      </c>
      <c r="K3732" t="s">
        <v>9721</v>
      </c>
      <c r="L3732" t="s">
        <v>9722</v>
      </c>
      <c r="M3732" t="s">
        <v>1640</v>
      </c>
    </row>
    <row r="3733" spans="1:13" x14ac:dyDescent="0.25">
      <c r="A3733">
        <v>79443</v>
      </c>
      <c r="B3733" t="s">
        <v>10313</v>
      </c>
      <c r="C3733" t="s">
        <v>10314</v>
      </c>
      <c r="D3733" t="s">
        <v>2596</v>
      </c>
      <c r="E3733" t="s">
        <v>1273</v>
      </c>
      <c r="F3733" t="s">
        <v>1723</v>
      </c>
      <c r="G3733" t="s">
        <v>10315</v>
      </c>
      <c r="J3733">
        <v>6235355410</v>
      </c>
      <c r="K3733" t="s">
        <v>10316</v>
      </c>
      <c r="L3733" t="s">
        <v>3124</v>
      </c>
      <c r="M3733" t="s">
        <v>1634</v>
      </c>
    </row>
    <row r="3734" spans="1:13" x14ac:dyDescent="0.25">
      <c r="A3734">
        <v>79444</v>
      </c>
      <c r="B3734" t="s">
        <v>10317</v>
      </c>
      <c r="C3734" t="s">
        <v>10318</v>
      </c>
      <c r="D3734" t="s">
        <v>2605</v>
      </c>
      <c r="E3734" t="s">
        <v>1273</v>
      </c>
      <c r="F3734" t="s">
        <v>1723</v>
      </c>
      <c r="G3734" t="s">
        <v>10315</v>
      </c>
      <c r="J3734">
        <v>6235355410</v>
      </c>
      <c r="K3734" t="s">
        <v>10319</v>
      </c>
      <c r="M3734" t="s">
        <v>1634</v>
      </c>
    </row>
    <row r="3735" spans="1:13" x14ac:dyDescent="0.25">
      <c r="A3735">
        <v>79453</v>
      </c>
      <c r="B3735" t="s">
        <v>10320</v>
      </c>
      <c r="C3735" t="s">
        <v>10321</v>
      </c>
      <c r="D3735" t="s">
        <v>2596</v>
      </c>
      <c r="E3735" t="s">
        <v>1273</v>
      </c>
      <c r="F3735" t="s">
        <v>8716</v>
      </c>
      <c r="G3735" t="s">
        <v>2047</v>
      </c>
      <c r="H3735">
        <v>6236878351</v>
      </c>
      <c r="I3735">
        <v>102</v>
      </c>
      <c r="J3735">
        <v>6239757190</v>
      </c>
      <c r="K3735" t="s">
        <v>10322</v>
      </c>
      <c r="L3735" t="s">
        <v>4663</v>
      </c>
      <c r="M3735" t="s">
        <v>1640</v>
      </c>
    </row>
    <row r="3736" spans="1:13" x14ac:dyDescent="0.25">
      <c r="A3736">
        <v>79453</v>
      </c>
      <c r="B3736" t="s">
        <v>10320</v>
      </c>
      <c r="C3736" t="s">
        <v>10321</v>
      </c>
      <c r="D3736" t="s">
        <v>2596</v>
      </c>
      <c r="E3736" t="s">
        <v>1273</v>
      </c>
      <c r="F3736" t="s">
        <v>8716</v>
      </c>
      <c r="G3736" t="s">
        <v>2047</v>
      </c>
      <c r="H3736">
        <v>6236878351</v>
      </c>
      <c r="K3736" t="s">
        <v>10322</v>
      </c>
      <c r="L3736" t="s">
        <v>9670</v>
      </c>
      <c r="M3736" t="s">
        <v>1765</v>
      </c>
    </row>
    <row r="3737" spans="1:13" x14ac:dyDescent="0.25">
      <c r="A3737">
        <v>79453</v>
      </c>
      <c r="B3737" t="s">
        <v>10320</v>
      </c>
      <c r="C3737" t="s">
        <v>10321</v>
      </c>
      <c r="D3737" t="s">
        <v>2596</v>
      </c>
      <c r="E3737" t="s">
        <v>1273</v>
      </c>
      <c r="F3737" t="s">
        <v>3692</v>
      </c>
      <c r="G3737" t="s">
        <v>10323</v>
      </c>
      <c r="H3737">
        <v>6239744959</v>
      </c>
      <c r="K3737" t="s">
        <v>10324</v>
      </c>
      <c r="L3737" t="s">
        <v>1946</v>
      </c>
      <c r="M3737" t="s">
        <v>1765</v>
      </c>
    </row>
    <row r="3738" spans="1:13" x14ac:dyDescent="0.25">
      <c r="A3738">
        <v>79454</v>
      </c>
      <c r="B3738" t="s">
        <v>10325</v>
      </c>
      <c r="C3738" t="s">
        <v>10326</v>
      </c>
      <c r="D3738" t="s">
        <v>2605</v>
      </c>
      <c r="E3738" t="s">
        <v>1273</v>
      </c>
      <c r="F3738" t="s">
        <v>2381</v>
      </c>
      <c r="G3738" t="s">
        <v>2104</v>
      </c>
      <c r="H3738">
        <v>6239744959</v>
      </c>
      <c r="K3738" t="s">
        <v>10327</v>
      </c>
      <c r="L3738" t="s">
        <v>1647</v>
      </c>
      <c r="M3738" t="s">
        <v>1634</v>
      </c>
    </row>
    <row r="3739" spans="1:13" x14ac:dyDescent="0.25">
      <c r="A3739">
        <v>79454</v>
      </c>
      <c r="B3739" t="s">
        <v>10325</v>
      </c>
      <c r="C3739" t="s">
        <v>10326</v>
      </c>
      <c r="D3739" t="s">
        <v>2605</v>
      </c>
      <c r="E3739" t="s">
        <v>1273</v>
      </c>
      <c r="F3739" t="s">
        <v>2307</v>
      </c>
      <c r="G3739" t="s">
        <v>10328</v>
      </c>
      <c r="K3739" t="s">
        <v>10329</v>
      </c>
      <c r="L3739" t="s">
        <v>9094</v>
      </c>
      <c r="M3739" t="s">
        <v>1634</v>
      </c>
    </row>
    <row r="3740" spans="1:13" x14ac:dyDescent="0.25">
      <c r="A3740">
        <v>79454</v>
      </c>
      <c r="B3740" t="s">
        <v>10325</v>
      </c>
      <c r="C3740" t="s">
        <v>10326</v>
      </c>
      <c r="D3740" t="s">
        <v>2605</v>
      </c>
      <c r="E3740" t="s">
        <v>1273</v>
      </c>
      <c r="F3740" t="s">
        <v>1779</v>
      </c>
      <c r="G3740" t="s">
        <v>3671</v>
      </c>
      <c r="K3740" t="s">
        <v>10330</v>
      </c>
      <c r="M3740" t="s">
        <v>1634</v>
      </c>
    </row>
    <row r="3741" spans="1:13" x14ac:dyDescent="0.25">
      <c r="A3741">
        <v>79454</v>
      </c>
      <c r="B3741" t="s">
        <v>10325</v>
      </c>
      <c r="C3741" t="s">
        <v>10326</v>
      </c>
      <c r="D3741" t="s">
        <v>2605</v>
      </c>
      <c r="E3741" t="s">
        <v>1273</v>
      </c>
      <c r="F3741" t="s">
        <v>8716</v>
      </c>
      <c r="G3741" t="s">
        <v>8718</v>
      </c>
      <c r="H3741">
        <v>6239757120</v>
      </c>
      <c r="I3741">
        <v>101</v>
      </c>
      <c r="J3741">
        <v>6239757190</v>
      </c>
      <c r="K3741" t="s">
        <v>8719</v>
      </c>
      <c r="L3741" t="s">
        <v>2368</v>
      </c>
      <c r="M3741" t="s">
        <v>1640</v>
      </c>
    </row>
    <row r="3742" spans="1:13" x14ac:dyDescent="0.25">
      <c r="A3742">
        <v>79454</v>
      </c>
      <c r="B3742" t="s">
        <v>10325</v>
      </c>
      <c r="C3742" t="s">
        <v>10326</v>
      </c>
      <c r="D3742" t="s">
        <v>2605</v>
      </c>
      <c r="E3742" t="s">
        <v>1273</v>
      </c>
      <c r="F3742" t="s">
        <v>8716</v>
      </c>
      <c r="G3742" t="s">
        <v>8718</v>
      </c>
      <c r="H3742">
        <v>6239757120</v>
      </c>
      <c r="I3742">
        <v>101</v>
      </c>
      <c r="J3742">
        <v>6239757190</v>
      </c>
      <c r="K3742" t="s">
        <v>8719</v>
      </c>
      <c r="L3742" t="s">
        <v>2368</v>
      </c>
      <c r="M3742" t="s">
        <v>1765</v>
      </c>
    </row>
    <row r="3743" spans="1:13" x14ac:dyDescent="0.25">
      <c r="A3743">
        <v>79455</v>
      </c>
      <c r="B3743" t="s">
        <v>10331</v>
      </c>
      <c r="C3743" t="s">
        <v>10332</v>
      </c>
      <c r="D3743" t="s">
        <v>2596</v>
      </c>
      <c r="E3743" t="s">
        <v>1273</v>
      </c>
      <c r="F3743" t="s">
        <v>5493</v>
      </c>
      <c r="G3743" t="s">
        <v>10143</v>
      </c>
      <c r="H3743">
        <v>6232090017</v>
      </c>
      <c r="K3743" t="s">
        <v>10333</v>
      </c>
      <c r="L3743" t="s">
        <v>1668</v>
      </c>
      <c r="M3743" t="s">
        <v>1634</v>
      </c>
    </row>
    <row r="3744" spans="1:13" x14ac:dyDescent="0.25">
      <c r="A3744">
        <v>79455</v>
      </c>
      <c r="B3744" t="s">
        <v>10331</v>
      </c>
      <c r="C3744" t="s">
        <v>10332</v>
      </c>
      <c r="D3744" t="s">
        <v>2596</v>
      </c>
      <c r="E3744" t="s">
        <v>1273</v>
      </c>
      <c r="F3744" t="s">
        <v>10334</v>
      </c>
      <c r="G3744" t="s">
        <v>10335</v>
      </c>
      <c r="K3744" t="s">
        <v>10336</v>
      </c>
      <c r="L3744" t="s">
        <v>1640</v>
      </c>
      <c r="M3744" t="s">
        <v>1640</v>
      </c>
    </row>
    <row r="3745" spans="1:13" x14ac:dyDescent="0.25">
      <c r="A3745">
        <v>79455</v>
      </c>
      <c r="B3745" t="s">
        <v>10331</v>
      </c>
      <c r="C3745" t="s">
        <v>10332</v>
      </c>
      <c r="D3745" t="s">
        <v>2596</v>
      </c>
      <c r="E3745" t="s">
        <v>1273</v>
      </c>
      <c r="F3745" t="s">
        <v>3570</v>
      </c>
      <c r="G3745" t="s">
        <v>9129</v>
      </c>
      <c r="K3745" t="s">
        <v>9322</v>
      </c>
      <c r="M3745" t="s">
        <v>1640</v>
      </c>
    </row>
    <row r="3746" spans="1:13" x14ac:dyDescent="0.25">
      <c r="A3746">
        <v>79456</v>
      </c>
      <c r="B3746" t="s">
        <v>10337</v>
      </c>
      <c r="C3746" t="s">
        <v>10338</v>
      </c>
      <c r="D3746" t="s">
        <v>2605</v>
      </c>
      <c r="E3746" t="s">
        <v>1273</v>
      </c>
      <c r="F3746" t="s">
        <v>5493</v>
      </c>
      <c r="G3746" t="s">
        <v>1853</v>
      </c>
      <c r="K3746" t="s">
        <v>10339</v>
      </c>
      <c r="L3746" t="s">
        <v>1668</v>
      </c>
      <c r="M3746" t="s">
        <v>1640</v>
      </c>
    </row>
    <row r="3747" spans="1:13" x14ac:dyDescent="0.25">
      <c r="A3747">
        <v>79909</v>
      </c>
      <c r="B3747" t="s">
        <v>10340</v>
      </c>
      <c r="C3747" t="s">
        <v>10341</v>
      </c>
      <c r="D3747" t="s">
        <v>2605</v>
      </c>
      <c r="E3747" t="s">
        <v>1273</v>
      </c>
      <c r="F3747" t="s">
        <v>5493</v>
      </c>
      <c r="G3747" t="s">
        <v>1853</v>
      </c>
      <c r="H3747">
        <v>6028432014</v>
      </c>
      <c r="K3747" t="s">
        <v>10342</v>
      </c>
      <c r="L3747" t="s">
        <v>1668</v>
      </c>
      <c r="M3747" t="s">
        <v>1634</v>
      </c>
    </row>
    <row r="3748" spans="1:13" x14ac:dyDescent="0.25">
      <c r="A3748">
        <v>80473</v>
      </c>
      <c r="B3748" t="s">
        <v>10343</v>
      </c>
      <c r="C3748" t="s">
        <v>10344</v>
      </c>
      <c r="D3748" t="s">
        <v>2605</v>
      </c>
      <c r="E3748" t="s">
        <v>1273</v>
      </c>
    </row>
    <row r="3749" spans="1:13" x14ac:dyDescent="0.25">
      <c r="A3749">
        <v>79461</v>
      </c>
      <c r="B3749" t="s">
        <v>10345</v>
      </c>
      <c r="C3749" t="s">
        <v>10346</v>
      </c>
      <c r="D3749" t="s">
        <v>2596</v>
      </c>
      <c r="E3749" t="s">
        <v>1273</v>
      </c>
      <c r="F3749" t="s">
        <v>1787</v>
      </c>
      <c r="G3749" t="s">
        <v>7976</v>
      </c>
      <c r="H3749">
        <v>4804566678</v>
      </c>
      <c r="K3749" t="s">
        <v>10347</v>
      </c>
      <c r="M3749" t="s">
        <v>1634</v>
      </c>
    </row>
    <row r="3750" spans="1:13" x14ac:dyDescent="0.25">
      <c r="A3750">
        <v>79461</v>
      </c>
      <c r="B3750" t="s">
        <v>10345</v>
      </c>
      <c r="C3750" t="s">
        <v>10346</v>
      </c>
      <c r="D3750" t="s">
        <v>2596</v>
      </c>
      <c r="E3750" t="s">
        <v>1273</v>
      </c>
      <c r="F3750" t="s">
        <v>2429</v>
      </c>
      <c r="G3750" t="s">
        <v>2485</v>
      </c>
      <c r="H3750">
        <v>4802092429</v>
      </c>
      <c r="K3750" t="s">
        <v>10348</v>
      </c>
      <c r="L3750" t="s">
        <v>1668</v>
      </c>
      <c r="M3750" t="s">
        <v>1634</v>
      </c>
    </row>
    <row r="3751" spans="1:13" x14ac:dyDescent="0.25">
      <c r="A3751">
        <v>79461</v>
      </c>
      <c r="B3751" t="s">
        <v>10345</v>
      </c>
      <c r="C3751" t="s">
        <v>10346</v>
      </c>
      <c r="D3751" t="s">
        <v>2596</v>
      </c>
      <c r="E3751" t="s">
        <v>1273</v>
      </c>
      <c r="F3751" t="s">
        <v>10349</v>
      </c>
      <c r="G3751" t="s">
        <v>7045</v>
      </c>
      <c r="H3751">
        <v>4804566678</v>
      </c>
      <c r="K3751" t="s">
        <v>10350</v>
      </c>
      <c r="L3751" t="s">
        <v>10351</v>
      </c>
      <c r="M3751" t="s">
        <v>1634</v>
      </c>
    </row>
    <row r="3752" spans="1:13" x14ac:dyDescent="0.25">
      <c r="A3752">
        <v>79461</v>
      </c>
      <c r="B3752" t="s">
        <v>10345</v>
      </c>
      <c r="C3752" t="s">
        <v>10346</v>
      </c>
      <c r="D3752" t="s">
        <v>2596</v>
      </c>
      <c r="E3752" t="s">
        <v>1273</v>
      </c>
      <c r="F3752" t="s">
        <v>3772</v>
      </c>
      <c r="G3752" t="s">
        <v>10352</v>
      </c>
      <c r="K3752" t="s">
        <v>10353</v>
      </c>
      <c r="L3752" t="s">
        <v>10354</v>
      </c>
      <c r="M3752" t="s">
        <v>1634</v>
      </c>
    </row>
    <row r="3753" spans="1:13" x14ac:dyDescent="0.25">
      <c r="A3753">
        <v>79461</v>
      </c>
      <c r="B3753" t="s">
        <v>10345</v>
      </c>
      <c r="C3753" t="s">
        <v>10346</v>
      </c>
      <c r="D3753" t="s">
        <v>2596</v>
      </c>
      <c r="E3753" t="s">
        <v>1273</v>
      </c>
      <c r="F3753" t="s">
        <v>1787</v>
      </c>
      <c r="G3753" t="s">
        <v>7976</v>
      </c>
      <c r="H3753">
        <v>4804566678</v>
      </c>
      <c r="K3753" t="s">
        <v>10347</v>
      </c>
      <c r="M3753" t="s">
        <v>1640</v>
      </c>
    </row>
    <row r="3754" spans="1:13" x14ac:dyDescent="0.25">
      <c r="A3754">
        <v>81178</v>
      </c>
      <c r="B3754" t="s">
        <v>10355</v>
      </c>
      <c r="C3754" t="s">
        <v>10356</v>
      </c>
      <c r="D3754" t="s">
        <v>2605</v>
      </c>
      <c r="E3754" t="s">
        <v>1273</v>
      </c>
      <c r="F3754" t="s">
        <v>7971</v>
      </c>
      <c r="G3754" t="s">
        <v>7972</v>
      </c>
      <c r="H3754">
        <v>4804566678</v>
      </c>
      <c r="K3754" t="s">
        <v>10357</v>
      </c>
      <c r="L3754" t="s">
        <v>2368</v>
      </c>
      <c r="M3754" t="s">
        <v>1640</v>
      </c>
    </row>
    <row r="3755" spans="1:13" x14ac:dyDescent="0.25">
      <c r="A3755">
        <v>79475</v>
      </c>
      <c r="B3755" t="s">
        <v>10358</v>
      </c>
      <c r="C3755" t="s">
        <v>10359</v>
      </c>
      <c r="D3755" t="s">
        <v>2596</v>
      </c>
      <c r="E3755" t="s">
        <v>1273</v>
      </c>
      <c r="F3755" t="s">
        <v>10133</v>
      </c>
      <c r="G3755" t="s">
        <v>10134</v>
      </c>
      <c r="H3755">
        <v>6023326752</v>
      </c>
      <c r="K3755" t="s">
        <v>10135</v>
      </c>
      <c r="L3755" t="s">
        <v>1634</v>
      </c>
      <c r="M3755" t="s">
        <v>1634</v>
      </c>
    </row>
    <row r="3756" spans="1:13" x14ac:dyDescent="0.25">
      <c r="A3756">
        <v>79476</v>
      </c>
      <c r="B3756" t="s">
        <v>10360</v>
      </c>
      <c r="C3756" t="s">
        <v>10361</v>
      </c>
      <c r="D3756" t="s">
        <v>2605</v>
      </c>
      <c r="E3756" t="s">
        <v>1273</v>
      </c>
      <c r="F3756" t="s">
        <v>10133</v>
      </c>
      <c r="G3756" t="s">
        <v>10134</v>
      </c>
      <c r="H3756">
        <v>6023326752</v>
      </c>
      <c r="K3756" t="s">
        <v>10135</v>
      </c>
      <c r="L3756" t="s">
        <v>10362</v>
      </c>
      <c r="M3756" t="s">
        <v>1634</v>
      </c>
    </row>
    <row r="3757" spans="1:13" x14ac:dyDescent="0.25">
      <c r="A3757">
        <v>79476</v>
      </c>
      <c r="B3757" t="s">
        <v>10360</v>
      </c>
      <c r="C3757" t="s">
        <v>10361</v>
      </c>
      <c r="D3757" t="s">
        <v>2605</v>
      </c>
      <c r="E3757" t="s">
        <v>1273</v>
      </c>
      <c r="F3757" t="s">
        <v>2313</v>
      </c>
      <c r="G3757" t="s">
        <v>6075</v>
      </c>
      <c r="H3757">
        <v>6238450781</v>
      </c>
      <c r="K3757" t="s">
        <v>10363</v>
      </c>
      <c r="L3757" t="s">
        <v>1647</v>
      </c>
      <c r="M3757" t="s">
        <v>1634</v>
      </c>
    </row>
    <row r="3758" spans="1:13" x14ac:dyDescent="0.25">
      <c r="A3758">
        <v>79476</v>
      </c>
      <c r="B3758" t="s">
        <v>10360</v>
      </c>
      <c r="C3758" t="s">
        <v>10361</v>
      </c>
      <c r="D3758" t="s">
        <v>2605</v>
      </c>
      <c r="E3758" t="s">
        <v>1273</v>
      </c>
      <c r="F3758" t="s">
        <v>8338</v>
      </c>
      <c r="G3758" t="s">
        <v>6343</v>
      </c>
      <c r="K3758" t="s">
        <v>10153</v>
      </c>
      <c r="M3758" t="s">
        <v>1765</v>
      </c>
    </row>
    <row r="3759" spans="1:13" x14ac:dyDescent="0.25">
      <c r="A3759">
        <v>10760</v>
      </c>
      <c r="B3759" t="s">
        <v>10364</v>
      </c>
      <c r="C3759" t="s">
        <v>10365</v>
      </c>
      <c r="D3759" t="s">
        <v>2596</v>
      </c>
      <c r="E3759" t="s">
        <v>1273</v>
      </c>
      <c r="F3759" t="s">
        <v>3826</v>
      </c>
      <c r="G3759" t="s">
        <v>8426</v>
      </c>
      <c r="H3759" t="s">
        <v>8427</v>
      </c>
      <c r="I3759">
        <v>306</v>
      </c>
      <c r="J3759">
        <v>4803543490</v>
      </c>
      <c r="K3759" t="s">
        <v>8428</v>
      </c>
      <c r="L3759" t="s">
        <v>1640</v>
      </c>
      <c r="M3759" t="s">
        <v>1634</v>
      </c>
    </row>
    <row r="3760" spans="1:13" x14ac:dyDescent="0.25">
      <c r="A3760">
        <v>10760</v>
      </c>
      <c r="B3760" t="s">
        <v>10364</v>
      </c>
      <c r="C3760" t="s">
        <v>10365</v>
      </c>
      <c r="D3760" t="s">
        <v>2596</v>
      </c>
      <c r="E3760" t="s">
        <v>1273</v>
      </c>
      <c r="F3760" t="s">
        <v>3826</v>
      </c>
      <c r="G3760" t="s">
        <v>8426</v>
      </c>
      <c r="H3760" t="s">
        <v>8427</v>
      </c>
      <c r="I3760">
        <v>306</v>
      </c>
      <c r="J3760">
        <v>4803543490</v>
      </c>
      <c r="K3760" t="s">
        <v>8428</v>
      </c>
      <c r="L3760" t="s">
        <v>1640</v>
      </c>
      <c r="M3760" t="s">
        <v>1640</v>
      </c>
    </row>
    <row r="3761" spans="1:13" x14ac:dyDescent="0.25">
      <c r="A3761">
        <v>10760</v>
      </c>
      <c r="B3761" t="s">
        <v>10364</v>
      </c>
      <c r="C3761" t="s">
        <v>10365</v>
      </c>
      <c r="D3761" t="s">
        <v>2596</v>
      </c>
      <c r="E3761" t="s">
        <v>1273</v>
      </c>
      <c r="F3761" t="s">
        <v>4799</v>
      </c>
      <c r="G3761" t="s">
        <v>10366</v>
      </c>
      <c r="H3761" t="s">
        <v>10367</v>
      </c>
      <c r="K3761" t="s">
        <v>10368</v>
      </c>
      <c r="M3761" t="s">
        <v>1765</v>
      </c>
    </row>
    <row r="3762" spans="1:13" x14ac:dyDescent="0.25">
      <c r="A3762">
        <v>10800</v>
      </c>
      <c r="B3762" t="s">
        <v>10369</v>
      </c>
      <c r="C3762" t="s">
        <v>10370</v>
      </c>
      <c r="D3762" t="s">
        <v>2605</v>
      </c>
      <c r="E3762" t="s">
        <v>1273</v>
      </c>
      <c r="F3762" t="s">
        <v>3826</v>
      </c>
      <c r="G3762" t="s">
        <v>8426</v>
      </c>
      <c r="H3762">
        <v>4809862335</v>
      </c>
      <c r="I3762">
        <v>306</v>
      </c>
      <c r="J3762">
        <v>4803543490</v>
      </c>
      <c r="K3762" t="s">
        <v>10371</v>
      </c>
      <c r="M3762" t="s">
        <v>1640</v>
      </c>
    </row>
    <row r="3763" spans="1:13" x14ac:dyDescent="0.25">
      <c r="A3763">
        <v>79496</v>
      </c>
      <c r="B3763" t="s">
        <v>10372</v>
      </c>
      <c r="C3763" t="s">
        <v>10373</v>
      </c>
      <c r="D3763" t="s">
        <v>2596</v>
      </c>
      <c r="E3763" t="s">
        <v>1273</v>
      </c>
      <c r="F3763" t="s">
        <v>1943</v>
      </c>
      <c r="G3763" t="s">
        <v>10374</v>
      </c>
      <c r="H3763">
        <v>6024676874</v>
      </c>
      <c r="K3763" t="s">
        <v>10375</v>
      </c>
      <c r="L3763" t="s">
        <v>1800</v>
      </c>
      <c r="M3763" t="s">
        <v>1634</v>
      </c>
    </row>
    <row r="3764" spans="1:13" x14ac:dyDescent="0.25">
      <c r="A3764">
        <v>79496</v>
      </c>
      <c r="B3764" t="s">
        <v>10372</v>
      </c>
      <c r="C3764" t="s">
        <v>10373</v>
      </c>
      <c r="D3764" t="s">
        <v>2596</v>
      </c>
      <c r="E3764" t="s">
        <v>1273</v>
      </c>
      <c r="F3764" t="s">
        <v>2610</v>
      </c>
      <c r="G3764" t="s">
        <v>10376</v>
      </c>
      <c r="H3764">
        <v>6024676874</v>
      </c>
      <c r="K3764" t="s">
        <v>10377</v>
      </c>
      <c r="L3764" t="s">
        <v>10378</v>
      </c>
      <c r="M3764" t="s">
        <v>1634</v>
      </c>
    </row>
    <row r="3765" spans="1:13" x14ac:dyDescent="0.25">
      <c r="A3765">
        <v>79496</v>
      </c>
      <c r="B3765" t="s">
        <v>10372</v>
      </c>
      <c r="C3765" t="s">
        <v>10373</v>
      </c>
      <c r="D3765" t="s">
        <v>2596</v>
      </c>
      <c r="E3765" t="s">
        <v>1273</v>
      </c>
      <c r="F3765" t="s">
        <v>3456</v>
      </c>
      <c r="G3765" t="s">
        <v>10379</v>
      </c>
      <c r="H3765">
        <v>6024676874</v>
      </c>
      <c r="I3765" t="s">
        <v>10380</v>
      </c>
      <c r="K3765" t="s">
        <v>10381</v>
      </c>
      <c r="L3765" t="s">
        <v>10382</v>
      </c>
      <c r="M3765" t="s">
        <v>1634</v>
      </c>
    </row>
    <row r="3766" spans="1:13" x14ac:dyDescent="0.25">
      <c r="A3766">
        <v>79496</v>
      </c>
      <c r="B3766" t="s">
        <v>10372</v>
      </c>
      <c r="C3766" t="s">
        <v>10373</v>
      </c>
      <c r="D3766" t="s">
        <v>2596</v>
      </c>
      <c r="E3766" t="s">
        <v>1273</v>
      </c>
      <c r="F3766" t="s">
        <v>1812</v>
      </c>
      <c r="G3766" t="s">
        <v>10383</v>
      </c>
      <c r="H3766">
        <v>6024678674</v>
      </c>
      <c r="K3766" t="s">
        <v>10384</v>
      </c>
      <c r="L3766" t="s">
        <v>10385</v>
      </c>
      <c r="M3766" t="s">
        <v>1634</v>
      </c>
    </row>
    <row r="3767" spans="1:13" x14ac:dyDescent="0.25">
      <c r="A3767">
        <v>79496</v>
      </c>
      <c r="B3767" t="s">
        <v>10372</v>
      </c>
      <c r="C3767" t="s">
        <v>10373</v>
      </c>
      <c r="D3767" t="s">
        <v>2596</v>
      </c>
      <c r="E3767" t="s">
        <v>1273</v>
      </c>
      <c r="F3767" t="s">
        <v>10386</v>
      </c>
      <c r="G3767" t="s">
        <v>10387</v>
      </c>
      <c r="K3767" t="s">
        <v>10388</v>
      </c>
      <c r="L3767" t="s">
        <v>10389</v>
      </c>
      <c r="M3767" t="s">
        <v>1634</v>
      </c>
    </row>
    <row r="3768" spans="1:13" x14ac:dyDescent="0.25">
      <c r="A3768">
        <v>79496</v>
      </c>
      <c r="B3768" t="s">
        <v>10372</v>
      </c>
      <c r="C3768" t="s">
        <v>10373</v>
      </c>
      <c r="D3768" t="s">
        <v>2596</v>
      </c>
      <c r="E3768" t="s">
        <v>1273</v>
      </c>
      <c r="F3768" t="s">
        <v>4149</v>
      </c>
      <c r="G3768" t="s">
        <v>2402</v>
      </c>
      <c r="H3768">
        <v>6232294252</v>
      </c>
      <c r="K3768" t="s">
        <v>10390</v>
      </c>
      <c r="L3768" t="s">
        <v>10391</v>
      </c>
      <c r="M3768" t="s">
        <v>1634</v>
      </c>
    </row>
    <row r="3769" spans="1:13" x14ac:dyDescent="0.25">
      <c r="A3769">
        <v>79496</v>
      </c>
      <c r="B3769" t="s">
        <v>10372</v>
      </c>
      <c r="C3769" t="s">
        <v>10373</v>
      </c>
      <c r="D3769" t="s">
        <v>2596</v>
      </c>
      <c r="E3769" t="s">
        <v>1273</v>
      </c>
      <c r="F3769" t="s">
        <v>10392</v>
      </c>
      <c r="G3769" t="s">
        <v>8471</v>
      </c>
      <c r="H3769">
        <v>6234454915</v>
      </c>
      <c r="K3769" t="s">
        <v>10393</v>
      </c>
      <c r="M3769" t="s">
        <v>1640</v>
      </c>
    </row>
    <row r="3770" spans="1:13" x14ac:dyDescent="0.25">
      <c r="A3770">
        <v>79496</v>
      </c>
      <c r="B3770" t="s">
        <v>10372</v>
      </c>
      <c r="C3770" t="s">
        <v>10373</v>
      </c>
      <c r="D3770" t="s">
        <v>2596</v>
      </c>
      <c r="E3770" t="s">
        <v>1273</v>
      </c>
      <c r="F3770" t="s">
        <v>2610</v>
      </c>
      <c r="G3770" t="s">
        <v>10376</v>
      </c>
      <c r="H3770">
        <v>6024676874</v>
      </c>
      <c r="K3770" t="s">
        <v>10377</v>
      </c>
      <c r="L3770" t="s">
        <v>10378</v>
      </c>
      <c r="M3770" t="s">
        <v>1640</v>
      </c>
    </row>
    <row r="3771" spans="1:13" x14ac:dyDescent="0.25">
      <c r="A3771">
        <v>79496</v>
      </c>
      <c r="B3771" t="s">
        <v>10372</v>
      </c>
      <c r="C3771" t="s">
        <v>10373</v>
      </c>
      <c r="D3771" t="s">
        <v>2596</v>
      </c>
      <c r="E3771" t="s">
        <v>1273</v>
      </c>
      <c r="F3771" t="s">
        <v>3456</v>
      </c>
      <c r="G3771" t="s">
        <v>10379</v>
      </c>
      <c r="H3771">
        <v>6024676874</v>
      </c>
      <c r="I3771" t="s">
        <v>10380</v>
      </c>
      <c r="K3771" t="s">
        <v>10381</v>
      </c>
      <c r="L3771" t="s">
        <v>10382</v>
      </c>
      <c r="M3771" t="s">
        <v>1640</v>
      </c>
    </row>
    <row r="3772" spans="1:13" x14ac:dyDescent="0.25">
      <c r="A3772">
        <v>79506</v>
      </c>
      <c r="B3772" t="s">
        <v>10394</v>
      </c>
      <c r="C3772" t="s">
        <v>10395</v>
      </c>
      <c r="D3772" t="s">
        <v>2605</v>
      </c>
      <c r="E3772" t="s">
        <v>1273</v>
      </c>
      <c r="F3772" t="s">
        <v>1812</v>
      </c>
      <c r="G3772" t="s">
        <v>10383</v>
      </c>
      <c r="K3772" t="s">
        <v>10384</v>
      </c>
      <c r="L3772" t="s">
        <v>1647</v>
      </c>
      <c r="M3772" t="s">
        <v>1634</v>
      </c>
    </row>
    <row r="3773" spans="1:13" x14ac:dyDescent="0.25">
      <c r="A3773">
        <v>79497</v>
      </c>
      <c r="B3773" t="s">
        <v>10396</v>
      </c>
      <c r="C3773" t="s">
        <v>10397</v>
      </c>
      <c r="D3773" t="s">
        <v>2596</v>
      </c>
      <c r="E3773" t="s">
        <v>1273</v>
      </c>
      <c r="F3773" t="s">
        <v>3310</v>
      </c>
      <c r="G3773" t="s">
        <v>8657</v>
      </c>
      <c r="K3773" t="s">
        <v>8658</v>
      </c>
      <c r="M3773" t="s">
        <v>1634</v>
      </c>
    </row>
    <row r="3774" spans="1:13" x14ac:dyDescent="0.25">
      <c r="A3774">
        <v>79497</v>
      </c>
      <c r="B3774" t="s">
        <v>10396</v>
      </c>
      <c r="C3774" t="s">
        <v>10397</v>
      </c>
      <c r="D3774" t="s">
        <v>2596</v>
      </c>
      <c r="E3774" t="s">
        <v>1273</v>
      </c>
      <c r="F3774" t="s">
        <v>3570</v>
      </c>
      <c r="G3774" t="s">
        <v>8660</v>
      </c>
      <c r="K3774" t="s">
        <v>8661</v>
      </c>
      <c r="L3774" t="s">
        <v>8662</v>
      </c>
      <c r="M3774" t="s">
        <v>1634</v>
      </c>
    </row>
    <row r="3775" spans="1:13" x14ac:dyDescent="0.25">
      <c r="A3775">
        <v>79497</v>
      </c>
      <c r="B3775" t="s">
        <v>10396</v>
      </c>
      <c r="C3775" t="s">
        <v>10397</v>
      </c>
      <c r="D3775" t="s">
        <v>2596</v>
      </c>
      <c r="E3775" t="s">
        <v>1273</v>
      </c>
      <c r="F3775" t="s">
        <v>1775</v>
      </c>
      <c r="G3775" t="s">
        <v>6515</v>
      </c>
      <c r="K3775" t="s">
        <v>10398</v>
      </c>
      <c r="M3775" t="s">
        <v>1634</v>
      </c>
    </row>
    <row r="3776" spans="1:13" x14ac:dyDescent="0.25">
      <c r="A3776">
        <v>79497</v>
      </c>
      <c r="B3776" t="s">
        <v>10396</v>
      </c>
      <c r="C3776" t="s">
        <v>10397</v>
      </c>
      <c r="D3776" t="s">
        <v>2596</v>
      </c>
      <c r="E3776" t="s">
        <v>1273</v>
      </c>
      <c r="F3776" t="s">
        <v>3673</v>
      </c>
      <c r="G3776" t="s">
        <v>10121</v>
      </c>
      <c r="H3776">
        <v>4808552708</v>
      </c>
      <c r="J3776">
        <v>4808552701</v>
      </c>
      <c r="K3776" t="s">
        <v>10399</v>
      </c>
      <c r="L3776" t="s">
        <v>8991</v>
      </c>
      <c r="M3776" t="s">
        <v>1640</v>
      </c>
    </row>
    <row r="3777" spans="1:13" x14ac:dyDescent="0.25">
      <c r="A3777">
        <v>79497</v>
      </c>
      <c r="B3777" t="s">
        <v>10396</v>
      </c>
      <c r="C3777" t="s">
        <v>10397</v>
      </c>
      <c r="D3777" t="s">
        <v>2596</v>
      </c>
      <c r="E3777" t="s">
        <v>1273</v>
      </c>
      <c r="F3777" t="s">
        <v>7342</v>
      </c>
      <c r="G3777" t="s">
        <v>10400</v>
      </c>
      <c r="H3777">
        <v>6233986606</v>
      </c>
      <c r="J3777">
        <v>6233986773</v>
      </c>
      <c r="K3777" t="s">
        <v>10401</v>
      </c>
      <c r="L3777" t="s">
        <v>10402</v>
      </c>
      <c r="M3777" t="s">
        <v>1765</v>
      </c>
    </row>
    <row r="3778" spans="1:13" x14ac:dyDescent="0.25">
      <c r="A3778">
        <v>79508</v>
      </c>
      <c r="B3778" t="s">
        <v>10403</v>
      </c>
      <c r="C3778" t="s">
        <v>10404</v>
      </c>
      <c r="D3778" t="s">
        <v>2605</v>
      </c>
      <c r="E3778" t="s">
        <v>1273</v>
      </c>
      <c r="F3778" t="s">
        <v>10405</v>
      </c>
      <c r="G3778" t="s">
        <v>6515</v>
      </c>
      <c r="K3778" t="s">
        <v>10398</v>
      </c>
      <c r="M3778" t="s">
        <v>1634</v>
      </c>
    </row>
    <row r="3779" spans="1:13" x14ac:dyDescent="0.25">
      <c r="A3779">
        <v>79569</v>
      </c>
      <c r="B3779" t="s">
        <v>934</v>
      </c>
      <c r="C3779" t="s">
        <v>10406</v>
      </c>
      <c r="D3779" t="s">
        <v>2596</v>
      </c>
      <c r="E3779" t="s">
        <v>1273</v>
      </c>
      <c r="F3779" t="s">
        <v>2313</v>
      </c>
      <c r="G3779" t="s">
        <v>6980</v>
      </c>
      <c r="K3779" t="s">
        <v>10407</v>
      </c>
      <c r="L3779" t="s">
        <v>1640</v>
      </c>
      <c r="M3779" t="s">
        <v>1634</v>
      </c>
    </row>
    <row r="3780" spans="1:13" x14ac:dyDescent="0.25">
      <c r="A3780">
        <v>79569</v>
      </c>
      <c r="B3780" t="s">
        <v>934</v>
      </c>
      <c r="C3780" t="s">
        <v>10406</v>
      </c>
      <c r="D3780" t="s">
        <v>2596</v>
      </c>
      <c r="E3780" t="s">
        <v>1273</v>
      </c>
      <c r="F3780" t="s">
        <v>4443</v>
      </c>
      <c r="G3780" t="s">
        <v>3432</v>
      </c>
      <c r="J3780">
        <v>6232451506</v>
      </c>
      <c r="K3780" t="s">
        <v>10408</v>
      </c>
      <c r="L3780" t="s">
        <v>1647</v>
      </c>
      <c r="M3780" t="s">
        <v>1634</v>
      </c>
    </row>
    <row r="3781" spans="1:13" x14ac:dyDescent="0.25">
      <c r="A3781">
        <v>79569</v>
      </c>
      <c r="B3781" t="s">
        <v>934</v>
      </c>
      <c r="C3781" t="s">
        <v>10406</v>
      </c>
      <c r="D3781" t="s">
        <v>2596</v>
      </c>
      <c r="E3781" t="s">
        <v>1273</v>
      </c>
      <c r="F3781" t="s">
        <v>2313</v>
      </c>
      <c r="G3781" t="s">
        <v>6980</v>
      </c>
      <c r="K3781" t="s">
        <v>10407</v>
      </c>
      <c r="L3781" t="s">
        <v>1640</v>
      </c>
      <c r="M3781" t="s">
        <v>1640</v>
      </c>
    </row>
    <row r="3782" spans="1:13" x14ac:dyDescent="0.25">
      <c r="A3782">
        <v>79569</v>
      </c>
      <c r="B3782" t="s">
        <v>934</v>
      </c>
      <c r="C3782" t="s">
        <v>10406</v>
      </c>
      <c r="D3782" t="s">
        <v>2596</v>
      </c>
      <c r="E3782" t="s">
        <v>1273</v>
      </c>
      <c r="F3782" t="s">
        <v>4486</v>
      </c>
      <c r="G3782" t="s">
        <v>3182</v>
      </c>
      <c r="H3782">
        <v>6232451500</v>
      </c>
      <c r="J3782">
        <v>6232458401</v>
      </c>
      <c r="K3782" t="s">
        <v>10409</v>
      </c>
      <c r="L3782" t="s">
        <v>10410</v>
      </c>
      <c r="M3782" t="s">
        <v>1765</v>
      </c>
    </row>
    <row r="3783" spans="1:13" x14ac:dyDescent="0.25">
      <c r="A3783">
        <v>79570</v>
      </c>
      <c r="B3783" t="s">
        <v>934</v>
      </c>
      <c r="C3783" t="s">
        <v>10411</v>
      </c>
      <c r="D3783" t="s">
        <v>2605</v>
      </c>
      <c r="E3783" t="s">
        <v>1273</v>
      </c>
      <c r="F3783" t="s">
        <v>2313</v>
      </c>
      <c r="G3783" t="s">
        <v>6980</v>
      </c>
      <c r="K3783" t="s">
        <v>10407</v>
      </c>
      <c r="M3783" t="s">
        <v>1634</v>
      </c>
    </row>
    <row r="3784" spans="1:13" x14ac:dyDescent="0.25">
      <c r="A3784">
        <v>79570</v>
      </c>
      <c r="B3784" t="s">
        <v>934</v>
      </c>
      <c r="C3784" t="s">
        <v>10411</v>
      </c>
      <c r="D3784" t="s">
        <v>2605</v>
      </c>
      <c r="E3784" t="s">
        <v>1273</v>
      </c>
      <c r="F3784" t="s">
        <v>4486</v>
      </c>
      <c r="G3784" t="s">
        <v>3182</v>
      </c>
      <c r="H3784">
        <v>6232451500</v>
      </c>
      <c r="K3784" t="s">
        <v>10412</v>
      </c>
      <c r="M3784" t="s">
        <v>1765</v>
      </c>
    </row>
    <row r="3785" spans="1:13" x14ac:dyDescent="0.25">
      <c r="A3785">
        <v>79578</v>
      </c>
      <c r="B3785" t="s">
        <v>977</v>
      </c>
      <c r="C3785" t="s">
        <v>10413</v>
      </c>
      <c r="D3785" t="s">
        <v>2596</v>
      </c>
      <c r="E3785" t="s">
        <v>1273</v>
      </c>
    </row>
    <row r="3786" spans="1:13" x14ac:dyDescent="0.25">
      <c r="A3786">
        <v>79579</v>
      </c>
      <c r="B3786" t="s">
        <v>978</v>
      </c>
      <c r="C3786" t="s">
        <v>10414</v>
      </c>
      <c r="D3786" t="s">
        <v>2605</v>
      </c>
      <c r="E3786" t="s">
        <v>1273</v>
      </c>
      <c r="F3786" t="s">
        <v>4764</v>
      </c>
      <c r="G3786" t="s">
        <v>10415</v>
      </c>
      <c r="H3786">
        <v>6022663989</v>
      </c>
      <c r="J3786">
        <v>6022663979</v>
      </c>
      <c r="K3786" t="s">
        <v>10416</v>
      </c>
      <c r="M3786" t="s">
        <v>1634</v>
      </c>
    </row>
    <row r="3787" spans="1:13" x14ac:dyDescent="0.25">
      <c r="A3787">
        <v>79701</v>
      </c>
      <c r="B3787" t="s">
        <v>10417</v>
      </c>
      <c r="C3787" t="s">
        <v>10418</v>
      </c>
      <c r="D3787" t="s">
        <v>2596</v>
      </c>
      <c r="E3787" t="s">
        <v>1273</v>
      </c>
    </row>
    <row r="3788" spans="1:13" x14ac:dyDescent="0.25">
      <c r="A3788">
        <v>79702</v>
      </c>
      <c r="B3788" t="s">
        <v>10419</v>
      </c>
      <c r="C3788" t="s">
        <v>10420</v>
      </c>
      <c r="D3788" t="s">
        <v>2605</v>
      </c>
      <c r="E3788" t="s">
        <v>1273</v>
      </c>
      <c r="F3788" t="s">
        <v>10421</v>
      </c>
      <c r="G3788" t="s">
        <v>10422</v>
      </c>
      <c r="K3788" t="s">
        <v>10423</v>
      </c>
      <c r="M3788" t="s">
        <v>1634</v>
      </c>
    </row>
    <row r="3789" spans="1:13" x14ac:dyDescent="0.25">
      <c r="A3789">
        <v>79702</v>
      </c>
      <c r="B3789" t="s">
        <v>10419</v>
      </c>
      <c r="C3789" t="s">
        <v>10420</v>
      </c>
      <c r="D3789" t="s">
        <v>2605</v>
      </c>
      <c r="E3789" t="s">
        <v>1273</v>
      </c>
      <c r="F3789" t="s">
        <v>1925</v>
      </c>
      <c r="G3789" t="s">
        <v>10424</v>
      </c>
      <c r="K3789" t="s">
        <v>10425</v>
      </c>
      <c r="L3789" t="s">
        <v>1647</v>
      </c>
      <c r="M3789" t="s">
        <v>1634</v>
      </c>
    </row>
    <row r="3790" spans="1:13" x14ac:dyDescent="0.25">
      <c r="A3790">
        <v>79702</v>
      </c>
      <c r="B3790" t="s">
        <v>10419</v>
      </c>
      <c r="C3790" t="s">
        <v>10420</v>
      </c>
      <c r="D3790" t="s">
        <v>2605</v>
      </c>
      <c r="E3790" t="s">
        <v>1273</v>
      </c>
      <c r="F3790" t="s">
        <v>1630</v>
      </c>
      <c r="G3790" t="s">
        <v>4780</v>
      </c>
      <c r="H3790">
        <v>5202699240</v>
      </c>
      <c r="K3790" t="s">
        <v>10426</v>
      </c>
      <c r="M3790" t="s">
        <v>1634</v>
      </c>
    </row>
    <row r="3791" spans="1:13" x14ac:dyDescent="0.25">
      <c r="A3791">
        <v>79871</v>
      </c>
      <c r="B3791" t="s">
        <v>10427</v>
      </c>
      <c r="C3791" t="s">
        <v>10428</v>
      </c>
      <c r="D3791" t="s">
        <v>2596</v>
      </c>
      <c r="E3791" t="s">
        <v>1273</v>
      </c>
      <c r="F3791" t="s">
        <v>1679</v>
      </c>
      <c r="G3791" t="s">
        <v>8241</v>
      </c>
      <c r="K3791" t="s">
        <v>9078</v>
      </c>
      <c r="L3791" t="s">
        <v>8045</v>
      </c>
      <c r="M3791" t="s">
        <v>1634</v>
      </c>
    </row>
    <row r="3792" spans="1:13" x14ac:dyDescent="0.25">
      <c r="A3792">
        <v>79871</v>
      </c>
      <c r="B3792" t="s">
        <v>10427</v>
      </c>
      <c r="C3792" t="s">
        <v>10428</v>
      </c>
      <c r="D3792" t="s">
        <v>2596</v>
      </c>
      <c r="E3792" t="s">
        <v>1273</v>
      </c>
      <c r="F3792" t="s">
        <v>10429</v>
      </c>
      <c r="G3792" t="s">
        <v>10430</v>
      </c>
      <c r="K3792" t="s">
        <v>10431</v>
      </c>
      <c r="M3792" t="s">
        <v>1634</v>
      </c>
    </row>
    <row r="3793" spans="1:13" x14ac:dyDescent="0.25">
      <c r="A3793">
        <v>79871</v>
      </c>
      <c r="B3793" t="s">
        <v>10427</v>
      </c>
      <c r="C3793" t="s">
        <v>10428</v>
      </c>
      <c r="D3793" t="s">
        <v>2596</v>
      </c>
      <c r="E3793" t="s">
        <v>1273</v>
      </c>
      <c r="F3793" t="s">
        <v>8300</v>
      </c>
      <c r="G3793" t="s">
        <v>8301</v>
      </c>
      <c r="H3793">
        <v>6029532933</v>
      </c>
      <c r="K3793" t="s">
        <v>8302</v>
      </c>
      <c r="M3793" t="s">
        <v>1634</v>
      </c>
    </row>
    <row r="3794" spans="1:13" x14ac:dyDescent="0.25">
      <c r="A3794">
        <v>79871</v>
      </c>
      <c r="B3794" t="s">
        <v>10427</v>
      </c>
      <c r="C3794" t="s">
        <v>10428</v>
      </c>
      <c r="D3794" t="s">
        <v>2596</v>
      </c>
      <c r="E3794" t="s">
        <v>1273</v>
      </c>
      <c r="F3794" t="s">
        <v>1750</v>
      </c>
      <c r="G3794" t="s">
        <v>4537</v>
      </c>
      <c r="H3794">
        <v>6029532933</v>
      </c>
      <c r="K3794" t="s">
        <v>9071</v>
      </c>
      <c r="L3794" t="s">
        <v>1746</v>
      </c>
      <c r="M3794" t="s">
        <v>1634</v>
      </c>
    </row>
    <row r="3795" spans="1:13" x14ac:dyDescent="0.25">
      <c r="A3795">
        <v>79871</v>
      </c>
      <c r="B3795" t="s">
        <v>10427</v>
      </c>
      <c r="C3795" t="s">
        <v>10428</v>
      </c>
      <c r="D3795" t="s">
        <v>2596</v>
      </c>
      <c r="E3795" t="s">
        <v>1273</v>
      </c>
      <c r="F3795" t="s">
        <v>3570</v>
      </c>
      <c r="G3795" t="s">
        <v>5188</v>
      </c>
      <c r="K3795" t="s">
        <v>9636</v>
      </c>
      <c r="L3795" t="s">
        <v>9637</v>
      </c>
      <c r="M3795" t="s">
        <v>1640</v>
      </c>
    </row>
    <row r="3796" spans="1:13" x14ac:dyDescent="0.25">
      <c r="A3796">
        <v>79871</v>
      </c>
      <c r="B3796" t="s">
        <v>10427</v>
      </c>
      <c r="C3796" t="s">
        <v>10428</v>
      </c>
      <c r="D3796" t="s">
        <v>2596</v>
      </c>
      <c r="E3796" t="s">
        <v>1273</v>
      </c>
      <c r="F3796" t="s">
        <v>1848</v>
      </c>
      <c r="G3796" t="s">
        <v>2927</v>
      </c>
      <c r="K3796" t="s">
        <v>8243</v>
      </c>
      <c r="M3796" t="s">
        <v>1765</v>
      </c>
    </row>
    <row r="3797" spans="1:13" x14ac:dyDescent="0.25">
      <c r="A3797">
        <v>79177</v>
      </c>
      <c r="B3797" t="s">
        <v>10432</v>
      </c>
      <c r="C3797" t="s">
        <v>10433</v>
      </c>
      <c r="D3797" t="s">
        <v>2605</v>
      </c>
      <c r="E3797" t="s">
        <v>7934</v>
      </c>
      <c r="F3797" t="s">
        <v>3910</v>
      </c>
      <c r="G3797" t="s">
        <v>8241</v>
      </c>
      <c r="H3797">
        <v>4802880337</v>
      </c>
      <c r="J3797">
        <v>4802880340</v>
      </c>
      <c r="K3797" t="s">
        <v>9078</v>
      </c>
      <c r="M3797" t="s">
        <v>1634</v>
      </c>
    </row>
    <row r="3798" spans="1:13" x14ac:dyDescent="0.25">
      <c r="A3798">
        <v>79177</v>
      </c>
      <c r="B3798" t="s">
        <v>10432</v>
      </c>
      <c r="C3798" t="s">
        <v>10433</v>
      </c>
      <c r="D3798" t="s">
        <v>2605</v>
      </c>
      <c r="E3798" t="s">
        <v>7934</v>
      </c>
      <c r="F3798" t="s">
        <v>3570</v>
      </c>
      <c r="G3798" t="s">
        <v>5188</v>
      </c>
      <c r="K3798" t="s">
        <v>8727</v>
      </c>
      <c r="M3798" t="s">
        <v>1640</v>
      </c>
    </row>
    <row r="3799" spans="1:13" x14ac:dyDescent="0.25">
      <c r="A3799">
        <v>79177</v>
      </c>
      <c r="B3799" t="s">
        <v>10432</v>
      </c>
      <c r="C3799" t="s">
        <v>10433</v>
      </c>
      <c r="D3799" t="s">
        <v>2605</v>
      </c>
      <c r="E3799" t="s">
        <v>7934</v>
      </c>
      <c r="F3799" t="s">
        <v>2053</v>
      </c>
      <c r="G3799" t="s">
        <v>6310</v>
      </c>
      <c r="K3799" t="s">
        <v>9120</v>
      </c>
      <c r="L3799" t="s">
        <v>10434</v>
      </c>
      <c r="M3799" t="s">
        <v>1765</v>
      </c>
    </row>
    <row r="3800" spans="1:13" x14ac:dyDescent="0.25">
      <c r="A3800">
        <v>79872</v>
      </c>
      <c r="B3800" t="s">
        <v>1590</v>
      </c>
      <c r="C3800" t="s">
        <v>10435</v>
      </c>
      <c r="D3800" t="s">
        <v>2596</v>
      </c>
      <c r="E3800" t="s">
        <v>1273</v>
      </c>
      <c r="F3800" t="s">
        <v>5079</v>
      </c>
      <c r="G3800" t="s">
        <v>1918</v>
      </c>
      <c r="J3800">
        <v>6029530831</v>
      </c>
      <c r="K3800" t="s">
        <v>9633</v>
      </c>
      <c r="L3800" t="s">
        <v>10436</v>
      </c>
      <c r="M3800" t="s">
        <v>1634</v>
      </c>
    </row>
    <row r="3801" spans="1:13" x14ac:dyDescent="0.25">
      <c r="A3801">
        <v>79872</v>
      </c>
      <c r="B3801" t="s">
        <v>1590</v>
      </c>
      <c r="C3801" t="s">
        <v>10435</v>
      </c>
      <c r="D3801" t="s">
        <v>2596</v>
      </c>
      <c r="E3801" t="s">
        <v>1273</v>
      </c>
      <c r="F3801" t="s">
        <v>9634</v>
      </c>
      <c r="G3801" t="s">
        <v>3680</v>
      </c>
      <c r="K3801" t="s">
        <v>9635</v>
      </c>
      <c r="L3801" t="s">
        <v>1647</v>
      </c>
      <c r="M3801" t="s">
        <v>1634</v>
      </c>
    </row>
    <row r="3802" spans="1:13" x14ac:dyDescent="0.25">
      <c r="A3802">
        <v>79872</v>
      </c>
      <c r="B3802" t="s">
        <v>1590</v>
      </c>
      <c r="C3802" t="s">
        <v>10435</v>
      </c>
      <c r="D3802" t="s">
        <v>2596</v>
      </c>
      <c r="E3802" t="s">
        <v>1273</v>
      </c>
      <c r="F3802" t="s">
        <v>3570</v>
      </c>
      <c r="G3802" t="s">
        <v>5188</v>
      </c>
      <c r="K3802" t="s">
        <v>8239</v>
      </c>
      <c r="L3802" t="s">
        <v>10437</v>
      </c>
      <c r="M3802" t="s">
        <v>1640</v>
      </c>
    </row>
    <row r="3803" spans="1:13" x14ac:dyDescent="0.25">
      <c r="A3803">
        <v>79872</v>
      </c>
      <c r="B3803" t="s">
        <v>1590</v>
      </c>
      <c r="C3803" t="s">
        <v>10435</v>
      </c>
      <c r="D3803" t="s">
        <v>2596</v>
      </c>
      <c r="E3803" t="s">
        <v>1273</v>
      </c>
      <c r="F3803" t="s">
        <v>1848</v>
      </c>
      <c r="G3803" t="s">
        <v>2927</v>
      </c>
      <c r="K3803" t="s">
        <v>8243</v>
      </c>
      <c r="M3803" t="s">
        <v>1765</v>
      </c>
    </row>
    <row r="3804" spans="1:13" x14ac:dyDescent="0.25">
      <c r="A3804">
        <v>78901</v>
      </c>
      <c r="B3804" t="s">
        <v>1591</v>
      </c>
      <c r="C3804" t="s">
        <v>10438</v>
      </c>
      <c r="D3804" t="s">
        <v>2605</v>
      </c>
      <c r="E3804" t="s">
        <v>1273</v>
      </c>
      <c r="F3804" t="s">
        <v>3570</v>
      </c>
      <c r="G3804" t="s">
        <v>5188</v>
      </c>
      <c r="K3804" t="s">
        <v>8727</v>
      </c>
      <c r="M3804" t="s">
        <v>1640</v>
      </c>
    </row>
    <row r="3805" spans="1:13" x14ac:dyDescent="0.25">
      <c r="A3805">
        <v>79873</v>
      </c>
      <c r="B3805" t="s">
        <v>926</v>
      </c>
      <c r="C3805" t="s">
        <v>10439</v>
      </c>
      <c r="D3805" t="s">
        <v>2596</v>
      </c>
      <c r="E3805" t="s">
        <v>1273</v>
      </c>
      <c r="F3805" t="s">
        <v>3945</v>
      </c>
      <c r="G3805" t="s">
        <v>8722</v>
      </c>
      <c r="K3805" t="s">
        <v>8723</v>
      </c>
      <c r="M3805" t="s">
        <v>1634</v>
      </c>
    </row>
    <row r="3806" spans="1:13" x14ac:dyDescent="0.25">
      <c r="A3806">
        <v>79873</v>
      </c>
      <c r="B3806" t="s">
        <v>926</v>
      </c>
      <c r="C3806" t="s">
        <v>10439</v>
      </c>
      <c r="D3806" t="s">
        <v>2596</v>
      </c>
      <c r="E3806" t="s">
        <v>1273</v>
      </c>
      <c r="F3806" t="s">
        <v>3570</v>
      </c>
      <c r="G3806" t="s">
        <v>5188</v>
      </c>
      <c r="K3806" t="s">
        <v>9636</v>
      </c>
      <c r="L3806" t="s">
        <v>9637</v>
      </c>
      <c r="M3806" t="s">
        <v>1640</v>
      </c>
    </row>
    <row r="3807" spans="1:13" x14ac:dyDescent="0.25">
      <c r="A3807">
        <v>78900</v>
      </c>
      <c r="B3807" t="s">
        <v>927</v>
      </c>
      <c r="C3807" t="s">
        <v>10440</v>
      </c>
      <c r="D3807" t="s">
        <v>2605</v>
      </c>
      <c r="E3807" t="s">
        <v>1273</v>
      </c>
      <c r="F3807" t="s">
        <v>3570</v>
      </c>
      <c r="G3807" t="s">
        <v>5188</v>
      </c>
      <c r="K3807" t="s">
        <v>8727</v>
      </c>
      <c r="M3807" t="s">
        <v>1640</v>
      </c>
    </row>
    <row r="3808" spans="1:13" x14ac:dyDescent="0.25">
      <c r="A3808">
        <v>78900</v>
      </c>
      <c r="B3808" t="s">
        <v>927</v>
      </c>
      <c r="C3808" t="s">
        <v>10440</v>
      </c>
      <c r="D3808" t="s">
        <v>2605</v>
      </c>
      <c r="E3808" t="s">
        <v>1273</v>
      </c>
      <c r="F3808" t="s">
        <v>2053</v>
      </c>
      <c r="G3808" t="s">
        <v>6310</v>
      </c>
      <c r="K3808" t="s">
        <v>9120</v>
      </c>
      <c r="L3808" t="s">
        <v>8731</v>
      </c>
      <c r="M3808" t="s">
        <v>1765</v>
      </c>
    </row>
    <row r="3809" spans="1:13" x14ac:dyDescent="0.25">
      <c r="A3809">
        <v>79882</v>
      </c>
      <c r="B3809" t="s">
        <v>944</v>
      </c>
      <c r="C3809" t="s">
        <v>10441</v>
      </c>
      <c r="D3809" t="s">
        <v>2596</v>
      </c>
      <c r="E3809" t="s">
        <v>1273</v>
      </c>
      <c r="F3809" t="s">
        <v>1679</v>
      </c>
      <c r="G3809" t="s">
        <v>8241</v>
      </c>
      <c r="K3809" t="s">
        <v>9078</v>
      </c>
      <c r="L3809" t="s">
        <v>8045</v>
      </c>
      <c r="M3809" t="s">
        <v>1634</v>
      </c>
    </row>
    <row r="3810" spans="1:13" x14ac:dyDescent="0.25">
      <c r="A3810">
        <v>79882</v>
      </c>
      <c r="B3810" t="s">
        <v>944</v>
      </c>
      <c r="C3810" t="s">
        <v>10441</v>
      </c>
      <c r="D3810" t="s">
        <v>2596</v>
      </c>
      <c r="E3810" t="s">
        <v>1273</v>
      </c>
      <c r="F3810" t="s">
        <v>1750</v>
      </c>
      <c r="G3810" t="s">
        <v>4537</v>
      </c>
      <c r="H3810">
        <v>6029532933</v>
      </c>
      <c r="K3810" t="s">
        <v>9071</v>
      </c>
      <c r="L3810" t="s">
        <v>1746</v>
      </c>
      <c r="M3810" t="s">
        <v>1634</v>
      </c>
    </row>
    <row r="3811" spans="1:13" x14ac:dyDescent="0.25">
      <c r="A3811">
        <v>79882</v>
      </c>
      <c r="B3811" t="s">
        <v>944</v>
      </c>
      <c r="C3811" t="s">
        <v>10441</v>
      </c>
      <c r="D3811" t="s">
        <v>2596</v>
      </c>
      <c r="E3811" t="s">
        <v>1273</v>
      </c>
      <c r="F3811" t="s">
        <v>3570</v>
      </c>
      <c r="G3811" t="s">
        <v>5188</v>
      </c>
      <c r="K3811" t="s">
        <v>9636</v>
      </c>
      <c r="L3811" t="s">
        <v>9637</v>
      </c>
      <c r="M3811" t="s">
        <v>1640</v>
      </c>
    </row>
    <row r="3812" spans="1:13" x14ac:dyDescent="0.25">
      <c r="A3812">
        <v>79882</v>
      </c>
      <c r="B3812" t="s">
        <v>944</v>
      </c>
      <c r="C3812" t="s">
        <v>10441</v>
      </c>
      <c r="D3812" t="s">
        <v>2596</v>
      </c>
      <c r="E3812" t="s">
        <v>1273</v>
      </c>
      <c r="F3812" t="s">
        <v>1848</v>
      </c>
      <c r="G3812" t="s">
        <v>2927</v>
      </c>
      <c r="K3812" t="s">
        <v>8243</v>
      </c>
      <c r="M3812" t="s">
        <v>1765</v>
      </c>
    </row>
    <row r="3813" spans="1:13" x14ac:dyDescent="0.25">
      <c r="A3813">
        <v>10748</v>
      </c>
      <c r="B3813" t="s">
        <v>944</v>
      </c>
      <c r="C3813" t="s">
        <v>10442</v>
      </c>
      <c r="D3813" t="s">
        <v>2605</v>
      </c>
      <c r="E3813" t="s">
        <v>1273</v>
      </c>
      <c r="F3813" t="s">
        <v>3570</v>
      </c>
      <c r="G3813" t="s">
        <v>5188</v>
      </c>
      <c r="K3813" t="s">
        <v>8727</v>
      </c>
      <c r="M3813" t="s">
        <v>1640</v>
      </c>
    </row>
    <row r="3814" spans="1:13" x14ac:dyDescent="0.25">
      <c r="A3814">
        <v>10748</v>
      </c>
      <c r="B3814" t="s">
        <v>944</v>
      </c>
      <c r="C3814" t="s">
        <v>10442</v>
      </c>
      <c r="D3814" t="s">
        <v>2605</v>
      </c>
      <c r="E3814" t="s">
        <v>1273</v>
      </c>
      <c r="F3814" t="s">
        <v>2053</v>
      </c>
      <c r="G3814" t="s">
        <v>6310</v>
      </c>
      <c r="K3814" t="s">
        <v>9120</v>
      </c>
      <c r="L3814" t="s">
        <v>8731</v>
      </c>
      <c r="M3814" t="s">
        <v>1765</v>
      </c>
    </row>
    <row r="3815" spans="1:13" x14ac:dyDescent="0.25">
      <c r="A3815">
        <v>79874</v>
      </c>
      <c r="B3815" t="s">
        <v>972</v>
      </c>
      <c r="C3815" t="s">
        <v>10443</v>
      </c>
      <c r="D3815" t="s">
        <v>2596</v>
      </c>
      <c r="E3815" t="s">
        <v>1273</v>
      </c>
      <c r="F3815" t="s">
        <v>3570</v>
      </c>
      <c r="G3815" t="s">
        <v>5188</v>
      </c>
      <c r="K3815" t="s">
        <v>9636</v>
      </c>
      <c r="L3815" t="s">
        <v>9637</v>
      </c>
      <c r="M3815" t="s">
        <v>1640</v>
      </c>
    </row>
    <row r="3816" spans="1:13" x14ac:dyDescent="0.25">
      <c r="A3816">
        <v>79874</v>
      </c>
      <c r="B3816" t="s">
        <v>972</v>
      </c>
      <c r="C3816" t="s">
        <v>10443</v>
      </c>
      <c r="D3816" t="s">
        <v>2596</v>
      </c>
      <c r="E3816" t="s">
        <v>1273</v>
      </c>
      <c r="F3816" t="s">
        <v>1848</v>
      </c>
      <c r="G3816" t="s">
        <v>2927</v>
      </c>
      <c r="K3816" t="s">
        <v>8243</v>
      </c>
      <c r="M3816" t="s">
        <v>1765</v>
      </c>
    </row>
    <row r="3817" spans="1:13" x14ac:dyDescent="0.25">
      <c r="A3817">
        <v>78813</v>
      </c>
      <c r="B3817" t="s">
        <v>973</v>
      </c>
      <c r="C3817" t="s">
        <v>10444</v>
      </c>
      <c r="D3817" t="s">
        <v>2605</v>
      </c>
      <c r="E3817" t="s">
        <v>1273</v>
      </c>
      <c r="F3817" t="s">
        <v>3570</v>
      </c>
      <c r="G3817" t="s">
        <v>5188</v>
      </c>
      <c r="K3817" t="s">
        <v>8727</v>
      </c>
      <c r="M3817" t="s">
        <v>1640</v>
      </c>
    </row>
    <row r="3818" spans="1:13" x14ac:dyDescent="0.25">
      <c r="A3818">
        <v>78813</v>
      </c>
      <c r="B3818" t="s">
        <v>973</v>
      </c>
      <c r="C3818" t="s">
        <v>10444</v>
      </c>
      <c r="D3818" t="s">
        <v>2605</v>
      </c>
      <c r="E3818" t="s">
        <v>1273</v>
      </c>
      <c r="F3818" t="s">
        <v>2053</v>
      </c>
      <c r="G3818" t="s">
        <v>6310</v>
      </c>
      <c r="K3818" t="s">
        <v>9120</v>
      </c>
      <c r="L3818" t="s">
        <v>8731</v>
      </c>
      <c r="M3818" t="s">
        <v>1765</v>
      </c>
    </row>
    <row r="3819" spans="1:13" x14ac:dyDescent="0.25">
      <c r="A3819">
        <v>79875</v>
      </c>
      <c r="B3819" t="s">
        <v>929</v>
      </c>
      <c r="C3819" t="s">
        <v>10445</v>
      </c>
      <c r="D3819" t="s">
        <v>2596</v>
      </c>
      <c r="E3819" t="s">
        <v>1273</v>
      </c>
      <c r="F3819" t="s">
        <v>3570</v>
      </c>
      <c r="G3819" t="s">
        <v>5188</v>
      </c>
      <c r="K3819" t="s">
        <v>9636</v>
      </c>
      <c r="L3819" t="s">
        <v>9637</v>
      </c>
      <c r="M3819" t="s">
        <v>1640</v>
      </c>
    </row>
    <row r="3820" spans="1:13" x14ac:dyDescent="0.25">
      <c r="A3820">
        <v>79875</v>
      </c>
      <c r="B3820" t="s">
        <v>929</v>
      </c>
      <c r="C3820" t="s">
        <v>10445</v>
      </c>
      <c r="D3820" t="s">
        <v>2596</v>
      </c>
      <c r="E3820" t="s">
        <v>1273</v>
      </c>
      <c r="F3820" t="s">
        <v>1848</v>
      </c>
      <c r="G3820" t="s">
        <v>2927</v>
      </c>
      <c r="K3820" t="s">
        <v>8243</v>
      </c>
      <c r="M3820" t="s">
        <v>1765</v>
      </c>
    </row>
    <row r="3821" spans="1:13" x14ac:dyDescent="0.25">
      <c r="A3821">
        <v>78817</v>
      </c>
      <c r="B3821" t="s">
        <v>930</v>
      </c>
      <c r="C3821" t="s">
        <v>10446</v>
      </c>
      <c r="D3821" t="s">
        <v>2605</v>
      </c>
      <c r="E3821" t="s">
        <v>1273</v>
      </c>
      <c r="F3821" t="s">
        <v>3570</v>
      </c>
      <c r="G3821" t="s">
        <v>5188</v>
      </c>
      <c r="K3821" t="s">
        <v>8727</v>
      </c>
      <c r="M3821" t="s">
        <v>1640</v>
      </c>
    </row>
    <row r="3822" spans="1:13" x14ac:dyDescent="0.25">
      <c r="A3822">
        <v>78817</v>
      </c>
      <c r="B3822" t="s">
        <v>930</v>
      </c>
      <c r="C3822" t="s">
        <v>10446</v>
      </c>
      <c r="D3822" t="s">
        <v>2605</v>
      </c>
      <c r="E3822" t="s">
        <v>1273</v>
      </c>
      <c r="F3822" t="s">
        <v>2053</v>
      </c>
      <c r="G3822" t="s">
        <v>6310</v>
      </c>
      <c r="K3822" t="s">
        <v>9120</v>
      </c>
      <c r="L3822" t="s">
        <v>8731</v>
      </c>
      <c r="M3822" t="s">
        <v>1765</v>
      </c>
    </row>
    <row r="3823" spans="1:13" x14ac:dyDescent="0.25">
      <c r="A3823">
        <v>79876</v>
      </c>
      <c r="B3823" t="s">
        <v>967</v>
      </c>
      <c r="C3823" t="s">
        <v>10447</v>
      </c>
      <c r="D3823" t="s">
        <v>2596</v>
      </c>
      <c r="E3823" t="s">
        <v>1273</v>
      </c>
      <c r="F3823" t="s">
        <v>1679</v>
      </c>
      <c r="G3823" t="s">
        <v>8241</v>
      </c>
      <c r="K3823" t="s">
        <v>9078</v>
      </c>
      <c r="L3823" t="s">
        <v>8045</v>
      </c>
      <c r="M3823" t="s">
        <v>1634</v>
      </c>
    </row>
    <row r="3824" spans="1:13" x14ac:dyDescent="0.25">
      <c r="A3824">
        <v>79876</v>
      </c>
      <c r="B3824" t="s">
        <v>967</v>
      </c>
      <c r="C3824" t="s">
        <v>10447</v>
      </c>
      <c r="D3824" t="s">
        <v>2596</v>
      </c>
      <c r="E3824" t="s">
        <v>1273</v>
      </c>
      <c r="F3824" t="s">
        <v>1723</v>
      </c>
      <c r="G3824" t="s">
        <v>10448</v>
      </c>
      <c r="H3824">
        <v>6232470106</v>
      </c>
      <c r="K3824" t="s">
        <v>10449</v>
      </c>
      <c r="L3824" t="s">
        <v>10436</v>
      </c>
      <c r="M3824" t="s">
        <v>1634</v>
      </c>
    </row>
    <row r="3825" spans="1:13" x14ac:dyDescent="0.25">
      <c r="A3825">
        <v>79876</v>
      </c>
      <c r="B3825" t="s">
        <v>967</v>
      </c>
      <c r="C3825" t="s">
        <v>10447</v>
      </c>
      <c r="D3825" t="s">
        <v>2596</v>
      </c>
      <c r="E3825" t="s">
        <v>1273</v>
      </c>
      <c r="F3825" t="s">
        <v>1750</v>
      </c>
      <c r="G3825" t="s">
        <v>4537</v>
      </c>
      <c r="H3825">
        <v>6029532933</v>
      </c>
      <c r="K3825" t="s">
        <v>9071</v>
      </c>
      <c r="L3825" t="s">
        <v>1746</v>
      </c>
      <c r="M3825" t="s">
        <v>1634</v>
      </c>
    </row>
    <row r="3826" spans="1:13" x14ac:dyDescent="0.25">
      <c r="A3826">
        <v>79876</v>
      </c>
      <c r="B3826" t="s">
        <v>967</v>
      </c>
      <c r="C3826" t="s">
        <v>10447</v>
      </c>
      <c r="D3826" t="s">
        <v>2596</v>
      </c>
      <c r="E3826" t="s">
        <v>1273</v>
      </c>
      <c r="F3826" t="s">
        <v>3570</v>
      </c>
      <c r="G3826" t="s">
        <v>5188</v>
      </c>
      <c r="K3826" t="s">
        <v>9636</v>
      </c>
      <c r="L3826" t="s">
        <v>9637</v>
      </c>
      <c r="M3826" t="s">
        <v>1640</v>
      </c>
    </row>
    <row r="3827" spans="1:13" x14ac:dyDescent="0.25">
      <c r="A3827">
        <v>10749</v>
      </c>
      <c r="B3827" t="s">
        <v>967</v>
      </c>
      <c r="C3827" t="s">
        <v>10450</v>
      </c>
      <c r="D3827" t="s">
        <v>2605</v>
      </c>
      <c r="E3827" t="s">
        <v>1273</v>
      </c>
      <c r="F3827" t="s">
        <v>1723</v>
      </c>
      <c r="G3827" t="s">
        <v>10448</v>
      </c>
      <c r="K3827" t="s">
        <v>10449</v>
      </c>
      <c r="L3827" t="s">
        <v>10436</v>
      </c>
      <c r="M3827" t="s">
        <v>1634</v>
      </c>
    </row>
    <row r="3828" spans="1:13" x14ac:dyDescent="0.25">
      <c r="A3828">
        <v>10749</v>
      </c>
      <c r="B3828" t="s">
        <v>967</v>
      </c>
      <c r="C3828" t="s">
        <v>10450</v>
      </c>
      <c r="D3828" t="s">
        <v>2605</v>
      </c>
      <c r="E3828" t="s">
        <v>1273</v>
      </c>
      <c r="F3828" t="s">
        <v>3570</v>
      </c>
      <c r="G3828" t="s">
        <v>5188</v>
      </c>
      <c r="K3828" t="s">
        <v>8727</v>
      </c>
      <c r="M3828" t="s">
        <v>1640</v>
      </c>
    </row>
    <row r="3829" spans="1:13" x14ac:dyDescent="0.25">
      <c r="A3829">
        <v>10749</v>
      </c>
      <c r="B3829" t="s">
        <v>967</v>
      </c>
      <c r="C3829" t="s">
        <v>10450</v>
      </c>
      <c r="D3829" t="s">
        <v>2605</v>
      </c>
      <c r="E3829" t="s">
        <v>1273</v>
      </c>
      <c r="F3829" t="s">
        <v>2053</v>
      </c>
      <c r="G3829" t="s">
        <v>6310</v>
      </c>
      <c r="K3829" t="s">
        <v>9120</v>
      </c>
      <c r="L3829" t="s">
        <v>10451</v>
      </c>
      <c r="M3829" t="s">
        <v>1765</v>
      </c>
    </row>
    <row r="3830" spans="1:13" x14ac:dyDescent="0.25">
      <c r="A3830">
        <v>79877</v>
      </c>
      <c r="B3830" t="s">
        <v>988</v>
      </c>
      <c r="C3830" t="s">
        <v>10452</v>
      </c>
      <c r="D3830" t="s">
        <v>2596</v>
      </c>
      <c r="E3830" t="s">
        <v>1273</v>
      </c>
      <c r="F3830" t="s">
        <v>3570</v>
      </c>
      <c r="G3830" t="s">
        <v>5188</v>
      </c>
      <c r="K3830" t="s">
        <v>9636</v>
      </c>
      <c r="L3830" t="s">
        <v>9637</v>
      </c>
      <c r="M3830" t="s">
        <v>1640</v>
      </c>
    </row>
    <row r="3831" spans="1:13" x14ac:dyDescent="0.25">
      <c r="A3831">
        <v>79877</v>
      </c>
      <c r="B3831" t="s">
        <v>988</v>
      </c>
      <c r="C3831" t="s">
        <v>10452</v>
      </c>
      <c r="D3831" t="s">
        <v>2596</v>
      </c>
      <c r="E3831" t="s">
        <v>1273</v>
      </c>
      <c r="F3831" t="s">
        <v>1848</v>
      </c>
      <c r="G3831" t="s">
        <v>2927</v>
      </c>
      <c r="K3831" t="s">
        <v>8243</v>
      </c>
      <c r="M3831" t="s">
        <v>1765</v>
      </c>
    </row>
    <row r="3832" spans="1:13" x14ac:dyDescent="0.25">
      <c r="A3832">
        <v>6347</v>
      </c>
      <c r="B3832" t="s">
        <v>989</v>
      </c>
      <c r="C3832" t="s">
        <v>10453</v>
      </c>
      <c r="D3832" t="s">
        <v>2605</v>
      </c>
      <c r="E3832" t="s">
        <v>1273</v>
      </c>
      <c r="F3832" t="s">
        <v>2845</v>
      </c>
      <c r="G3832" t="s">
        <v>10454</v>
      </c>
      <c r="H3832">
        <v>4804974800</v>
      </c>
      <c r="J3832">
        <v>4804971314</v>
      </c>
      <c r="K3832" t="s">
        <v>10455</v>
      </c>
      <c r="L3832" t="s">
        <v>1647</v>
      </c>
      <c r="M3832" t="s">
        <v>1634</v>
      </c>
    </row>
    <row r="3833" spans="1:13" x14ac:dyDescent="0.25">
      <c r="A3833">
        <v>6347</v>
      </c>
      <c r="B3833" t="s">
        <v>989</v>
      </c>
      <c r="C3833" t="s">
        <v>10453</v>
      </c>
      <c r="D3833" t="s">
        <v>2605</v>
      </c>
      <c r="E3833" t="s">
        <v>1273</v>
      </c>
      <c r="F3833" t="s">
        <v>3570</v>
      </c>
      <c r="G3833" t="s">
        <v>5188</v>
      </c>
      <c r="K3833" t="s">
        <v>8727</v>
      </c>
      <c r="M3833" t="s">
        <v>1640</v>
      </c>
    </row>
    <row r="3834" spans="1:13" x14ac:dyDescent="0.25">
      <c r="A3834">
        <v>6347</v>
      </c>
      <c r="B3834" t="s">
        <v>989</v>
      </c>
      <c r="C3834" t="s">
        <v>10453</v>
      </c>
      <c r="D3834" t="s">
        <v>2605</v>
      </c>
      <c r="E3834" t="s">
        <v>1273</v>
      </c>
      <c r="F3834" t="s">
        <v>2053</v>
      </c>
      <c r="G3834" t="s">
        <v>6310</v>
      </c>
      <c r="K3834" t="s">
        <v>9120</v>
      </c>
      <c r="L3834" t="s">
        <v>8731</v>
      </c>
      <c r="M3834" t="s">
        <v>1765</v>
      </c>
    </row>
    <row r="3835" spans="1:13" x14ac:dyDescent="0.25">
      <c r="A3835">
        <v>79878</v>
      </c>
      <c r="B3835" t="s">
        <v>1599</v>
      </c>
      <c r="C3835" t="s">
        <v>10456</v>
      </c>
      <c r="D3835" t="s">
        <v>2596</v>
      </c>
      <c r="E3835" t="s">
        <v>1273</v>
      </c>
      <c r="F3835" t="s">
        <v>1679</v>
      </c>
      <c r="G3835" t="s">
        <v>8241</v>
      </c>
      <c r="H3835">
        <v>6029532933</v>
      </c>
      <c r="J3835">
        <v>6029530831</v>
      </c>
      <c r="K3835" t="s">
        <v>9078</v>
      </c>
      <c r="L3835" t="s">
        <v>8045</v>
      </c>
      <c r="M3835" t="s">
        <v>1634</v>
      </c>
    </row>
    <row r="3836" spans="1:13" x14ac:dyDescent="0.25">
      <c r="A3836">
        <v>79878</v>
      </c>
      <c r="B3836" t="s">
        <v>1599</v>
      </c>
      <c r="C3836" t="s">
        <v>10456</v>
      </c>
      <c r="D3836" t="s">
        <v>2596</v>
      </c>
      <c r="E3836" t="s">
        <v>1273</v>
      </c>
      <c r="F3836" t="s">
        <v>9634</v>
      </c>
      <c r="G3836" t="s">
        <v>3680</v>
      </c>
      <c r="K3836" t="s">
        <v>9635</v>
      </c>
      <c r="M3836" t="s">
        <v>1634</v>
      </c>
    </row>
    <row r="3837" spans="1:13" x14ac:dyDescent="0.25">
      <c r="A3837">
        <v>79878</v>
      </c>
      <c r="B3837" t="s">
        <v>1599</v>
      </c>
      <c r="C3837" t="s">
        <v>10456</v>
      </c>
      <c r="D3837" t="s">
        <v>2596</v>
      </c>
      <c r="E3837" t="s">
        <v>1273</v>
      </c>
      <c r="F3837" t="s">
        <v>1750</v>
      </c>
      <c r="G3837" t="s">
        <v>4537</v>
      </c>
      <c r="H3837">
        <v>6029532933</v>
      </c>
      <c r="K3837" t="s">
        <v>9071</v>
      </c>
      <c r="L3837" t="s">
        <v>1746</v>
      </c>
      <c r="M3837" t="s">
        <v>1634</v>
      </c>
    </row>
    <row r="3838" spans="1:13" x14ac:dyDescent="0.25">
      <c r="A3838">
        <v>79878</v>
      </c>
      <c r="B3838" t="s">
        <v>1599</v>
      </c>
      <c r="C3838" t="s">
        <v>10456</v>
      </c>
      <c r="D3838" t="s">
        <v>2596</v>
      </c>
      <c r="E3838" t="s">
        <v>1273</v>
      </c>
      <c r="F3838" t="s">
        <v>3570</v>
      </c>
      <c r="G3838" t="s">
        <v>5188</v>
      </c>
      <c r="K3838" t="s">
        <v>9636</v>
      </c>
      <c r="L3838" t="s">
        <v>9637</v>
      </c>
      <c r="M3838" t="s">
        <v>1640</v>
      </c>
    </row>
    <row r="3839" spans="1:13" x14ac:dyDescent="0.25">
      <c r="A3839">
        <v>79878</v>
      </c>
      <c r="B3839" t="s">
        <v>1599</v>
      </c>
      <c r="C3839" t="s">
        <v>10456</v>
      </c>
      <c r="D3839" t="s">
        <v>2596</v>
      </c>
      <c r="E3839" t="s">
        <v>1273</v>
      </c>
      <c r="F3839" t="s">
        <v>1848</v>
      </c>
      <c r="G3839" t="s">
        <v>2927</v>
      </c>
      <c r="K3839" t="s">
        <v>8243</v>
      </c>
      <c r="M3839" t="s">
        <v>1765</v>
      </c>
    </row>
    <row r="3840" spans="1:13" x14ac:dyDescent="0.25">
      <c r="A3840">
        <v>6349</v>
      </c>
      <c r="B3840" t="s">
        <v>1600</v>
      </c>
      <c r="C3840" t="s">
        <v>10457</v>
      </c>
      <c r="D3840" t="s">
        <v>2605</v>
      </c>
      <c r="E3840" t="s">
        <v>1273</v>
      </c>
      <c r="F3840" t="s">
        <v>3570</v>
      </c>
      <c r="G3840" t="s">
        <v>5188</v>
      </c>
      <c r="K3840" t="s">
        <v>8727</v>
      </c>
      <c r="M3840" t="s">
        <v>1640</v>
      </c>
    </row>
    <row r="3841" spans="1:13" x14ac:dyDescent="0.25">
      <c r="A3841">
        <v>6349</v>
      </c>
      <c r="B3841" t="s">
        <v>1600</v>
      </c>
      <c r="C3841" t="s">
        <v>10457</v>
      </c>
      <c r="D3841" t="s">
        <v>2605</v>
      </c>
      <c r="E3841" t="s">
        <v>1273</v>
      </c>
      <c r="F3841" t="s">
        <v>8728</v>
      </c>
      <c r="G3841" t="s">
        <v>8729</v>
      </c>
      <c r="K3841" t="s">
        <v>10458</v>
      </c>
      <c r="L3841" t="s">
        <v>8731</v>
      </c>
      <c r="M3841" t="s">
        <v>1765</v>
      </c>
    </row>
    <row r="3842" spans="1:13" x14ac:dyDescent="0.25">
      <c r="A3842">
        <v>79879</v>
      </c>
      <c r="B3842" t="s">
        <v>941</v>
      </c>
      <c r="C3842" t="s">
        <v>10459</v>
      </c>
      <c r="D3842" t="s">
        <v>2596</v>
      </c>
      <c r="E3842" t="s">
        <v>1273</v>
      </c>
      <c r="F3842" t="s">
        <v>3570</v>
      </c>
      <c r="G3842" t="s">
        <v>5188</v>
      </c>
      <c r="K3842" t="s">
        <v>9636</v>
      </c>
      <c r="L3842" t="s">
        <v>9637</v>
      </c>
      <c r="M3842" t="s">
        <v>1640</v>
      </c>
    </row>
    <row r="3843" spans="1:13" x14ac:dyDescent="0.25">
      <c r="A3843">
        <v>79879</v>
      </c>
      <c r="B3843" t="s">
        <v>941</v>
      </c>
      <c r="C3843" t="s">
        <v>10459</v>
      </c>
      <c r="D3843" t="s">
        <v>2596</v>
      </c>
      <c r="E3843" t="s">
        <v>1273</v>
      </c>
      <c r="F3843" t="s">
        <v>1848</v>
      </c>
      <c r="G3843" t="s">
        <v>2927</v>
      </c>
      <c r="K3843" t="s">
        <v>8243</v>
      </c>
      <c r="M3843" t="s">
        <v>1765</v>
      </c>
    </row>
    <row r="3844" spans="1:13" x14ac:dyDescent="0.25">
      <c r="A3844">
        <v>6348</v>
      </c>
      <c r="B3844" t="s">
        <v>942</v>
      </c>
      <c r="C3844" t="s">
        <v>10460</v>
      </c>
      <c r="D3844" t="s">
        <v>2605</v>
      </c>
      <c r="E3844" t="s">
        <v>1273</v>
      </c>
      <c r="F3844" t="s">
        <v>3570</v>
      </c>
      <c r="G3844" t="s">
        <v>5188</v>
      </c>
      <c r="K3844" t="s">
        <v>8727</v>
      </c>
      <c r="M3844" t="s">
        <v>1634</v>
      </c>
    </row>
    <row r="3845" spans="1:13" x14ac:dyDescent="0.25">
      <c r="A3845">
        <v>6348</v>
      </c>
      <c r="B3845" t="s">
        <v>942</v>
      </c>
      <c r="C3845" t="s">
        <v>10460</v>
      </c>
      <c r="D3845" t="s">
        <v>2605</v>
      </c>
      <c r="E3845" t="s">
        <v>1273</v>
      </c>
      <c r="F3845" t="s">
        <v>3739</v>
      </c>
      <c r="G3845" t="s">
        <v>2405</v>
      </c>
      <c r="K3845" t="s">
        <v>10461</v>
      </c>
      <c r="M3845" t="s">
        <v>1634</v>
      </c>
    </row>
    <row r="3846" spans="1:13" x14ac:dyDescent="0.25">
      <c r="A3846">
        <v>6348</v>
      </c>
      <c r="B3846" t="s">
        <v>942</v>
      </c>
      <c r="C3846" t="s">
        <v>10460</v>
      </c>
      <c r="D3846" t="s">
        <v>2605</v>
      </c>
      <c r="E3846" t="s">
        <v>1273</v>
      </c>
      <c r="F3846" t="s">
        <v>3570</v>
      </c>
      <c r="G3846" t="s">
        <v>5188</v>
      </c>
      <c r="K3846" t="s">
        <v>8727</v>
      </c>
      <c r="M3846" t="s">
        <v>1640</v>
      </c>
    </row>
    <row r="3847" spans="1:13" x14ac:dyDescent="0.25">
      <c r="A3847">
        <v>6348</v>
      </c>
      <c r="B3847" t="s">
        <v>942</v>
      </c>
      <c r="C3847" t="s">
        <v>10460</v>
      </c>
      <c r="D3847" t="s">
        <v>2605</v>
      </c>
      <c r="E3847" t="s">
        <v>1273</v>
      </c>
      <c r="F3847" t="s">
        <v>2053</v>
      </c>
      <c r="G3847" t="s">
        <v>6310</v>
      </c>
      <c r="K3847" t="s">
        <v>9120</v>
      </c>
      <c r="L3847" t="s">
        <v>10451</v>
      </c>
      <c r="M3847" t="s">
        <v>1765</v>
      </c>
    </row>
    <row r="3848" spans="1:13" x14ac:dyDescent="0.25">
      <c r="A3848">
        <v>79886</v>
      </c>
      <c r="B3848" t="s">
        <v>10462</v>
      </c>
      <c r="C3848" t="s">
        <v>10463</v>
      </c>
      <c r="D3848" t="s">
        <v>2596</v>
      </c>
      <c r="E3848" t="s">
        <v>1273</v>
      </c>
      <c r="F3848" t="s">
        <v>4334</v>
      </c>
      <c r="G3848" t="s">
        <v>4950</v>
      </c>
      <c r="H3848">
        <v>4808301750</v>
      </c>
      <c r="J3848">
        <v>4808301763</v>
      </c>
      <c r="K3848" t="s">
        <v>10464</v>
      </c>
      <c r="L3848" t="s">
        <v>10465</v>
      </c>
      <c r="M3848" t="s">
        <v>1634</v>
      </c>
    </row>
    <row r="3849" spans="1:13" x14ac:dyDescent="0.25">
      <c r="A3849">
        <v>79886</v>
      </c>
      <c r="B3849" t="s">
        <v>10462</v>
      </c>
      <c r="C3849" t="s">
        <v>10463</v>
      </c>
      <c r="D3849" t="s">
        <v>2596</v>
      </c>
      <c r="E3849" t="s">
        <v>1273</v>
      </c>
      <c r="F3849" t="s">
        <v>10466</v>
      </c>
      <c r="G3849" t="s">
        <v>4950</v>
      </c>
      <c r="H3849">
        <v>4808301751</v>
      </c>
      <c r="K3849" t="s">
        <v>10467</v>
      </c>
      <c r="L3849" t="s">
        <v>3609</v>
      </c>
      <c r="M3849" t="s">
        <v>1634</v>
      </c>
    </row>
    <row r="3850" spans="1:13" x14ac:dyDescent="0.25">
      <c r="A3850">
        <v>79886</v>
      </c>
      <c r="B3850" t="s">
        <v>10462</v>
      </c>
      <c r="C3850" t="s">
        <v>10463</v>
      </c>
      <c r="D3850" t="s">
        <v>2596</v>
      </c>
      <c r="E3850" t="s">
        <v>1273</v>
      </c>
      <c r="F3850" t="s">
        <v>2099</v>
      </c>
      <c r="G3850" t="s">
        <v>8638</v>
      </c>
      <c r="K3850" t="s">
        <v>10468</v>
      </c>
      <c r="M3850" t="s">
        <v>1634</v>
      </c>
    </row>
    <row r="3851" spans="1:13" x14ac:dyDescent="0.25">
      <c r="A3851">
        <v>79886</v>
      </c>
      <c r="B3851" t="s">
        <v>10462</v>
      </c>
      <c r="C3851" t="s">
        <v>10463</v>
      </c>
      <c r="D3851" t="s">
        <v>2596</v>
      </c>
      <c r="E3851" t="s">
        <v>1273</v>
      </c>
      <c r="F3851" t="s">
        <v>2745</v>
      </c>
      <c r="G3851" t="s">
        <v>2647</v>
      </c>
      <c r="K3851" t="s">
        <v>8637</v>
      </c>
      <c r="L3851" t="s">
        <v>4466</v>
      </c>
      <c r="M3851" t="s">
        <v>1640</v>
      </c>
    </row>
    <row r="3852" spans="1:13" x14ac:dyDescent="0.25">
      <c r="A3852">
        <v>79910</v>
      </c>
      <c r="B3852" t="s">
        <v>10469</v>
      </c>
      <c r="C3852" t="s">
        <v>10470</v>
      </c>
      <c r="D3852" t="s">
        <v>2605</v>
      </c>
      <c r="E3852" t="s">
        <v>1273</v>
      </c>
      <c r="F3852" t="s">
        <v>4334</v>
      </c>
      <c r="G3852" t="s">
        <v>4950</v>
      </c>
      <c r="H3852">
        <v>4808301750</v>
      </c>
      <c r="J3852">
        <v>4808301763</v>
      </c>
      <c r="K3852" t="s">
        <v>10464</v>
      </c>
      <c r="M3852" t="s">
        <v>1634</v>
      </c>
    </row>
    <row r="3853" spans="1:13" x14ac:dyDescent="0.25">
      <c r="A3853">
        <v>79905</v>
      </c>
      <c r="B3853" t="s">
        <v>10471</v>
      </c>
      <c r="C3853" t="s">
        <v>10472</v>
      </c>
      <c r="D3853" t="s">
        <v>2596</v>
      </c>
      <c r="E3853" t="s">
        <v>1273</v>
      </c>
      <c r="F3853" t="s">
        <v>2085</v>
      </c>
      <c r="G3853" t="s">
        <v>10473</v>
      </c>
      <c r="K3853" t="s">
        <v>10474</v>
      </c>
      <c r="M3853" t="s">
        <v>1634</v>
      </c>
    </row>
    <row r="3854" spans="1:13" x14ac:dyDescent="0.25">
      <c r="A3854">
        <v>79906</v>
      </c>
      <c r="B3854" t="s">
        <v>10475</v>
      </c>
      <c r="C3854" t="s">
        <v>10476</v>
      </c>
      <c r="D3854" t="s">
        <v>2605</v>
      </c>
      <c r="E3854" t="s">
        <v>1273</v>
      </c>
      <c r="F3854" t="s">
        <v>2085</v>
      </c>
      <c r="G3854" t="s">
        <v>10473</v>
      </c>
      <c r="I3854">
        <v>119</v>
      </c>
      <c r="J3854">
        <v>6232471113</v>
      </c>
      <c r="K3854" t="s">
        <v>10474</v>
      </c>
      <c r="L3854" t="s">
        <v>3043</v>
      </c>
      <c r="M3854" t="s">
        <v>1634</v>
      </c>
    </row>
    <row r="3855" spans="1:13" x14ac:dyDescent="0.25">
      <c r="A3855">
        <v>79907</v>
      </c>
      <c r="B3855" t="s">
        <v>10477</v>
      </c>
      <c r="C3855" t="s">
        <v>10478</v>
      </c>
      <c r="D3855" t="s">
        <v>2596</v>
      </c>
      <c r="E3855" t="s">
        <v>1273</v>
      </c>
      <c r="F3855" t="s">
        <v>2734</v>
      </c>
      <c r="G3855" t="s">
        <v>9286</v>
      </c>
      <c r="H3855">
        <v>6239368682</v>
      </c>
      <c r="K3855" t="s">
        <v>9287</v>
      </c>
      <c r="M3855" t="s">
        <v>1634</v>
      </c>
    </row>
    <row r="3856" spans="1:13" x14ac:dyDescent="0.25">
      <c r="A3856">
        <v>80385</v>
      </c>
      <c r="B3856" t="s">
        <v>10479</v>
      </c>
      <c r="C3856" t="s">
        <v>10480</v>
      </c>
      <c r="D3856" t="s">
        <v>2605</v>
      </c>
      <c r="E3856" t="s">
        <v>1273</v>
      </c>
      <c r="F3856" t="s">
        <v>1787</v>
      </c>
      <c r="G3856" t="s">
        <v>7989</v>
      </c>
      <c r="H3856">
        <v>6239368682</v>
      </c>
      <c r="J3856">
        <v>6239368559</v>
      </c>
      <c r="K3856" t="s">
        <v>10481</v>
      </c>
      <c r="M3856" t="s">
        <v>1634</v>
      </c>
    </row>
    <row r="3857" spans="1:13" x14ac:dyDescent="0.25">
      <c r="A3857">
        <v>79951</v>
      </c>
      <c r="B3857" t="s">
        <v>10482</v>
      </c>
      <c r="C3857" t="s">
        <v>10483</v>
      </c>
      <c r="D3857" t="s">
        <v>2596</v>
      </c>
      <c r="E3857" t="s">
        <v>1273</v>
      </c>
      <c r="F3857" t="s">
        <v>2027</v>
      </c>
      <c r="G3857" t="s">
        <v>10484</v>
      </c>
      <c r="H3857">
        <v>6025647305</v>
      </c>
      <c r="K3857" t="s">
        <v>10485</v>
      </c>
      <c r="L3857" t="s">
        <v>8508</v>
      </c>
      <c r="M3857" t="s">
        <v>1634</v>
      </c>
    </row>
    <row r="3858" spans="1:13" x14ac:dyDescent="0.25">
      <c r="A3858">
        <v>79951</v>
      </c>
      <c r="B3858" t="s">
        <v>10482</v>
      </c>
      <c r="C3858" t="s">
        <v>10483</v>
      </c>
      <c r="D3858" t="s">
        <v>2596</v>
      </c>
      <c r="E3858" t="s">
        <v>1273</v>
      </c>
      <c r="F3858" t="s">
        <v>2365</v>
      </c>
      <c r="G3858" t="s">
        <v>10486</v>
      </c>
      <c r="H3858">
        <v>6025647235</v>
      </c>
      <c r="J3858">
        <v>6025647231</v>
      </c>
      <c r="K3858" t="s">
        <v>10487</v>
      </c>
      <c r="L3858" t="s">
        <v>1647</v>
      </c>
      <c r="M3858" t="s">
        <v>1634</v>
      </c>
    </row>
    <row r="3859" spans="1:13" x14ac:dyDescent="0.25">
      <c r="A3859">
        <v>79951</v>
      </c>
      <c r="B3859" t="s">
        <v>10482</v>
      </c>
      <c r="C3859" t="s">
        <v>10483</v>
      </c>
      <c r="D3859" t="s">
        <v>2596</v>
      </c>
      <c r="E3859" t="s">
        <v>1273</v>
      </c>
      <c r="F3859" t="s">
        <v>2256</v>
      </c>
      <c r="G3859" t="s">
        <v>9758</v>
      </c>
      <c r="H3859">
        <v>6025647230</v>
      </c>
      <c r="K3859" t="s">
        <v>9759</v>
      </c>
      <c r="L3859" t="s">
        <v>1640</v>
      </c>
      <c r="M3859" t="s">
        <v>1640</v>
      </c>
    </row>
    <row r="3860" spans="1:13" x14ac:dyDescent="0.25">
      <c r="A3860">
        <v>79952</v>
      </c>
      <c r="B3860" t="s">
        <v>10488</v>
      </c>
      <c r="C3860" t="s">
        <v>10489</v>
      </c>
      <c r="D3860" t="s">
        <v>2605</v>
      </c>
      <c r="E3860" t="s">
        <v>1273</v>
      </c>
      <c r="F3860" t="s">
        <v>2258</v>
      </c>
      <c r="G3860" t="s">
        <v>9014</v>
      </c>
      <c r="H3860">
        <v>6025647230</v>
      </c>
      <c r="J3860">
        <v>6025647231</v>
      </c>
      <c r="K3860" t="s">
        <v>10490</v>
      </c>
      <c r="M3860" t="s">
        <v>1634</v>
      </c>
    </row>
    <row r="3861" spans="1:13" x14ac:dyDescent="0.25">
      <c r="A3861">
        <v>79952</v>
      </c>
      <c r="B3861" t="s">
        <v>10488</v>
      </c>
      <c r="C3861" t="s">
        <v>10489</v>
      </c>
      <c r="D3861" t="s">
        <v>2605</v>
      </c>
      <c r="E3861" t="s">
        <v>1273</v>
      </c>
      <c r="F3861" t="s">
        <v>2027</v>
      </c>
      <c r="G3861" t="s">
        <v>10484</v>
      </c>
      <c r="H3861">
        <v>6025647300</v>
      </c>
      <c r="J3861">
        <v>6025647301</v>
      </c>
      <c r="K3861" t="s">
        <v>10491</v>
      </c>
      <c r="M3861" t="s">
        <v>1640</v>
      </c>
    </row>
    <row r="3862" spans="1:13" x14ac:dyDescent="0.25">
      <c r="A3862">
        <v>79952</v>
      </c>
      <c r="B3862" t="s">
        <v>10488</v>
      </c>
      <c r="C3862" t="s">
        <v>10489</v>
      </c>
      <c r="D3862" t="s">
        <v>2605</v>
      </c>
      <c r="E3862" t="s">
        <v>1273</v>
      </c>
      <c r="F3862" t="s">
        <v>9762</v>
      </c>
      <c r="G3862" t="s">
        <v>9763</v>
      </c>
      <c r="K3862" t="s">
        <v>9764</v>
      </c>
      <c r="M3862" t="s">
        <v>1640</v>
      </c>
    </row>
    <row r="3863" spans="1:13" x14ac:dyDescent="0.25">
      <c r="A3863">
        <v>79953</v>
      </c>
      <c r="B3863" t="s">
        <v>10492</v>
      </c>
      <c r="C3863" t="s">
        <v>10493</v>
      </c>
      <c r="D3863" t="s">
        <v>2596</v>
      </c>
      <c r="E3863" t="s">
        <v>1273</v>
      </c>
      <c r="F3863" t="s">
        <v>4581</v>
      </c>
      <c r="G3863" t="s">
        <v>5142</v>
      </c>
      <c r="H3863">
        <v>6025647300</v>
      </c>
      <c r="K3863" t="s">
        <v>9757</v>
      </c>
      <c r="L3863" t="s">
        <v>8508</v>
      </c>
      <c r="M3863" t="s">
        <v>1634</v>
      </c>
    </row>
    <row r="3864" spans="1:13" x14ac:dyDescent="0.25">
      <c r="A3864">
        <v>79953</v>
      </c>
      <c r="B3864" t="s">
        <v>10492</v>
      </c>
      <c r="C3864" t="s">
        <v>10493</v>
      </c>
      <c r="D3864" t="s">
        <v>2596</v>
      </c>
      <c r="E3864" t="s">
        <v>1273</v>
      </c>
      <c r="F3864" t="s">
        <v>10494</v>
      </c>
      <c r="G3864" t="s">
        <v>3910</v>
      </c>
      <c r="H3864">
        <v>6025647245</v>
      </c>
      <c r="J3864">
        <v>6025647241</v>
      </c>
      <c r="K3864" t="s">
        <v>10495</v>
      </c>
      <c r="L3864" t="s">
        <v>1647</v>
      </c>
      <c r="M3864" t="s">
        <v>1634</v>
      </c>
    </row>
    <row r="3865" spans="1:13" x14ac:dyDescent="0.25">
      <c r="A3865">
        <v>79953</v>
      </c>
      <c r="B3865" t="s">
        <v>10492</v>
      </c>
      <c r="C3865" t="s">
        <v>10493</v>
      </c>
      <c r="D3865" t="s">
        <v>2596</v>
      </c>
      <c r="E3865" t="s">
        <v>1273</v>
      </c>
      <c r="F3865" t="s">
        <v>2256</v>
      </c>
      <c r="G3865" t="s">
        <v>9758</v>
      </c>
      <c r="H3865">
        <v>6025647380</v>
      </c>
      <c r="K3865" t="s">
        <v>9759</v>
      </c>
      <c r="L3865" t="s">
        <v>1640</v>
      </c>
      <c r="M3865" t="s">
        <v>1640</v>
      </c>
    </row>
    <row r="3866" spans="1:13" x14ac:dyDescent="0.25">
      <c r="A3866">
        <v>5530</v>
      </c>
      <c r="B3866" t="s">
        <v>10496</v>
      </c>
      <c r="C3866" t="s">
        <v>10497</v>
      </c>
      <c r="D3866" t="s">
        <v>2605</v>
      </c>
      <c r="E3866" t="s">
        <v>1273</v>
      </c>
      <c r="F3866" t="s">
        <v>10498</v>
      </c>
      <c r="G3866" t="s">
        <v>5142</v>
      </c>
      <c r="H3866">
        <v>6025647312</v>
      </c>
      <c r="J3866">
        <v>6025647301</v>
      </c>
      <c r="K3866" t="s">
        <v>9757</v>
      </c>
      <c r="L3866" t="s">
        <v>8508</v>
      </c>
      <c r="M3866" t="s">
        <v>1634</v>
      </c>
    </row>
    <row r="3867" spans="1:13" x14ac:dyDescent="0.25">
      <c r="A3867">
        <v>5530</v>
      </c>
      <c r="B3867" t="s">
        <v>10496</v>
      </c>
      <c r="C3867" t="s">
        <v>10497</v>
      </c>
      <c r="D3867" t="s">
        <v>2605</v>
      </c>
      <c r="E3867" t="s">
        <v>1273</v>
      </c>
      <c r="F3867" t="s">
        <v>9762</v>
      </c>
      <c r="G3867" t="s">
        <v>9763</v>
      </c>
      <c r="K3867" t="s">
        <v>9764</v>
      </c>
      <c r="M3867" t="s">
        <v>1640</v>
      </c>
    </row>
    <row r="3868" spans="1:13" x14ac:dyDescent="0.25">
      <c r="A3868">
        <v>90208</v>
      </c>
      <c r="B3868" t="s">
        <v>10499</v>
      </c>
      <c r="C3868" t="s">
        <v>10500</v>
      </c>
      <c r="D3868" t="s">
        <v>2605</v>
      </c>
      <c r="E3868" t="s">
        <v>1273</v>
      </c>
      <c r="F3868" t="s">
        <v>4581</v>
      </c>
      <c r="G3868" t="s">
        <v>5142</v>
      </c>
      <c r="H3868">
        <v>6025647312</v>
      </c>
      <c r="K3868" t="s">
        <v>9757</v>
      </c>
      <c r="L3868" t="s">
        <v>1634</v>
      </c>
      <c r="M3868" t="s">
        <v>1634</v>
      </c>
    </row>
    <row r="3869" spans="1:13" x14ac:dyDescent="0.25">
      <c r="A3869">
        <v>90208</v>
      </c>
      <c r="B3869" t="s">
        <v>10499</v>
      </c>
      <c r="C3869" t="s">
        <v>10500</v>
      </c>
      <c r="D3869" t="s">
        <v>2605</v>
      </c>
      <c r="E3869" t="s">
        <v>1273</v>
      </c>
      <c r="F3869" t="s">
        <v>9762</v>
      </c>
      <c r="G3869" t="s">
        <v>9763</v>
      </c>
      <c r="K3869" t="s">
        <v>9764</v>
      </c>
      <c r="M3869" t="s">
        <v>1640</v>
      </c>
    </row>
    <row r="3870" spans="1:13" x14ac:dyDescent="0.25">
      <c r="A3870">
        <v>79957</v>
      </c>
      <c r="B3870" t="s">
        <v>10501</v>
      </c>
      <c r="C3870" t="s">
        <v>10502</v>
      </c>
      <c r="D3870" t="s">
        <v>2596</v>
      </c>
      <c r="E3870" t="s">
        <v>1273</v>
      </c>
      <c r="F3870" t="s">
        <v>5734</v>
      </c>
      <c r="G3870" t="s">
        <v>10503</v>
      </c>
      <c r="H3870">
        <v>6022436909</v>
      </c>
      <c r="K3870" t="s">
        <v>10504</v>
      </c>
      <c r="L3870" t="s">
        <v>8086</v>
      </c>
      <c r="M3870" t="s">
        <v>1634</v>
      </c>
    </row>
    <row r="3871" spans="1:13" x14ac:dyDescent="0.25">
      <c r="A3871">
        <v>79957</v>
      </c>
      <c r="B3871" t="s">
        <v>10501</v>
      </c>
      <c r="C3871" t="s">
        <v>10502</v>
      </c>
      <c r="D3871" t="s">
        <v>2596</v>
      </c>
      <c r="E3871" t="s">
        <v>1273</v>
      </c>
      <c r="F3871" t="s">
        <v>6608</v>
      </c>
      <c r="G3871" t="s">
        <v>10505</v>
      </c>
      <c r="H3871">
        <v>6024993608</v>
      </c>
      <c r="K3871" t="s">
        <v>10506</v>
      </c>
      <c r="L3871" t="s">
        <v>10507</v>
      </c>
      <c r="M3871" t="s">
        <v>1634</v>
      </c>
    </row>
    <row r="3872" spans="1:13" x14ac:dyDescent="0.25">
      <c r="A3872">
        <v>79957</v>
      </c>
      <c r="B3872" t="s">
        <v>10501</v>
      </c>
      <c r="C3872" t="s">
        <v>10502</v>
      </c>
      <c r="D3872" t="s">
        <v>2596</v>
      </c>
      <c r="E3872" t="s">
        <v>1273</v>
      </c>
      <c r="F3872" t="s">
        <v>4814</v>
      </c>
      <c r="G3872" t="s">
        <v>10508</v>
      </c>
      <c r="H3872">
        <v>6022436909</v>
      </c>
      <c r="K3872" t="s">
        <v>10509</v>
      </c>
      <c r="M3872" t="s">
        <v>1640</v>
      </c>
    </row>
    <row r="3873" spans="1:13" x14ac:dyDescent="0.25">
      <c r="A3873">
        <v>79957</v>
      </c>
      <c r="B3873" t="s">
        <v>10501</v>
      </c>
      <c r="C3873" t="s">
        <v>10502</v>
      </c>
      <c r="D3873" t="s">
        <v>2596</v>
      </c>
      <c r="E3873" t="s">
        <v>1273</v>
      </c>
      <c r="F3873" t="s">
        <v>5734</v>
      </c>
      <c r="G3873" t="s">
        <v>10503</v>
      </c>
      <c r="H3873">
        <v>6022436909</v>
      </c>
      <c r="K3873" t="s">
        <v>10504</v>
      </c>
      <c r="L3873" t="s">
        <v>8086</v>
      </c>
      <c r="M3873" t="s">
        <v>1640</v>
      </c>
    </row>
    <row r="3874" spans="1:13" x14ac:dyDescent="0.25">
      <c r="A3874">
        <v>79957</v>
      </c>
      <c r="B3874" t="s">
        <v>10501</v>
      </c>
      <c r="C3874" t="s">
        <v>10502</v>
      </c>
      <c r="D3874" t="s">
        <v>2596</v>
      </c>
      <c r="E3874" t="s">
        <v>1273</v>
      </c>
      <c r="F3874" t="s">
        <v>6608</v>
      </c>
      <c r="G3874" t="s">
        <v>10505</v>
      </c>
      <c r="H3874">
        <v>6024993608</v>
      </c>
      <c r="K3874" t="s">
        <v>10506</v>
      </c>
      <c r="L3874" t="s">
        <v>10507</v>
      </c>
      <c r="M3874" t="s">
        <v>1640</v>
      </c>
    </row>
    <row r="3875" spans="1:13" x14ac:dyDescent="0.25">
      <c r="A3875">
        <v>79957</v>
      </c>
      <c r="B3875" t="s">
        <v>10501</v>
      </c>
      <c r="C3875" t="s">
        <v>10502</v>
      </c>
      <c r="D3875" t="s">
        <v>2596</v>
      </c>
      <c r="E3875" t="s">
        <v>1273</v>
      </c>
      <c r="F3875" t="s">
        <v>3018</v>
      </c>
      <c r="G3875" t="s">
        <v>10510</v>
      </c>
      <c r="H3875">
        <v>6022436309</v>
      </c>
      <c r="K3875" t="s">
        <v>10511</v>
      </c>
      <c r="L3875" t="s">
        <v>1746</v>
      </c>
      <c r="M3875" t="s">
        <v>1765</v>
      </c>
    </row>
    <row r="3876" spans="1:13" x14ac:dyDescent="0.25">
      <c r="A3876">
        <v>79957</v>
      </c>
      <c r="B3876" t="s">
        <v>10501</v>
      </c>
      <c r="C3876" t="s">
        <v>10502</v>
      </c>
      <c r="D3876" t="s">
        <v>2596</v>
      </c>
      <c r="E3876" t="s">
        <v>1273</v>
      </c>
      <c r="F3876" t="s">
        <v>5391</v>
      </c>
      <c r="G3876" t="s">
        <v>1974</v>
      </c>
      <c r="H3876">
        <v>6022436909</v>
      </c>
      <c r="K3876" t="s">
        <v>10512</v>
      </c>
      <c r="L3876" t="s">
        <v>1923</v>
      </c>
      <c r="M3876" t="s">
        <v>1765</v>
      </c>
    </row>
    <row r="3877" spans="1:13" x14ac:dyDescent="0.25">
      <c r="A3877">
        <v>79958</v>
      </c>
      <c r="B3877" t="s">
        <v>10513</v>
      </c>
      <c r="C3877" t="s">
        <v>10514</v>
      </c>
      <c r="D3877" t="s">
        <v>2605</v>
      </c>
      <c r="E3877" t="s">
        <v>1273</v>
      </c>
      <c r="F3877" t="s">
        <v>3428</v>
      </c>
      <c r="G3877" t="s">
        <v>10515</v>
      </c>
      <c r="H3877">
        <v>6022436909</v>
      </c>
      <c r="J3877">
        <v>6022436933</v>
      </c>
      <c r="K3877" t="s">
        <v>10516</v>
      </c>
      <c r="M3877" t="s">
        <v>1634</v>
      </c>
    </row>
    <row r="3878" spans="1:13" x14ac:dyDescent="0.25">
      <c r="A3878">
        <v>79969</v>
      </c>
      <c r="B3878" t="s">
        <v>10517</v>
      </c>
      <c r="C3878" t="s">
        <v>10518</v>
      </c>
      <c r="D3878" t="s">
        <v>2596</v>
      </c>
      <c r="E3878" t="s">
        <v>1273</v>
      </c>
      <c r="F3878" t="s">
        <v>6159</v>
      </c>
      <c r="G3878" t="s">
        <v>10519</v>
      </c>
      <c r="J3878">
        <v>6029738208</v>
      </c>
      <c r="K3878" t="s">
        <v>10520</v>
      </c>
      <c r="L3878" t="s">
        <v>9277</v>
      </c>
      <c r="M3878" t="s">
        <v>1634</v>
      </c>
    </row>
    <row r="3879" spans="1:13" x14ac:dyDescent="0.25">
      <c r="A3879">
        <v>79969</v>
      </c>
      <c r="B3879" t="s">
        <v>10517</v>
      </c>
      <c r="C3879" t="s">
        <v>10518</v>
      </c>
      <c r="D3879" t="s">
        <v>2596</v>
      </c>
      <c r="E3879" t="s">
        <v>1273</v>
      </c>
      <c r="F3879" t="s">
        <v>10521</v>
      </c>
      <c r="G3879" t="s">
        <v>10522</v>
      </c>
      <c r="H3879">
        <v>6024330500</v>
      </c>
      <c r="J3879">
        <v>6029738208</v>
      </c>
      <c r="K3879" t="s">
        <v>10523</v>
      </c>
      <c r="L3879" t="s">
        <v>9277</v>
      </c>
      <c r="M3879" t="s">
        <v>1634</v>
      </c>
    </row>
    <row r="3880" spans="1:13" x14ac:dyDescent="0.25">
      <c r="A3880">
        <v>79970</v>
      </c>
      <c r="B3880" t="s">
        <v>10517</v>
      </c>
      <c r="C3880" t="s">
        <v>10524</v>
      </c>
      <c r="D3880" t="s">
        <v>2605</v>
      </c>
      <c r="E3880" t="s">
        <v>1273</v>
      </c>
      <c r="F3880" t="s">
        <v>6159</v>
      </c>
      <c r="G3880" t="s">
        <v>10519</v>
      </c>
      <c r="J3880">
        <v>6029738208</v>
      </c>
      <c r="K3880" t="s">
        <v>10520</v>
      </c>
      <c r="L3880" t="s">
        <v>1647</v>
      </c>
      <c r="M3880" t="s">
        <v>1634</v>
      </c>
    </row>
    <row r="3881" spans="1:13" x14ac:dyDescent="0.25">
      <c r="A3881">
        <v>79967</v>
      </c>
      <c r="B3881" t="s">
        <v>10525</v>
      </c>
      <c r="C3881" t="s">
        <v>10526</v>
      </c>
      <c r="D3881" t="s">
        <v>2596</v>
      </c>
      <c r="E3881" t="s">
        <v>1273</v>
      </c>
      <c r="F3881" t="s">
        <v>10527</v>
      </c>
      <c r="G3881" t="s">
        <v>10528</v>
      </c>
      <c r="H3881">
        <v>4805458011</v>
      </c>
      <c r="K3881" t="s">
        <v>10529</v>
      </c>
      <c r="L3881" t="s">
        <v>8508</v>
      </c>
      <c r="M3881" t="s">
        <v>1634</v>
      </c>
    </row>
    <row r="3882" spans="1:13" x14ac:dyDescent="0.25">
      <c r="A3882">
        <v>79967</v>
      </c>
      <c r="B3882" t="s">
        <v>10525</v>
      </c>
      <c r="C3882" t="s">
        <v>10526</v>
      </c>
      <c r="D3882" t="s">
        <v>2596</v>
      </c>
      <c r="E3882" t="s">
        <v>1273</v>
      </c>
      <c r="F3882" t="s">
        <v>7938</v>
      </c>
      <c r="G3882" t="s">
        <v>7939</v>
      </c>
      <c r="K3882" t="s">
        <v>10530</v>
      </c>
      <c r="L3882" t="s">
        <v>9084</v>
      </c>
      <c r="M3882" t="s">
        <v>1634</v>
      </c>
    </row>
    <row r="3883" spans="1:13" x14ac:dyDescent="0.25">
      <c r="A3883">
        <v>79967</v>
      </c>
      <c r="B3883" t="s">
        <v>10525</v>
      </c>
      <c r="C3883" t="s">
        <v>10526</v>
      </c>
      <c r="D3883" t="s">
        <v>2596</v>
      </c>
      <c r="E3883" t="s">
        <v>1273</v>
      </c>
      <c r="F3883" t="s">
        <v>7935</v>
      </c>
      <c r="G3883" t="s">
        <v>7936</v>
      </c>
      <c r="J3883">
        <v>4805587038</v>
      </c>
      <c r="K3883" t="s">
        <v>7937</v>
      </c>
      <c r="L3883" t="s">
        <v>10531</v>
      </c>
      <c r="M3883" t="s">
        <v>1634</v>
      </c>
    </row>
    <row r="3884" spans="1:13" x14ac:dyDescent="0.25">
      <c r="A3884">
        <v>79967</v>
      </c>
      <c r="B3884" t="s">
        <v>10525</v>
      </c>
      <c r="C3884" t="s">
        <v>10526</v>
      </c>
      <c r="D3884" t="s">
        <v>2596</v>
      </c>
      <c r="E3884" t="s">
        <v>1273</v>
      </c>
      <c r="F3884" t="s">
        <v>7935</v>
      </c>
      <c r="G3884" t="s">
        <v>7936</v>
      </c>
      <c r="J3884">
        <v>4805587038</v>
      </c>
      <c r="K3884" t="s">
        <v>7937</v>
      </c>
      <c r="L3884" t="s">
        <v>10531</v>
      </c>
      <c r="M3884" t="s">
        <v>1640</v>
      </c>
    </row>
    <row r="3885" spans="1:13" x14ac:dyDescent="0.25">
      <c r="A3885">
        <v>79967</v>
      </c>
      <c r="B3885" t="s">
        <v>10525</v>
      </c>
      <c r="C3885" t="s">
        <v>10526</v>
      </c>
      <c r="D3885" t="s">
        <v>2596</v>
      </c>
      <c r="E3885" t="s">
        <v>1273</v>
      </c>
      <c r="F3885" t="s">
        <v>2376</v>
      </c>
      <c r="G3885" t="s">
        <v>7941</v>
      </c>
      <c r="H3885">
        <v>4806330414</v>
      </c>
      <c r="K3885" t="s">
        <v>10532</v>
      </c>
      <c r="L3885" t="s">
        <v>1639</v>
      </c>
      <c r="M3885" t="s">
        <v>1640</v>
      </c>
    </row>
    <row r="3886" spans="1:13" x14ac:dyDescent="0.25">
      <c r="A3886">
        <v>79967</v>
      </c>
      <c r="B3886" t="s">
        <v>10525</v>
      </c>
      <c r="C3886" t="s">
        <v>10526</v>
      </c>
      <c r="D3886" t="s">
        <v>2596</v>
      </c>
      <c r="E3886" t="s">
        <v>1273</v>
      </c>
      <c r="F3886" t="s">
        <v>7935</v>
      </c>
      <c r="G3886" t="s">
        <v>7936</v>
      </c>
      <c r="J3886">
        <v>4805587038</v>
      </c>
      <c r="K3886" t="s">
        <v>7937</v>
      </c>
      <c r="L3886" t="s">
        <v>10531</v>
      </c>
      <c r="M3886" t="s">
        <v>1765</v>
      </c>
    </row>
    <row r="3887" spans="1:13" x14ac:dyDescent="0.25">
      <c r="A3887">
        <v>79968</v>
      </c>
      <c r="B3887" t="s">
        <v>10533</v>
      </c>
      <c r="C3887" t="s">
        <v>10534</v>
      </c>
      <c r="D3887" t="s">
        <v>2605</v>
      </c>
      <c r="E3887" t="s">
        <v>1273</v>
      </c>
      <c r="F3887" t="s">
        <v>7935</v>
      </c>
      <c r="G3887" t="s">
        <v>7936</v>
      </c>
      <c r="M3887" t="s">
        <v>1634</v>
      </c>
    </row>
    <row r="3888" spans="1:13" x14ac:dyDescent="0.25">
      <c r="A3888">
        <v>79968</v>
      </c>
      <c r="B3888" t="s">
        <v>10533</v>
      </c>
      <c r="C3888" t="s">
        <v>10534</v>
      </c>
      <c r="D3888" t="s">
        <v>2605</v>
      </c>
      <c r="E3888" t="s">
        <v>1273</v>
      </c>
      <c r="F3888" t="s">
        <v>10535</v>
      </c>
      <c r="G3888" t="s">
        <v>10536</v>
      </c>
      <c r="K3888" t="s">
        <v>10537</v>
      </c>
      <c r="L3888" t="s">
        <v>1647</v>
      </c>
      <c r="M3888" t="s">
        <v>1634</v>
      </c>
    </row>
    <row r="3889" spans="1:13" x14ac:dyDescent="0.25">
      <c r="A3889">
        <v>89616</v>
      </c>
      <c r="B3889" t="s">
        <v>10538</v>
      </c>
      <c r="C3889" t="s">
        <v>10539</v>
      </c>
      <c r="D3889" t="s">
        <v>2605</v>
      </c>
      <c r="E3889" t="s">
        <v>1273</v>
      </c>
      <c r="F3889" t="s">
        <v>2608</v>
      </c>
      <c r="G3889" t="s">
        <v>10540</v>
      </c>
      <c r="H3889">
        <v>4809845645</v>
      </c>
      <c r="K3889" t="s">
        <v>10541</v>
      </c>
      <c r="L3889" t="s">
        <v>1647</v>
      </c>
      <c r="M3889" t="s">
        <v>1634</v>
      </c>
    </row>
    <row r="3890" spans="1:13" x14ac:dyDescent="0.25">
      <c r="A3890">
        <v>89616</v>
      </c>
      <c r="B3890" t="s">
        <v>10538</v>
      </c>
      <c r="C3890" t="s">
        <v>10539</v>
      </c>
      <c r="D3890" t="s">
        <v>2605</v>
      </c>
      <c r="E3890" t="s">
        <v>1273</v>
      </c>
      <c r="F3890" t="s">
        <v>7935</v>
      </c>
      <c r="G3890" t="s">
        <v>7936</v>
      </c>
      <c r="M3890" t="s">
        <v>1634</v>
      </c>
    </row>
    <row r="3891" spans="1:13" x14ac:dyDescent="0.25">
      <c r="A3891">
        <v>89616</v>
      </c>
      <c r="B3891" t="s">
        <v>10538</v>
      </c>
      <c r="C3891" t="s">
        <v>10539</v>
      </c>
      <c r="D3891" t="s">
        <v>2605</v>
      </c>
      <c r="E3891" t="s">
        <v>1273</v>
      </c>
      <c r="F3891" t="s">
        <v>7935</v>
      </c>
      <c r="G3891" t="s">
        <v>7936</v>
      </c>
      <c r="M3891" t="s">
        <v>1640</v>
      </c>
    </row>
    <row r="3892" spans="1:13" x14ac:dyDescent="0.25">
      <c r="A3892">
        <v>87416</v>
      </c>
      <c r="B3892" t="s">
        <v>10542</v>
      </c>
      <c r="C3892" t="s">
        <v>10543</v>
      </c>
      <c r="D3892" t="s">
        <v>2605</v>
      </c>
      <c r="E3892" t="s">
        <v>1273</v>
      </c>
      <c r="F3892" t="s">
        <v>7252</v>
      </c>
      <c r="G3892" t="s">
        <v>10544</v>
      </c>
      <c r="H3892">
        <v>4805458011</v>
      </c>
      <c r="K3892" t="s">
        <v>10545</v>
      </c>
      <c r="L3892" t="s">
        <v>1647</v>
      </c>
      <c r="M3892" t="s">
        <v>1634</v>
      </c>
    </row>
    <row r="3893" spans="1:13" x14ac:dyDescent="0.25">
      <c r="A3893">
        <v>87416</v>
      </c>
      <c r="B3893" t="s">
        <v>10542</v>
      </c>
      <c r="C3893" t="s">
        <v>10543</v>
      </c>
      <c r="D3893" t="s">
        <v>2605</v>
      </c>
      <c r="E3893" t="s">
        <v>1273</v>
      </c>
      <c r="F3893" t="s">
        <v>1779</v>
      </c>
      <c r="G3893" t="s">
        <v>2506</v>
      </c>
      <c r="K3893" t="s">
        <v>10546</v>
      </c>
      <c r="M3893" t="s">
        <v>1634</v>
      </c>
    </row>
    <row r="3894" spans="1:13" x14ac:dyDescent="0.25">
      <c r="A3894">
        <v>91597</v>
      </c>
      <c r="B3894" t="s">
        <v>10547</v>
      </c>
      <c r="C3894" t="s">
        <v>10548</v>
      </c>
      <c r="D3894" t="s">
        <v>2605</v>
      </c>
      <c r="E3894" t="s">
        <v>1273</v>
      </c>
      <c r="F3894" t="s">
        <v>10527</v>
      </c>
      <c r="G3894" t="s">
        <v>10528</v>
      </c>
      <c r="H3894">
        <v>4805458011</v>
      </c>
      <c r="J3894">
        <v>4805587038</v>
      </c>
      <c r="K3894" t="s">
        <v>10529</v>
      </c>
      <c r="L3894" t="s">
        <v>2596</v>
      </c>
      <c r="M3894" t="s">
        <v>1634</v>
      </c>
    </row>
    <row r="3895" spans="1:13" x14ac:dyDescent="0.25">
      <c r="A3895">
        <v>79981</v>
      </c>
      <c r="B3895" t="s">
        <v>10549</v>
      </c>
      <c r="C3895" t="s">
        <v>10550</v>
      </c>
      <c r="D3895" t="s">
        <v>2596</v>
      </c>
      <c r="E3895" t="s">
        <v>1273</v>
      </c>
      <c r="F3895" t="s">
        <v>4140</v>
      </c>
      <c r="G3895" t="s">
        <v>10551</v>
      </c>
      <c r="H3895">
        <v>6022664278</v>
      </c>
      <c r="K3895" t="s">
        <v>10552</v>
      </c>
      <c r="L3895" t="s">
        <v>1721</v>
      </c>
      <c r="M3895" t="s">
        <v>1634</v>
      </c>
    </row>
    <row r="3896" spans="1:13" x14ac:dyDescent="0.25">
      <c r="A3896">
        <v>79981</v>
      </c>
      <c r="B3896" t="s">
        <v>10549</v>
      </c>
      <c r="C3896" t="s">
        <v>10550</v>
      </c>
      <c r="D3896" t="s">
        <v>2596</v>
      </c>
      <c r="E3896" t="s">
        <v>1273</v>
      </c>
      <c r="F3896" t="s">
        <v>2082</v>
      </c>
      <c r="G3896" t="s">
        <v>8356</v>
      </c>
      <c r="H3896">
        <v>4804613200</v>
      </c>
      <c r="K3896" t="s">
        <v>8357</v>
      </c>
      <c r="L3896" t="s">
        <v>8358</v>
      </c>
      <c r="M3896" t="s">
        <v>1634</v>
      </c>
    </row>
    <row r="3897" spans="1:13" x14ac:dyDescent="0.25">
      <c r="A3897">
        <v>79981</v>
      </c>
      <c r="B3897" t="s">
        <v>10549</v>
      </c>
      <c r="C3897" t="s">
        <v>10550</v>
      </c>
      <c r="D3897" t="s">
        <v>2596</v>
      </c>
      <c r="E3897" t="s">
        <v>1273</v>
      </c>
      <c r="F3897" t="s">
        <v>9509</v>
      </c>
      <c r="G3897" t="s">
        <v>3346</v>
      </c>
      <c r="H3897">
        <v>6022664278</v>
      </c>
      <c r="K3897" t="s">
        <v>9751</v>
      </c>
      <c r="L3897" t="s">
        <v>4663</v>
      </c>
      <c r="M3897" t="s">
        <v>1640</v>
      </c>
    </row>
    <row r="3898" spans="1:13" x14ac:dyDescent="0.25">
      <c r="A3898">
        <v>79982</v>
      </c>
      <c r="B3898" t="s">
        <v>10553</v>
      </c>
      <c r="C3898" t="s">
        <v>10554</v>
      </c>
      <c r="D3898" t="s">
        <v>2605</v>
      </c>
      <c r="E3898" t="s">
        <v>1273</v>
      </c>
    </row>
    <row r="3899" spans="1:13" x14ac:dyDescent="0.25">
      <c r="A3899">
        <v>90349</v>
      </c>
      <c r="B3899" t="s">
        <v>10555</v>
      </c>
      <c r="C3899" t="s">
        <v>10556</v>
      </c>
      <c r="D3899" t="s">
        <v>2605</v>
      </c>
      <c r="E3899" t="s">
        <v>1273</v>
      </c>
      <c r="F3899" t="s">
        <v>4140</v>
      </c>
      <c r="G3899" t="s">
        <v>10551</v>
      </c>
      <c r="K3899" t="s">
        <v>10557</v>
      </c>
      <c r="L3899" t="s">
        <v>1647</v>
      </c>
      <c r="M3899" t="s">
        <v>1634</v>
      </c>
    </row>
    <row r="3900" spans="1:13" x14ac:dyDescent="0.25">
      <c r="A3900">
        <v>79983</v>
      </c>
      <c r="B3900" t="s">
        <v>10558</v>
      </c>
      <c r="C3900" t="s">
        <v>10559</v>
      </c>
      <c r="D3900" t="s">
        <v>2596</v>
      </c>
      <c r="E3900" t="s">
        <v>1273</v>
      </c>
      <c r="F3900" t="s">
        <v>3310</v>
      </c>
      <c r="G3900" t="s">
        <v>8657</v>
      </c>
      <c r="H3900">
        <v>4803550505</v>
      </c>
      <c r="J3900">
        <v>4803550506</v>
      </c>
      <c r="K3900" t="s">
        <v>8658</v>
      </c>
      <c r="L3900" t="s">
        <v>8659</v>
      </c>
      <c r="M3900" t="s">
        <v>1634</v>
      </c>
    </row>
    <row r="3901" spans="1:13" x14ac:dyDescent="0.25">
      <c r="A3901">
        <v>79983</v>
      </c>
      <c r="B3901" t="s">
        <v>10558</v>
      </c>
      <c r="C3901" t="s">
        <v>10559</v>
      </c>
      <c r="D3901" t="s">
        <v>2596</v>
      </c>
      <c r="E3901" t="s">
        <v>1273</v>
      </c>
      <c r="F3901" t="s">
        <v>10560</v>
      </c>
      <c r="G3901" t="s">
        <v>4513</v>
      </c>
      <c r="H3901">
        <v>4803550502</v>
      </c>
      <c r="K3901" t="s">
        <v>8745</v>
      </c>
      <c r="L3901" t="s">
        <v>1668</v>
      </c>
      <c r="M3901" t="s">
        <v>1634</v>
      </c>
    </row>
    <row r="3902" spans="1:13" x14ac:dyDescent="0.25">
      <c r="A3902">
        <v>79983</v>
      </c>
      <c r="B3902" t="s">
        <v>10558</v>
      </c>
      <c r="C3902" t="s">
        <v>10559</v>
      </c>
      <c r="D3902" t="s">
        <v>2596</v>
      </c>
      <c r="E3902" t="s">
        <v>1273</v>
      </c>
      <c r="F3902" t="s">
        <v>3275</v>
      </c>
      <c r="G3902" t="s">
        <v>8675</v>
      </c>
      <c r="H3902">
        <v>4803550516</v>
      </c>
      <c r="J3902">
        <v>4803550506</v>
      </c>
      <c r="K3902" t="s">
        <v>8752</v>
      </c>
      <c r="L3902" t="s">
        <v>8744</v>
      </c>
      <c r="M3902" t="s">
        <v>1634</v>
      </c>
    </row>
    <row r="3903" spans="1:13" x14ac:dyDescent="0.25">
      <c r="A3903">
        <v>79983</v>
      </c>
      <c r="B3903" t="s">
        <v>10558</v>
      </c>
      <c r="C3903" t="s">
        <v>10559</v>
      </c>
      <c r="D3903" t="s">
        <v>2596</v>
      </c>
      <c r="E3903" t="s">
        <v>1273</v>
      </c>
      <c r="F3903" t="s">
        <v>3570</v>
      </c>
      <c r="G3903" t="s">
        <v>8660</v>
      </c>
      <c r="H3903">
        <v>4806524555</v>
      </c>
      <c r="K3903" t="s">
        <v>8934</v>
      </c>
      <c r="M3903" t="s">
        <v>1634</v>
      </c>
    </row>
    <row r="3904" spans="1:13" x14ac:dyDescent="0.25">
      <c r="A3904">
        <v>79983</v>
      </c>
      <c r="B3904" t="s">
        <v>10558</v>
      </c>
      <c r="C3904" t="s">
        <v>10559</v>
      </c>
      <c r="D3904" t="s">
        <v>2596</v>
      </c>
      <c r="E3904" t="s">
        <v>1273</v>
      </c>
      <c r="F3904" t="s">
        <v>8733</v>
      </c>
      <c r="G3904" t="s">
        <v>8734</v>
      </c>
      <c r="H3904">
        <v>6025477920</v>
      </c>
      <c r="J3904">
        <v>6025477923</v>
      </c>
      <c r="K3904" t="s">
        <v>10561</v>
      </c>
      <c r="L3904" t="s">
        <v>8754</v>
      </c>
      <c r="M3904" t="s">
        <v>1640</v>
      </c>
    </row>
    <row r="3905" spans="1:13" x14ac:dyDescent="0.25">
      <c r="A3905">
        <v>79983</v>
      </c>
      <c r="B3905" t="s">
        <v>10558</v>
      </c>
      <c r="C3905" t="s">
        <v>10559</v>
      </c>
      <c r="D3905" t="s">
        <v>2596</v>
      </c>
      <c r="E3905" t="s">
        <v>1273</v>
      </c>
      <c r="F3905" t="s">
        <v>7342</v>
      </c>
      <c r="G3905" t="s">
        <v>10400</v>
      </c>
      <c r="H3905">
        <v>6027910193</v>
      </c>
      <c r="K3905" t="s">
        <v>10562</v>
      </c>
      <c r="L3905" t="s">
        <v>1765</v>
      </c>
      <c r="M3905" t="s">
        <v>1765</v>
      </c>
    </row>
    <row r="3906" spans="1:13" x14ac:dyDescent="0.25">
      <c r="A3906">
        <v>79983</v>
      </c>
      <c r="B3906" t="s">
        <v>10558</v>
      </c>
      <c r="C3906" t="s">
        <v>10559</v>
      </c>
      <c r="D3906" t="s">
        <v>2596</v>
      </c>
      <c r="E3906" t="s">
        <v>1273</v>
      </c>
      <c r="F3906" t="s">
        <v>3100</v>
      </c>
      <c r="G3906" t="s">
        <v>2436</v>
      </c>
      <c r="H3906">
        <v>6233447159</v>
      </c>
      <c r="J3906">
        <v>6233447160</v>
      </c>
      <c r="K3906" t="s">
        <v>10563</v>
      </c>
      <c r="L3906" t="s">
        <v>10564</v>
      </c>
      <c r="M3906" t="s">
        <v>1765</v>
      </c>
    </row>
    <row r="3907" spans="1:13" x14ac:dyDescent="0.25">
      <c r="A3907">
        <v>79507</v>
      </c>
      <c r="B3907" t="s">
        <v>10565</v>
      </c>
      <c r="C3907" t="s">
        <v>10566</v>
      </c>
      <c r="D3907" t="s">
        <v>2605</v>
      </c>
      <c r="E3907" t="s">
        <v>1273</v>
      </c>
    </row>
    <row r="3908" spans="1:13" x14ac:dyDescent="0.25">
      <c r="A3908">
        <v>79990</v>
      </c>
      <c r="B3908" t="s">
        <v>10567</v>
      </c>
      <c r="C3908" t="s">
        <v>10568</v>
      </c>
      <c r="D3908" t="s">
        <v>2596</v>
      </c>
      <c r="E3908" t="s">
        <v>1273</v>
      </c>
      <c r="F3908" t="s">
        <v>3570</v>
      </c>
      <c r="G3908" t="s">
        <v>8660</v>
      </c>
      <c r="K3908" t="s">
        <v>8661</v>
      </c>
      <c r="L3908" t="s">
        <v>8662</v>
      </c>
      <c r="M3908" t="s">
        <v>1634</v>
      </c>
    </row>
    <row r="3909" spans="1:13" x14ac:dyDescent="0.25">
      <c r="A3909">
        <v>79990</v>
      </c>
      <c r="B3909" t="s">
        <v>10567</v>
      </c>
      <c r="C3909" t="s">
        <v>10568</v>
      </c>
      <c r="D3909" t="s">
        <v>2596</v>
      </c>
      <c r="E3909" t="s">
        <v>1273</v>
      </c>
      <c r="F3909" t="s">
        <v>1775</v>
      </c>
      <c r="G3909" t="s">
        <v>6515</v>
      </c>
      <c r="K3909" t="s">
        <v>10398</v>
      </c>
      <c r="M3909" t="s">
        <v>1634</v>
      </c>
    </row>
    <row r="3910" spans="1:13" x14ac:dyDescent="0.25">
      <c r="A3910">
        <v>79991</v>
      </c>
      <c r="B3910" t="s">
        <v>10569</v>
      </c>
      <c r="C3910" t="s">
        <v>10570</v>
      </c>
      <c r="D3910" t="s">
        <v>2605</v>
      </c>
      <c r="E3910" t="s">
        <v>1273</v>
      </c>
      <c r="F3910" t="s">
        <v>8742</v>
      </c>
      <c r="G3910" t="s">
        <v>8671</v>
      </c>
      <c r="K3910" t="s">
        <v>10571</v>
      </c>
      <c r="L3910" t="s">
        <v>10572</v>
      </c>
      <c r="M3910" t="s">
        <v>1634</v>
      </c>
    </row>
    <row r="3911" spans="1:13" x14ac:dyDescent="0.25">
      <c r="A3911">
        <v>79988</v>
      </c>
      <c r="B3911" t="s">
        <v>10573</v>
      </c>
      <c r="C3911" t="s">
        <v>10574</v>
      </c>
      <c r="D3911" t="s">
        <v>2596</v>
      </c>
      <c r="E3911" t="s">
        <v>1273</v>
      </c>
      <c r="F3911" t="s">
        <v>3310</v>
      </c>
      <c r="G3911" t="s">
        <v>8657</v>
      </c>
      <c r="K3911" t="s">
        <v>8658</v>
      </c>
      <c r="M3911" t="s">
        <v>1634</v>
      </c>
    </row>
    <row r="3912" spans="1:13" x14ac:dyDescent="0.25">
      <c r="A3912">
        <v>79988</v>
      </c>
      <c r="B3912" t="s">
        <v>10573</v>
      </c>
      <c r="C3912" t="s">
        <v>10574</v>
      </c>
      <c r="D3912" t="s">
        <v>2596</v>
      </c>
      <c r="E3912" t="s">
        <v>1273</v>
      </c>
      <c r="F3912" t="s">
        <v>3570</v>
      </c>
      <c r="G3912" t="s">
        <v>8660</v>
      </c>
      <c r="K3912" t="s">
        <v>8661</v>
      </c>
      <c r="L3912" t="s">
        <v>10575</v>
      </c>
      <c r="M3912" t="s">
        <v>1634</v>
      </c>
    </row>
    <row r="3913" spans="1:13" x14ac:dyDescent="0.25">
      <c r="A3913">
        <v>79988</v>
      </c>
      <c r="B3913" t="s">
        <v>10573</v>
      </c>
      <c r="C3913" t="s">
        <v>10574</v>
      </c>
      <c r="D3913" t="s">
        <v>2596</v>
      </c>
      <c r="E3913" t="s">
        <v>1273</v>
      </c>
      <c r="F3913" t="s">
        <v>2142</v>
      </c>
      <c r="G3913" t="s">
        <v>10119</v>
      </c>
      <c r="K3913" t="s">
        <v>10120</v>
      </c>
      <c r="L3913" t="s">
        <v>1640</v>
      </c>
      <c r="M3913" t="s">
        <v>1640</v>
      </c>
    </row>
    <row r="3914" spans="1:13" x14ac:dyDescent="0.25">
      <c r="A3914">
        <v>79988</v>
      </c>
      <c r="B3914" t="s">
        <v>10573</v>
      </c>
      <c r="C3914" t="s">
        <v>10574</v>
      </c>
      <c r="D3914" t="s">
        <v>2596</v>
      </c>
      <c r="E3914" t="s">
        <v>1273</v>
      </c>
      <c r="F3914" t="s">
        <v>3673</v>
      </c>
      <c r="G3914" t="s">
        <v>10121</v>
      </c>
      <c r="K3914" t="s">
        <v>10122</v>
      </c>
      <c r="L3914" t="s">
        <v>1640</v>
      </c>
      <c r="M3914" t="s">
        <v>1640</v>
      </c>
    </row>
    <row r="3915" spans="1:13" x14ac:dyDescent="0.25">
      <c r="A3915">
        <v>79988</v>
      </c>
      <c r="B3915" t="s">
        <v>10573</v>
      </c>
      <c r="C3915" t="s">
        <v>10574</v>
      </c>
      <c r="D3915" t="s">
        <v>2596</v>
      </c>
      <c r="E3915" t="s">
        <v>1273</v>
      </c>
      <c r="F3915" t="s">
        <v>10123</v>
      </c>
      <c r="G3915" t="s">
        <v>10124</v>
      </c>
      <c r="H3915">
        <v>6235899840</v>
      </c>
      <c r="K3915" t="s">
        <v>10125</v>
      </c>
      <c r="M3915" t="s">
        <v>1640</v>
      </c>
    </row>
    <row r="3916" spans="1:13" x14ac:dyDescent="0.25">
      <c r="A3916">
        <v>79988</v>
      </c>
      <c r="B3916" t="s">
        <v>10573</v>
      </c>
      <c r="C3916" t="s">
        <v>10574</v>
      </c>
      <c r="D3916" t="s">
        <v>2596</v>
      </c>
      <c r="E3916" t="s">
        <v>1273</v>
      </c>
      <c r="F3916" t="s">
        <v>8839</v>
      </c>
      <c r="G3916" t="s">
        <v>8840</v>
      </c>
      <c r="H3916">
        <v>6233441732</v>
      </c>
      <c r="K3916" t="s">
        <v>8996</v>
      </c>
      <c r="M3916" t="s">
        <v>1640</v>
      </c>
    </row>
    <row r="3917" spans="1:13" x14ac:dyDescent="0.25">
      <c r="A3917">
        <v>79988</v>
      </c>
      <c r="B3917" t="s">
        <v>10573</v>
      </c>
      <c r="C3917" t="s">
        <v>10574</v>
      </c>
      <c r="D3917" t="s">
        <v>2596</v>
      </c>
      <c r="E3917" t="s">
        <v>1273</v>
      </c>
      <c r="F3917" t="s">
        <v>2204</v>
      </c>
      <c r="G3917" t="s">
        <v>8763</v>
      </c>
      <c r="H3917">
        <v>6155335607</v>
      </c>
      <c r="K3917" t="s">
        <v>10126</v>
      </c>
      <c r="M3917" t="s">
        <v>1640</v>
      </c>
    </row>
    <row r="3918" spans="1:13" x14ac:dyDescent="0.25">
      <c r="A3918">
        <v>79988</v>
      </c>
      <c r="B3918" t="s">
        <v>10573</v>
      </c>
      <c r="C3918" t="s">
        <v>10574</v>
      </c>
      <c r="D3918" t="s">
        <v>2596</v>
      </c>
      <c r="E3918" t="s">
        <v>1273</v>
      </c>
      <c r="F3918" t="s">
        <v>8736</v>
      </c>
      <c r="G3918" t="s">
        <v>8737</v>
      </c>
      <c r="H3918">
        <v>6024029091</v>
      </c>
      <c r="K3918" t="s">
        <v>8748</v>
      </c>
      <c r="M3918" t="s">
        <v>1640</v>
      </c>
    </row>
    <row r="3919" spans="1:13" x14ac:dyDescent="0.25">
      <c r="A3919">
        <v>79989</v>
      </c>
      <c r="B3919" t="s">
        <v>10576</v>
      </c>
      <c r="C3919" t="s">
        <v>10577</v>
      </c>
      <c r="D3919" t="s">
        <v>2605</v>
      </c>
      <c r="E3919" t="s">
        <v>1273</v>
      </c>
      <c r="F3919" t="s">
        <v>3772</v>
      </c>
      <c r="G3919" t="s">
        <v>10129</v>
      </c>
      <c r="H3919">
        <v>6025899840</v>
      </c>
      <c r="K3919" t="s">
        <v>10130</v>
      </c>
      <c r="L3919" t="s">
        <v>1647</v>
      </c>
      <c r="M3919" t="s">
        <v>1634</v>
      </c>
    </row>
    <row r="3920" spans="1:13" x14ac:dyDescent="0.25">
      <c r="A3920">
        <v>79994</v>
      </c>
      <c r="B3920" t="s">
        <v>614</v>
      </c>
      <c r="C3920" t="s">
        <v>10578</v>
      </c>
      <c r="D3920" t="s">
        <v>2596</v>
      </c>
      <c r="E3920" t="s">
        <v>1273</v>
      </c>
      <c r="F3920" t="s">
        <v>2642</v>
      </c>
      <c r="G3920" t="s">
        <v>7989</v>
      </c>
      <c r="J3920">
        <v>6026042337</v>
      </c>
      <c r="K3920" t="s">
        <v>10579</v>
      </c>
      <c r="L3920" t="s">
        <v>5089</v>
      </c>
      <c r="M3920" t="s">
        <v>1634</v>
      </c>
    </row>
    <row r="3921" spans="1:13" x14ac:dyDescent="0.25">
      <c r="A3921">
        <v>79994</v>
      </c>
      <c r="B3921" t="s">
        <v>614</v>
      </c>
      <c r="C3921" t="s">
        <v>10578</v>
      </c>
      <c r="D3921" t="s">
        <v>2596</v>
      </c>
      <c r="E3921" t="s">
        <v>1273</v>
      </c>
      <c r="F3921" t="s">
        <v>7130</v>
      </c>
      <c r="G3921" t="s">
        <v>10580</v>
      </c>
      <c r="M3921" t="s">
        <v>1765</v>
      </c>
    </row>
    <row r="3922" spans="1:13" x14ac:dyDescent="0.25">
      <c r="A3922">
        <v>5526</v>
      </c>
      <c r="B3922" t="s">
        <v>614</v>
      </c>
      <c r="C3922" t="s">
        <v>10581</v>
      </c>
      <c r="D3922" t="s">
        <v>2605</v>
      </c>
      <c r="E3922" t="s">
        <v>1273</v>
      </c>
      <c r="F3922" t="s">
        <v>2642</v>
      </c>
      <c r="G3922" t="s">
        <v>7989</v>
      </c>
      <c r="J3922">
        <v>6026042337</v>
      </c>
      <c r="K3922" t="s">
        <v>10579</v>
      </c>
      <c r="M3922" t="s">
        <v>1634</v>
      </c>
    </row>
    <row r="3923" spans="1:13" x14ac:dyDescent="0.25">
      <c r="A3923">
        <v>80011</v>
      </c>
      <c r="B3923" t="s">
        <v>10582</v>
      </c>
      <c r="C3923" t="s">
        <v>10583</v>
      </c>
      <c r="D3923" t="s">
        <v>2596</v>
      </c>
      <c r="E3923" t="s">
        <v>1273</v>
      </c>
      <c r="F3923" t="s">
        <v>3813</v>
      </c>
      <c r="G3923" t="s">
        <v>10584</v>
      </c>
      <c r="J3923">
        <v>4808742928</v>
      </c>
      <c r="K3923" t="s">
        <v>10585</v>
      </c>
      <c r="L3923" t="s">
        <v>10586</v>
      </c>
      <c r="M3923" t="s">
        <v>1634</v>
      </c>
    </row>
    <row r="3924" spans="1:13" x14ac:dyDescent="0.25">
      <c r="A3924">
        <v>80011</v>
      </c>
      <c r="B3924" t="s">
        <v>10582</v>
      </c>
      <c r="C3924" t="s">
        <v>10583</v>
      </c>
      <c r="D3924" t="s">
        <v>2596</v>
      </c>
      <c r="E3924" t="s">
        <v>1273</v>
      </c>
      <c r="F3924" t="s">
        <v>5583</v>
      </c>
      <c r="G3924" t="s">
        <v>10587</v>
      </c>
      <c r="H3924">
        <v>4809451121</v>
      </c>
      <c r="J3924">
        <v>4808742928</v>
      </c>
      <c r="K3924" t="s">
        <v>10588</v>
      </c>
      <c r="L3924" t="s">
        <v>10589</v>
      </c>
      <c r="M3924" t="s">
        <v>1634</v>
      </c>
    </row>
    <row r="3925" spans="1:13" x14ac:dyDescent="0.25">
      <c r="A3925">
        <v>80011</v>
      </c>
      <c r="B3925" t="s">
        <v>10582</v>
      </c>
      <c r="C3925" t="s">
        <v>10583</v>
      </c>
      <c r="D3925" t="s">
        <v>2596</v>
      </c>
      <c r="E3925" t="s">
        <v>1273</v>
      </c>
      <c r="F3925" t="s">
        <v>5796</v>
      </c>
      <c r="G3925" t="s">
        <v>10590</v>
      </c>
      <c r="H3925">
        <v>4809451121</v>
      </c>
      <c r="K3925" t="s">
        <v>10591</v>
      </c>
      <c r="M3925" t="s">
        <v>1640</v>
      </c>
    </row>
    <row r="3926" spans="1:13" x14ac:dyDescent="0.25">
      <c r="A3926">
        <v>80012</v>
      </c>
      <c r="B3926" t="s">
        <v>10592</v>
      </c>
      <c r="C3926" t="s">
        <v>10593</v>
      </c>
      <c r="D3926" t="s">
        <v>2605</v>
      </c>
      <c r="E3926" t="s">
        <v>1273</v>
      </c>
      <c r="F3926" t="s">
        <v>3813</v>
      </c>
      <c r="G3926" t="s">
        <v>5601</v>
      </c>
      <c r="H3926">
        <v>4809451121</v>
      </c>
      <c r="J3926">
        <v>4808742928</v>
      </c>
      <c r="K3926" t="s">
        <v>10594</v>
      </c>
      <c r="M3926" t="s">
        <v>1634</v>
      </c>
    </row>
    <row r="3927" spans="1:13" x14ac:dyDescent="0.25">
      <c r="A3927">
        <v>4297</v>
      </c>
      <c r="B3927" t="s">
        <v>10595</v>
      </c>
      <c r="C3927" t="s">
        <v>10596</v>
      </c>
      <c r="D3927" t="s">
        <v>2596</v>
      </c>
      <c r="E3927" t="s">
        <v>1273</v>
      </c>
      <c r="F3927" t="s">
        <v>3253</v>
      </c>
      <c r="G3927" t="s">
        <v>10597</v>
      </c>
      <c r="H3927" t="s">
        <v>10598</v>
      </c>
      <c r="J3927">
        <v>6024859356</v>
      </c>
      <c r="K3927" t="s">
        <v>10599</v>
      </c>
      <c r="L3927" t="s">
        <v>10600</v>
      </c>
      <c r="M3927" t="s">
        <v>1634</v>
      </c>
    </row>
    <row r="3928" spans="1:13" x14ac:dyDescent="0.25">
      <c r="A3928">
        <v>4297</v>
      </c>
      <c r="B3928" t="s">
        <v>10595</v>
      </c>
      <c r="C3928" t="s">
        <v>10596</v>
      </c>
      <c r="D3928" t="s">
        <v>2596</v>
      </c>
      <c r="E3928" t="s">
        <v>1273</v>
      </c>
      <c r="F3928" t="s">
        <v>3253</v>
      </c>
      <c r="G3928" t="s">
        <v>10597</v>
      </c>
      <c r="H3928" t="s">
        <v>10598</v>
      </c>
      <c r="J3928">
        <v>6024859356</v>
      </c>
      <c r="K3928" t="s">
        <v>10599</v>
      </c>
      <c r="L3928" t="s">
        <v>2596</v>
      </c>
      <c r="M3928" t="s">
        <v>1640</v>
      </c>
    </row>
    <row r="3929" spans="1:13" x14ac:dyDescent="0.25">
      <c r="A3929">
        <v>5462</v>
      </c>
      <c r="B3929" t="s">
        <v>10601</v>
      </c>
      <c r="C3929" t="s">
        <v>10602</v>
      </c>
      <c r="D3929" t="s">
        <v>2605</v>
      </c>
      <c r="E3929" t="s">
        <v>1273</v>
      </c>
      <c r="F3929" t="s">
        <v>2089</v>
      </c>
      <c r="G3929" t="s">
        <v>10597</v>
      </c>
      <c r="H3929">
        <v>6024850309</v>
      </c>
      <c r="J3929">
        <v>6024859356</v>
      </c>
      <c r="K3929" t="s">
        <v>10603</v>
      </c>
      <c r="M3929" t="s">
        <v>1634</v>
      </c>
    </row>
    <row r="3930" spans="1:13" x14ac:dyDescent="0.25">
      <c r="A3930">
        <v>80985</v>
      </c>
      <c r="B3930" t="s">
        <v>10604</v>
      </c>
      <c r="C3930" t="s">
        <v>10605</v>
      </c>
      <c r="D3930" t="s">
        <v>2596</v>
      </c>
      <c r="E3930" t="s">
        <v>1273</v>
      </c>
      <c r="F3930" t="s">
        <v>1812</v>
      </c>
      <c r="G3930" t="s">
        <v>10187</v>
      </c>
      <c r="H3930">
        <v>4809473917</v>
      </c>
      <c r="K3930" t="s">
        <v>10188</v>
      </c>
      <c r="L3930" t="s">
        <v>10606</v>
      </c>
      <c r="M3930" t="s">
        <v>1640</v>
      </c>
    </row>
    <row r="3931" spans="1:13" x14ac:dyDescent="0.25">
      <c r="A3931">
        <v>80986</v>
      </c>
      <c r="B3931" t="s">
        <v>10604</v>
      </c>
      <c r="C3931" t="s">
        <v>10607</v>
      </c>
      <c r="D3931" t="s">
        <v>2605</v>
      </c>
      <c r="E3931" t="s">
        <v>1273</v>
      </c>
      <c r="F3931" t="s">
        <v>4887</v>
      </c>
      <c r="G3931" t="s">
        <v>10184</v>
      </c>
      <c r="H3931">
        <v>4802525414</v>
      </c>
      <c r="J3931">
        <v>4809706625</v>
      </c>
      <c r="K3931" t="s">
        <v>10185</v>
      </c>
      <c r="M3931" t="s">
        <v>1634</v>
      </c>
    </row>
    <row r="3932" spans="1:13" x14ac:dyDescent="0.25">
      <c r="A3932">
        <v>80986</v>
      </c>
      <c r="B3932" t="s">
        <v>10604</v>
      </c>
      <c r="C3932" t="s">
        <v>10607</v>
      </c>
      <c r="D3932" t="s">
        <v>2605</v>
      </c>
      <c r="E3932" t="s">
        <v>1273</v>
      </c>
      <c r="F3932" t="s">
        <v>10608</v>
      </c>
      <c r="G3932" t="s">
        <v>10609</v>
      </c>
      <c r="H3932">
        <v>4804819235</v>
      </c>
      <c r="K3932" t="s">
        <v>10610</v>
      </c>
      <c r="L3932" t="s">
        <v>10611</v>
      </c>
      <c r="M3932" t="s">
        <v>1634</v>
      </c>
    </row>
    <row r="3933" spans="1:13" x14ac:dyDescent="0.25">
      <c r="A3933">
        <v>80989</v>
      </c>
      <c r="B3933" t="s">
        <v>961</v>
      </c>
      <c r="C3933" t="s">
        <v>10612</v>
      </c>
      <c r="D3933" t="s">
        <v>2596</v>
      </c>
      <c r="E3933" t="s">
        <v>1273</v>
      </c>
      <c r="F3933" t="s">
        <v>3570</v>
      </c>
      <c r="G3933" t="s">
        <v>5188</v>
      </c>
      <c r="K3933" t="s">
        <v>9636</v>
      </c>
      <c r="L3933" t="s">
        <v>9637</v>
      </c>
      <c r="M3933" t="s">
        <v>1640</v>
      </c>
    </row>
    <row r="3934" spans="1:13" x14ac:dyDescent="0.25">
      <c r="A3934">
        <v>80989</v>
      </c>
      <c r="B3934" t="s">
        <v>961</v>
      </c>
      <c r="C3934" t="s">
        <v>10612</v>
      </c>
      <c r="D3934" t="s">
        <v>2596</v>
      </c>
      <c r="E3934" t="s">
        <v>1273</v>
      </c>
      <c r="F3934" t="s">
        <v>1848</v>
      </c>
      <c r="G3934" t="s">
        <v>2927</v>
      </c>
      <c r="K3934" t="s">
        <v>8243</v>
      </c>
      <c r="M3934" t="s">
        <v>1765</v>
      </c>
    </row>
    <row r="3935" spans="1:13" x14ac:dyDescent="0.25">
      <c r="A3935">
        <v>80990</v>
      </c>
      <c r="B3935" t="s">
        <v>962</v>
      </c>
      <c r="C3935" t="s">
        <v>10613</v>
      </c>
      <c r="D3935" t="s">
        <v>2605</v>
      </c>
      <c r="E3935" t="s">
        <v>1273</v>
      </c>
      <c r="F3935" t="s">
        <v>4162</v>
      </c>
      <c r="G3935" t="s">
        <v>10614</v>
      </c>
      <c r="J3935">
        <v>6022430800</v>
      </c>
      <c r="K3935" t="s">
        <v>10615</v>
      </c>
      <c r="L3935" t="s">
        <v>1647</v>
      </c>
      <c r="M3935" t="s">
        <v>1634</v>
      </c>
    </row>
    <row r="3936" spans="1:13" x14ac:dyDescent="0.25">
      <c r="A3936">
        <v>80990</v>
      </c>
      <c r="B3936" t="s">
        <v>962</v>
      </c>
      <c r="C3936" t="s">
        <v>10613</v>
      </c>
      <c r="D3936" t="s">
        <v>2605</v>
      </c>
      <c r="E3936" t="s">
        <v>1273</v>
      </c>
      <c r="F3936" t="s">
        <v>3570</v>
      </c>
      <c r="G3936" t="s">
        <v>5188</v>
      </c>
      <c r="K3936" t="s">
        <v>8727</v>
      </c>
      <c r="M3936" t="s">
        <v>1640</v>
      </c>
    </row>
    <row r="3937" spans="1:13" x14ac:dyDescent="0.25">
      <c r="A3937">
        <v>80990</v>
      </c>
      <c r="B3937" t="s">
        <v>962</v>
      </c>
      <c r="C3937" t="s">
        <v>10613</v>
      </c>
      <c r="D3937" t="s">
        <v>2605</v>
      </c>
      <c r="E3937" t="s">
        <v>1273</v>
      </c>
      <c r="F3937" t="s">
        <v>2053</v>
      </c>
      <c r="G3937" t="s">
        <v>6310</v>
      </c>
      <c r="K3937" t="s">
        <v>9120</v>
      </c>
      <c r="L3937" t="s">
        <v>8731</v>
      </c>
      <c r="M3937" t="s">
        <v>1765</v>
      </c>
    </row>
    <row r="3938" spans="1:13" x14ac:dyDescent="0.25">
      <c r="A3938">
        <v>80992</v>
      </c>
      <c r="B3938" t="s">
        <v>10616</v>
      </c>
      <c r="C3938" t="s">
        <v>10617</v>
      </c>
      <c r="D3938" t="s">
        <v>2596</v>
      </c>
      <c r="E3938" t="s">
        <v>1273</v>
      </c>
      <c r="F3938" t="s">
        <v>6014</v>
      </c>
      <c r="G3938" t="s">
        <v>8104</v>
      </c>
      <c r="H3938" t="s">
        <v>8105</v>
      </c>
      <c r="K3938" t="s">
        <v>8106</v>
      </c>
      <c r="L3938" t="s">
        <v>8107</v>
      </c>
      <c r="M3938" t="s">
        <v>1634</v>
      </c>
    </row>
    <row r="3939" spans="1:13" x14ac:dyDescent="0.25">
      <c r="A3939">
        <v>80992</v>
      </c>
      <c r="B3939" t="s">
        <v>10616</v>
      </c>
      <c r="C3939" t="s">
        <v>10617</v>
      </c>
      <c r="D3939" t="s">
        <v>2596</v>
      </c>
      <c r="E3939" t="s">
        <v>1273</v>
      </c>
      <c r="F3939" t="s">
        <v>2307</v>
      </c>
      <c r="G3939" t="s">
        <v>8090</v>
      </c>
      <c r="H3939">
        <v>4802977676</v>
      </c>
      <c r="K3939" t="s">
        <v>8091</v>
      </c>
      <c r="M3939" t="s">
        <v>1634</v>
      </c>
    </row>
    <row r="3940" spans="1:13" x14ac:dyDescent="0.25">
      <c r="A3940">
        <v>80992</v>
      </c>
      <c r="B3940" t="s">
        <v>10616</v>
      </c>
      <c r="C3940" t="s">
        <v>10617</v>
      </c>
      <c r="D3940" t="s">
        <v>2596</v>
      </c>
      <c r="E3940" t="s">
        <v>1273</v>
      </c>
      <c r="F3940" t="s">
        <v>6014</v>
      </c>
      <c r="G3940" t="s">
        <v>8092</v>
      </c>
      <c r="H3940">
        <v>6024387045</v>
      </c>
      <c r="K3940" t="s">
        <v>8093</v>
      </c>
      <c r="M3940" t="s">
        <v>1640</v>
      </c>
    </row>
    <row r="3941" spans="1:13" x14ac:dyDescent="0.25">
      <c r="A3941">
        <v>80992</v>
      </c>
      <c r="B3941" t="s">
        <v>10616</v>
      </c>
      <c r="C3941" t="s">
        <v>10617</v>
      </c>
      <c r="D3941" t="s">
        <v>2596</v>
      </c>
      <c r="E3941" t="s">
        <v>1273</v>
      </c>
      <c r="F3941" t="s">
        <v>7318</v>
      </c>
      <c r="G3941" t="s">
        <v>8094</v>
      </c>
      <c r="H3941">
        <v>6024387045</v>
      </c>
      <c r="K3941" t="s">
        <v>8095</v>
      </c>
      <c r="L3941" t="s">
        <v>8096</v>
      </c>
      <c r="M3941" t="s">
        <v>1640</v>
      </c>
    </row>
    <row r="3942" spans="1:13" x14ac:dyDescent="0.25">
      <c r="A3942">
        <v>80992</v>
      </c>
      <c r="B3942" t="s">
        <v>10616</v>
      </c>
      <c r="C3942" t="s">
        <v>10617</v>
      </c>
      <c r="D3942" t="s">
        <v>2596</v>
      </c>
      <c r="E3942" t="s">
        <v>1273</v>
      </c>
      <c r="F3942" t="s">
        <v>8097</v>
      </c>
      <c r="G3942" t="s">
        <v>8098</v>
      </c>
      <c r="H3942">
        <v>4807216818</v>
      </c>
      <c r="K3942" t="s">
        <v>8099</v>
      </c>
      <c r="M3942" t="s">
        <v>1640</v>
      </c>
    </row>
    <row r="3943" spans="1:13" x14ac:dyDescent="0.25">
      <c r="A3943">
        <v>80992</v>
      </c>
      <c r="B3943" t="s">
        <v>10616</v>
      </c>
      <c r="C3943" t="s">
        <v>10617</v>
      </c>
      <c r="D3943" t="s">
        <v>2596</v>
      </c>
      <c r="E3943" t="s">
        <v>1273</v>
      </c>
      <c r="F3943" t="s">
        <v>1935</v>
      </c>
      <c r="G3943" t="s">
        <v>8100</v>
      </c>
      <c r="H3943" t="s">
        <v>8101</v>
      </c>
      <c r="J3943">
        <v>6024387242</v>
      </c>
      <c r="K3943" t="s">
        <v>8102</v>
      </c>
      <c r="L3943" t="s">
        <v>8259</v>
      </c>
      <c r="M3943" t="s">
        <v>1765</v>
      </c>
    </row>
    <row r="3944" spans="1:13" x14ac:dyDescent="0.25">
      <c r="A3944">
        <v>80992</v>
      </c>
      <c r="B3944" t="s">
        <v>10616</v>
      </c>
      <c r="C3944" t="s">
        <v>10617</v>
      </c>
      <c r="D3944" t="s">
        <v>2596</v>
      </c>
      <c r="E3944" t="s">
        <v>1273</v>
      </c>
      <c r="F3944" t="s">
        <v>6014</v>
      </c>
      <c r="G3944" t="s">
        <v>8104</v>
      </c>
      <c r="H3944" t="s">
        <v>8105</v>
      </c>
      <c r="K3944" t="s">
        <v>8106</v>
      </c>
      <c r="L3944" t="s">
        <v>8107</v>
      </c>
      <c r="M3944" t="s">
        <v>1765</v>
      </c>
    </row>
    <row r="3945" spans="1:13" x14ac:dyDescent="0.25">
      <c r="A3945">
        <v>80994</v>
      </c>
      <c r="B3945" t="s">
        <v>10618</v>
      </c>
      <c r="C3945" t="s">
        <v>10619</v>
      </c>
      <c r="D3945" t="s">
        <v>2605</v>
      </c>
      <c r="E3945" t="s">
        <v>1273</v>
      </c>
      <c r="F3945" t="s">
        <v>1298</v>
      </c>
      <c r="G3945" t="s">
        <v>10620</v>
      </c>
      <c r="H3945">
        <v>6022631128</v>
      </c>
      <c r="L3945" t="s">
        <v>8824</v>
      </c>
      <c r="M3945" t="s">
        <v>1634</v>
      </c>
    </row>
    <row r="3946" spans="1:13" x14ac:dyDescent="0.25">
      <c r="A3946">
        <v>81076</v>
      </c>
      <c r="B3946" t="s">
        <v>10621</v>
      </c>
      <c r="C3946" t="s">
        <v>10622</v>
      </c>
      <c r="D3946" t="s">
        <v>2596</v>
      </c>
      <c r="E3946" t="s">
        <v>1273</v>
      </c>
      <c r="F3946" t="s">
        <v>4283</v>
      </c>
      <c r="G3946" t="s">
        <v>3063</v>
      </c>
      <c r="M3946" t="s">
        <v>1634</v>
      </c>
    </row>
    <row r="3947" spans="1:13" x14ac:dyDescent="0.25">
      <c r="A3947">
        <v>81076</v>
      </c>
      <c r="B3947" t="s">
        <v>10621</v>
      </c>
      <c r="C3947" t="s">
        <v>10622</v>
      </c>
      <c r="D3947" t="s">
        <v>2596</v>
      </c>
      <c r="E3947" t="s">
        <v>1273</v>
      </c>
      <c r="F3947" t="s">
        <v>1679</v>
      </c>
      <c r="G3947" t="s">
        <v>10623</v>
      </c>
      <c r="K3947" t="s">
        <v>10624</v>
      </c>
      <c r="L3947" t="s">
        <v>1640</v>
      </c>
      <c r="M3947" t="s">
        <v>1640</v>
      </c>
    </row>
    <row r="3948" spans="1:13" x14ac:dyDescent="0.25">
      <c r="A3948">
        <v>81076</v>
      </c>
      <c r="B3948" t="s">
        <v>10621</v>
      </c>
      <c r="C3948" t="s">
        <v>10622</v>
      </c>
      <c r="D3948" t="s">
        <v>2596</v>
      </c>
      <c r="E3948" t="s">
        <v>1273</v>
      </c>
      <c r="F3948" t="s">
        <v>4283</v>
      </c>
      <c r="G3948" t="s">
        <v>3063</v>
      </c>
      <c r="M3948" t="s">
        <v>1640</v>
      </c>
    </row>
    <row r="3949" spans="1:13" x14ac:dyDescent="0.25">
      <c r="A3949">
        <v>81077</v>
      </c>
      <c r="B3949" t="s">
        <v>10621</v>
      </c>
      <c r="C3949" t="s">
        <v>10625</v>
      </c>
      <c r="D3949" t="s">
        <v>2605</v>
      </c>
      <c r="E3949" t="s">
        <v>1273</v>
      </c>
      <c r="F3949" t="s">
        <v>10088</v>
      </c>
      <c r="G3949" t="s">
        <v>10089</v>
      </c>
      <c r="H3949">
        <v>5205450575</v>
      </c>
      <c r="M3949" t="s">
        <v>1634</v>
      </c>
    </row>
    <row r="3950" spans="1:13" x14ac:dyDescent="0.25">
      <c r="A3950">
        <v>81077</v>
      </c>
      <c r="B3950" t="s">
        <v>10621</v>
      </c>
      <c r="C3950" t="s">
        <v>10625</v>
      </c>
      <c r="D3950" t="s">
        <v>2605</v>
      </c>
      <c r="E3950" t="s">
        <v>1273</v>
      </c>
      <c r="F3950" t="s">
        <v>4283</v>
      </c>
      <c r="G3950" t="s">
        <v>3063</v>
      </c>
      <c r="J3950">
        <v>5205450575</v>
      </c>
      <c r="K3950" t="s">
        <v>10080</v>
      </c>
      <c r="L3950" t="s">
        <v>1668</v>
      </c>
      <c r="M3950" t="s">
        <v>1634</v>
      </c>
    </row>
    <row r="3951" spans="1:13" x14ac:dyDescent="0.25">
      <c r="A3951">
        <v>89624</v>
      </c>
      <c r="B3951" t="s">
        <v>10626</v>
      </c>
      <c r="C3951" t="s">
        <v>10627</v>
      </c>
      <c r="D3951" t="s">
        <v>2605</v>
      </c>
      <c r="E3951" t="s">
        <v>1273</v>
      </c>
      <c r="F3951" t="s">
        <v>4283</v>
      </c>
      <c r="G3951" t="s">
        <v>3063</v>
      </c>
      <c r="J3951">
        <v>5205450575</v>
      </c>
      <c r="K3951" t="s">
        <v>10080</v>
      </c>
      <c r="L3951" t="s">
        <v>1668</v>
      </c>
      <c r="M3951" t="s">
        <v>1634</v>
      </c>
    </row>
    <row r="3952" spans="1:13" x14ac:dyDescent="0.25">
      <c r="A3952">
        <v>4294</v>
      </c>
      <c r="B3952" t="s">
        <v>10628</v>
      </c>
      <c r="C3952" t="s">
        <v>10629</v>
      </c>
      <c r="D3952" t="s">
        <v>2596</v>
      </c>
      <c r="E3952" t="s">
        <v>1273</v>
      </c>
      <c r="F3952" t="s">
        <v>10630</v>
      </c>
      <c r="G3952" t="s">
        <v>10631</v>
      </c>
      <c r="H3952">
        <v>6028969160</v>
      </c>
      <c r="J3952">
        <v>6028961997</v>
      </c>
      <c r="K3952" t="s">
        <v>10632</v>
      </c>
      <c r="L3952" t="s">
        <v>1647</v>
      </c>
      <c r="M3952" t="s">
        <v>1634</v>
      </c>
    </row>
    <row r="3953" spans="1:13" x14ac:dyDescent="0.25">
      <c r="A3953">
        <v>4294</v>
      </c>
      <c r="B3953" t="s">
        <v>10628</v>
      </c>
      <c r="C3953" t="s">
        <v>10629</v>
      </c>
      <c r="D3953" t="s">
        <v>2596</v>
      </c>
      <c r="E3953" t="s">
        <v>1273</v>
      </c>
      <c r="F3953" t="s">
        <v>2688</v>
      </c>
      <c r="G3953" t="s">
        <v>1593</v>
      </c>
      <c r="K3953" t="s">
        <v>10633</v>
      </c>
      <c r="L3953" t="s">
        <v>2358</v>
      </c>
      <c r="M3953" t="s">
        <v>1634</v>
      </c>
    </row>
    <row r="3954" spans="1:13" x14ac:dyDescent="0.25">
      <c r="A3954">
        <v>4294</v>
      </c>
      <c r="B3954" t="s">
        <v>10628</v>
      </c>
      <c r="C3954" t="s">
        <v>10629</v>
      </c>
      <c r="D3954" t="s">
        <v>2596</v>
      </c>
      <c r="E3954" t="s">
        <v>1273</v>
      </c>
      <c r="F3954" t="s">
        <v>1761</v>
      </c>
      <c r="G3954" t="s">
        <v>6872</v>
      </c>
      <c r="H3954">
        <v>6028969160</v>
      </c>
      <c r="J3954">
        <v>6024592823</v>
      </c>
      <c r="K3954" t="s">
        <v>10634</v>
      </c>
      <c r="L3954" t="s">
        <v>2358</v>
      </c>
      <c r="M3954" t="s">
        <v>1640</v>
      </c>
    </row>
    <row r="3955" spans="1:13" x14ac:dyDescent="0.25">
      <c r="A3955">
        <v>4294</v>
      </c>
      <c r="B3955" t="s">
        <v>10628</v>
      </c>
      <c r="C3955" t="s">
        <v>10629</v>
      </c>
      <c r="D3955" t="s">
        <v>2596</v>
      </c>
      <c r="E3955" t="s">
        <v>1273</v>
      </c>
      <c r="F3955" t="s">
        <v>1779</v>
      </c>
      <c r="G3955" t="s">
        <v>10635</v>
      </c>
      <c r="H3955">
        <v>6028969160</v>
      </c>
      <c r="K3955" t="s">
        <v>10636</v>
      </c>
      <c r="M3955" t="s">
        <v>1765</v>
      </c>
    </row>
    <row r="3956" spans="1:13" x14ac:dyDescent="0.25">
      <c r="A3956">
        <v>10730</v>
      </c>
      <c r="B3956" t="s">
        <v>10637</v>
      </c>
      <c r="C3956" t="s">
        <v>10638</v>
      </c>
      <c r="D3956" t="s">
        <v>2605</v>
      </c>
      <c r="E3956" t="s">
        <v>1273</v>
      </c>
      <c r="F3956" t="s">
        <v>2053</v>
      </c>
      <c r="G3956" t="s">
        <v>4000</v>
      </c>
      <c r="H3956">
        <v>6028969160</v>
      </c>
      <c r="J3956">
        <v>6028969160</v>
      </c>
      <c r="K3956" t="s">
        <v>10639</v>
      </c>
      <c r="M3956" t="s">
        <v>1634</v>
      </c>
    </row>
    <row r="3957" spans="1:13" x14ac:dyDescent="0.25">
      <c r="A3957">
        <v>79204</v>
      </c>
      <c r="B3957" t="s">
        <v>10640</v>
      </c>
      <c r="C3957" t="s">
        <v>10641</v>
      </c>
      <c r="D3957" t="s">
        <v>2596</v>
      </c>
      <c r="E3957" t="s">
        <v>1273</v>
      </c>
      <c r="F3957" t="s">
        <v>2688</v>
      </c>
      <c r="G3957" t="s">
        <v>1593</v>
      </c>
      <c r="M3957" t="s">
        <v>1634</v>
      </c>
    </row>
    <row r="3958" spans="1:13" x14ac:dyDescent="0.25">
      <c r="A3958">
        <v>79204</v>
      </c>
      <c r="B3958" t="s">
        <v>10640</v>
      </c>
      <c r="C3958" t="s">
        <v>10641</v>
      </c>
      <c r="D3958" t="s">
        <v>2596</v>
      </c>
      <c r="E3958" t="s">
        <v>1273</v>
      </c>
      <c r="F3958" t="s">
        <v>2009</v>
      </c>
      <c r="G3958" t="s">
        <v>10642</v>
      </c>
      <c r="H3958">
        <v>4808556325</v>
      </c>
      <c r="K3958" t="s">
        <v>10643</v>
      </c>
      <c r="L3958" t="s">
        <v>1640</v>
      </c>
      <c r="M3958" t="s">
        <v>1640</v>
      </c>
    </row>
    <row r="3959" spans="1:13" x14ac:dyDescent="0.25">
      <c r="A3959">
        <v>10729</v>
      </c>
      <c r="B3959" t="s">
        <v>10644</v>
      </c>
      <c r="C3959" t="s">
        <v>10645</v>
      </c>
      <c r="D3959" t="s">
        <v>2605</v>
      </c>
      <c r="E3959" t="s">
        <v>1273</v>
      </c>
      <c r="F3959" t="s">
        <v>5932</v>
      </c>
      <c r="G3959" t="s">
        <v>5933</v>
      </c>
      <c r="K3959" t="s">
        <v>10646</v>
      </c>
      <c r="L3959" t="s">
        <v>1647</v>
      </c>
      <c r="M3959" t="s">
        <v>1634</v>
      </c>
    </row>
    <row r="3960" spans="1:13" x14ac:dyDescent="0.25">
      <c r="A3960">
        <v>10729</v>
      </c>
      <c r="B3960" t="s">
        <v>10644</v>
      </c>
      <c r="C3960" t="s">
        <v>10645</v>
      </c>
      <c r="D3960" t="s">
        <v>2605</v>
      </c>
      <c r="E3960" t="s">
        <v>1273</v>
      </c>
      <c r="F3960" t="s">
        <v>1761</v>
      </c>
      <c r="G3960" t="s">
        <v>6872</v>
      </c>
      <c r="H3960">
        <v>6028969160</v>
      </c>
      <c r="K3960" t="s">
        <v>10634</v>
      </c>
      <c r="L3960" t="s">
        <v>2358</v>
      </c>
      <c r="M3960" t="s">
        <v>1634</v>
      </c>
    </row>
    <row r="3961" spans="1:13" x14ac:dyDescent="0.25">
      <c r="A3961">
        <v>10729</v>
      </c>
      <c r="B3961" t="s">
        <v>10644</v>
      </c>
      <c r="C3961" t="s">
        <v>10645</v>
      </c>
      <c r="D3961" t="s">
        <v>2605</v>
      </c>
      <c r="E3961" t="s">
        <v>1273</v>
      </c>
      <c r="F3961" t="s">
        <v>5054</v>
      </c>
      <c r="G3961" t="s">
        <v>4856</v>
      </c>
      <c r="H3961">
        <v>4808556325</v>
      </c>
      <c r="K3961" t="s">
        <v>9157</v>
      </c>
      <c r="M3961" t="s">
        <v>1640</v>
      </c>
    </row>
    <row r="3962" spans="1:13" x14ac:dyDescent="0.25">
      <c r="A3962">
        <v>79215</v>
      </c>
      <c r="B3962" t="s">
        <v>10647</v>
      </c>
      <c r="C3962" t="s">
        <v>10648</v>
      </c>
      <c r="D3962" t="s">
        <v>2596</v>
      </c>
      <c r="E3962" t="s">
        <v>1273</v>
      </c>
      <c r="F3962" t="s">
        <v>2001</v>
      </c>
      <c r="G3962" t="s">
        <v>9202</v>
      </c>
      <c r="H3962">
        <v>4809644602</v>
      </c>
      <c r="J3962">
        <v>4809646566</v>
      </c>
      <c r="K3962" t="s">
        <v>10649</v>
      </c>
      <c r="L3962" t="s">
        <v>10650</v>
      </c>
      <c r="M3962" t="s">
        <v>1634</v>
      </c>
    </row>
    <row r="3963" spans="1:13" x14ac:dyDescent="0.25">
      <c r="A3963">
        <v>79215</v>
      </c>
      <c r="B3963" t="s">
        <v>10647</v>
      </c>
      <c r="C3963" t="s">
        <v>10648</v>
      </c>
      <c r="D3963" t="s">
        <v>2596</v>
      </c>
      <c r="E3963" t="s">
        <v>1273</v>
      </c>
      <c r="F3963" t="s">
        <v>7318</v>
      </c>
      <c r="G3963" t="s">
        <v>7992</v>
      </c>
      <c r="H3963">
        <v>4804780748</v>
      </c>
      <c r="K3963" t="s">
        <v>7993</v>
      </c>
      <c r="L3963" t="s">
        <v>10651</v>
      </c>
      <c r="M3963" t="s">
        <v>1634</v>
      </c>
    </row>
    <row r="3964" spans="1:13" x14ac:dyDescent="0.25">
      <c r="A3964">
        <v>79215</v>
      </c>
      <c r="B3964" t="s">
        <v>10647</v>
      </c>
      <c r="C3964" t="s">
        <v>10648</v>
      </c>
      <c r="D3964" t="s">
        <v>2596</v>
      </c>
      <c r="E3964" t="s">
        <v>1273</v>
      </c>
      <c r="F3964" t="s">
        <v>2001</v>
      </c>
      <c r="G3964" t="s">
        <v>9202</v>
      </c>
      <c r="H3964">
        <v>4809644602</v>
      </c>
      <c r="J3964">
        <v>4809646566</v>
      </c>
      <c r="K3964" t="s">
        <v>10649</v>
      </c>
      <c r="L3964" t="s">
        <v>10650</v>
      </c>
      <c r="M3964" t="s">
        <v>1640</v>
      </c>
    </row>
    <row r="3965" spans="1:13" x14ac:dyDescent="0.25">
      <c r="A3965">
        <v>79215</v>
      </c>
      <c r="B3965" t="s">
        <v>10647</v>
      </c>
      <c r="C3965" t="s">
        <v>10648</v>
      </c>
      <c r="D3965" t="s">
        <v>2596</v>
      </c>
      <c r="E3965" t="s">
        <v>1273</v>
      </c>
      <c r="F3965" t="s">
        <v>7318</v>
      </c>
      <c r="G3965" t="s">
        <v>7992</v>
      </c>
      <c r="H3965">
        <v>4804780748</v>
      </c>
      <c r="K3965" t="s">
        <v>7993</v>
      </c>
      <c r="L3965" t="s">
        <v>10651</v>
      </c>
      <c r="M3965" t="s">
        <v>1640</v>
      </c>
    </row>
    <row r="3966" spans="1:13" x14ac:dyDescent="0.25">
      <c r="A3966">
        <v>79215</v>
      </c>
      <c r="B3966" t="s">
        <v>10647</v>
      </c>
      <c r="C3966" t="s">
        <v>10648</v>
      </c>
      <c r="D3966" t="s">
        <v>2596</v>
      </c>
      <c r="E3966" t="s">
        <v>1273</v>
      </c>
      <c r="F3966" t="s">
        <v>1690</v>
      </c>
      <c r="G3966" t="s">
        <v>8284</v>
      </c>
      <c r="H3966">
        <v>6028811585</v>
      </c>
      <c r="K3966" t="s">
        <v>9205</v>
      </c>
      <c r="L3966" t="s">
        <v>1640</v>
      </c>
      <c r="M3966" t="s">
        <v>1640</v>
      </c>
    </row>
    <row r="3967" spans="1:13" x14ac:dyDescent="0.25">
      <c r="A3967">
        <v>78788</v>
      </c>
      <c r="B3967" t="s">
        <v>10652</v>
      </c>
      <c r="C3967" t="s">
        <v>10653</v>
      </c>
      <c r="D3967" t="s">
        <v>2605</v>
      </c>
      <c r="E3967" t="s">
        <v>1273</v>
      </c>
      <c r="F3967" t="s">
        <v>2001</v>
      </c>
      <c r="G3967" t="s">
        <v>9202</v>
      </c>
      <c r="H3967">
        <v>4809644602</v>
      </c>
      <c r="J3967">
        <v>4809646566</v>
      </c>
      <c r="K3967" t="s">
        <v>10649</v>
      </c>
      <c r="M3967" t="s">
        <v>1634</v>
      </c>
    </row>
    <row r="3968" spans="1:13" x14ac:dyDescent="0.25">
      <c r="A3968">
        <v>78788</v>
      </c>
      <c r="B3968" t="s">
        <v>10652</v>
      </c>
      <c r="C3968" t="s">
        <v>10653</v>
      </c>
      <c r="D3968" t="s">
        <v>2605</v>
      </c>
      <c r="E3968" t="s">
        <v>1273</v>
      </c>
      <c r="F3968" t="s">
        <v>2020</v>
      </c>
      <c r="G3968" t="s">
        <v>3198</v>
      </c>
      <c r="H3968">
        <v>4804780748</v>
      </c>
      <c r="K3968" t="s">
        <v>8343</v>
      </c>
      <c r="L3968" t="s">
        <v>8344</v>
      </c>
      <c r="M3968" t="s">
        <v>1634</v>
      </c>
    </row>
    <row r="3969" spans="1:13" x14ac:dyDescent="0.25">
      <c r="A3969">
        <v>85749</v>
      </c>
      <c r="B3969" t="s">
        <v>10654</v>
      </c>
      <c r="C3969" t="s">
        <v>10655</v>
      </c>
      <c r="D3969" t="s">
        <v>2596</v>
      </c>
      <c r="E3969" t="s">
        <v>1273</v>
      </c>
      <c r="F3969" t="s">
        <v>10656</v>
      </c>
      <c r="G3969" t="s">
        <v>10657</v>
      </c>
      <c r="K3969" t="s">
        <v>10658</v>
      </c>
      <c r="L3969" t="s">
        <v>2596</v>
      </c>
      <c r="M3969" t="s">
        <v>1634</v>
      </c>
    </row>
    <row r="3970" spans="1:13" x14ac:dyDescent="0.25">
      <c r="A3970">
        <v>85749</v>
      </c>
      <c r="B3970" t="s">
        <v>10654</v>
      </c>
      <c r="C3970" t="s">
        <v>10655</v>
      </c>
      <c r="D3970" t="s">
        <v>2596</v>
      </c>
      <c r="E3970" t="s">
        <v>1273</v>
      </c>
      <c r="F3970" t="s">
        <v>4416</v>
      </c>
      <c r="G3970" t="s">
        <v>1918</v>
      </c>
      <c r="H3970" t="s">
        <v>10659</v>
      </c>
      <c r="K3970" t="s">
        <v>10660</v>
      </c>
      <c r="M3970" t="s">
        <v>1640</v>
      </c>
    </row>
    <row r="3971" spans="1:13" x14ac:dyDescent="0.25">
      <c r="A3971">
        <v>85749</v>
      </c>
      <c r="B3971" t="s">
        <v>10654</v>
      </c>
      <c r="C3971" t="s">
        <v>10655</v>
      </c>
      <c r="D3971" t="s">
        <v>2596</v>
      </c>
      <c r="E3971" t="s">
        <v>1273</v>
      </c>
      <c r="F3971" t="s">
        <v>10661</v>
      </c>
      <c r="G3971" t="s">
        <v>10662</v>
      </c>
      <c r="K3971" t="s">
        <v>10663</v>
      </c>
      <c r="L3971" t="s">
        <v>1640</v>
      </c>
      <c r="M3971" t="s">
        <v>1640</v>
      </c>
    </row>
    <row r="3972" spans="1:13" x14ac:dyDescent="0.25">
      <c r="A3972">
        <v>85749</v>
      </c>
      <c r="B3972" t="s">
        <v>10654</v>
      </c>
      <c r="C3972" t="s">
        <v>10655</v>
      </c>
      <c r="D3972" t="s">
        <v>2596</v>
      </c>
      <c r="E3972" t="s">
        <v>1273</v>
      </c>
      <c r="F3972" t="s">
        <v>4416</v>
      </c>
      <c r="G3972" t="s">
        <v>1918</v>
      </c>
      <c r="H3972" t="s">
        <v>10659</v>
      </c>
      <c r="K3972" t="s">
        <v>10660</v>
      </c>
      <c r="M3972" t="s">
        <v>1765</v>
      </c>
    </row>
    <row r="3973" spans="1:13" x14ac:dyDescent="0.25">
      <c r="A3973">
        <v>85750</v>
      </c>
      <c r="B3973" t="s">
        <v>10664</v>
      </c>
      <c r="C3973" t="s">
        <v>10665</v>
      </c>
      <c r="D3973" t="s">
        <v>2605</v>
      </c>
      <c r="E3973" t="s">
        <v>1273</v>
      </c>
      <c r="F3973" t="s">
        <v>10656</v>
      </c>
      <c r="G3973" t="s">
        <v>10657</v>
      </c>
      <c r="J3973">
        <v>6235515679</v>
      </c>
      <c r="K3973" t="s">
        <v>10658</v>
      </c>
      <c r="L3973" t="s">
        <v>1647</v>
      </c>
      <c r="M3973" t="s">
        <v>1634</v>
      </c>
    </row>
    <row r="3974" spans="1:13" x14ac:dyDescent="0.25">
      <c r="A3974">
        <v>85816</v>
      </c>
      <c r="B3974" t="s">
        <v>8676</v>
      </c>
      <c r="C3974" t="s">
        <v>10666</v>
      </c>
      <c r="D3974" t="s">
        <v>2596</v>
      </c>
      <c r="E3974" t="s">
        <v>1273</v>
      </c>
      <c r="F3974" t="s">
        <v>4524</v>
      </c>
      <c r="G3974" t="s">
        <v>6931</v>
      </c>
      <c r="H3974">
        <v>6022978500</v>
      </c>
      <c r="J3974">
        <v>6022978540</v>
      </c>
      <c r="K3974" t="s">
        <v>8680</v>
      </c>
      <c r="L3974" t="s">
        <v>2649</v>
      </c>
      <c r="M3974" t="s">
        <v>1640</v>
      </c>
    </row>
    <row r="3975" spans="1:13" x14ac:dyDescent="0.25">
      <c r="A3975">
        <v>85816</v>
      </c>
      <c r="B3975" t="s">
        <v>8676</v>
      </c>
      <c r="C3975" t="s">
        <v>10666</v>
      </c>
      <c r="D3975" t="s">
        <v>2596</v>
      </c>
      <c r="E3975" t="s">
        <v>1273</v>
      </c>
      <c r="F3975" t="s">
        <v>8605</v>
      </c>
      <c r="G3975" t="s">
        <v>8606</v>
      </c>
      <c r="H3975">
        <v>6022978500</v>
      </c>
      <c r="K3975" t="s">
        <v>8607</v>
      </c>
      <c r="L3975" t="s">
        <v>2649</v>
      </c>
      <c r="M3975" t="s">
        <v>1640</v>
      </c>
    </row>
    <row r="3976" spans="1:13" x14ac:dyDescent="0.25">
      <c r="A3976">
        <v>5503</v>
      </c>
      <c r="B3976" t="s">
        <v>10667</v>
      </c>
      <c r="C3976" t="s">
        <v>10668</v>
      </c>
      <c r="D3976" t="s">
        <v>2605</v>
      </c>
      <c r="E3976" t="s">
        <v>1273</v>
      </c>
      <c r="F3976" t="s">
        <v>1679</v>
      </c>
      <c r="G3976" t="s">
        <v>10669</v>
      </c>
      <c r="H3976">
        <v>6023239890</v>
      </c>
      <c r="J3976">
        <v>6023239869</v>
      </c>
      <c r="K3976" t="s">
        <v>10670</v>
      </c>
      <c r="M3976" t="s">
        <v>1634</v>
      </c>
    </row>
    <row r="3977" spans="1:13" x14ac:dyDescent="0.25">
      <c r="A3977">
        <v>79077</v>
      </c>
      <c r="B3977" t="s">
        <v>952</v>
      </c>
      <c r="C3977" t="s">
        <v>10671</v>
      </c>
      <c r="D3977" t="s">
        <v>2596</v>
      </c>
      <c r="E3977" t="s">
        <v>1273</v>
      </c>
      <c r="F3977" t="s">
        <v>4834</v>
      </c>
      <c r="G3977" t="s">
        <v>1909</v>
      </c>
      <c r="J3977">
        <v>6022422398</v>
      </c>
      <c r="K3977" t="s">
        <v>10672</v>
      </c>
      <c r="L3977" t="s">
        <v>10673</v>
      </c>
      <c r="M3977" t="s">
        <v>1634</v>
      </c>
    </row>
    <row r="3978" spans="1:13" x14ac:dyDescent="0.25">
      <c r="A3978">
        <v>79077</v>
      </c>
      <c r="B3978" t="s">
        <v>952</v>
      </c>
      <c r="C3978" t="s">
        <v>10671</v>
      </c>
      <c r="D3978" t="s">
        <v>2596</v>
      </c>
      <c r="E3978" t="s">
        <v>1273</v>
      </c>
      <c r="F3978" t="s">
        <v>4008</v>
      </c>
      <c r="G3978" t="s">
        <v>7148</v>
      </c>
      <c r="J3978">
        <v>6022422398</v>
      </c>
      <c r="K3978" t="s">
        <v>10674</v>
      </c>
      <c r="L3978" t="s">
        <v>1647</v>
      </c>
      <c r="M3978" t="s">
        <v>1640</v>
      </c>
    </row>
    <row r="3979" spans="1:13" x14ac:dyDescent="0.25">
      <c r="A3979">
        <v>79099</v>
      </c>
      <c r="B3979" t="s">
        <v>953</v>
      </c>
      <c r="C3979" t="s">
        <v>10675</v>
      </c>
      <c r="D3979" t="s">
        <v>2605</v>
      </c>
      <c r="E3979" t="s">
        <v>1273</v>
      </c>
      <c r="F3979" t="s">
        <v>4834</v>
      </c>
      <c r="G3979" t="s">
        <v>1909</v>
      </c>
      <c r="H3979">
        <v>6025952198</v>
      </c>
      <c r="J3979">
        <v>6022422398</v>
      </c>
      <c r="K3979" t="s">
        <v>10676</v>
      </c>
      <c r="M3979" t="s">
        <v>1634</v>
      </c>
    </row>
    <row r="3980" spans="1:13" x14ac:dyDescent="0.25">
      <c r="A3980">
        <v>79099</v>
      </c>
      <c r="B3980" t="s">
        <v>953</v>
      </c>
      <c r="C3980" t="s">
        <v>10675</v>
      </c>
      <c r="D3980" t="s">
        <v>2605</v>
      </c>
      <c r="E3980" t="s">
        <v>1273</v>
      </c>
      <c r="F3980" t="s">
        <v>4008</v>
      </c>
      <c r="G3980" t="s">
        <v>7148</v>
      </c>
      <c r="K3980" t="s">
        <v>10677</v>
      </c>
      <c r="L3980" t="s">
        <v>1647</v>
      </c>
      <c r="M3980" t="s">
        <v>1640</v>
      </c>
    </row>
    <row r="3981" spans="1:13" x14ac:dyDescent="0.25">
      <c r="A3981">
        <v>5186</v>
      </c>
      <c r="B3981" t="s">
        <v>10678</v>
      </c>
      <c r="C3981" t="s">
        <v>10679</v>
      </c>
      <c r="D3981" t="s">
        <v>2596</v>
      </c>
      <c r="E3981" t="s">
        <v>1273</v>
      </c>
      <c r="F3981" t="s">
        <v>10680</v>
      </c>
      <c r="G3981" t="s">
        <v>10681</v>
      </c>
      <c r="J3981">
        <v>6022476520</v>
      </c>
      <c r="K3981" t="s">
        <v>10682</v>
      </c>
      <c r="L3981" t="s">
        <v>3043</v>
      </c>
      <c r="M3981" t="s">
        <v>1634</v>
      </c>
    </row>
    <row r="3982" spans="1:13" x14ac:dyDescent="0.25">
      <c r="A3982">
        <v>5186</v>
      </c>
      <c r="B3982" t="s">
        <v>10678</v>
      </c>
      <c r="C3982" t="s">
        <v>10679</v>
      </c>
      <c r="D3982" t="s">
        <v>2596</v>
      </c>
      <c r="E3982" t="s">
        <v>1273</v>
      </c>
      <c r="F3982" t="s">
        <v>10680</v>
      </c>
      <c r="G3982" t="s">
        <v>10681</v>
      </c>
      <c r="J3982">
        <v>6022476520</v>
      </c>
      <c r="K3982" t="s">
        <v>10682</v>
      </c>
      <c r="L3982" t="s">
        <v>3043</v>
      </c>
      <c r="M3982" t="s">
        <v>1765</v>
      </c>
    </row>
    <row r="3983" spans="1:13" x14ac:dyDescent="0.25">
      <c r="A3983">
        <v>10801</v>
      </c>
      <c r="B3983" t="s">
        <v>10683</v>
      </c>
      <c r="C3983" t="s">
        <v>10684</v>
      </c>
      <c r="D3983" t="s">
        <v>2605</v>
      </c>
      <c r="E3983" t="s">
        <v>1273</v>
      </c>
      <c r="F3983" t="s">
        <v>10680</v>
      </c>
      <c r="G3983" t="s">
        <v>10681</v>
      </c>
      <c r="J3983">
        <v>6232476520</v>
      </c>
      <c r="K3983" t="s">
        <v>10682</v>
      </c>
      <c r="M3983" t="s">
        <v>1634</v>
      </c>
    </row>
    <row r="3984" spans="1:13" x14ac:dyDescent="0.25">
      <c r="A3984">
        <v>92637</v>
      </c>
      <c r="B3984" t="s">
        <v>10685</v>
      </c>
      <c r="C3984" t="s">
        <v>10686</v>
      </c>
      <c r="D3984" t="s">
        <v>2605</v>
      </c>
      <c r="E3984" t="s">
        <v>1273</v>
      </c>
      <c r="F3984" t="s">
        <v>10680</v>
      </c>
      <c r="G3984" t="s">
        <v>10681</v>
      </c>
      <c r="K3984" t="s">
        <v>10682</v>
      </c>
      <c r="M3984" t="s">
        <v>1634</v>
      </c>
    </row>
    <row r="3985" spans="1:13" x14ac:dyDescent="0.25">
      <c r="A3985">
        <v>79050</v>
      </c>
      <c r="B3985" t="s">
        <v>10687</v>
      </c>
      <c r="C3985" t="s">
        <v>10688</v>
      </c>
      <c r="D3985" t="s">
        <v>2596</v>
      </c>
      <c r="E3985" t="s">
        <v>1273</v>
      </c>
      <c r="F3985" t="s">
        <v>8083</v>
      </c>
      <c r="G3985" t="s">
        <v>8084</v>
      </c>
      <c r="H3985">
        <v>4808604330</v>
      </c>
      <c r="K3985" t="s">
        <v>8085</v>
      </c>
      <c r="L3985" t="s">
        <v>10385</v>
      </c>
      <c r="M3985" t="s">
        <v>1640</v>
      </c>
    </row>
    <row r="3986" spans="1:13" x14ac:dyDescent="0.25">
      <c r="A3986">
        <v>79050</v>
      </c>
      <c r="B3986" t="s">
        <v>10687</v>
      </c>
      <c r="C3986" t="s">
        <v>10688</v>
      </c>
      <c r="D3986" t="s">
        <v>2596</v>
      </c>
      <c r="E3986" t="s">
        <v>1273</v>
      </c>
      <c r="F3986" t="s">
        <v>2794</v>
      </c>
      <c r="G3986" t="s">
        <v>10689</v>
      </c>
      <c r="H3986">
        <v>6025166501</v>
      </c>
      <c r="K3986" t="s">
        <v>10690</v>
      </c>
      <c r="M3986" t="s">
        <v>1765</v>
      </c>
    </row>
    <row r="3987" spans="1:13" x14ac:dyDescent="0.25">
      <c r="A3987">
        <v>79126</v>
      </c>
      <c r="B3987" t="s">
        <v>10691</v>
      </c>
      <c r="C3987" t="s">
        <v>10692</v>
      </c>
      <c r="D3987" t="s">
        <v>2605</v>
      </c>
      <c r="E3987" t="s">
        <v>1273</v>
      </c>
      <c r="F3987" t="s">
        <v>8083</v>
      </c>
      <c r="G3987" t="s">
        <v>8084</v>
      </c>
      <c r="H3987">
        <v>4804921315</v>
      </c>
      <c r="J3987">
        <v>4809056927</v>
      </c>
      <c r="K3987" t="s">
        <v>8085</v>
      </c>
      <c r="M3987" t="s">
        <v>1640</v>
      </c>
    </row>
    <row r="3988" spans="1:13" x14ac:dyDescent="0.25">
      <c r="A3988">
        <v>79081</v>
      </c>
      <c r="B3988" t="s">
        <v>10693</v>
      </c>
      <c r="C3988" t="s">
        <v>10694</v>
      </c>
      <c r="D3988" t="s">
        <v>2596</v>
      </c>
      <c r="E3988" t="s">
        <v>1273</v>
      </c>
      <c r="F3988" t="s">
        <v>2401</v>
      </c>
      <c r="G3988" t="s">
        <v>10695</v>
      </c>
      <c r="K3988" t="s">
        <v>10696</v>
      </c>
      <c r="L3988" t="s">
        <v>10697</v>
      </c>
      <c r="M3988" t="s">
        <v>1634</v>
      </c>
    </row>
    <row r="3989" spans="1:13" x14ac:dyDescent="0.25">
      <c r="A3989">
        <v>79081</v>
      </c>
      <c r="B3989" t="s">
        <v>10693</v>
      </c>
      <c r="C3989" t="s">
        <v>10694</v>
      </c>
      <c r="D3989" t="s">
        <v>2596</v>
      </c>
      <c r="E3989" t="s">
        <v>1273</v>
      </c>
      <c r="F3989" t="s">
        <v>2020</v>
      </c>
      <c r="G3989" t="s">
        <v>3198</v>
      </c>
      <c r="H3989">
        <v>6237603096</v>
      </c>
      <c r="K3989" t="s">
        <v>10698</v>
      </c>
      <c r="M3989" t="s">
        <v>1634</v>
      </c>
    </row>
    <row r="3990" spans="1:13" x14ac:dyDescent="0.25">
      <c r="A3990">
        <v>79081</v>
      </c>
      <c r="B3990" t="s">
        <v>10693</v>
      </c>
      <c r="C3990" t="s">
        <v>10694</v>
      </c>
      <c r="D3990" t="s">
        <v>2596</v>
      </c>
      <c r="E3990" t="s">
        <v>1273</v>
      </c>
      <c r="F3990" t="s">
        <v>10699</v>
      </c>
      <c r="G3990" t="s">
        <v>7642</v>
      </c>
      <c r="H3990">
        <v>6233762900</v>
      </c>
      <c r="K3990" t="s">
        <v>10700</v>
      </c>
      <c r="L3990" t="s">
        <v>1647</v>
      </c>
      <c r="M3990" t="s">
        <v>1634</v>
      </c>
    </row>
    <row r="3991" spans="1:13" x14ac:dyDescent="0.25">
      <c r="A3991">
        <v>79095</v>
      </c>
      <c r="B3991" t="s">
        <v>10701</v>
      </c>
      <c r="C3991" t="s">
        <v>10702</v>
      </c>
      <c r="D3991" t="s">
        <v>2605</v>
      </c>
      <c r="E3991" t="s">
        <v>1273</v>
      </c>
      <c r="F3991" t="s">
        <v>2001</v>
      </c>
      <c r="G3991" t="s">
        <v>9202</v>
      </c>
      <c r="H3991">
        <v>6233762900</v>
      </c>
      <c r="J3991">
        <v>6236557870</v>
      </c>
      <c r="K3991" t="s">
        <v>10703</v>
      </c>
      <c r="M3991" t="s">
        <v>1634</v>
      </c>
    </row>
    <row r="3992" spans="1:13" x14ac:dyDescent="0.25">
      <c r="A3992">
        <v>79095</v>
      </c>
      <c r="B3992" t="s">
        <v>10701</v>
      </c>
      <c r="C3992" t="s">
        <v>10702</v>
      </c>
      <c r="D3992" t="s">
        <v>2605</v>
      </c>
      <c r="E3992" t="s">
        <v>1273</v>
      </c>
      <c r="F3992" t="s">
        <v>7318</v>
      </c>
      <c r="G3992" t="s">
        <v>7992</v>
      </c>
      <c r="H3992">
        <v>4804780748</v>
      </c>
      <c r="I3992">
        <v>207</v>
      </c>
      <c r="K3992" t="s">
        <v>7993</v>
      </c>
      <c r="M3992" t="s">
        <v>1634</v>
      </c>
    </row>
    <row r="3993" spans="1:13" x14ac:dyDescent="0.25">
      <c r="A3993">
        <v>79095</v>
      </c>
      <c r="B3993" t="s">
        <v>10701</v>
      </c>
      <c r="C3993" t="s">
        <v>10702</v>
      </c>
      <c r="D3993" t="s">
        <v>2605</v>
      </c>
      <c r="E3993" t="s">
        <v>1273</v>
      </c>
      <c r="F3993" t="s">
        <v>1726</v>
      </c>
      <c r="G3993" t="s">
        <v>10704</v>
      </c>
      <c r="K3993" t="s">
        <v>10705</v>
      </c>
      <c r="M3993" t="s">
        <v>1634</v>
      </c>
    </row>
    <row r="3994" spans="1:13" x14ac:dyDescent="0.25">
      <c r="A3994">
        <v>79095</v>
      </c>
      <c r="B3994" t="s">
        <v>10701</v>
      </c>
      <c r="C3994" t="s">
        <v>10702</v>
      </c>
      <c r="D3994" t="s">
        <v>2605</v>
      </c>
      <c r="E3994" t="s">
        <v>1273</v>
      </c>
      <c r="F3994" t="s">
        <v>2020</v>
      </c>
      <c r="G3994" t="s">
        <v>3198</v>
      </c>
      <c r="H3994">
        <v>4804780748</v>
      </c>
      <c r="K3994" t="s">
        <v>8343</v>
      </c>
      <c r="M3994" t="s">
        <v>1634</v>
      </c>
    </row>
    <row r="3995" spans="1:13" x14ac:dyDescent="0.25">
      <c r="A3995">
        <v>79233</v>
      </c>
      <c r="B3995" t="s">
        <v>662</v>
      </c>
      <c r="C3995" t="s">
        <v>10706</v>
      </c>
      <c r="D3995" t="s">
        <v>2596</v>
      </c>
      <c r="E3995" t="s">
        <v>1273</v>
      </c>
      <c r="F3995" t="s">
        <v>8300</v>
      </c>
      <c r="G3995" t="s">
        <v>8301</v>
      </c>
      <c r="H3995">
        <v>6029532933</v>
      </c>
      <c r="K3995" t="s">
        <v>8302</v>
      </c>
      <c r="M3995" t="s">
        <v>1634</v>
      </c>
    </row>
    <row r="3996" spans="1:13" x14ac:dyDescent="0.25">
      <c r="A3996">
        <v>79233</v>
      </c>
      <c r="B3996" t="s">
        <v>662</v>
      </c>
      <c r="C3996" t="s">
        <v>10706</v>
      </c>
      <c r="D3996" t="s">
        <v>2596</v>
      </c>
      <c r="E3996" t="s">
        <v>1273</v>
      </c>
      <c r="F3996" t="s">
        <v>1750</v>
      </c>
      <c r="G3996" t="s">
        <v>4537</v>
      </c>
      <c r="H3996">
        <v>6029532933</v>
      </c>
      <c r="K3996" t="s">
        <v>9071</v>
      </c>
      <c r="L3996" t="s">
        <v>1746</v>
      </c>
      <c r="M3996" t="s">
        <v>1634</v>
      </c>
    </row>
    <row r="3997" spans="1:13" x14ac:dyDescent="0.25">
      <c r="A3997">
        <v>79233</v>
      </c>
      <c r="B3997" t="s">
        <v>662</v>
      </c>
      <c r="C3997" t="s">
        <v>10706</v>
      </c>
      <c r="D3997" t="s">
        <v>2596</v>
      </c>
      <c r="E3997" t="s">
        <v>1273</v>
      </c>
      <c r="F3997" t="s">
        <v>3570</v>
      </c>
      <c r="G3997" t="s">
        <v>5188</v>
      </c>
      <c r="K3997" t="s">
        <v>8239</v>
      </c>
      <c r="L3997" t="s">
        <v>9637</v>
      </c>
      <c r="M3997" t="s">
        <v>1640</v>
      </c>
    </row>
    <row r="3998" spans="1:13" x14ac:dyDescent="0.25">
      <c r="A3998">
        <v>79233</v>
      </c>
      <c r="B3998" t="s">
        <v>662</v>
      </c>
      <c r="C3998" t="s">
        <v>10706</v>
      </c>
      <c r="D3998" t="s">
        <v>2596</v>
      </c>
      <c r="E3998" t="s">
        <v>1273</v>
      </c>
      <c r="F3998" t="s">
        <v>1848</v>
      </c>
      <c r="G3998" t="s">
        <v>2927</v>
      </c>
      <c r="K3998" t="s">
        <v>8243</v>
      </c>
      <c r="M3998" t="s">
        <v>1765</v>
      </c>
    </row>
    <row r="3999" spans="1:13" x14ac:dyDescent="0.25">
      <c r="A3999">
        <v>78851</v>
      </c>
      <c r="B3999" t="s">
        <v>662</v>
      </c>
      <c r="C3999" t="s">
        <v>10707</v>
      </c>
      <c r="D3999" t="s">
        <v>2605</v>
      </c>
      <c r="E3999" t="s">
        <v>1273</v>
      </c>
      <c r="F3999" t="s">
        <v>3570</v>
      </c>
      <c r="G3999" t="s">
        <v>5188</v>
      </c>
      <c r="K3999" t="s">
        <v>8727</v>
      </c>
      <c r="M3999" t="s">
        <v>1634</v>
      </c>
    </row>
    <row r="4000" spans="1:13" x14ac:dyDescent="0.25">
      <c r="A4000">
        <v>78851</v>
      </c>
      <c r="B4000" t="s">
        <v>662</v>
      </c>
      <c r="C4000" t="s">
        <v>10707</v>
      </c>
      <c r="D4000" t="s">
        <v>2605</v>
      </c>
      <c r="E4000" t="s">
        <v>1273</v>
      </c>
      <c r="F4000" t="s">
        <v>10708</v>
      </c>
      <c r="G4000" t="s">
        <v>10709</v>
      </c>
      <c r="K4000" t="s">
        <v>10710</v>
      </c>
      <c r="L4000" t="s">
        <v>10711</v>
      </c>
      <c r="M4000" t="s">
        <v>1634</v>
      </c>
    </row>
    <row r="4001" spans="1:13" x14ac:dyDescent="0.25">
      <c r="A4001">
        <v>78851</v>
      </c>
      <c r="B4001" t="s">
        <v>662</v>
      </c>
      <c r="C4001" t="s">
        <v>10707</v>
      </c>
      <c r="D4001" t="s">
        <v>2605</v>
      </c>
      <c r="E4001" t="s">
        <v>1273</v>
      </c>
      <c r="F4001" t="s">
        <v>3570</v>
      </c>
      <c r="G4001" t="s">
        <v>5188</v>
      </c>
      <c r="K4001" t="s">
        <v>8727</v>
      </c>
      <c r="M4001" t="s">
        <v>1640</v>
      </c>
    </row>
    <row r="4002" spans="1:13" x14ac:dyDescent="0.25">
      <c r="A4002">
        <v>78851</v>
      </c>
      <c r="B4002" t="s">
        <v>662</v>
      </c>
      <c r="C4002" t="s">
        <v>10707</v>
      </c>
      <c r="D4002" t="s">
        <v>2605</v>
      </c>
      <c r="E4002" t="s">
        <v>1273</v>
      </c>
      <c r="F4002" t="s">
        <v>2053</v>
      </c>
      <c r="G4002" t="s">
        <v>6310</v>
      </c>
      <c r="K4002" t="s">
        <v>9120</v>
      </c>
      <c r="L4002" t="s">
        <v>10712</v>
      </c>
      <c r="M4002" t="s">
        <v>1765</v>
      </c>
    </row>
    <row r="4003" spans="1:13" x14ac:dyDescent="0.25">
      <c r="A4003">
        <v>4368</v>
      </c>
      <c r="B4003" t="s">
        <v>10713</v>
      </c>
      <c r="C4003" t="s">
        <v>10714</v>
      </c>
      <c r="D4003" t="s">
        <v>1628</v>
      </c>
      <c r="E4003" t="s">
        <v>10715</v>
      </c>
      <c r="F4003" t="s">
        <v>2376</v>
      </c>
      <c r="G4003" t="s">
        <v>10716</v>
      </c>
      <c r="H4003">
        <v>9285056916</v>
      </c>
      <c r="J4003">
        <v>9285056999</v>
      </c>
      <c r="K4003" t="s">
        <v>10717</v>
      </c>
      <c r="M4003" t="s">
        <v>1634</v>
      </c>
    </row>
    <row r="4004" spans="1:13" x14ac:dyDescent="0.25">
      <c r="A4004">
        <v>4368</v>
      </c>
      <c r="B4004" t="s">
        <v>10713</v>
      </c>
      <c r="C4004" t="s">
        <v>10714</v>
      </c>
      <c r="D4004" t="s">
        <v>1628</v>
      </c>
      <c r="E4004" t="s">
        <v>10715</v>
      </c>
      <c r="F4004" t="s">
        <v>1775</v>
      </c>
      <c r="G4004" t="s">
        <v>10121</v>
      </c>
      <c r="H4004">
        <v>9285056937</v>
      </c>
      <c r="K4004" t="s">
        <v>10718</v>
      </c>
      <c r="L4004" t="s">
        <v>1647</v>
      </c>
      <c r="M4004" t="s">
        <v>1634</v>
      </c>
    </row>
    <row r="4005" spans="1:13" x14ac:dyDescent="0.25">
      <c r="A4005">
        <v>4368</v>
      </c>
      <c r="B4005" t="s">
        <v>10713</v>
      </c>
      <c r="C4005" t="s">
        <v>10714</v>
      </c>
      <c r="D4005" t="s">
        <v>1628</v>
      </c>
      <c r="E4005" t="s">
        <v>10715</v>
      </c>
      <c r="F4005" t="s">
        <v>4167</v>
      </c>
      <c r="G4005" t="s">
        <v>2356</v>
      </c>
      <c r="H4005">
        <v>9285056900</v>
      </c>
      <c r="K4005" t="s">
        <v>10719</v>
      </c>
      <c r="L4005" t="s">
        <v>1668</v>
      </c>
      <c r="M4005" t="s">
        <v>1634</v>
      </c>
    </row>
    <row r="4006" spans="1:13" x14ac:dyDescent="0.25">
      <c r="A4006">
        <v>5559</v>
      </c>
      <c r="B4006" t="s">
        <v>10720</v>
      </c>
      <c r="C4006" t="s">
        <v>10721</v>
      </c>
      <c r="D4006" t="s">
        <v>1643</v>
      </c>
      <c r="E4006" t="s">
        <v>10715</v>
      </c>
    </row>
    <row r="4007" spans="1:13" x14ac:dyDescent="0.25">
      <c r="A4007">
        <v>5560</v>
      </c>
      <c r="B4007" t="s">
        <v>10722</v>
      </c>
      <c r="C4007" t="s">
        <v>10723</v>
      </c>
      <c r="D4007" t="s">
        <v>1643</v>
      </c>
      <c r="E4007" t="s">
        <v>10715</v>
      </c>
    </row>
    <row r="4008" spans="1:13" x14ac:dyDescent="0.25">
      <c r="A4008">
        <v>5561</v>
      </c>
      <c r="B4008" t="s">
        <v>10724</v>
      </c>
      <c r="C4008" t="s">
        <v>10725</v>
      </c>
      <c r="D4008" t="s">
        <v>1643</v>
      </c>
      <c r="E4008" t="s">
        <v>10715</v>
      </c>
      <c r="F4008" t="s">
        <v>2429</v>
      </c>
      <c r="G4008" t="s">
        <v>3233</v>
      </c>
      <c r="H4008">
        <v>9285056040</v>
      </c>
      <c r="K4008" t="s">
        <v>10726</v>
      </c>
      <c r="L4008" t="s">
        <v>1647</v>
      </c>
      <c r="M4008" t="s">
        <v>1634</v>
      </c>
    </row>
    <row r="4009" spans="1:13" x14ac:dyDescent="0.25">
      <c r="A4009">
        <v>5562</v>
      </c>
      <c r="B4009" t="s">
        <v>10727</v>
      </c>
      <c r="C4009" t="s">
        <v>10728</v>
      </c>
      <c r="D4009" t="s">
        <v>1643</v>
      </c>
      <c r="E4009" t="s">
        <v>10715</v>
      </c>
      <c r="F4009" t="s">
        <v>3075</v>
      </c>
      <c r="G4009" t="s">
        <v>10729</v>
      </c>
      <c r="H4009">
        <v>9285051495</v>
      </c>
      <c r="K4009" t="s">
        <v>10730</v>
      </c>
      <c r="L4009" t="s">
        <v>1647</v>
      </c>
      <c r="M4009" t="s">
        <v>1634</v>
      </c>
    </row>
    <row r="4010" spans="1:13" x14ac:dyDescent="0.25">
      <c r="A4010">
        <v>5563</v>
      </c>
      <c r="B4010" t="s">
        <v>10731</v>
      </c>
      <c r="C4010" t="s">
        <v>10732</v>
      </c>
      <c r="D4010" t="s">
        <v>1643</v>
      </c>
      <c r="E4010" t="s">
        <v>10715</v>
      </c>
    </row>
    <row r="4011" spans="1:13" x14ac:dyDescent="0.25">
      <c r="A4011">
        <v>5564</v>
      </c>
      <c r="B4011" t="s">
        <v>10733</v>
      </c>
      <c r="C4011" t="s">
        <v>10734</v>
      </c>
      <c r="D4011" t="s">
        <v>1643</v>
      </c>
      <c r="E4011" t="s">
        <v>10715</v>
      </c>
    </row>
    <row r="4012" spans="1:13" x14ac:dyDescent="0.25">
      <c r="A4012">
        <v>78979</v>
      </c>
      <c r="B4012" t="s">
        <v>10735</v>
      </c>
      <c r="C4012" t="s">
        <v>10736</v>
      </c>
      <c r="D4012" t="s">
        <v>1643</v>
      </c>
      <c r="E4012" t="s">
        <v>10715</v>
      </c>
      <c r="F4012" t="s">
        <v>2335</v>
      </c>
      <c r="G4012" t="s">
        <v>10737</v>
      </c>
      <c r="H4012">
        <v>9288547281</v>
      </c>
      <c r="K4012" t="s">
        <v>10738</v>
      </c>
      <c r="L4012" t="s">
        <v>1647</v>
      </c>
      <c r="M4012" t="s">
        <v>1634</v>
      </c>
    </row>
    <row r="4013" spans="1:13" x14ac:dyDescent="0.25">
      <c r="A4013">
        <v>5565</v>
      </c>
      <c r="B4013" t="s">
        <v>10739</v>
      </c>
      <c r="C4013" t="s">
        <v>10740</v>
      </c>
      <c r="D4013" t="s">
        <v>1643</v>
      </c>
      <c r="E4013" t="s">
        <v>10715</v>
      </c>
      <c r="F4013" t="s">
        <v>1690</v>
      </c>
      <c r="G4013" t="s">
        <v>2485</v>
      </c>
      <c r="H4013">
        <v>9288545320</v>
      </c>
      <c r="K4013" t="s">
        <v>10741</v>
      </c>
      <c r="L4013" t="s">
        <v>1647</v>
      </c>
      <c r="M4013" t="s">
        <v>1634</v>
      </c>
    </row>
    <row r="4014" spans="1:13" x14ac:dyDescent="0.25">
      <c r="A4014">
        <v>85839</v>
      </c>
      <c r="B4014" t="s">
        <v>10742</v>
      </c>
      <c r="C4014" t="s">
        <v>10743</v>
      </c>
      <c r="D4014" t="s">
        <v>1643</v>
      </c>
      <c r="E4014" t="s">
        <v>10715</v>
      </c>
      <c r="F4014" t="s">
        <v>1690</v>
      </c>
      <c r="G4014" t="s">
        <v>2485</v>
      </c>
      <c r="H4014">
        <v>9285056911</v>
      </c>
      <c r="J4014">
        <v>9285056999</v>
      </c>
      <c r="K4014" t="s">
        <v>10741</v>
      </c>
      <c r="L4014" t="s">
        <v>1647</v>
      </c>
      <c r="M4014" t="s">
        <v>1634</v>
      </c>
    </row>
    <row r="4015" spans="1:13" x14ac:dyDescent="0.25">
      <c r="A4015">
        <v>4369</v>
      </c>
      <c r="B4015" t="s">
        <v>371</v>
      </c>
      <c r="C4015" t="s">
        <v>10744</v>
      </c>
      <c r="D4015" t="s">
        <v>1628</v>
      </c>
      <c r="E4015" t="s">
        <v>10715</v>
      </c>
      <c r="F4015" t="s">
        <v>7538</v>
      </c>
      <c r="G4015" t="s">
        <v>2331</v>
      </c>
      <c r="H4015">
        <v>9287692202</v>
      </c>
      <c r="K4015" t="s">
        <v>10745</v>
      </c>
      <c r="L4015" t="s">
        <v>10746</v>
      </c>
      <c r="M4015" t="s">
        <v>1634</v>
      </c>
    </row>
    <row r="4016" spans="1:13" x14ac:dyDescent="0.25">
      <c r="A4016">
        <v>4369</v>
      </c>
      <c r="B4016" t="s">
        <v>371</v>
      </c>
      <c r="C4016" t="s">
        <v>10744</v>
      </c>
      <c r="D4016" t="s">
        <v>1628</v>
      </c>
      <c r="E4016" t="s">
        <v>10715</v>
      </c>
      <c r="F4016" t="s">
        <v>10747</v>
      </c>
      <c r="G4016" t="s">
        <v>10748</v>
      </c>
      <c r="H4016">
        <v>9287692202</v>
      </c>
      <c r="K4016" t="s">
        <v>10749</v>
      </c>
      <c r="L4016" t="s">
        <v>10750</v>
      </c>
      <c r="M4016" t="s">
        <v>1640</v>
      </c>
    </row>
    <row r="4017" spans="1:13" x14ac:dyDescent="0.25">
      <c r="A4017">
        <v>4369</v>
      </c>
      <c r="B4017" t="s">
        <v>371</v>
      </c>
      <c r="C4017" t="s">
        <v>10744</v>
      </c>
      <c r="D4017" t="s">
        <v>1628</v>
      </c>
      <c r="E4017" t="s">
        <v>10715</v>
      </c>
      <c r="F4017" t="s">
        <v>7538</v>
      </c>
      <c r="G4017" t="s">
        <v>2331</v>
      </c>
      <c r="H4017">
        <v>9287692202</v>
      </c>
      <c r="K4017" t="s">
        <v>10745</v>
      </c>
      <c r="L4017" t="s">
        <v>10746</v>
      </c>
      <c r="M4017" t="s">
        <v>1640</v>
      </c>
    </row>
    <row r="4018" spans="1:13" x14ac:dyDescent="0.25">
      <c r="A4018">
        <v>5566</v>
      </c>
      <c r="B4018" t="s">
        <v>372</v>
      </c>
      <c r="C4018" t="s">
        <v>10751</v>
      </c>
      <c r="D4018" t="s">
        <v>1643</v>
      </c>
      <c r="E4018" t="s">
        <v>10715</v>
      </c>
      <c r="F4018" t="s">
        <v>4486</v>
      </c>
      <c r="G4018" t="s">
        <v>10752</v>
      </c>
      <c r="K4018" t="s">
        <v>10753</v>
      </c>
      <c r="L4018" t="s">
        <v>1647</v>
      </c>
      <c r="M4018" t="s">
        <v>1634</v>
      </c>
    </row>
    <row r="4019" spans="1:13" x14ac:dyDescent="0.25">
      <c r="A4019">
        <v>4374</v>
      </c>
      <c r="B4019" t="s">
        <v>10754</v>
      </c>
      <c r="C4019" t="s">
        <v>10755</v>
      </c>
      <c r="D4019" t="s">
        <v>1628</v>
      </c>
      <c r="E4019" t="s">
        <v>10715</v>
      </c>
      <c r="F4019" t="s">
        <v>10756</v>
      </c>
      <c r="G4019" t="s">
        <v>10757</v>
      </c>
      <c r="H4019">
        <v>9283475252</v>
      </c>
      <c r="K4019" t="s">
        <v>10758</v>
      </c>
      <c r="L4019" t="s">
        <v>10759</v>
      </c>
      <c r="M4019" t="s">
        <v>1634</v>
      </c>
    </row>
    <row r="4020" spans="1:13" x14ac:dyDescent="0.25">
      <c r="A4020">
        <v>4374</v>
      </c>
      <c r="B4020" t="s">
        <v>10754</v>
      </c>
      <c r="C4020" t="s">
        <v>10755</v>
      </c>
      <c r="D4020" t="s">
        <v>1628</v>
      </c>
      <c r="E4020" t="s">
        <v>10715</v>
      </c>
      <c r="F4020" t="s">
        <v>3758</v>
      </c>
      <c r="G4020" t="s">
        <v>10760</v>
      </c>
      <c r="H4020">
        <v>9283475252</v>
      </c>
      <c r="K4020" t="s">
        <v>10761</v>
      </c>
      <c r="L4020" t="s">
        <v>1668</v>
      </c>
      <c r="M4020" t="s">
        <v>1634</v>
      </c>
    </row>
    <row r="4021" spans="1:13" x14ac:dyDescent="0.25">
      <c r="A4021">
        <v>4374</v>
      </c>
      <c r="B4021" t="s">
        <v>10754</v>
      </c>
      <c r="C4021" t="s">
        <v>10755</v>
      </c>
      <c r="D4021" t="s">
        <v>1628</v>
      </c>
      <c r="E4021" t="s">
        <v>10715</v>
      </c>
      <c r="F4021" t="s">
        <v>1761</v>
      </c>
      <c r="G4021" t="s">
        <v>10762</v>
      </c>
      <c r="I4021">
        <v>3228</v>
      </c>
      <c r="J4021">
        <v>9283475795</v>
      </c>
      <c r="K4021" t="s">
        <v>10763</v>
      </c>
      <c r="L4021" t="s">
        <v>1640</v>
      </c>
      <c r="M4021" t="s">
        <v>1640</v>
      </c>
    </row>
    <row r="4022" spans="1:13" x14ac:dyDescent="0.25">
      <c r="A4022">
        <v>5579</v>
      </c>
      <c r="B4022" t="s">
        <v>10764</v>
      </c>
      <c r="C4022" t="s">
        <v>10765</v>
      </c>
      <c r="D4022" t="s">
        <v>1643</v>
      </c>
      <c r="E4022" t="s">
        <v>10715</v>
      </c>
      <c r="F4022" t="s">
        <v>6942</v>
      </c>
      <c r="G4022" t="s">
        <v>3472</v>
      </c>
      <c r="K4022" t="s">
        <v>10766</v>
      </c>
      <c r="L4022" t="s">
        <v>1647</v>
      </c>
      <c r="M4022" t="s">
        <v>1634</v>
      </c>
    </row>
    <row r="4023" spans="1:13" x14ac:dyDescent="0.25">
      <c r="A4023">
        <v>5579</v>
      </c>
      <c r="B4023" t="s">
        <v>10764</v>
      </c>
      <c r="C4023" t="s">
        <v>10765</v>
      </c>
      <c r="D4023" t="s">
        <v>1643</v>
      </c>
      <c r="E4023" t="s">
        <v>10715</v>
      </c>
      <c r="F4023" t="s">
        <v>1761</v>
      </c>
      <c r="G4023" t="s">
        <v>10762</v>
      </c>
      <c r="K4023" t="s">
        <v>10763</v>
      </c>
      <c r="L4023" t="s">
        <v>1640</v>
      </c>
      <c r="M4023" t="s">
        <v>1640</v>
      </c>
    </row>
    <row r="4024" spans="1:13" x14ac:dyDescent="0.25">
      <c r="A4024">
        <v>85821</v>
      </c>
      <c r="B4024" t="s">
        <v>10767</v>
      </c>
      <c r="C4024" t="s">
        <v>10768</v>
      </c>
      <c r="D4024" t="s">
        <v>1643</v>
      </c>
      <c r="E4024" t="s">
        <v>10715</v>
      </c>
      <c r="F4024" t="s">
        <v>2082</v>
      </c>
      <c r="G4024" t="s">
        <v>1994</v>
      </c>
      <c r="K4024" t="s">
        <v>10769</v>
      </c>
      <c r="L4024" t="s">
        <v>1647</v>
      </c>
      <c r="M4024" t="s">
        <v>1634</v>
      </c>
    </row>
    <row r="4025" spans="1:13" x14ac:dyDescent="0.25">
      <c r="A4025">
        <v>85821</v>
      </c>
      <c r="B4025" t="s">
        <v>10767</v>
      </c>
      <c r="C4025" t="s">
        <v>10768</v>
      </c>
      <c r="D4025" t="s">
        <v>1643</v>
      </c>
      <c r="E4025" t="s">
        <v>10715</v>
      </c>
      <c r="F4025" t="s">
        <v>1775</v>
      </c>
      <c r="G4025" t="s">
        <v>7616</v>
      </c>
      <c r="H4025">
        <v>9283475486</v>
      </c>
      <c r="K4025" t="s">
        <v>10770</v>
      </c>
      <c r="L4025" t="s">
        <v>1668</v>
      </c>
      <c r="M4025" t="s">
        <v>1634</v>
      </c>
    </row>
    <row r="4026" spans="1:13" x14ac:dyDescent="0.25">
      <c r="A4026">
        <v>4370</v>
      </c>
      <c r="B4026" t="s">
        <v>10771</v>
      </c>
      <c r="C4026" t="s">
        <v>10772</v>
      </c>
      <c r="D4026" t="s">
        <v>1628</v>
      </c>
      <c r="E4026" t="s">
        <v>10715</v>
      </c>
      <c r="F4026" t="s">
        <v>3456</v>
      </c>
      <c r="G4026" t="s">
        <v>10773</v>
      </c>
      <c r="I4026">
        <v>21741</v>
      </c>
      <c r="J4026">
        <v>9288758066</v>
      </c>
      <c r="K4026" t="s">
        <v>10774</v>
      </c>
      <c r="L4026" t="s">
        <v>1668</v>
      </c>
      <c r="M4026" t="s">
        <v>1634</v>
      </c>
    </row>
    <row r="4027" spans="1:13" x14ac:dyDescent="0.25">
      <c r="A4027">
        <v>4370</v>
      </c>
      <c r="B4027" t="s">
        <v>10771</v>
      </c>
      <c r="C4027" t="s">
        <v>10772</v>
      </c>
      <c r="D4027" t="s">
        <v>1628</v>
      </c>
      <c r="E4027" t="s">
        <v>10715</v>
      </c>
      <c r="F4027" t="s">
        <v>10775</v>
      </c>
      <c r="G4027" t="s">
        <v>10776</v>
      </c>
      <c r="H4027">
        <v>9287681665</v>
      </c>
      <c r="K4027" t="s">
        <v>10777</v>
      </c>
      <c r="L4027" t="s">
        <v>3609</v>
      </c>
      <c r="M4027" t="s">
        <v>1634</v>
      </c>
    </row>
    <row r="4028" spans="1:13" x14ac:dyDescent="0.25">
      <c r="A4028">
        <v>4370</v>
      </c>
      <c r="B4028" t="s">
        <v>10771</v>
      </c>
      <c r="C4028" t="s">
        <v>10772</v>
      </c>
      <c r="D4028" t="s">
        <v>1628</v>
      </c>
      <c r="E4028" t="s">
        <v>10715</v>
      </c>
      <c r="F4028" t="s">
        <v>2053</v>
      </c>
      <c r="G4028" t="s">
        <v>10773</v>
      </c>
      <c r="H4028">
        <v>9288759025</v>
      </c>
      <c r="J4028">
        <v>9288758066</v>
      </c>
      <c r="K4028" t="s">
        <v>10778</v>
      </c>
      <c r="L4028" t="s">
        <v>1640</v>
      </c>
      <c r="M4028" t="s">
        <v>1640</v>
      </c>
    </row>
    <row r="4029" spans="1:13" x14ac:dyDescent="0.25">
      <c r="A4029">
        <v>5567</v>
      </c>
      <c r="B4029" t="s">
        <v>10779</v>
      </c>
      <c r="C4029" t="s">
        <v>10780</v>
      </c>
      <c r="D4029" t="s">
        <v>1643</v>
      </c>
      <c r="E4029" t="s">
        <v>10715</v>
      </c>
      <c r="F4029" t="s">
        <v>3456</v>
      </c>
      <c r="G4029" t="s">
        <v>10773</v>
      </c>
      <c r="J4029">
        <v>9288758066</v>
      </c>
      <c r="K4029" t="s">
        <v>10774</v>
      </c>
      <c r="L4029" t="s">
        <v>1647</v>
      </c>
      <c r="M4029" t="s">
        <v>1634</v>
      </c>
    </row>
    <row r="4030" spans="1:13" x14ac:dyDescent="0.25">
      <c r="A4030">
        <v>92635</v>
      </c>
      <c r="B4030" t="s">
        <v>10781</v>
      </c>
      <c r="C4030" t="s">
        <v>10782</v>
      </c>
      <c r="D4030" t="s">
        <v>1643</v>
      </c>
      <c r="E4030" t="s">
        <v>10715</v>
      </c>
    </row>
    <row r="4031" spans="1:13" x14ac:dyDescent="0.25">
      <c r="A4031">
        <v>79598</v>
      </c>
      <c r="B4031" t="s">
        <v>351</v>
      </c>
      <c r="C4031" t="s">
        <v>10783</v>
      </c>
      <c r="D4031" t="s">
        <v>1628</v>
      </c>
      <c r="E4031" t="s">
        <v>10715</v>
      </c>
      <c r="F4031" t="s">
        <v>4566</v>
      </c>
      <c r="G4031" t="s">
        <v>10784</v>
      </c>
      <c r="H4031">
        <v>9287535678</v>
      </c>
      <c r="K4031" t="s">
        <v>10785</v>
      </c>
      <c r="L4031" t="s">
        <v>1668</v>
      </c>
      <c r="M4031" t="s">
        <v>1634</v>
      </c>
    </row>
    <row r="4032" spans="1:13" x14ac:dyDescent="0.25">
      <c r="A4032">
        <v>79598</v>
      </c>
      <c r="B4032" t="s">
        <v>351</v>
      </c>
      <c r="C4032" t="s">
        <v>10783</v>
      </c>
      <c r="D4032" t="s">
        <v>1628</v>
      </c>
      <c r="E4032" t="s">
        <v>10715</v>
      </c>
      <c r="F4032" t="s">
        <v>5432</v>
      </c>
      <c r="G4032" t="s">
        <v>10786</v>
      </c>
      <c r="H4032">
        <v>9285659111</v>
      </c>
      <c r="K4032" t="s">
        <v>10787</v>
      </c>
      <c r="L4032" t="s">
        <v>10788</v>
      </c>
      <c r="M4032" t="s">
        <v>1634</v>
      </c>
    </row>
    <row r="4033" spans="1:13" x14ac:dyDescent="0.25">
      <c r="A4033">
        <v>79598</v>
      </c>
      <c r="B4033" t="s">
        <v>351</v>
      </c>
      <c r="C4033" t="s">
        <v>10783</v>
      </c>
      <c r="D4033" t="s">
        <v>1628</v>
      </c>
      <c r="E4033" t="s">
        <v>10715</v>
      </c>
      <c r="F4033" t="s">
        <v>2814</v>
      </c>
      <c r="G4033" t="s">
        <v>10789</v>
      </c>
      <c r="H4033">
        <v>9287186000</v>
      </c>
      <c r="I4033">
        <v>928</v>
      </c>
      <c r="K4033" t="s">
        <v>10790</v>
      </c>
      <c r="L4033" t="s">
        <v>1738</v>
      </c>
      <c r="M4033" t="s">
        <v>1634</v>
      </c>
    </row>
    <row r="4034" spans="1:13" x14ac:dyDescent="0.25">
      <c r="A4034">
        <v>79598</v>
      </c>
      <c r="B4034" t="s">
        <v>351</v>
      </c>
      <c r="C4034" t="s">
        <v>10783</v>
      </c>
      <c r="D4034" t="s">
        <v>1628</v>
      </c>
      <c r="E4034" t="s">
        <v>10715</v>
      </c>
      <c r="F4034" t="s">
        <v>3884</v>
      </c>
      <c r="G4034" t="s">
        <v>10791</v>
      </c>
      <c r="H4034">
        <v>9287535678</v>
      </c>
      <c r="I4034">
        <v>2100</v>
      </c>
      <c r="K4034" t="s">
        <v>10792</v>
      </c>
      <c r="L4034" t="s">
        <v>6355</v>
      </c>
      <c r="M4034" t="s">
        <v>1634</v>
      </c>
    </row>
    <row r="4035" spans="1:13" x14ac:dyDescent="0.25">
      <c r="A4035">
        <v>79598</v>
      </c>
      <c r="B4035" t="s">
        <v>351</v>
      </c>
      <c r="C4035" t="s">
        <v>10783</v>
      </c>
      <c r="D4035" t="s">
        <v>1628</v>
      </c>
      <c r="E4035" t="s">
        <v>10715</v>
      </c>
      <c r="F4035" t="s">
        <v>10793</v>
      </c>
      <c r="G4035" t="s">
        <v>2488</v>
      </c>
      <c r="H4035">
        <v>9287535678</v>
      </c>
      <c r="K4035" t="s">
        <v>10794</v>
      </c>
      <c r="L4035" t="s">
        <v>1640</v>
      </c>
      <c r="M4035" t="s">
        <v>1640</v>
      </c>
    </row>
    <row r="4036" spans="1:13" x14ac:dyDescent="0.25">
      <c r="A4036">
        <v>79598</v>
      </c>
      <c r="B4036" t="s">
        <v>351</v>
      </c>
      <c r="C4036" t="s">
        <v>10783</v>
      </c>
      <c r="D4036" t="s">
        <v>1628</v>
      </c>
      <c r="E4036" t="s">
        <v>10715</v>
      </c>
      <c r="F4036" t="s">
        <v>10795</v>
      </c>
      <c r="G4036" t="s">
        <v>2927</v>
      </c>
      <c r="H4036">
        <v>9287535678</v>
      </c>
      <c r="K4036" t="s">
        <v>10796</v>
      </c>
      <c r="L4036" t="s">
        <v>1800</v>
      </c>
      <c r="M4036" t="s">
        <v>1765</v>
      </c>
    </row>
    <row r="4037" spans="1:13" x14ac:dyDescent="0.25">
      <c r="A4037">
        <v>79598</v>
      </c>
      <c r="B4037" t="s">
        <v>351</v>
      </c>
      <c r="C4037" t="s">
        <v>10783</v>
      </c>
      <c r="D4037" t="s">
        <v>1628</v>
      </c>
      <c r="E4037" t="s">
        <v>10715</v>
      </c>
      <c r="F4037" t="s">
        <v>2229</v>
      </c>
      <c r="G4037" t="s">
        <v>10797</v>
      </c>
      <c r="H4037">
        <v>9287535678</v>
      </c>
      <c r="J4037">
        <v>9287536910</v>
      </c>
      <c r="K4037" t="s">
        <v>10798</v>
      </c>
      <c r="L4037" t="s">
        <v>10799</v>
      </c>
      <c r="M4037" t="s">
        <v>1765</v>
      </c>
    </row>
    <row r="4038" spans="1:13" x14ac:dyDescent="0.25">
      <c r="A4038">
        <v>79598</v>
      </c>
      <c r="B4038" t="s">
        <v>351</v>
      </c>
      <c r="C4038" t="s">
        <v>10783</v>
      </c>
      <c r="D4038" t="s">
        <v>1628</v>
      </c>
      <c r="E4038" t="s">
        <v>10715</v>
      </c>
      <c r="F4038" t="s">
        <v>4416</v>
      </c>
      <c r="G4038" t="s">
        <v>10800</v>
      </c>
      <c r="H4038">
        <v>9286926480</v>
      </c>
      <c r="K4038" t="s">
        <v>10801</v>
      </c>
      <c r="L4038" t="s">
        <v>1765</v>
      </c>
      <c r="M4038" t="s">
        <v>1765</v>
      </c>
    </row>
    <row r="4039" spans="1:13" x14ac:dyDescent="0.25">
      <c r="A4039">
        <v>79598</v>
      </c>
      <c r="B4039" t="s">
        <v>351</v>
      </c>
      <c r="C4039" t="s">
        <v>10783</v>
      </c>
      <c r="D4039" t="s">
        <v>1628</v>
      </c>
      <c r="E4039" t="s">
        <v>10715</v>
      </c>
      <c r="F4039" t="s">
        <v>1726</v>
      </c>
      <c r="G4039" t="s">
        <v>10802</v>
      </c>
      <c r="H4039">
        <v>9287536197</v>
      </c>
      <c r="K4039" t="s">
        <v>10803</v>
      </c>
      <c r="L4039" t="s">
        <v>1765</v>
      </c>
      <c r="M4039" t="s">
        <v>1765</v>
      </c>
    </row>
    <row r="4040" spans="1:13" x14ac:dyDescent="0.25">
      <c r="A4040">
        <v>79598</v>
      </c>
      <c r="B4040" t="s">
        <v>351</v>
      </c>
      <c r="C4040" t="s">
        <v>10783</v>
      </c>
      <c r="D4040" t="s">
        <v>1628</v>
      </c>
      <c r="E4040" t="s">
        <v>10715</v>
      </c>
      <c r="F4040" t="s">
        <v>2348</v>
      </c>
      <c r="G4040" t="s">
        <v>10804</v>
      </c>
      <c r="H4040">
        <v>9287536197</v>
      </c>
      <c r="K4040" t="s">
        <v>10805</v>
      </c>
      <c r="L4040" t="s">
        <v>1765</v>
      </c>
      <c r="M4040" t="s">
        <v>1765</v>
      </c>
    </row>
    <row r="4041" spans="1:13" x14ac:dyDescent="0.25">
      <c r="A4041">
        <v>5571</v>
      </c>
      <c r="B4041" t="s">
        <v>10806</v>
      </c>
      <c r="C4041" t="s">
        <v>10807</v>
      </c>
      <c r="D4041" t="s">
        <v>1643</v>
      </c>
      <c r="E4041" t="s">
        <v>10715</v>
      </c>
      <c r="F4041" t="s">
        <v>2204</v>
      </c>
      <c r="G4041" t="s">
        <v>10808</v>
      </c>
      <c r="K4041" t="s">
        <v>10809</v>
      </c>
      <c r="M4041" t="s">
        <v>1634</v>
      </c>
    </row>
    <row r="4042" spans="1:13" x14ac:dyDescent="0.25">
      <c r="A4042">
        <v>5571</v>
      </c>
      <c r="B4042" t="s">
        <v>10806</v>
      </c>
      <c r="C4042" t="s">
        <v>10807</v>
      </c>
      <c r="D4042" t="s">
        <v>1643</v>
      </c>
      <c r="E4042" t="s">
        <v>10715</v>
      </c>
      <c r="F4042" t="s">
        <v>1761</v>
      </c>
      <c r="G4042" t="s">
        <v>10810</v>
      </c>
      <c r="M4042" t="s">
        <v>1634</v>
      </c>
    </row>
    <row r="4043" spans="1:13" x14ac:dyDescent="0.25">
      <c r="A4043">
        <v>5571</v>
      </c>
      <c r="B4043" t="s">
        <v>10806</v>
      </c>
      <c r="C4043" t="s">
        <v>10807</v>
      </c>
      <c r="D4043" t="s">
        <v>1643</v>
      </c>
      <c r="E4043" t="s">
        <v>10715</v>
      </c>
      <c r="F4043" t="s">
        <v>3178</v>
      </c>
      <c r="G4043" t="s">
        <v>10811</v>
      </c>
      <c r="H4043">
        <v>9287531919</v>
      </c>
      <c r="K4043" t="s">
        <v>10812</v>
      </c>
      <c r="L4043" t="s">
        <v>1647</v>
      </c>
      <c r="M4043" t="s">
        <v>1634</v>
      </c>
    </row>
    <row r="4044" spans="1:13" x14ac:dyDescent="0.25">
      <c r="A4044">
        <v>5572</v>
      </c>
      <c r="B4044" t="s">
        <v>10813</v>
      </c>
      <c r="C4044" t="s">
        <v>10814</v>
      </c>
      <c r="D4044" t="s">
        <v>1643</v>
      </c>
      <c r="E4044" t="s">
        <v>10715</v>
      </c>
      <c r="F4044" t="s">
        <v>2521</v>
      </c>
      <c r="G4044" t="s">
        <v>10815</v>
      </c>
      <c r="H4044">
        <v>9287574328</v>
      </c>
      <c r="J4044">
        <v>9287577537</v>
      </c>
      <c r="K4044" t="s">
        <v>10816</v>
      </c>
      <c r="L4044" t="s">
        <v>1647</v>
      </c>
      <c r="M4044" t="s">
        <v>1634</v>
      </c>
    </row>
    <row r="4045" spans="1:13" x14ac:dyDescent="0.25">
      <c r="A4045">
        <v>5572</v>
      </c>
      <c r="B4045" t="s">
        <v>10813</v>
      </c>
      <c r="C4045" t="s">
        <v>10814</v>
      </c>
      <c r="D4045" t="s">
        <v>1643</v>
      </c>
      <c r="E4045" t="s">
        <v>10715</v>
      </c>
      <c r="F4045" t="s">
        <v>3884</v>
      </c>
      <c r="G4045" t="s">
        <v>10791</v>
      </c>
      <c r="K4045" t="s">
        <v>10792</v>
      </c>
      <c r="L4045" t="s">
        <v>1738</v>
      </c>
      <c r="M4045" t="s">
        <v>1640</v>
      </c>
    </row>
    <row r="4046" spans="1:13" x14ac:dyDescent="0.25">
      <c r="A4046">
        <v>5573</v>
      </c>
      <c r="B4046" t="s">
        <v>10817</v>
      </c>
      <c r="C4046" t="s">
        <v>10818</v>
      </c>
      <c r="D4046" t="s">
        <v>1643</v>
      </c>
      <c r="E4046" t="s">
        <v>10715</v>
      </c>
      <c r="F4046" t="s">
        <v>10819</v>
      </c>
      <c r="G4046" t="s">
        <v>10820</v>
      </c>
      <c r="K4046" t="s">
        <v>10821</v>
      </c>
      <c r="L4046" t="s">
        <v>1647</v>
      </c>
      <c r="M4046" t="s">
        <v>1634</v>
      </c>
    </row>
    <row r="4047" spans="1:13" x14ac:dyDescent="0.25">
      <c r="A4047">
        <v>5573</v>
      </c>
      <c r="B4047" t="s">
        <v>10817</v>
      </c>
      <c r="C4047" t="s">
        <v>10818</v>
      </c>
      <c r="D4047" t="s">
        <v>1643</v>
      </c>
      <c r="E4047" t="s">
        <v>10715</v>
      </c>
      <c r="F4047" t="s">
        <v>7988</v>
      </c>
      <c r="G4047" t="s">
        <v>7989</v>
      </c>
      <c r="K4047" t="s">
        <v>10822</v>
      </c>
      <c r="L4047" t="s">
        <v>1647</v>
      </c>
      <c r="M4047" t="s">
        <v>1634</v>
      </c>
    </row>
    <row r="4048" spans="1:13" x14ac:dyDescent="0.25">
      <c r="A4048">
        <v>5573</v>
      </c>
      <c r="B4048" t="s">
        <v>10817</v>
      </c>
      <c r="C4048" t="s">
        <v>10818</v>
      </c>
      <c r="D4048" t="s">
        <v>1643</v>
      </c>
      <c r="E4048" t="s">
        <v>10715</v>
      </c>
      <c r="F4048" t="s">
        <v>2794</v>
      </c>
      <c r="G4048" t="s">
        <v>10823</v>
      </c>
      <c r="L4048" t="s">
        <v>1647</v>
      </c>
      <c r="M4048" t="s">
        <v>1634</v>
      </c>
    </row>
    <row r="4049" spans="1:13" x14ac:dyDescent="0.25">
      <c r="A4049">
        <v>5573</v>
      </c>
      <c r="B4049" t="s">
        <v>10817</v>
      </c>
      <c r="C4049" t="s">
        <v>10818</v>
      </c>
      <c r="D4049" t="s">
        <v>1643</v>
      </c>
      <c r="E4049" t="s">
        <v>10715</v>
      </c>
      <c r="F4049" t="s">
        <v>4638</v>
      </c>
      <c r="G4049" t="s">
        <v>8036</v>
      </c>
      <c r="M4049" t="s">
        <v>1640</v>
      </c>
    </row>
    <row r="4050" spans="1:13" x14ac:dyDescent="0.25">
      <c r="A4050">
        <v>5575</v>
      </c>
      <c r="B4050" t="s">
        <v>520</v>
      </c>
      <c r="C4050" t="s">
        <v>10824</v>
      </c>
      <c r="D4050" t="s">
        <v>1643</v>
      </c>
      <c r="E4050" t="s">
        <v>10715</v>
      </c>
      <c r="F4050" t="s">
        <v>3178</v>
      </c>
      <c r="G4050" t="s">
        <v>10811</v>
      </c>
      <c r="H4050">
        <v>9287533588</v>
      </c>
      <c r="J4050">
        <v>9287531336</v>
      </c>
      <c r="K4050" t="s">
        <v>10812</v>
      </c>
      <c r="L4050" t="s">
        <v>1647</v>
      </c>
      <c r="M4050" t="s">
        <v>1634</v>
      </c>
    </row>
    <row r="4051" spans="1:13" x14ac:dyDescent="0.25">
      <c r="A4051">
        <v>5575</v>
      </c>
      <c r="B4051" t="s">
        <v>520</v>
      </c>
      <c r="C4051" t="s">
        <v>10824</v>
      </c>
      <c r="D4051" t="s">
        <v>1643</v>
      </c>
      <c r="E4051" t="s">
        <v>10715</v>
      </c>
      <c r="F4051" t="s">
        <v>1787</v>
      </c>
      <c r="G4051" t="s">
        <v>10825</v>
      </c>
      <c r="H4051">
        <v>9287533588</v>
      </c>
      <c r="K4051" t="s">
        <v>10826</v>
      </c>
      <c r="L4051" t="s">
        <v>1647</v>
      </c>
      <c r="M4051" t="s">
        <v>1634</v>
      </c>
    </row>
    <row r="4052" spans="1:13" x14ac:dyDescent="0.25">
      <c r="A4052">
        <v>5575</v>
      </c>
      <c r="B4052" t="s">
        <v>520</v>
      </c>
      <c r="C4052" t="s">
        <v>10824</v>
      </c>
      <c r="D4052" t="s">
        <v>1643</v>
      </c>
      <c r="E4052" t="s">
        <v>10715</v>
      </c>
      <c r="F4052" t="s">
        <v>2607</v>
      </c>
      <c r="G4052" t="s">
        <v>10827</v>
      </c>
      <c r="K4052" t="s">
        <v>10828</v>
      </c>
      <c r="L4052" t="s">
        <v>1647</v>
      </c>
      <c r="M4052" t="s">
        <v>1634</v>
      </c>
    </row>
    <row r="4053" spans="1:13" x14ac:dyDescent="0.25">
      <c r="A4053">
        <v>5575</v>
      </c>
      <c r="B4053" t="s">
        <v>520</v>
      </c>
      <c r="C4053" t="s">
        <v>10824</v>
      </c>
      <c r="D4053" t="s">
        <v>1643</v>
      </c>
      <c r="E4053" t="s">
        <v>10715</v>
      </c>
      <c r="F4053" t="s">
        <v>2814</v>
      </c>
      <c r="G4053" t="s">
        <v>6778</v>
      </c>
      <c r="K4053" t="s">
        <v>10829</v>
      </c>
      <c r="M4053" t="s">
        <v>1640</v>
      </c>
    </row>
    <row r="4054" spans="1:13" x14ac:dyDescent="0.25">
      <c r="A4054">
        <v>5576</v>
      </c>
      <c r="B4054" t="s">
        <v>10830</v>
      </c>
      <c r="C4054" t="s">
        <v>10831</v>
      </c>
      <c r="D4054" t="s">
        <v>1643</v>
      </c>
      <c r="E4054" t="s">
        <v>10715</v>
      </c>
      <c r="F4054" t="s">
        <v>3491</v>
      </c>
      <c r="G4054" t="s">
        <v>10832</v>
      </c>
      <c r="H4054">
        <v>9287575100</v>
      </c>
      <c r="K4054" t="s">
        <v>10833</v>
      </c>
      <c r="L4054" t="s">
        <v>1721</v>
      </c>
      <c r="M4054" t="s">
        <v>1634</v>
      </c>
    </row>
    <row r="4055" spans="1:13" x14ac:dyDescent="0.25">
      <c r="A4055">
        <v>5576</v>
      </c>
      <c r="B4055" t="s">
        <v>10830</v>
      </c>
      <c r="C4055" t="s">
        <v>10831</v>
      </c>
      <c r="D4055" t="s">
        <v>1643</v>
      </c>
      <c r="E4055" t="s">
        <v>10715</v>
      </c>
      <c r="F4055" t="s">
        <v>7988</v>
      </c>
      <c r="G4055" t="s">
        <v>7989</v>
      </c>
      <c r="K4055" t="s">
        <v>10822</v>
      </c>
      <c r="M4055" t="s">
        <v>1640</v>
      </c>
    </row>
    <row r="4056" spans="1:13" x14ac:dyDescent="0.25">
      <c r="A4056">
        <v>5577</v>
      </c>
      <c r="B4056" t="s">
        <v>5304</v>
      </c>
      <c r="C4056" t="s">
        <v>10834</v>
      </c>
      <c r="D4056" t="s">
        <v>1643</v>
      </c>
      <c r="E4056" t="s">
        <v>10715</v>
      </c>
      <c r="F4056" t="s">
        <v>4967</v>
      </c>
      <c r="G4056" t="s">
        <v>4218</v>
      </c>
      <c r="K4056" t="s">
        <v>10835</v>
      </c>
      <c r="M4056" t="s">
        <v>1634</v>
      </c>
    </row>
    <row r="4057" spans="1:13" x14ac:dyDescent="0.25">
      <c r="A4057">
        <v>5580</v>
      </c>
      <c r="B4057" t="s">
        <v>10836</v>
      </c>
      <c r="C4057" t="s">
        <v>10837</v>
      </c>
      <c r="D4057" t="s">
        <v>1643</v>
      </c>
      <c r="E4057" t="s">
        <v>10715</v>
      </c>
      <c r="F4057" t="s">
        <v>3910</v>
      </c>
      <c r="G4057" t="s">
        <v>10838</v>
      </c>
      <c r="H4057">
        <v>9287673350</v>
      </c>
      <c r="J4057">
        <v>9287674330</v>
      </c>
      <c r="K4057" t="s">
        <v>10839</v>
      </c>
      <c r="M4057" t="s">
        <v>1634</v>
      </c>
    </row>
    <row r="4058" spans="1:13" x14ac:dyDescent="0.25">
      <c r="A4058">
        <v>5580</v>
      </c>
      <c r="B4058" t="s">
        <v>10836</v>
      </c>
      <c r="C4058" t="s">
        <v>10837</v>
      </c>
      <c r="D4058" t="s">
        <v>1643</v>
      </c>
      <c r="E4058" t="s">
        <v>10715</v>
      </c>
      <c r="F4058" t="s">
        <v>10840</v>
      </c>
      <c r="G4058" t="s">
        <v>1960</v>
      </c>
      <c r="H4058">
        <v>9287673350</v>
      </c>
      <c r="K4058" t="s">
        <v>10841</v>
      </c>
      <c r="L4058" t="s">
        <v>1647</v>
      </c>
      <c r="M4058" t="s">
        <v>1634</v>
      </c>
    </row>
    <row r="4059" spans="1:13" x14ac:dyDescent="0.25">
      <c r="A4059">
        <v>5580</v>
      </c>
      <c r="B4059" t="s">
        <v>10836</v>
      </c>
      <c r="C4059" t="s">
        <v>10837</v>
      </c>
      <c r="D4059" t="s">
        <v>1643</v>
      </c>
      <c r="E4059" t="s">
        <v>10715</v>
      </c>
      <c r="F4059" t="s">
        <v>5493</v>
      </c>
      <c r="G4059" t="s">
        <v>10842</v>
      </c>
      <c r="H4059">
        <v>9287673350</v>
      </c>
      <c r="K4059" t="s">
        <v>10843</v>
      </c>
      <c r="L4059" t="s">
        <v>1738</v>
      </c>
      <c r="M4059" t="s">
        <v>1640</v>
      </c>
    </row>
    <row r="4060" spans="1:13" x14ac:dyDescent="0.25">
      <c r="A4060">
        <v>88409</v>
      </c>
      <c r="B4060" t="s">
        <v>10844</v>
      </c>
      <c r="C4060" t="s">
        <v>10845</v>
      </c>
      <c r="D4060" t="s">
        <v>1643</v>
      </c>
      <c r="E4060" t="s">
        <v>10715</v>
      </c>
      <c r="F4060" t="s">
        <v>1787</v>
      </c>
      <c r="G4060" t="s">
        <v>10846</v>
      </c>
      <c r="H4060">
        <v>9287536238</v>
      </c>
      <c r="J4060">
        <v>9287534042</v>
      </c>
      <c r="K4060" t="s">
        <v>10847</v>
      </c>
      <c r="L4060" t="s">
        <v>1647</v>
      </c>
      <c r="M4060" t="s">
        <v>1634</v>
      </c>
    </row>
    <row r="4061" spans="1:13" x14ac:dyDescent="0.25">
      <c r="A4061">
        <v>88409</v>
      </c>
      <c r="B4061" t="s">
        <v>10844</v>
      </c>
      <c r="C4061" t="s">
        <v>10845</v>
      </c>
      <c r="D4061" t="s">
        <v>1643</v>
      </c>
      <c r="E4061" t="s">
        <v>10715</v>
      </c>
      <c r="F4061" t="s">
        <v>10848</v>
      </c>
      <c r="G4061" t="s">
        <v>10849</v>
      </c>
      <c r="K4061" t="s">
        <v>10850</v>
      </c>
      <c r="L4061" t="s">
        <v>2096</v>
      </c>
      <c r="M4061" t="s">
        <v>1634</v>
      </c>
    </row>
    <row r="4062" spans="1:13" x14ac:dyDescent="0.25">
      <c r="A4062">
        <v>88409</v>
      </c>
      <c r="B4062" t="s">
        <v>10844</v>
      </c>
      <c r="C4062" t="s">
        <v>10845</v>
      </c>
      <c r="D4062" t="s">
        <v>1643</v>
      </c>
      <c r="E4062" t="s">
        <v>10715</v>
      </c>
      <c r="F4062" t="s">
        <v>10851</v>
      </c>
      <c r="G4062" t="s">
        <v>10852</v>
      </c>
      <c r="K4062" t="s">
        <v>10853</v>
      </c>
      <c r="L4062" t="s">
        <v>1647</v>
      </c>
      <c r="M4062" t="s">
        <v>1634</v>
      </c>
    </row>
    <row r="4063" spans="1:13" x14ac:dyDescent="0.25">
      <c r="A4063">
        <v>90667</v>
      </c>
      <c r="B4063" t="s">
        <v>5308</v>
      </c>
      <c r="C4063" t="s">
        <v>10854</v>
      </c>
      <c r="D4063" t="s">
        <v>1643</v>
      </c>
      <c r="E4063" t="s">
        <v>10715</v>
      </c>
      <c r="F4063" t="s">
        <v>1652</v>
      </c>
      <c r="G4063" t="s">
        <v>10855</v>
      </c>
      <c r="H4063">
        <v>9287535678</v>
      </c>
      <c r="M4063" t="s">
        <v>1634</v>
      </c>
    </row>
    <row r="4064" spans="1:13" x14ac:dyDescent="0.25">
      <c r="A4064">
        <v>90667</v>
      </c>
      <c r="B4064" t="s">
        <v>5308</v>
      </c>
      <c r="C4064" t="s">
        <v>10854</v>
      </c>
      <c r="D4064" t="s">
        <v>1643</v>
      </c>
      <c r="E4064" t="s">
        <v>10715</v>
      </c>
      <c r="F4064" t="s">
        <v>2085</v>
      </c>
      <c r="G4064" t="s">
        <v>5142</v>
      </c>
      <c r="H4064">
        <v>9287535678</v>
      </c>
      <c r="J4064">
        <v>9287536910</v>
      </c>
      <c r="K4064" t="s">
        <v>10856</v>
      </c>
      <c r="L4064" t="s">
        <v>10857</v>
      </c>
      <c r="M4064" t="s">
        <v>1765</v>
      </c>
    </row>
    <row r="4065" spans="1:13" x14ac:dyDescent="0.25">
      <c r="A4065">
        <v>5595</v>
      </c>
      <c r="B4065" t="s">
        <v>10858</v>
      </c>
      <c r="C4065" t="s">
        <v>10859</v>
      </c>
      <c r="D4065" t="s">
        <v>1643</v>
      </c>
      <c r="E4065" t="s">
        <v>10715</v>
      </c>
      <c r="F4065" t="s">
        <v>2408</v>
      </c>
      <c r="G4065" t="s">
        <v>10860</v>
      </c>
      <c r="H4065">
        <v>9286926410</v>
      </c>
      <c r="J4065">
        <v>9286926418</v>
      </c>
      <c r="K4065" t="s">
        <v>10861</v>
      </c>
      <c r="L4065" t="s">
        <v>1647</v>
      </c>
      <c r="M4065" t="s">
        <v>1634</v>
      </c>
    </row>
    <row r="4066" spans="1:13" x14ac:dyDescent="0.25">
      <c r="A4066">
        <v>5595</v>
      </c>
      <c r="B4066" t="s">
        <v>10858</v>
      </c>
      <c r="C4066" t="s">
        <v>10859</v>
      </c>
      <c r="D4066" t="s">
        <v>1643</v>
      </c>
      <c r="E4066" t="s">
        <v>10715</v>
      </c>
      <c r="F4066" t="s">
        <v>2734</v>
      </c>
      <c r="G4066" t="s">
        <v>10862</v>
      </c>
      <c r="H4066">
        <v>9286926480</v>
      </c>
      <c r="K4066" t="s">
        <v>10863</v>
      </c>
      <c r="L4066" t="s">
        <v>1647</v>
      </c>
      <c r="M4066" t="s">
        <v>1634</v>
      </c>
    </row>
    <row r="4067" spans="1:13" x14ac:dyDescent="0.25">
      <c r="A4067">
        <v>5595</v>
      </c>
      <c r="B4067" t="s">
        <v>10858</v>
      </c>
      <c r="C4067" t="s">
        <v>10859</v>
      </c>
      <c r="D4067" t="s">
        <v>1643</v>
      </c>
      <c r="E4067" t="s">
        <v>10715</v>
      </c>
      <c r="F4067" t="s">
        <v>1812</v>
      </c>
      <c r="G4067" t="s">
        <v>10864</v>
      </c>
      <c r="H4067">
        <v>9286926480</v>
      </c>
      <c r="K4067" t="s">
        <v>10865</v>
      </c>
      <c r="L4067" t="s">
        <v>1738</v>
      </c>
      <c r="M4067" t="s">
        <v>1640</v>
      </c>
    </row>
    <row r="4068" spans="1:13" x14ac:dyDescent="0.25">
      <c r="A4068">
        <v>5595</v>
      </c>
      <c r="B4068" t="s">
        <v>10858</v>
      </c>
      <c r="C4068" t="s">
        <v>10859</v>
      </c>
      <c r="D4068" t="s">
        <v>1643</v>
      </c>
      <c r="E4068" t="s">
        <v>10715</v>
      </c>
      <c r="F4068" t="s">
        <v>3387</v>
      </c>
      <c r="G4068" t="s">
        <v>10866</v>
      </c>
      <c r="H4068">
        <v>9286926493</v>
      </c>
      <c r="K4068" t="s">
        <v>10867</v>
      </c>
      <c r="L4068" t="s">
        <v>1738</v>
      </c>
      <c r="M4068" t="s">
        <v>1640</v>
      </c>
    </row>
    <row r="4069" spans="1:13" x14ac:dyDescent="0.25">
      <c r="A4069">
        <v>5595</v>
      </c>
      <c r="B4069" t="s">
        <v>10858</v>
      </c>
      <c r="C4069" t="s">
        <v>10859</v>
      </c>
      <c r="D4069" t="s">
        <v>1643</v>
      </c>
      <c r="E4069" t="s">
        <v>10715</v>
      </c>
      <c r="F4069" t="s">
        <v>1787</v>
      </c>
      <c r="G4069" t="s">
        <v>10846</v>
      </c>
      <c r="H4069">
        <v>9286926480</v>
      </c>
      <c r="K4069" t="s">
        <v>10847</v>
      </c>
      <c r="L4069" t="s">
        <v>1738</v>
      </c>
      <c r="M4069" t="s">
        <v>1640</v>
      </c>
    </row>
    <row r="4070" spans="1:13" x14ac:dyDescent="0.25">
      <c r="A4070">
        <v>91772</v>
      </c>
      <c r="B4070" t="s">
        <v>10868</v>
      </c>
      <c r="C4070" t="s">
        <v>10869</v>
      </c>
      <c r="D4070" t="s">
        <v>1643</v>
      </c>
      <c r="E4070" t="s">
        <v>10715</v>
      </c>
      <c r="F4070" t="s">
        <v>2997</v>
      </c>
      <c r="G4070" t="s">
        <v>10870</v>
      </c>
      <c r="K4070" t="s">
        <v>10871</v>
      </c>
      <c r="L4070" t="s">
        <v>1647</v>
      </c>
      <c r="M4070" t="s">
        <v>1634</v>
      </c>
    </row>
    <row r="4071" spans="1:13" x14ac:dyDescent="0.25">
      <c r="A4071">
        <v>91772</v>
      </c>
      <c r="B4071" t="s">
        <v>10868</v>
      </c>
      <c r="C4071" t="s">
        <v>10869</v>
      </c>
      <c r="D4071" t="s">
        <v>1643</v>
      </c>
      <c r="E4071" t="s">
        <v>10715</v>
      </c>
      <c r="F4071" t="s">
        <v>2451</v>
      </c>
      <c r="G4071" t="s">
        <v>10872</v>
      </c>
      <c r="H4071">
        <v>9287535678</v>
      </c>
      <c r="K4071" t="s">
        <v>10873</v>
      </c>
      <c r="M4071" t="s">
        <v>1640</v>
      </c>
    </row>
    <row r="4072" spans="1:13" x14ac:dyDescent="0.25">
      <c r="A4072">
        <v>91772</v>
      </c>
      <c r="B4072" t="s">
        <v>10868</v>
      </c>
      <c r="C4072" t="s">
        <v>10869</v>
      </c>
      <c r="D4072" t="s">
        <v>1643</v>
      </c>
      <c r="E4072" t="s">
        <v>10715</v>
      </c>
      <c r="F4072" t="s">
        <v>3075</v>
      </c>
      <c r="G4072" t="s">
        <v>2927</v>
      </c>
      <c r="H4072">
        <v>9287186000</v>
      </c>
      <c r="K4072" t="s">
        <v>10874</v>
      </c>
      <c r="L4072" t="s">
        <v>2180</v>
      </c>
      <c r="M4072" t="s">
        <v>1640</v>
      </c>
    </row>
    <row r="4073" spans="1:13" x14ac:dyDescent="0.25">
      <c r="A4073">
        <v>91772</v>
      </c>
      <c r="B4073" t="s">
        <v>10868</v>
      </c>
      <c r="C4073" t="s">
        <v>10869</v>
      </c>
      <c r="D4073" t="s">
        <v>1643</v>
      </c>
      <c r="E4073" t="s">
        <v>10715</v>
      </c>
      <c r="F4073" t="s">
        <v>6288</v>
      </c>
      <c r="G4073" t="s">
        <v>1662</v>
      </c>
      <c r="H4073">
        <v>9287535678</v>
      </c>
      <c r="K4073" t="s">
        <v>10875</v>
      </c>
      <c r="M4073" t="s">
        <v>1765</v>
      </c>
    </row>
    <row r="4074" spans="1:13" x14ac:dyDescent="0.25">
      <c r="A4074">
        <v>4371</v>
      </c>
      <c r="B4074" t="s">
        <v>10876</v>
      </c>
      <c r="C4074" t="s">
        <v>10877</v>
      </c>
      <c r="D4074" t="s">
        <v>1628</v>
      </c>
      <c r="E4074" t="s">
        <v>10715</v>
      </c>
      <c r="F4074" t="s">
        <v>4617</v>
      </c>
      <c r="G4074" t="s">
        <v>10878</v>
      </c>
      <c r="H4074">
        <v>9286920013</v>
      </c>
      <c r="K4074" t="s">
        <v>10879</v>
      </c>
      <c r="L4074" t="s">
        <v>1647</v>
      </c>
      <c r="M4074" t="s">
        <v>1634</v>
      </c>
    </row>
    <row r="4075" spans="1:13" x14ac:dyDescent="0.25">
      <c r="A4075">
        <v>4371</v>
      </c>
      <c r="B4075" t="s">
        <v>10876</v>
      </c>
      <c r="C4075" t="s">
        <v>10877</v>
      </c>
      <c r="D4075" t="s">
        <v>1628</v>
      </c>
      <c r="E4075" t="s">
        <v>10715</v>
      </c>
      <c r="F4075" t="s">
        <v>10880</v>
      </c>
      <c r="G4075" t="s">
        <v>10881</v>
      </c>
      <c r="K4075" t="s">
        <v>10882</v>
      </c>
      <c r="M4075" t="s">
        <v>1640</v>
      </c>
    </row>
    <row r="4076" spans="1:13" x14ac:dyDescent="0.25">
      <c r="A4076">
        <v>5570</v>
      </c>
      <c r="B4076" t="s">
        <v>10883</v>
      </c>
      <c r="C4076" t="s">
        <v>10884</v>
      </c>
      <c r="D4076" t="s">
        <v>1643</v>
      </c>
      <c r="E4076" t="s">
        <v>10715</v>
      </c>
      <c r="F4076" t="s">
        <v>10880</v>
      </c>
      <c r="G4076" t="s">
        <v>10881</v>
      </c>
      <c r="K4076" t="s">
        <v>10882</v>
      </c>
      <c r="M4076" t="s">
        <v>1640</v>
      </c>
    </row>
    <row r="4077" spans="1:13" x14ac:dyDescent="0.25">
      <c r="A4077">
        <v>4373</v>
      </c>
      <c r="B4077" t="s">
        <v>10885</v>
      </c>
      <c r="C4077" t="s">
        <v>10886</v>
      </c>
      <c r="D4077" t="s">
        <v>1628</v>
      </c>
      <c r="E4077" t="s">
        <v>10715</v>
      </c>
      <c r="F4077" t="s">
        <v>1974</v>
      </c>
      <c r="G4077" t="s">
        <v>10887</v>
      </c>
      <c r="H4077">
        <v>9288536578</v>
      </c>
      <c r="K4077" t="s">
        <v>10888</v>
      </c>
      <c r="M4077" t="s">
        <v>1634</v>
      </c>
    </row>
    <row r="4078" spans="1:13" x14ac:dyDescent="0.25">
      <c r="A4078">
        <v>4373</v>
      </c>
      <c r="B4078" t="s">
        <v>10885</v>
      </c>
      <c r="C4078" t="s">
        <v>10886</v>
      </c>
      <c r="D4078" t="s">
        <v>1628</v>
      </c>
      <c r="E4078" t="s">
        <v>10715</v>
      </c>
      <c r="F4078" t="s">
        <v>2803</v>
      </c>
      <c r="G4078" t="s">
        <v>10889</v>
      </c>
      <c r="H4078">
        <v>9287652311</v>
      </c>
      <c r="K4078" t="s">
        <v>10890</v>
      </c>
      <c r="L4078" t="s">
        <v>9277</v>
      </c>
      <c r="M4078" t="s">
        <v>1634</v>
      </c>
    </row>
    <row r="4079" spans="1:13" x14ac:dyDescent="0.25">
      <c r="A4079">
        <v>4373</v>
      </c>
      <c r="B4079" t="s">
        <v>10885</v>
      </c>
      <c r="C4079" t="s">
        <v>10886</v>
      </c>
      <c r="D4079" t="s">
        <v>1628</v>
      </c>
      <c r="E4079" t="s">
        <v>10715</v>
      </c>
      <c r="F4079" t="s">
        <v>10891</v>
      </c>
      <c r="G4079" t="s">
        <v>1813</v>
      </c>
      <c r="H4079">
        <v>9285303009</v>
      </c>
      <c r="K4079" t="s">
        <v>10892</v>
      </c>
      <c r="L4079" t="s">
        <v>1640</v>
      </c>
      <c r="M4079" t="s">
        <v>1634</v>
      </c>
    </row>
    <row r="4080" spans="1:13" x14ac:dyDescent="0.25">
      <c r="A4080">
        <v>5578</v>
      </c>
      <c r="B4080" t="s">
        <v>10893</v>
      </c>
      <c r="C4080" t="s">
        <v>10894</v>
      </c>
      <c r="D4080" t="s">
        <v>1643</v>
      </c>
      <c r="E4080" t="s">
        <v>10715</v>
      </c>
    </row>
    <row r="4081" spans="1:13" x14ac:dyDescent="0.25">
      <c r="A4081">
        <v>4377</v>
      </c>
      <c r="B4081" t="s">
        <v>10895</v>
      </c>
      <c r="C4081" t="s">
        <v>10896</v>
      </c>
      <c r="D4081" t="s">
        <v>1628</v>
      </c>
      <c r="E4081" t="s">
        <v>10715</v>
      </c>
      <c r="F4081" t="s">
        <v>4443</v>
      </c>
      <c r="G4081" t="s">
        <v>10897</v>
      </c>
      <c r="H4081" t="s">
        <v>10898</v>
      </c>
      <c r="K4081" t="s">
        <v>10899</v>
      </c>
      <c r="L4081" t="s">
        <v>1668</v>
      </c>
      <c r="M4081" t="s">
        <v>1634</v>
      </c>
    </row>
    <row r="4082" spans="1:13" x14ac:dyDescent="0.25">
      <c r="A4082">
        <v>4377</v>
      </c>
      <c r="B4082" t="s">
        <v>10895</v>
      </c>
      <c r="C4082" t="s">
        <v>10896</v>
      </c>
      <c r="D4082" t="s">
        <v>1628</v>
      </c>
      <c r="E4082" t="s">
        <v>10715</v>
      </c>
      <c r="F4082" t="s">
        <v>3105</v>
      </c>
      <c r="G4082" t="s">
        <v>10900</v>
      </c>
      <c r="H4082" t="s">
        <v>10901</v>
      </c>
      <c r="K4082" t="s">
        <v>10902</v>
      </c>
      <c r="M4082" t="s">
        <v>1640</v>
      </c>
    </row>
    <row r="4083" spans="1:13" x14ac:dyDescent="0.25">
      <c r="A4083">
        <v>5582</v>
      </c>
      <c r="B4083" t="s">
        <v>10903</v>
      </c>
      <c r="C4083" t="s">
        <v>10904</v>
      </c>
      <c r="D4083" t="s">
        <v>1643</v>
      </c>
      <c r="E4083" t="s">
        <v>10715</v>
      </c>
      <c r="F4083" t="s">
        <v>4443</v>
      </c>
      <c r="G4083" t="s">
        <v>10897</v>
      </c>
      <c r="H4083">
        <v>9287662581</v>
      </c>
      <c r="K4083" t="s">
        <v>10905</v>
      </c>
      <c r="L4083" t="s">
        <v>1640</v>
      </c>
      <c r="M4083" t="s">
        <v>1640</v>
      </c>
    </row>
    <row r="4084" spans="1:13" x14ac:dyDescent="0.25">
      <c r="A4084">
        <v>5582</v>
      </c>
      <c r="B4084" t="s">
        <v>10903</v>
      </c>
      <c r="C4084" t="s">
        <v>10904</v>
      </c>
      <c r="D4084" t="s">
        <v>1643</v>
      </c>
      <c r="E4084" t="s">
        <v>10715</v>
      </c>
      <c r="F4084" t="s">
        <v>3105</v>
      </c>
      <c r="G4084" t="s">
        <v>10900</v>
      </c>
      <c r="H4084">
        <v>9287662581</v>
      </c>
      <c r="M4084" t="s">
        <v>1640</v>
      </c>
    </row>
    <row r="4085" spans="1:13" x14ac:dyDescent="0.25">
      <c r="A4085">
        <v>4380</v>
      </c>
      <c r="B4085" t="s">
        <v>10906</v>
      </c>
      <c r="C4085" t="s">
        <v>10907</v>
      </c>
      <c r="D4085" t="s">
        <v>1628</v>
      </c>
      <c r="E4085" t="s">
        <v>10715</v>
      </c>
      <c r="F4085" t="s">
        <v>10848</v>
      </c>
      <c r="G4085" t="s">
        <v>10849</v>
      </c>
      <c r="H4085" t="s">
        <v>10908</v>
      </c>
      <c r="K4085" t="s">
        <v>10909</v>
      </c>
      <c r="L4085" t="s">
        <v>1633</v>
      </c>
      <c r="M4085" t="s">
        <v>1634</v>
      </c>
    </row>
    <row r="4086" spans="1:13" x14ac:dyDescent="0.25">
      <c r="A4086">
        <v>5591</v>
      </c>
      <c r="B4086" t="s">
        <v>10910</v>
      </c>
      <c r="C4086" t="s">
        <v>10911</v>
      </c>
      <c r="D4086" t="s">
        <v>1643</v>
      </c>
      <c r="E4086" t="s">
        <v>10715</v>
      </c>
      <c r="F4086" t="s">
        <v>5788</v>
      </c>
      <c r="G4086" t="s">
        <v>10912</v>
      </c>
      <c r="H4086">
        <v>9287692310</v>
      </c>
      <c r="J4086">
        <v>9287692389</v>
      </c>
      <c r="K4086" t="s">
        <v>10913</v>
      </c>
      <c r="M4086" t="s">
        <v>1634</v>
      </c>
    </row>
    <row r="4087" spans="1:13" x14ac:dyDescent="0.25">
      <c r="A4087">
        <v>4376</v>
      </c>
      <c r="B4087" t="s">
        <v>1255</v>
      </c>
      <c r="C4087" t="s">
        <v>10914</v>
      </c>
      <c r="D4087" t="s">
        <v>1628</v>
      </c>
      <c r="E4087" t="s">
        <v>10715</v>
      </c>
      <c r="F4087" t="s">
        <v>1787</v>
      </c>
      <c r="G4087" t="s">
        <v>6160</v>
      </c>
      <c r="H4087">
        <v>9287683344</v>
      </c>
      <c r="J4087">
        <v>9287689253</v>
      </c>
      <c r="K4087" t="s">
        <v>10915</v>
      </c>
      <c r="L4087" t="s">
        <v>10916</v>
      </c>
      <c r="M4087" t="s">
        <v>1634</v>
      </c>
    </row>
    <row r="4088" spans="1:13" x14ac:dyDescent="0.25">
      <c r="A4088">
        <v>4376</v>
      </c>
      <c r="B4088" t="s">
        <v>1255</v>
      </c>
      <c r="C4088" t="s">
        <v>10914</v>
      </c>
      <c r="D4088" t="s">
        <v>1628</v>
      </c>
      <c r="E4088" t="s">
        <v>10715</v>
      </c>
      <c r="F4088" t="s">
        <v>1630</v>
      </c>
      <c r="G4088" t="s">
        <v>3278</v>
      </c>
      <c r="H4088">
        <v>9287683344</v>
      </c>
      <c r="K4088" t="s">
        <v>10917</v>
      </c>
      <c r="L4088" t="s">
        <v>1640</v>
      </c>
      <c r="M4088" t="s">
        <v>1640</v>
      </c>
    </row>
    <row r="4089" spans="1:13" x14ac:dyDescent="0.25">
      <c r="A4089">
        <v>4376</v>
      </c>
      <c r="B4089" t="s">
        <v>1255</v>
      </c>
      <c r="C4089" t="s">
        <v>10914</v>
      </c>
      <c r="D4089" t="s">
        <v>1628</v>
      </c>
      <c r="E4089" t="s">
        <v>10715</v>
      </c>
      <c r="F4089" t="s">
        <v>6685</v>
      </c>
      <c r="G4089" t="s">
        <v>10918</v>
      </c>
      <c r="H4089">
        <v>9287683344</v>
      </c>
      <c r="K4089" t="s">
        <v>10919</v>
      </c>
      <c r="L4089" t="s">
        <v>10920</v>
      </c>
      <c r="M4089" t="s">
        <v>1765</v>
      </c>
    </row>
    <row r="4090" spans="1:13" x14ac:dyDescent="0.25">
      <c r="A4090">
        <v>5581</v>
      </c>
      <c r="B4090" t="s">
        <v>1256</v>
      </c>
      <c r="C4090" t="s">
        <v>10921</v>
      </c>
      <c r="D4090" t="s">
        <v>1643</v>
      </c>
      <c r="E4090" t="s">
        <v>10715</v>
      </c>
      <c r="F4090" t="s">
        <v>1787</v>
      </c>
      <c r="G4090" t="s">
        <v>6160</v>
      </c>
      <c r="H4090">
        <v>9287683344</v>
      </c>
      <c r="J4090">
        <v>9287689253</v>
      </c>
      <c r="K4090" t="s">
        <v>10915</v>
      </c>
      <c r="M4090" t="s">
        <v>1634</v>
      </c>
    </row>
    <row r="4091" spans="1:13" x14ac:dyDescent="0.25">
      <c r="A4091">
        <v>4378</v>
      </c>
      <c r="B4091" t="s">
        <v>10922</v>
      </c>
      <c r="C4091" t="s">
        <v>10923</v>
      </c>
      <c r="D4091" t="s">
        <v>1628</v>
      </c>
      <c r="E4091" t="s">
        <v>10715</v>
      </c>
      <c r="F4091" t="s">
        <v>10924</v>
      </c>
      <c r="G4091" t="s">
        <v>1588</v>
      </c>
      <c r="J4091">
        <v>9287584996</v>
      </c>
      <c r="K4091" t="s">
        <v>10925</v>
      </c>
      <c r="L4091" t="s">
        <v>10926</v>
      </c>
      <c r="M4091" t="s">
        <v>1634</v>
      </c>
    </row>
    <row r="4092" spans="1:13" x14ac:dyDescent="0.25">
      <c r="A4092">
        <v>4378</v>
      </c>
      <c r="B4092" t="s">
        <v>10922</v>
      </c>
      <c r="C4092" t="s">
        <v>10923</v>
      </c>
      <c r="D4092" t="s">
        <v>1628</v>
      </c>
      <c r="E4092" t="s">
        <v>10715</v>
      </c>
      <c r="F4092" t="s">
        <v>1925</v>
      </c>
      <c r="G4092" t="s">
        <v>3449</v>
      </c>
      <c r="H4092">
        <v>9287583961</v>
      </c>
      <c r="I4092">
        <v>1001</v>
      </c>
      <c r="K4092" t="s">
        <v>10927</v>
      </c>
      <c r="L4092" t="s">
        <v>1668</v>
      </c>
      <c r="M4092" t="s">
        <v>1634</v>
      </c>
    </row>
    <row r="4093" spans="1:13" x14ac:dyDescent="0.25">
      <c r="A4093">
        <v>4378</v>
      </c>
      <c r="B4093" t="s">
        <v>10922</v>
      </c>
      <c r="C4093" t="s">
        <v>10923</v>
      </c>
      <c r="D4093" t="s">
        <v>1628</v>
      </c>
      <c r="E4093" t="s">
        <v>10715</v>
      </c>
      <c r="F4093" t="s">
        <v>1925</v>
      </c>
      <c r="G4093" t="s">
        <v>3449</v>
      </c>
      <c r="H4093">
        <v>9287583961</v>
      </c>
      <c r="I4093">
        <v>1001</v>
      </c>
      <c r="K4093" t="s">
        <v>10927</v>
      </c>
      <c r="L4093" t="s">
        <v>1668</v>
      </c>
      <c r="M4093" t="s">
        <v>1640</v>
      </c>
    </row>
    <row r="4094" spans="1:13" x14ac:dyDescent="0.25">
      <c r="A4094">
        <v>4378</v>
      </c>
      <c r="B4094" t="s">
        <v>10922</v>
      </c>
      <c r="C4094" t="s">
        <v>10923</v>
      </c>
      <c r="D4094" t="s">
        <v>1628</v>
      </c>
      <c r="E4094" t="s">
        <v>10715</v>
      </c>
      <c r="F4094" t="s">
        <v>10928</v>
      </c>
      <c r="G4094" t="s">
        <v>10929</v>
      </c>
      <c r="I4094">
        <v>1022</v>
      </c>
      <c r="K4094" t="s">
        <v>10930</v>
      </c>
      <c r="L4094" t="s">
        <v>1640</v>
      </c>
      <c r="M4094" t="s">
        <v>1640</v>
      </c>
    </row>
    <row r="4095" spans="1:13" x14ac:dyDescent="0.25">
      <c r="A4095">
        <v>5583</v>
      </c>
      <c r="B4095" t="s">
        <v>10931</v>
      </c>
      <c r="C4095" t="s">
        <v>10932</v>
      </c>
      <c r="D4095" t="s">
        <v>1643</v>
      </c>
      <c r="E4095" t="s">
        <v>10715</v>
      </c>
      <c r="F4095" t="s">
        <v>10933</v>
      </c>
      <c r="G4095" t="s">
        <v>3399</v>
      </c>
      <c r="L4095" t="s">
        <v>1647</v>
      </c>
      <c r="M4095" t="s">
        <v>1634</v>
      </c>
    </row>
    <row r="4096" spans="1:13" x14ac:dyDescent="0.25">
      <c r="A4096">
        <v>5583</v>
      </c>
      <c r="B4096" t="s">
        <v>10931</v>
      </c>
      <c r="C4096" t="s">
        <v>10932</v>
      </c>
      <c r="D4096" t="s">
        <v>1643</v>
      </c>
      <c r="E4096" t="s">
        <v>10715</v>
      </c>
      <c r="F4096" t="s">
        <v>10934</v>
      </c>
      <c r="G4096" t="s">
        <v>2571</v>
      </c>
      <c r="H4096">
        <v>7024496860</v>
      </c>
      <c r="K4096" t="s">
        <v>10935</v>
      </c>
      <c r="M4096" t="s">
        <v>1634</v>
      </c>
    </row>
    <row r="4097" spans="1:13" x14ac:dyDescent="0.25">
      <c r="A4097">
        <v>79655</v>
      </c>
      <c r="B4097" t="s">
        <v>10936</v>
      </c>
      <c r="C4097" t="s">
        <v>10937</v>
      </c>
      <c r="D4097" t="s">
        <v>1643</v>
      </c>
      <c r="E4097" t="s">
        <v>10715</v>
      </c>
      <c r="F4097" t="s">
        <v>1779</v>
      </c>
      <c r="G4097" t="s">
        <v>10938</v>
      </c>
      <c r="H4097">
        <v>9287541815</v>
      </c>
      <c r="J4097">
        <v>9287541820</v>
      </c>
      <c r="K4097" t="s">
        <v>10939</v>
      </c>
      <c r="L4097" t="s">
        <v>1647</v>
      </c>
      <c r="M4097" t="s">
        <v>1634</v>
      </c>
    </row>
    <row r="4098" spans="1:13" x14ac:dyDescent="0.25">
      <c r="A4098">
        <v>5584</v>
      </c>
      <c r="B4098" t="s">
        <v>10940</v>
      </c>
      <c r="C4098" t="s">
        <v>10941</v>
      </c>
      <c r="D4098" t="s">
        <v>1643</v>
      </c>
      <c r="E4098" t="s">
        <v>10715</v>
      </c>
      <c r="F4098" t="s">
        <v>3551</v>
      </c>
      <c r="G4098" t="s">
        <v>9667</v>
      </c>
      <c r="H4098">
        <v>9287586606</v>
      </c>
      <c r="K4098" t="s">
        <v>10942</v>
      </c>
      <c r="M4098" t="s">
        <v>1634</v>
      </c>
    </row>
    <row r="4099" spans="1:13" x14ac:dyDescent="0.25">
      <c r="A4099">
        <v>5584</v>
      </c>
      <c r="B4099" t="s">
        <v>10940</v>
      </c>
      <c r="C4099" t="s">
        <v>10941</v>
      </c>
      <c r="D4099" t="s">
        <v>1643</v>
      </c>
      <c r="E4099" t="s">
        <v>10715</v>
      </c>
      <c r="F4099" t="s">
        <v>10934</v>
      </c>
      <c r="G4099" t="s">
        <v>2571</v>
      </c>
      <c r="H4099">
        <v>7024496860</v>
      </c>
      <c r="K4099" t="s">
        <v>10935</v>
      </c>
      <c r="L4099" t="s">
        <v>1647</v>
      </c>
      <c r="M4099" t="s">
        <v>1634</v>
      </c>
    </row>
    <row r="4100" spans="1:13" x14ac:dyDescent="0.25">
      <c r="A4100">
        <v>5585</v>
      </c>
      <c r="B4100" t="s">
        <v>10943</v>
      </c>
      <c r="C4100" t="s">
        <v>10944</v>
      </c>
      <c r="D4100" t="s">
        <v>1643</v>
      </c>
      <c r="E4100" t="s">
        <v>10715</v>
      </c>
      <c r="F4100" t="s">
        <v>1779</v>
      </c>
      <c r="G4100" t="s">
        <v>2083</v>
      </c>
      <c r="K4100" t="s">
        <v>10945</v>
      </c>
      <c r="M4100" t="s">
        <v>1634</v>
      </c>
    </row>
    <row r="4101" spans="1:13" x14ac:dyDescent="0.25">
      <c r="A4101">
        <v>5585</v>
      </c>
      <c r="B4101" t="s">
        <v>10943</v>
      </c>
      <c r="C4101" t="s">
        <v>10944</v>
      </c>
      <c r="D4101" t="s">
        <v>1643</v>
      </c>
      <c r="E4101" t="s">
        <v>10715</v>
      </c>
      <c r="F4101" t="s">
        <v>4410</v>
      </c>
      <c r="G4101" t="s">
        <v>10946</v>
      </c>
      <c r="H4101">
        <v>9287586858</v>
      </c>
      <c r="J4101">
        <v>9287585202</v>
      </c>
      <c r="K4101" t="s">
        <v>10947</v>
      </c>
      <c r="L4101" t="s">
        <v>1647</v>
      </c>
      <c r="M4101" t="s">
        <v>1634</v>
      </c>
    </row>
    <row r="4102" spans="1:13" x14ac:dyDescent="0.25">
      <c r="A4102">
        <v>5585</v>
      </c>
      <c r="B4102" t="s">
        <v>10943</v>
      </c>
      <c r="C4102" t="s">
        <v>10944</v>
      </c>
      <c r="D4102" t="s">
        <v>1643</v>
      </c>
      <c r="E4102" t="s">
        <v>10715</v>
      </c>
      <c r="F4102" t="s">
        <v>10948</v>
      </c>
      <c r="G4102" t="s">
        <v>6343</v>
      </c>
      <c r="H4102">
        <v>9287586858</v>
      </c>
      <c r="K4102" t="s">
        <v>10949</v>
      </c>
      <c r="L4102" t="s">
        <v>2857</v>
      </c>
      <c r="M4102" t="s">
        <v>1634</v>
      </c>
    </row>
    <row r="4103" spans="1:13" x14ac:dyDescent="0.25">
      <c r="A4103">
        <v>6048</v>
      </c>
      <c r="B4103" t="s">
        <v>10950</v>
      </c>
      <c r="C4103" t="s">
        <v>10951</v>
      </c>
      <c r="D4103" t="s">
        <v>1643</v>
      </c>
      <c r="E4103" t="s">
        <v>10715</v>
      </c>
      <c r="F4103" t="s">
        <v>1941</v>
      </c>
      <c r="G4103" t="s">
        <v>4008</v>
      </c>
      <c r="K4103" t="s">
        <v>10952</v>
      </c>
      <c r="L4103" t="s">
        <v>1647</v>
      </c>
      <c r="M4103" t="s">
        <v>1634</v>
      </c>
    </row>
    <row r="4104" spans="1:13" x14ac:dyDescent="0.25">
      <c r="A4104">
        <v>6048</v>
      </c>
      <c r="B4104" t="s">
        <v>10950</v>
      </c>
      <c r="C4104" t="s">
        <v>10951</v>
      </c>
      <c r="D4104" t="s">
        <v>1643</v>
      </c>
      <c r="E4104" t="s">
        <v>10715</v>
      </c>
      <c r="F4104" t="s">
        <v>10953</v>
      </c>
      <c r="G4104" t="s">
        <v>5175</v>
      </c>
      <c r="K4104" t="s">
        <v>10954</v>
      </c>
      <c r="L4104" t="s">
        <v>1728</v>
      </c>
      <c r="M4104" t="s">
        <v>1634</v>
      </c>
    </row>
    <row r="4105" spans="1:13" x14ac:dyDescent="0.25">
      <c r="A4105">
        <v>6048</v>
      </c>
      <c r="B4105" t="s">
        <v>10950</v>
      </c>
      <c r="C4105" t="s">
        <v>10951</v>
      </c>
      <c r="D4105" t="s">
        <v>1643</v>
      </c>
      <c r="E4105" t="s">
        <v>10715</v>
      </c>
      <c r="F4105" t="s">
        <v>10955</v>
      </c>
      <c r="G4105" t="s">
        <v>10956</v>
      </c>
      <c r="H4105">
        <v>9287042500</v>
      </c>
      <c r="K4105" t="s">
        <v>10957</v>
      </c>
      <c r="L4105" t="s">
        <v>9269</v>
      </c>
      <c r="M4105" t="s">
        <v>1634</v>
      </c>
    </row>
    <row r="4106" spans="1:13" x14ac:dyDescent="0.25">
      <c r="A4106">
        <v>5587</v>
      </c>
      <c r="B4106" t="s">
        <v>10958</v>
      </c>
      <c r="C4106" t="s">
        <v>10959</v>
      </c>
      <c r="D4106" t="s">
        <v>1643</v>
      </c>
      <c r="E4106" t="s">
        <v>10715</v>
      </c>
      <c r="F4106" t="s">
        <v>2734</v>
      </c>
      <c r="G4106" t="s">
        <v>2969</v>
      </c>
      <c r="H4106">
        <v>9287583921</v>
      </c>
      <c r="J4106">
        <v>9287587428</v>
      </c>
      <c r="K4106" t="s">
        <v>10960</v>
      </c>
      <c r="L4106" t="s">
        <v>1647</v>
      </c>
      <c r="M4106" t="s">
        <v>1634</v>
      </c>
    </row>
    <row r="4107" spans="1:13" x14ac:dyDescent="0.25">
      <c r="A4107">
        <v>4379</v>
      </c>
      <c r="B4107" t="s">
        <v>10961</v>
      </c>
      <c r="C4107" t="s">
        <v>10962</v>
      </c>
      <c r="D4107" t="s">
        <v>1628</v>
      </c>
      <c r="E4107" t="s">
        <v>10715</v>
      </c>
      <c r="F4107" t="s">
        <v>3303</v>
      </c>
      <c r="G4107" t="s">
        <v>10963</v>
      </c>
      <c r="H4107">
        <v>9287688700</v>
      </c>
      <c r="K4107" t="s">
        <v>10964</v>
      </c>
      <c r="L4107" t="s">
        <v>10965</v>
      </c>
      <c r="M4107" t="s">
        <v>1634</v>
      </c>
    </row>
    <row r="4108" spans="1:13" x14ac:dyDescent="0.25">
      <c r="A4108">
        <v>4379</v>
      </c>
      <c r="B4108" t="s">
        <v>10961</v>
      </c>
      <c r="C4108" t="s">
        <v>10962</v>
      </c>
      <c r="D4108" t="s">
        <v>1628</v>
      </c>
      <c r="E4108" t="s">
        <v>10715</v>
      </c>
      <c r="F4108" t="s">
        <v>10966</v>
      </c>
      <c r="G4108" t="s">
        <v>2969</v>
      </c>
      <c r="H4108">
        <v>9287682507</v>
      </c>
      <c r="K4108" t="s">
        <v>10967</v>
      </c>
      <c r="L4108" t="s">
        <v>1668</v>
      </c>
      <c r="M4108" t="s">
        <v>1634</v>
      </c>
    </row>
    <row r="4109" spans="1:13" x14ac:dyDescent="0.25">
      <c r="A4109">
        <v>4379</v>
      </c>
      <c r="B4109" t="s">
        <v>10961</v>
      </c>
      <c r="C4109" t="s">
        <v>10962</v>
      </c>
      <c r="D4109" t="s">
        <v>1628</v>
      </c>
      <c r="E4109" t="s">
        <v>10715</v>
      </c>
      <c r="F4109" t="s">
        <v>10968</v>
      </c>
      <c r="G4109" t="s">
        <v>3674</v>
      </c>
      <c r="K4109" t="s">
        <v>10969</v>
      </c>
      <c r="M4109" t="s">
        <v>1640</v>
      </c>
    </row>
    <row r="4110" spans="1:13" x14ac:dyDescent="0.25">
      <c r="A4110">
        <v>4379</v>
      </c>
      <c r="B4110" t="s">
        <v>10961</v>
      </c>
      <c r="C4110" t="s">
        <v>10962</v>
      </c>
      <c r="D4110" t="s">
        <v>1628</v>
      </c>
      <c r="E4110" t="s">
        <v>10715</v>
      </c>
      <c r="F4110" t="s">
        <v>2330</v>
      </c>
      <c r="G4110" t="s">
        <v>10970</v>
      </c>
      <c r="K4110" t="s">
        <v>10971</v>
      </c>
      <c r="L4110" t="s">
        <v>10972</v>
      </c>
      <c r="M4110" t="s">
        <v>1765</v>
      </c>
    </row>
    <row r="4111" spans="1:13" x14ac:dyDescent="0.25">
      <c r="A4111">
        <v>5589</v>
      </c>
      <c r="B4111" t="s">
        <v>10973</v>
      </c>
      <c r="C4111" t="s">
        <v>10974</v>
      </c>
      <c r="D4111" t="s">
        <v>1643</v>
      </c>
      <c r="E4111" t="s">
        <v>10715</v>
      </c>
      <c r="F4111" t="s">
        <v>10975</v>
      </c>
      <c r="G4111" t="s">
        <v>10976</v>
      </c>
      <c r="H4111">
        <v>9287682507</v>
      </c>
      <c r="J4111">
        <v>9287682510</v>
      </c>
      <c r="K4111" t="s">
        <v>10977</v>
      </c>
      <c r="L4111" t="s">
        <v>1668</v>
      </c>
      <c r="M4111" t="s">
        <v>1634</v>
      </c>
    </row>
    <row r="4112" spans="1:13" x14ac:dyDescent="0.25">
      <c r="A4112">
        <v>5590</v>
      </c>
      <c r="B4112" t="s">
        <v>10978</v>
      </c>
      <c r="C4112" t="s">
        <v>10979</v>
      </c>
      <c r="D4112" t="s">
        <v>1643</v>
      </c>
      <c r="E4112" t="s">
        <v>10715</v>
      </c>
      <c r="F4112" t="s">
        <v>2778</v>
      </c>
      <c r="G4112" t="s">
        <v>10980</v>
      </c>
      <c r="H4112">
        <v>9287683986</v>
      </c>
      <c r="J4112">
        <v>9287688075</v>
      </c>
      <c r="K4112" t="s">
        <v>10981</v>
      </c>
      <c r="L4112" t="s">
        <v>1647</v>
      </c>
      <c r="M4112" t="s">
        <v>1634</v>
      </c>
    </row>
    <row r="4113" spans="1:13" x14ac:dyDescent="0.25">
      <c r="A4113">
        <v>6049</v>
      </c>
      <c r="B4113" t="s">
        <v>10982</v>
      </c>
      <c r="C4113" t="s">
        <v>10983</v>
      </c>
      <c r="D4113" t="s">
        <v>1643</v>
      </c>
      <c r="E4113" t="s">
        <v>10715</v>
      </c>
      <c r="F4113" t="s">
        <v>1787</v>
      </c>
      <c r="G4113" t="s">
        <v>10984</v>
      </c>
      <c r="H4113">
        <v>9287043600</v>
      </c>
      <c r="J4113">
        <v>9287043663</v>
      </c>
      <c r="K4113" t="s">
        <v>10985</v>
      </c>
      <c r="L4113" t="s">
        <v>1647</v>
      </c>
      <c r="M4113" t="s">
        <v>1634</v>
      </c>
    </row>
    <row r="4114" spans="1:13" x14ac:dyDescent="0.25">
      <c r="A4114">
        <v>6049</v>
      </c>
      <c r="B4114" t="s">
        <v>10982</v>
      </c>
      <c r="C4114" t="s">
        <v>10983</v>
      </c>
      <c r="D4114" t="s">
        <v>1643</v>
      </c>
      <c r="E4114" t="s">
        <v>10715</v>
      </c>
      <c r="F4114" t="s">
        <v>10986</v>
      </c>
      <c r="G4114" t="s">
        <v>10987</v>
      </c>
      <c r="K4114" t="s">
        <v>10988</v>
      </c>
      <c r="M4114" t="s">
        <v>1634</v>
      </c>
    </row>
    <row r="4115" spans="1:13" x14ac:dyDescent="0.25">
      <c r="A4115">
        <v>6049</v>
      </c>
      <c r="B4115" t="s">
        <v>10982</v>
      </c>
      <c r="C4115" t="s">
        <v>10983</v>
      </c>
      <c r="D4115" t="s">
        <v>1643</v>
      </c>
      <c r="E4115" t="s">
        <v>10715</v>
      </c>
      <c r="F4115" t="s">
        <v>2788</v>
      </c>
      <c r="G4115" t="s">
        <v>10989</v>
      </c>
      <c r="H4115">
        <v>9287682211</v>
      </c>
      <c r="K4115" t="s">
        <v>10990</v>
      </c>
      <c r="L4115" t="s">
        <v>1647</v>
      </c>
      <c r="M4115" t="s">
        <v>1634</v>
      </c>
    </row>
    <row r="4116" spans="1:13" x14ac:dyDescent="0.25">
      <c r="A4116">
        <v>4381</v>
      </c>
      <c r="B4116" t="s">
        <v>10991</v>
      </c>
      <c r="C4116" t="s">
        <v>10992</v>
      </c>
      <c r="D4116" t="s">
        <v>1628</v>
      </c>
      <c r="E4116" t="s">
        <v>10715</v>
      </c>
      <c r="F4116" t="s">
        <v>10993</v>
      </c>
      <c r="G4116" t="s">
        <v>10994</v>
      </c>
      <c r="H4116">
        <v>9287583961</v>
      </c>
      <c r="J4116">
        <v>9287681702</v>
      </c>
      <c r="K4116" t="s">
        <v>10995</v>
      </c>
      <c r="L4116" t="s">
        <v>1668</v>
      </c>
      <c r="M4116" t="s">
        <v>1634</v>
      </c>
    </row>
    <row r="4117" spans="1:13" x14ac:dyDescent="0.25">
      <c r="A4117">
        <v>4381</v>
      </c>
      <c r="B4117" t="s">
        <v>10991</v>
      </c>
      <c r="C4117" t="s">
        <v>10992</v>
      </c>
      <c r="D4117" t="s">
        <v>1628</v>
      </c>
      <c r="E4117" t="s">
        <v>10715</v>
      </c>
      <c r="F4117" t="s">
        <v>10996</v>
      </c>
      <c r="G4117" t="s">
        <v>2250</v>
      </c>
      <c r="H4117">
        <v>9282193005</v>
      </c>
      <c r="J4117">
        <v>9282193050</v>
      </c>
      <c r="K4117" t="s">
        <v>10997</v>
      </c>
      <c r="L4117" t="s">
        <v>1640</v>
      </c>
      <c r="M4117" t="s">
        <v>1640</v>
      </c>
    </row>
    <row r="4118" spans="1:13" x14ac:dyDescent="0.25">
      <c r="A4118">
        <v>4381</v>
      </c>
      <c r="B4118" t="s">
        <v>10991</v>
      </c>
      <c r="C4118" t="s">
        <v>10992</v>
      </c>
      <c r="D4118" t="s">
        <v>1628</v>
      </c>
      <c r="E4118" t="s">
        <v>10715</v>
      </c>
      <c r="F4118" t="s">
        <v>10998</v>
      </c>
      <c r="G4118" t="s">
        <v>10999</v>
      </c>
      <c r="H4118">
        <v>9287682300</v>
      </c>
      <c r="K4118" t="s">
        <v>11000</v>
      </c>
      <c r="L4118" t="s">
        <v>1647</v>
      </c>
      <c r="M4118" t="s">
        <v>1640</v>
      </c>
    </row>
    <row r="4119" spans="1:13" x14ac:dyDescent="0.25">
      <c r="A4119">
        <v>4381</v>
      </c>
      <c r="B4119" t="s">
        <v>10991</v>
      </c>
      <c r="C4119" t="s">
        <v>10992</v>
      </c>
      <c r="D4119" t="s">
        <v>1628</v>
      </c>
      <c r="E4119" t="s">
        <v>10715</v>
      </c>
      <c r="F4119" t="s">
        <v>2261</v>
      </c>
      <c r="G4119" t="s">
        <v>11001</v>
      </c>
      <c r="H4119">
        <v>9287881503</v>
      </c>
      <c r="K4119" t="s">
        <v>11002</v>
      </c>
      <c r="L4119" t="s">
        <v>4430</v>
      </c>
      <c r="M4119" t="s">
        <v>1765</v>
      </c>
    </row>
    <row r="4120" spans="1:13" x14ac:dyDescent="0.25">
      <c r="A4120">
        <v>4381</v>
      </c>
      <c r="B4120" t="s">
        <v>10991</v>
      </c>
      <c r="C4120" t="s">
        <v>10992</v>
      </c>
      <c r="D4120" t="s">
        <v>1628</v>
      </c>
      <c r="E4120" t="s">
        <v>10715</v>
      </c>
      <c r="F4120" t="s">
        <v>11003</v>
      </c>
      <c r="G4120" t="s">
        <v>2571</v>
      </c>
      <c r="H4120">
        <v>9287583961</v>
      </c>
      <c r="I4120">
        <v>1418</v>
      </c>
      <c r="K4120" t="s">
        <v>11004</v>
      </c>
      <c r="L4120" t="s">
        <v>11005</v>
      </c>
      <c r="M4120" t="s">
        <v>1765</v>
      </c>
    </row>
    <row r="4121" spans="1:13" x14ac:dyDescent="0.25">
      <c r="A4121">
        <v>5592</v>
      </c>
      <c r="B4121" t="s">
        <v>11006</v>
      </c>
      <c r="C4121" t="s">
        <v>11007</v>
      </c>
      <c r="D4121" t="s">
        <v>1643</v>
      </c>
      <c r="E4121" t="s">
        <v>10715</v>
      </c>
      <c r="F4121" t="s">
        <v>1775</v>
      </c>
      <c r="G4121" t="s">
        <v>11008</v>
      </c>
      <c r="K4121" t="s">
        <v>11009</v>
      </c>
      <c r="L4121" t="s">
        <v>1721</v>
      </c>
      <c r="M4121" t="s">
        <v>1634</v>
      </c>
    </row>
    <row r="4122" spans="1:13" x14ac:dyDescent="0.25">
      <c r="A4122">
        <v>5592</v>
      </c>
      <c r="B4122" t="s">
        <v>11006</v>
      </c>
      <c r="C4122" t="s">
        <v>11007</v>
      </c>
      <c r="D4122" t="s">
        <v>1643</v>
      </c>
      <c r="E4122" t="s">
        <v>10715</v>
      </c>
      <c r="F4122" t="s">
        <v>2997</v>
      </c>
      <c r="G4122" t="s">
        <v>4907</v>
      </c>
      <c r="H4122">
        <v>9287881205</v>
      </c>
      <c r="K4122" t="s">
        <v>11010</v>
      </c>
      <c r="L4122" t="s">
        <v>1647</v>
      </c>
      <c r="M4122" t="s">
        <v>1634</v>
      </c>
    </row>
    <row r="4123" spans="1:13" x14ac:dyDescent="0.25">
      <c r="A4123">
        <v>5592</v>
      </c>
      <c r="B4123" t="s">
        <v>11006</v>
      </c>
      <c r="C4123" t="s">
        <v>11007</v>
      </c>
      <c r="D4123" t="s">
        <v>1643</v>
      </c>
      <c r="E4123" t="s">
        <v>10715</v>
      </c>
      <c r="F4123" t="s">
        <v>4172</v>
      </c>
      <c r="G4123" t="s">
        <v>11011</v>
      </c>
      <c r="H4123">
        <v>9287881205</v>
      </c>
      <c r="K4123" t="s">
        <v>11012</v>
      </c>
      <c r="L4123" t="s">
        <v>1647</v>
      </c>
      <c r="M4123" t="s">
        <v>1634</v>
      </c>
    </row>
    <row r="4124" spans="1:13" x14ac:dyDescent="0.25">
      <c r="A4124">
        <v>5592</v>
      </c>
      <c r="B4124" t="s">
        <v>11006</v>
      </c>
      <c r="C4124" t="s">
        <v>11007</v>
      </c>
      <c r="D4124" t="s">
        <v>1643</v>
      </c>
      <c r="E4124" t="s">
        <v>10715</v>
      </c>
      <c r="F4124" t="s">
        <v>1723</v>
      </c>
      <c r="G4124" t="s">
        <v>11013</v>
      </c>
      <c r="H4124">
        <v>9287881206</v>
      </c>
      <c r="K4124" t="s">
        <v>11014</v>
      </c>
      <c r="L4124" t="s">
        <v>1738</v>
      </c>
      <c r="M4124" t="s">
        <v>1640</v>
      </c>
    </row>
    <row r="4125" spans="1:13" x14ac:dyDescent="0.25">
      <c r="A4125">
        <v>5593</v>
      </c>
      <c r="B4125" t="s">
        <v>11015</v>
      </c>
      <c r="C4125" t="s">
        <v>11016</v>
      </c>
      <c r="D4125" t="s">
        <v>1643</v>
      </c>
      <c r="E4125" t="s">
        <v>10715</v>
      </c>
      <c r="F4125" t="s">
        <v>7516</v>
      </c>
      <c r="G4125" t="s">
        <v>11017</v>
      </c>
      <c r="H4125">
        <v>9287682300</v>
      </c>
      <c r="J4125">
        <v>9287686156</v>
      </c>
      <c r="K4125" t="s">
        <v>11018</v>
      </c>
      <c r="L4125" t="s">
        <v>1647</v>
      </c>
      <c r="M4125" t="s">
        <v>1634</v>
      </c>
    </row>
    <row r="4126" spans="1:13" x14ac:dyDescent="0.25">
      <c r="A4126">
        <v>5593</v>
      </c>
      <c r="B4126" t="s">
        <v>11015</v>
      </c>
      <c r="C4126" t="s">
        <v>11016</v>
      </c>
      <c r="D4126" t="s">
        <v>1643</v>
      </c>
      <c r="E4126" t="s">
        <v>10715</v>
      </c>
      <c r="F4126" t="s">
        <v>10998</v>
      </c>
      <c r="G4126" t="s">
        <v>10999</v>
      </c>
      <c r="K4126" t="s">
        <v>11019</v>
      </c>
      <c r="L4126" t="s">
        <v>2879</v>
      </c>
      <c r="M4126" t="s">
        <v>1640</v>
      </c>
    </row>
    <row r="4127" spans="1:13" x14ac:dyDescent="0.25">
      <c r="A4127">
        <v>90858</v>
      </c>
      <c r="B4127" t="s">
        <v>11020</v>
      </c>
      <c r="C4127" t="s">
        <v>11021</v>
      </c>
      <c r="D4127" t="s">
        <v>1643</v>
      </c>
      <c r="E4127" t="s">
        <v>10715</v>
      </c>
      <c r="F4127" t="s">
        <v>1732</v>
      </c>
      <c r="G4127" t="s">
        <v>9456</v>
      </c>
      <c r="H4127">
        <v>9287881405</v>
      </c>
      <c r="J4127">
        <v>9287681702</v>
      </c>
      <c r="K4127" t="s">
        <v>11022</v>
      </c>
      <c r="M4127" t="s">
        <v>1640</v>
      </c>
    </row>
    <row r="4128" spans="1:13" x14ac:dyDescent="0.25">
      <c r="A4128">
        <v>90123</v>
      </c>
      <c r="B4128" t="s">
        <v>11023</v>
      </c>
      <c r="C4128" t="s">
        <v>11024</v>
      </c>
      <c r="D4128" t="s">
        <v>1628</v>
      </c>
      <c r="E4128" t="s">
        <v>10715</v>
      </c>
      <c r="F4128" t="s">
        <v>3428</v>
      </c>
      <c r="G4128" t="s">
        <v>3429</v>
      </c>
      <c r="K4128" t="s">
        <v>11025</v>
      </c>
      <c r="L4128" t="s">
        <v>1668</v>
      </c>
      <c r="M4128" t="s">
        <v>1634</v>
      </c>
    </row>
    <row r="4129" spans="1:13" x14ac:dyDescent="0.25">
      <c r="A4129">
        <v>90123</v>
      </c>
      <c r="B4129" t="s">
        <v>11023</v>
      </c>
      <c r="C4129" t="s">
        <v>11024</v>
      </c>
      <c r="D4129" t="s">
        <v>1628</v>
      </c>
      <c r="E4129" t="s">
        <v>10715</v>
      </c>
      <c r="F4129" t="s">
        <v>2549</v>
      </c>
      <c r="G4129" t="s">
        <v>11026</v>
      </c>
      <c r="K4129" t="s">
        <v>11027</v>
      </c>
      <c r="M4129" t="s">
        <v>1640</v>
      </c>
    </row>
    <row r="4130" spans="1:13" x14ac:dyDescent="0.25">
      <c r="A4130">
        <v>90306</v>
      </c>
      <c r="B4130" t="s">
        <v>11028</v>
      </c>
      <c r="C4130" t="s">
        <v>11029</v>
      </c>
      <c r="D4130" t="s">
        <v>1643</v>
      </c>
      <c r="E4130" t="s">
        <v>10715</v>
      </c>
    </row>
    <row r="4131" spans="1:13" x14ac:dyDescent="0.25">
      <c r="A4131">
        <v>90307</v>
      </c>
      <c r="B4131" t="s">
        <v>11030</v>
      </c>
      <c r="C4131" t="s">
        <v>11031</v>
      </c>
      <c r="D4131" t="s">
        <v>1643</v>
      </c>
      <c r="E4131" t="s">
        <v>10715</v>
      </c>
    </row>
    <row r="4132" spans="1:13" x14ac:dyDescent="0.25">
      <c r="A4132">
        <v>90308</v>
      </c>
      <c r="B4132" t="s">
        <v>11032</v>
      </c>
      <c r="C4132" t="s">
        <v>11033</v>
      </c>
      <c r="D4132" t="s">
        <v>1643</v>
      </c>
      <c r="E4132" t="s">
        <v>10715</v>
      </c>
    </row>
    <row r="4133" spans="1:13" x14ac:dyDescent="0.25">
      <c r="A4133">
        <v>90305</v>
      </c>
      <c r="B4133" t="s">
        <v>11034</v>
      </c>
      <c r="C4133" t="s">
        <v>11035</v>
      </c>
      <c r="D4133" t="s">
        <v>1643</v>
      </c>
      <c r="E4133" t="s">
        <v>10715</v>
      </c>
    </row>
    <row r="4134" spans="1:13" x14ac:dyDescent="0.25">
      <c r="A4134">
        <v>90304</v>
      </c>
      <c r="B4134" t="s">
        <v>11036</v>
      </c>
      <c r="C4134" t="s">
        <v>11037</v>
      </c>
      <c r="D4134" t="s">
        <v>1643</v>
      </c>
      <c r="E4134" t="s">
        <v>10715</v>
      </c>
    </row>
    <row r="4135" spans="1:13" x14ac:dyDescent="0.25">
      <c r="A4135">
        <v>90686</v>
      </c>
      <c r="B4135" t="s">
        <v>11038</v>
      </c>
      <c r="C4135" t="s">
        <v>11039</v>
      </c>
      <c r="D4135" t="s">
        <v>1643</v>
      </c>
      <c r="E4135" t="s">
        <v>10715</v>
      </c>
    </row>
    <row r="4136" spans="1:13" x14ac:dyDescent="0.25">
      <c r="A4136">
        <v>90851</v>
      </c>
      <c r="B4136" t="s">
        <v>11040</v>
      </c>
      <c r="C4136" t="s">
        <v>11041</v>
      </c>
      <c r="D4136" t="s">
        <v>1643</v>
      </c>
      <c r="E4136" t="s">
        <v>10715</v>
      </c>
      <c r="F4136" t="s">
        <v>3428</v>
      </c>
      <c r="G4136" t="s">
        <v>3429</v>
      </c>
      <c r="K4136" t="s">
        <v>11025</v>
      </c>
      <c r="L4136" t="s">
        <v>1668</v>
      </c>
      <c r="M4136" t="s">
        <v>1634</v>
      </c>
    </row>
    <row r="4137" spans="1:13" x14ac:dyDescent="0.25">
      <c r="A4137">
        <v>90889</v>
      </c>
      <c r="B4137" t="s">
        <v>11042</v>
      </c>
      <c r="C4137" t="s">
        <v>11043</v>
      </c>
      <c r="D4137" t="s">
        <v>1643</v>
      </c>
      <c r="E4137" t="s">
        <v>10715</v>
      </c>
    </row>
    <row r="4138" spans="1:13" x14ac:dyDescent="0.25">
      <c r="A4138">
        <v>92949</v>
      </c>
      <c r="B4138" t="s">
        <v>11044</v>
      </c>
      <c r="C4138" t="s">
        <v>11045</v>
      </c>
      <c r="D4138" t="s">
        <v>1643</v>
      </c>
      <c r="E4138" t="s">
        <v>10715</v>
      </c>
      <c r="F4138" t="s">
        <v>3428</v>
      </c>
      <c r="G4138" t="s">
        <v>3429</v>
      </c>
      <c r="K4138" t="s">
        <v>11025</v>
      </c>
      <c r="L4138" t="s">
        <v>1668</v>
      </c>
      <c r="M4138" t="s">
        <v>1634</v>
      </c>
    </row>
    <row r="4139" spans="1:13" x14ac:dyDescent="0.25">
      <c r="A4139">
        <v>1001422</v>
      </c>
      <c r="B4139" t="s">
        <v>11046</v>
      </c>
      <c r="C4139" t="s">
        <v>11047</v>
      </c>
      <c r="D4139" t="s">
        <v>1643</v>
      </c>
      <c r="E4139" t="s">
        <v>10715</v>
      </c>
    </row>
    <row r="4140" spans="1:13" x14ac:dyDescent="0.25">
      <c r="A4140">
        <v>4383</v>
      </c>
      <c r="B4140" t="s">
        <v>11048</v>
      </c>
      <c r="C4140" t="s">
        <v>11049</v>
      </c>
      <c r="D4140" t="s">
        <v>2596</v>
      </c>
      <c r="E4140" t="s">
        <v>10715</v>
      </c>
      <c r="F4140" t="s">
        <v>3057</v>
      </c>
      <c r="G4140" t="s">
        <v>11050</v>
      </c>
      <c r="H4140">
        <v>9286812400</v>
      </c>
      <c r="K4140" t="s">
        <v>11051</v>
      </c>
      <c r="M4140" t="s">
        <v>1640</v>
      </c>
    </row>
    <row r="4141" spans="1:13" x14ac:dyDescent="0.25">
      <c r="A4141">
        <v>5596</v>
      </c>
      <c r="B4141" t="s">
        <v>11052</v>
      </c>
      <c r="C4141" t="s">
        <v>11053</v>
      </c>
      <c r="D4141" t="s">
        <v>2605</v>
      </c>
      <c r="E4141" t="s">
        <v>10715</v>
      </c>
      <c r="F4141" t="s">
        <v>11054</v>
      </c>
      <c r="G4141" t="s">
        <v>2932</v>
      </c>
      <c r="H4141">
        <v>9286922500</v>
      </c>
      <c r="L4141" t="s">
        <v>1647</v>
      </c>
      <c r="M4141" t="s">
        <v>1634</v>
      </c>
    </row>
    <row r="4142" spans="1:13" x14ac:dyDescent="0.25">
      <c r="A4142">
        <v>5597</v>
      </c>
      <c r="B4142" t="s">
        <v>11055</v>
      </c>
      <c r="C4142" t="s">
        <v>11056</v>
      </c>
      <c r="D4142" t="s">
        <v>2605</v>
      </c>
      <c r="E4142" t="s">
        <v>10715</v>
      </c>
      <c r="F4142" t="s">
        <v>2046</v>
      </c>
      <c r="G4142" t="s">
        <v>4410</v>
      </c>
      <c r="H4142">
        <v>9286813200</v>
      </c>
      <c r="L4142" t="s">
        <v>1647</v>
      </c>
      <c r="M4142" t="s">
        <v>1634</v>
      </c>
    </row>
    <row r="4143" spans="1:13" x14ac:dyDescent="0.25">
      <c r="A4143">
        <v>6051</v>
      </c>
      <c r="B4143" t="s">
        <v>11057</v>
      </c>
      <c r="C4143" t="s">
        <v>11058</v>
      </c>
      <c r="D4143" t="s">
        <v>2605</v>
      </c>
      <c r="E4143" t="s">
        <v>10715</v>
      </c>
      <c r="F4143" t="s">
        <v>3491</v>
      </c>
      <c r="G4143" t="s">
        <v>10832</v>
      </c>
      <c r="H4143">
        <v>9286925265</v>
      </c>
      <c r="L4143" t="s">
        <v>1647</v>
      </c>
      <c r="M4143" t="s">
        <v>1634</v>
      </c>
    </row>
    <row r="4144" spans="1:13" x14ac:dyDescent="0.25">
      <c r="A4144">
        <v>79373</v>
      </c>
      <c r="B4144" t="s">
        <v>11059</v>
      </c>
      <c r="C4144" t="s">
        <v>11060</v>
      </c>
      <c r="D4144" t="s">
        <v>2605</v>
      </c>
      <c r="E4144" t="s">
        <v>10715</v>
      </c>
      <c r="F4144" t="s">
        <v>3024</v>
      </c>
      <c r="G4144" t="s">
        <v>11061</v>
      </c>
      <c r="H4144">
        <v>9286812900</v>
      </c>
      <c r="L4144" t="s">
        <v>1647</v>
      </c>
      <c r="M4144" t="s">
        <v>1634</v>
      </c>
    </row>
    <row r="4145" spans="1:13" x14ac:dyDescent="0.25">
      <c r="A4145">
        <v>79373</v>
      </c>
      <c r="B4145" t="s">
        <v>11059</v>
      </c>
      <c r="C4145" t="s">
        <v>11060</v>
      </c>
      <c r="D4145" t="s">
        <v>2605</v>
      </c>
      <c r="E4145" t="s">
        <v>10715</v>
      </c>
      <c r="F4145" t="s">
        <v>3057</v>
      </c>
      <c r="G4145" t="s">
        <v>11062</v>
      </c>
      <c r="H4145">
        <v>9286812400</v>
      </c>
      <c r="L4145" t="s">
        <v>1640</v>
      </c>
      <c r="M4145" t="s">
        <v>1640</v>
      </c>
    </row>
    <row r="4146" spans="1:13" x14ac:dyDescent="0.25">
      <c r="A4146">
        <v>79218</v>
      </c>
      <c r="B4146" t="s">
        <v>11063</v>
      </c>
      <c r="C4146" t="s">
        <v>11064</v>
      </c>
      <c r="D4146" t="s">
        <v>2596</v>
      </c>
      <c r="E4146" t="s">
        <v>10715</v>
      </c>
      <c r="F4146" t="s">
        <v>1931</v>
      </c>
      <c r="G4146" t="s">
        <v>11065</v>
      </c>
      <c r="H4146">
        <v>9288558661</v>
      </c>
      <c r="J4146">
        <v>9288559302</v>
      </c>
      <c r="K4146" t="s">
        <v>11066</v>
      </c>
      <c r="L4146" t="s">
        <v>1647</v>
      </c>
      <c r="M4146" t="s">
        <v>1634</v>
      </c>
    </row>
    <row r="4147" spans="1:13" x14ac:dyDescent="0.25">
      <c r="A4147">
        <v>79218</v>
      </c>
      <c r="B4147" t="s">
        <v>11063</v>
      </c>
      <c r="C4147" t="s">
        <v>11064</v>
      </c>
      <c r="D4147" t="s">
        <v>2596</v>
      </c>
      <c r="E4147" t="s">
        <v>10715</v>
      </c>
      <c r="F4147" t="s">
        <v>2756</v>
      </c>
      <c r="G4147" t="s">
        <v>11065</v>
      </c>
      <c r="H4147">
        <v>9288558661</v>
      </c>
      <c r="K4147" t="s">
        <v>11067</v>
      </c>
      <c r="L4147" t="s">
        <v>11068</v>
      </c>
      <c r="M4147" t="s">
        <v>1634</v>
      </c>
    </row>
    <row r="4148" spans="1:13" x14ac:dyDescent="0.25">
      <c r="A4148">
        <v>78857</v>
      </c>
      <c r="B4148" t="s">
        <v>11069</v>
      </c>
      <c r="C4148" t="s">
        <v>11070</v>
      </c>
      <c r="D4148" t="s">
        <v>2605</v>
      </c>
      <c r="E4148" t="s">
        <v>10715</v>
      </c>
      <c r="F4148" t="s">
        <v>1931</v>
      </c>
      <c r="G4148" t="s">
        <v>11065</v>
      </c>
      <c r="H4148">
        <v>9288558661</v>
      </c>
      <c r="J4148">
        <v>9288559302</v>
      </c>
      <c r="K4148" t="s">
        <v>11066</v>
      </c>
      <c r="L4148" t="s">
        <v>1647</v>
      </c>
      <c r="M4148" t="s">
        <v>1634</v>
      </c>
    </row>
    <row r="4149" spans="1:13" x14ac:dyDescent="0.25">
      <c r="A4149">
        <v>80980</v>
      </c>
      <c r="B4149" t="s">
        <v>11071</v>
      </c>
      <c r="C4149" t="s">
        <v>11072</v>
      </c>
      <c r="D4149" t="s">
        <v>2605</v>
      </c>
      <c r="E4149" t="s">
        <v>10715</v>
      </c>
      <c r="F4149" t="s">
        <v>6120</v>
      </c>
      <c r="G4149" t="s">
        <v>11065</v>
      </c>
      <c r="H4149">
        <v>9288558661</v>
      </c>
      <c r="J4149">
        <v>9288559302</v>
      </c>
      <c r="K4149" t="s">
        <v>11066</v>
      </c>
      <c r="L4149" t="s">
        <v>1668</v>
      </c>
      <c r="M4149" t="s">
        <v>1634</v>
      </c>
    </row>
    <row r="4150" spans="1:13" x14ac:dyDescent="0.25">
      <c r="A4150">
        <v>85516</v>
      </c>
      <c r="B4150" t="s">
        <v>11073</v>
      </c>
      <c r="C4150" t="s">
        <v>11074</v>
      </c>
      <c r="D4150" t="s">
        <v>2596</v>
      </c>
      <c r="E4150" t="s">
        <v>10715</v>
      </c>
      <c r="F4150" t="s">
        <v>8943</v>
      </c>
      <c r="G4150" t="s">
        <v>3791</v>
      </c>
      <c r="H4150">
        <v>9287049345</v>
      </c>
      <c r="J4150">
        <v>9287044977</v>
      </c>
      <c r="K4150" t="s">
        <v>11075</v>
      </c>
      <c r="L4150" t="s">
        <v>1668</v>
      </c>
      <c r="M4150" t="s">
        <v>1634</v>
      </c>
    </row>
    <row r="4151" spans="1:13" x14ac:dyDescent="0.25">
      <c r="A4151">
        <v>85516</v>
      </c>
      <c r="B4151" t="s">
        <v>11073</v>
      </c>
      <c r="C4151" t="s">
        <v>11074</v>
      </c>
      <c r="D4151" t="s">
        <v>2596</v>
      </c>
      <c r="E4151" t="s">
        <v>10715</v>
      </c>
      <c r="F4151" t="s">
        <v>1931</v>
      </c>
      <c r="G4151" t="s">
        <v>1909</v>
      </c>
      <c r="H4151">
        <v>9287049345</v>
      </c>
      <c r="K4151" t="s">
        <v>11076</v>
      </c>
      <c r="L4151" t="s">
        <v>1647</v>
      </c>
      <c r="M4151" t="s">
        <v>1634</v>
      </c>
    </row>
    <row r="4152" spans="1:13" x14ac:dyDescent="0.25">
      <c r="A4152">
        <v>85516</v>
      </c>
      <c r="B4152" t="s">
        <v>11073</v>
      </c>
      <c r="C4152" t="s">
        <v>11074</v>
      </c>
      <c r="D4152" t="s">
        <v>2596</v>
      </c>
      <c r="E4152" t="s">
        <v>10715</v>
      </c>
      <c r="F4152" t="s">
        <v>11077</v>
      </c>
      <c r="G4152" t="s">
        <v>11078</v>
      </c>
      <c r="K4152" t="s">
        <v>11079</v>
      </c>
      <c r="M4152" t="s">
        <v>1634</v>
      </c>
    </row>
    <row r="4153" spans="1:13" x14ac:dyDescent="0.25">
      <c r="A4153">
        <v>85516</v>
      </c>
      <c r="B4153" t="s">
        <v>11073</v>
      </c>
      <c r="C4153" t="s">
        <v>11074</v>
      </c>
      <c r="D4153" t="s">
        <v>2596</v>
      </c>
      <c r="E4153" t="s">
        <v>10715</v>
      </c>
      <c r="F4153" t="s">
        <v>11080</v>
      </c>
      <c r="G4153" t="s">
        <v>2647</v>
      </c>
      <c r="H4153">
        <v>9287049345</v>
      </c>
      <c r="K4153" t="s">
        <v>11081</v>
      </c>
      <c r="M4153" t="s">
        <v>1765</v>
      </c>
    </row>
    <row r="4154" spans="1:13" x14ac:dyDescent="0.25">
      <c r="A4154">
        <v>85517</v>
      </c>
      <c r="B4154" t="s">
        <v>11082</v>
      </c>
      <c r="C4154" t="s">
        <v>11083</v>
      </c>
      <c r="D4154" t="s">
        <v>2605</v>
      </c>
      <c r="E4154" t="s">
        <v>10715</v>
      </c>
      <c r="F4154" t="s">
        <v>8943</v>
      </c>
      <c r="G4154" t="s">
        <v>3791</v>
      </c>
      <c r="H4154">
        <v>9287049345</v>
      </c>
      <c r="J4154">
        <v>9287044977</v>
      </c>
      <c r="K4154" t="s">
        <v>11084</v>
      </c>
      <c r="M4154" t="s">
        <v>1634</v>
      </c>
    </row>
    <row r="4155" spans="1:13" x14ac:dyDescent="0.25">
      <c r="A4155">
        <v>85517</v>
      </c>
      <c r="B4155" t="s">
        <v>11082</v>
      </c>
      <c r="C4155" t="s">
        <v>11083</v>
      </c>
      <c r="D4155" t="s">
        <v>2605</v>
      </c>
      <c r="E4155" t="s">
        <v>10715</v>
      </c>
      <c r="F4155" t="s">
        <v>6120</v>
      </c>
      <c r="G4155" t="s">
        <v>1909</v>
      </c>
      <c r="H4155">
        <v>9287049345</v>
      </c>
      <c r="I4155">
        <v>133</v>
      </c>
      <c r="K4155" t="s">
        <v>11076</v>
      </c>
      <c r="M4155" t="s">
        <v>1634</v>
      </c>
    </row>
    <row r="4156" spans="1:13" x14ac:dyDescent="0.25">
      <c r="A4156">
        <v>85517</v>
      </c>
      <c r="B4156" t="s">
        <v>11082</v>
      </c>
      <c r="C4156" t="s">
        <v>11083</v>
      </c>
      <c r="D4156" t="s">
        <v>2605</v>
      </c>
      <c r="E4156" t="s">
        <v>10715</v>
      </c>
      <c r="F4156" t="s">
        <v>2135</v>
      </c>
      <c r="G4156" t="s">
        <v>1691</v>
      </c>
      <c r="H4156">
        <v>9287049345</v>
      </c>
      <c r="I4156">
        <v>134</v>
      </c>
      <c r="M4156" t="s">
        <v>1634</v>
      </c>
    </row>
    <row r="4157" spans="1:13" x14ac:dyDescent="0.25">
      <c r="A4157">
        <v>85517</v>
      </c>
      <c r="B4157" t="s">
        <v>11082</v>
      </c>
      <c r="C4157" t="s">
        <v>11083</v>
      </c>
      <c r="D4157" t="s">
        <v>2605</v>
      </c>
      <c r="E4157" t="s">
        <v>10715</v>
      </c>
      <c r="F4157" t="s">
        <v>11080</v>
      </c>
      <c r="G4157" t="s">
        <v>2647</v>
      </c>
      <c r="H4157">
        <v>9287049345</v>
      </c>
      <c r="I4157">
        <v>130</v>
      </c>
      <c r="K4157" t="s">
        <v>11081</v>
      </c>
      <c r="L4157" t="s">
        <v>1746</v>
      </c>
      <c r="M4157" t="s">
        <v>1634</v>
      </c>
    </row>
    <row r="4158" spans="1:13" x14ac:dyDescent="0.25">
      <c r="A4158">
        <v>85517</v>
      </c>
      <c r="B4158" t="s">
        <v>11082</v>
      </c>
      <c r="C4158" t="s">
        <v>11083</v>
      </c>
      <c r="D4158" t="s">
        <v>2605</v>
      </c>
      <c r="E4158" t="s">
        <v>10715</v>
      </c>
      <c r="F4158" t="s">
        <v>11085</v>
      </c>
      <c r="G4158" t="s">
        <v>11086</v>
      </c>
      <c r="M4158" t="s">
        <v>1640</v>
      </c>
    </row>
    <row r="4159" spans="1:13" x14ac:dyDescent="0.25">
      <c r="A4159">
        <v>85517</v>
      </c>
      <c r="B4159" t="s">
        <v>11082</v>
      </c>
      <c r="C4159" t="s">
        <v>11083</v>
      </c>
      <c r="D4159" t="s">
        <v>2605</v>
      </c>
      <c r="E4159" t="s">
        <v>10715</v>
      </c>
      <c r="F4159" t="s">
        <v>4405</v>
      </c>
      <c r="G4159" t="s">
        <v>11087</v>
      </c>
      <c r="K4159" t="s">
        <v>11088</v>
      </c>
      <c r="M4159" t="s">
        <v>1640</v>
      </c>
    </row>
    <row r="4160" spans="1:13" x14ac:dyDescent="0.25">
      <c r="A4160">
        <v>85517</v>
      </c>
      <c r="B4160" t="s">
        <v>11082</v>
      </c>
      <c r="C4160" t="s">
        <v>11083</v>
      </c>
      <c r="D4160" t="s">
        <v>2605</v>
      </c>
      <c r="E4160" t="s">
        <v>10715</v>
      </c>
      <c r="F4160" t="s">
        <v>11080</v>
      </c>
      <c r="G4160" t="s">
        <v>2647</v>
      </c>
      <c r="H4160">
        <v>9287049345</v>
      </c>
      <c r="I4160">
        <v>130</v>
      </c>
      <c r="K4160" t="s">
        <v>11081</v>
      </c>
      <c r="L4160" t="s">
        <v>1746</v>
      </c>
      <c r="M4160" t="s">
        <v>1765</v>
      </c>
    </row>
    <row r="4161" spans="1:13" x14ac:dyDescent="0.25">
      <c r="A4161">
        <v>90194</v>
      </c>
      <c r="B4161" t="s">
        <v>11089</v>
      </c>
      <c r="C4161" t="s">
        <v>11090</v>
      </c>
      <c r="D4161" t="s">
        <v>2605</v>
      </c>
      <c r="E4161" t="s">
        <v>10715</v>
      </c>
      <c r="F4161" t="s">
        <v>2135</v>
      </c>
      <c r="G4161" t="s">
        <v>1691</v>
      </c>
      <c r="H4161">
        <v>9287049345</v>
      </c>
      <c r="I4161">
        <v>134</v>
      </c>
      <c r="K4161" t="s">
        <v>11091</v>
      </c>
      <c r="M4161" t="s">
        <v>1634</v>
      </c>
    </row>
    <row r="4162" spans="1:13" x14ac:dyDescent="0.25">
      <c r="A4162">
        <v>90194</v>
      </c>
      <c r="B4162" t="s">
        <v>11089</v>
      </c>
      <c r="C4162" t="s">
        <v>11090</v>
      </c>
      <c r="D4162" t="s">
        <v>2605</v>
      </c>
      <c r="E4162" t="s">
        <v>10715</v>
      </c>
      <c r="F4162" t="s">
        <v>6120</v>
      </c>
      <c r="G4162" t="s">
        <v>1909</v>
      </c>
      <c r="H4162">
        <v>9287049345</v>
      </c>
      <c r="I4162">
        <v>133</v>
      </c>
      <c r="K4162" t="s">
        <v>11076</v>
      </c>
      <c r="M4162" t="s">
        <v>1634</v>
      </c>
    </row>
    <row r="4163" spans="1:13" x14ac:dyDescent="0.25">
      <c r="A4163">
        <v>85540</v>
      </c>
      <c r="B4163" t="s">
        <v>11092</v>
      </c>
      <c r="C4163" t="s">
        <v>11093</v>
      </c>
      <c r="D4163" t="s">
        <v>2596</v>
      </c>
      <c r="E4163" t="s">
        <v>10715</v>
      </c>
      <c r="F4163" t="s">
        <v>2036</v>
      </c>
      <c r="G4163" t="s">
        <v>2142</v>
      </c>
      <c r="H4163">
        <v>9287882601</v>
      </c>
      <c r="J4163">
        <v>9287882610</v>
      </c>
      <c r="K4163" t="s">
        <v>11094</v>
      </c>
      <c r="L4163" t="s">
        <v>2045</v>
      </c>
      <c r="M4163" t="s">
        <v>1765</v>
      </c>
    </row>
    <row r="4164" spans="1:13" x14ac:dyDescent="0.25">
      <c r="A4164">
        <v>85541</v>
      </c>
      <c r="B4164" t="s">
        <v>11095</v>
      </c>
      <c r="C4164" t="s">
        <v>11096</v>
      </c>
      <c r="D4164" t="s">
        <v>2605</v>
      </c>
      <c r="E4164" t="s">
        <v>10715</v>
      </c>
      <c r="F4164" t="s">
        <v>2036</v>
      </c>
      <c r="G4164" t="s">
        <v>2142</v>
      </c>
      <c r="H4164">
        <v>9287882601</v>
      </c>
      <c r="J4164">
        <v>9287882610</v>
      </c>
      <c r="K4164" t="s">
        <v>11097</v>
      </c>
      <c r="L4164" t="s">
        <v>9277</v>
      </c>
      <c r="M4164" t="s">
        <v>1634</v>
      </c>
    </row>
    <row r="4165" spans="1:13" x14ac:dyDescent="0.25">
      <c r="A4165">
        <v>92302</v>
      </c>
      <c r="B4165" t="s">
        <v>11098</v>
      </c>
      <c r="C4165" t="s">
        <v>11099</v>
      </c>
      <c r="D4165" t="s">
        <v>2596</v>
      </c>
      <c r="E4165" t="s">
        <v>10715</v>
      </c>
      <c r="F4165" t="s">
        <v>11100</v>
      </c>
      <c r="G4165" t="s">
        <v>3318</v>
      </c>
      <c r="H4165">
        <v>9287704523</v>
      </c>
      <c r="K4165" t="s">
        <v>11101</v>
      </c>
      <c r="L4165" t="s">
        <v>1647</v>
      </c>
      <c r="M4165" t="s">
        <v>1634</v>
      </c>
    </row>
    <row r="4166" spans="1:13" x14ac:dyDescent="0.25">
      <c r="A4166">
        <v>92302</v>
      </c>
      <c r="B4166" t="s">
        <v>11098</v>
      </c>
      <c r="C4166" t="s">
        <v>11099</v>
      </c>
      <c r="D4166" t="s">
        <v>2596</v>
      </c>
      <c r="E4166" t="s">
        <v>10715</v>
      </c>
      <c r="F4166" t="s">
        <v>3387</v>
      </c>
      <c r="G4166" t="s">
        <v>3318</v>
      </c>
      <c r="K4166" t="s">
        <v>11102</v>
      </c>
      <c r="M4166" t="s">
        <v>1640</v>
      </c>
    </row>
    <row r="4167" spans="1:13" x14ac:dyDescent="0.25">
      <c r="A4167">
        <v>92303</v>
      </c>
      <c r="B4167" t="s">
        <v>11098</v>
      </c>
      <c r="C4167" t="s">
        <v>11103</v>
      </c>
      <c r="D4167" t="s">
        <v>2605</v>
      </c>
      <c r="E4167" t="s">
        <v>10715</v>
      </c>
      <c r="F4167" t="s">
        <v>11100</v>
      </c>
      <c r="G4167" t="s">
        <v>3318</v>
      </c>
      <c r="H4167">
        <v>9287704523</v>
      </c>
      <c r="K4167" t="s">
        <v>11101</v>
      </c>
      <c r="M4167" t="s">
        <v>1634</v>
      </c>
    </row>
    <row r="4168" spans="1:13" x14ac:dyDescent="0.25">
      <c r="A4168">
        <v>4385</v>
      </c>
      <c r="B4168" t="s">
        <v>11104</v>
      </c>
      <c r="C4168" t="s">
        <v>11105</v>
      </c>
      <c r="D4168" t="s">
        <v>2596</v>
      </c>
      <c r="E4168" t="s">
        <v>10715</v>
      </c>
      <c r="F4168" t="s">
        <v>11106</v>
      </c>
      <c r="G4168" t="s">
        <v>1909</v>
      </c>
      <c r="J4168">
        <v>9287041177</v>
      </c>
      <c r="K4168" t="s">
        <v>11107</v>
      </c>
      <c r="L4168" t="s">
        <v>11108</v>
      </c>
      <c r="M4168" t="s">
        <v>1634</v>
      </c>
    </row>
    <row r="4169" spans="1:13" x14ac:dyDescent="0.25">
      <c r="A4169">
        <v>4385</v>
      </c>
      <c r="B4169" t="s">
        <v>11104</v>
      </c>
      <c r="C4169" t="s">
        <v>11105</v>
      </c>
      <c r="D4169" t="s">
        <v>2596</v>
      </c>
      <c r="E4169" t="s">
        <v>10715</v>
      </c>
      <c r="F4169" t="s">
        <v>11106</v>
      </c>
      <c r="G4169" t="s">
        <v>1909</v>
      </c>
      <c r="J4169">
        <v>9287041177</v>
      </c>
      <c r="K4169" t="s">
        <v>11107</v>
      </c>
      <c r="L4169" t="s">
        <v>11108</v>
      </c>
      <c r="M4169" t="s">
        <v>1640</v>
      </c>
    </row>
    <row r="4170" spans="1:13" x14ac:dyDescent="0.25">
      <c r="A4170">
        <v>4385</v>
      </c>
      <c r="B4170" t="s">
        <v>11104</v>
      </c>
      <c r="C4170" t="s">
        <v>11105</v>
      </c>
      <c r="D4170" t="s">
        <v>2596</v>
      </c>
      <c r="E4170" t="s">
        <v>10715</v>
      </c>
      <c r="F4170" t="s">
        <v>3003</v>
      </c>
      <c r="G4170" t="s">
        <v>11109</v>
      </c>
      <c r="K4170" t="s">
        <v>11110</v>
      </c>
      <c r="L4170" t="s">
        <v>1765</v>
      </c>
      <c r="M4170" t="s">
        <v>1765</v>
      </c>
    </row>
    <row r="4171" spans="1:13" x14ac:dyDescent="0.25">
      <c r="A4171">
        <v>5599</v>
      </c>
      <c r="B4171" t="s">
        <v>11111</v>
      </c>
      <c r="C4171" t="s">
        <v>11112</v>
      </c>
      <c r="D4171" t="s">
        <v>2605</v>
      </c>
      <c r="E4171" t="s">
        <v>10715</v>
      </c>
      <c r="F4171" t="s">
        <v>11106</v>
      </c>
      <c r="G4171" t="s">
        <v>1909</v>
      </c>
      <c r="J4171">
        <v>9287041177</v>
      </c>
      <c r="K4171" t="s">
        <v>11107</v>
      </c>
      <c r="L4171" t="s">
        <v>1647</v>
      </c>
      <c r="M4171" t="s">
        <v>1634</v>
      </c>
    </row>
    <row r="4172" spans="1:13" x14ac:dyDescent="0.25">
      <c r="A4172">
        <v>5599</v>
      </c>
      <c r="B4172" t="s">
        <v>11111</v>
      </c>
      <c r="C4172" t="s">
        <v>11112</v>
      </c>
      <c r="D4172" t="s">
        <v>2605</v>
      </c>
      <c r="E4172" t="s">
        <v>10715</v>
      </c>
      <c r="F4172" t="s">
        <v>11113</v>
      </c>
      <c r="G4172" t="s">
        <v>11114</v>
      </c>
      <c r="K4172" t="s">
        <v>11115</v>
      </c>
      <c r="M4172" t="s">
        <v>1634</v>
      </c>
    </row>
    <row r="4173" spans="1:13" x14ac:dyDescent="0.25">
      <c r="A4173">
        <v>5599</v>
      </c>
      <c r="B4173" t="s">
        <v>11111</v>
      </c>
      <c r="C4173" t="s">
        <v>11112</v>
      </c>
      <c r="D4173" t="s">
        <v>2605</v>
      </c>
      <c r="E4173" t="s">
        <v>10715</v>
      </c>
      <c r="F4173" t="s">
        <v>11106</v>
      </c>
      <c r="G4173" t="s">
        <v>1909</v>
      </c>
      <c r="J4173">
        <v>9287041177</v>
      </c>
      <c r="K4173" t="s">
        <v>11107</v>
      </c>
      <c r="L4173" t="s">
        <v>1647</v>
      </c>
      <c r="M4173" t="s">
        <v>1640</v>
      </c>
    </row>
    <row r="4174" spans="1:13" x14ac:dyDescent="0.25">
      <c r="A4174">
        <v>79498</v>
      </c>
      <c r="B4174" t="s">
        <v>11116</v>
      </c>
      <c r="C4174" t="s">
        <v>11117</v>
      </c>
      <c r="D4174" t="s">
        <v>2596</v>
      </c>
      <c r="E4174" t="s">
        <v>10715</v>
      </c>
      <c r="F4174" t="s">
        <v>8943</v>
      </c>
      <c r="G4174" t="s">
        <v>3791</v>
      </c>
      <c r="H4174">
        <v>9287049345</v>
      </c>
      <c r="J4174">
        <v>9287044977</v>
      </c>
      <c r="K4174" t="s">
        <v>11075</v>
      </c>
      <c r="L4174" t="s">
        <v>1668</v>
      </c>
      <c r="M4174" t="s">
        <v>1634</v>
      </c>
    </row>
    <row r="4175" spans="1:13" x14ac:dyDescent="0.25">
      <c r="A4175">
        <v>79498</v>
      </c>
      <c r="B4175" t="s">
        <v>11116</v>
      </c>
      <c r="C4175" t="s">
        <v>11117</v>
      </c>
      <c r="D4175" t="s">
        <v>2596</v>
      </c>
      <c r="E4175" t="s">
        <v>10715</v>
      </c>
      <c r="F4175" t="s">
        <v>4008</v>
      </c>
      <c r="G4175" t="s">
        <v>11087</v>
      </c>
      <c r="H4175">
        <v>9287049345</v>
      </c>
      <c r="J4175">
        <v>9287044977</v>
      </c>
      <c r="K4175" t="s">
        <v>11118</v>
      </c>
      <c r="L4175" t="s">
        <v>1721</v>
      </c>
      <c r="M4175" t="s">
        <v>1634</v>
      </c>
    </row>
    <row r="4176" spans="1:13" x14ac:dyDescent="0.25">
      <c r="A4176">
        <v>79498</v>
      </c>
      <c r="B4176" t="s">
        <v>11116</v>
      </c>
      <c r="C4176" t="s">
        <v>11117</v>
      </c>
      <c r="D4176" t="s">
        <v>2596</v>
      </c>
      <c r="E4176" t="s">
        <v>10715</v>
      </c>
      <c r="F4176" t="s">
        <v>11077</v>
      </c>
      <c r="G4176" t="s">
        <v>11078</v>
      </c>
      <c r="I4176">
        <v>873</v>
      </c>
      <c r="K4176" t="s">
        <v>11079</v>
      </c>
      <c r="L4176" t="s">
        <v>11119</v>
      </c>
      <c r="M4176" t="s">
        <v>1634</v>
      </c>
    </row>
    <row r="4177" spans="1:13" x14ac:dyDescent="0.25">
      <c r="A4177">
        <v>79498</v>
      </c>
      <c r="B4177" t="s">
        <v>11116</v>
      </c>
      <c r="C4177" t="s">
        <v>11117</v>
      </c>
      <c r="D4177" t="s">
        <v>2596</v>
      </c>
      <c r="E4177" t="s">
        <v>10715</v>
      </c>
      <c r="F4177" t="s">
        <v>11120</v>
      </c>
      <c r="G4177" t="s">
        <v>11121</v>
      </c>
      <c r="H4177">
        <v>9287049345</v>
      </c>
      <c r="J4177">
        <v>9287044977</v>
      </c>
      <c r="K4177" t="s">
        <v>11122</v>
      </c>
      <c r="L4177" t="s">
        <v>1640</v>
      </c>
      <c r="M4177" t="s">
        <v>1640</v>
      </c>
    </row>
    <row r="4178" spans="1:13" x14ac:dyDescent="0.25">
      <c r="A4178">
        <v>79498</v>
      </c>
      <c r="B4178" t="s">
        <v>11116</v>
      </c>
      <c r="C4178" t="s">
        <v>11117</v>
      </c>
      <c r="D4178" t="s">
        <v>2596</v>
      </c>
      <c r="E4178" t="s">
        <v>10715</v>
      </c>
      <c r="F4178" t="s">
        <v>11077</v>
      </c>
      <c r="G4178" t="s">
        <v>11078</v>
      </c>
      <c r="I4178">
        <v>873</v>
      </c>
      <c r="K4178" t="s">
        <v>11079</v>
      </c>
      <c r="L4178" t="s">
        <v>11119</v>
      </c>
      <c r="M4178" t="s">
        <v>1640</v>
      </c>
    </row>
    <row r="4179" spans="1:13" x14ac:dyDescent="0.25">
      <c r="A4179">
        <v>79498</v>
      </c>
      <c r="B4179" t="s">
        <v>11116</v>
      </c>
      <c r="C4179" t="s">
        <v>11117</v>
      </c>
      <c r="D4179" t="s">
        <v>2596</v>
      </c>
      <c r="E4179" t="s">
        <v>10715</v>
      </c>
      <c r="F4179" t="s">
        <v>11080</v>
      </c>
      <c r="G4179" t="s">
        <v>2647</v>
      </c>
      <c r="H4179">
        <v>9287049345</v>
      </c>
      <c r="K4179" t="s">
        <v>11081</v>
      </c>
      <c r="M4179" t="s">
        <v>1765</v>
      </c>
    </row>
    <row r="4180" spans="1:13" x14ac:dyDescent="0.25">
      <c r="A4180">
        <v>79510</v>
      </c>
      <c r="B4180" t="s">
        <v>11116</v>
      </c>
      <c r="C4180" t="s">
        <v>11123</v>
      </c>
      <c r="D4180" t="s">
        <v>2605</v>
      </c>
      <c r="E4180" t="s">
        <v>10715</v>
      </c>
      <c r="F4180" t="s">
        <v>8943</v>
      </c>
      <c r="G4180" t="s">
        <v>3791</v>
      </c>
      <c r="K4180" t="s">
        <v>11075</v>
      </c>
      <c r="M4180" t="s">
        <v>1634</v>
      </c>
    </row>
    <row r="4181" spans="1:13" x14ac:dyDescent="0.25">
      <c r="A4181">
        <v>79510</v>
      </c>
      <c r="B4181" t="s">
        <v>11116</v>
      </c>
      <c r="C4181" t="s">
        <v>11123</v>
      </c>
      <c r="D4181" t="s">
        <v>2605</v>
      </c>
      <c r="E4181" t="s">
        <v>10715</v>
      </c>
      <c r="F4181" t="s">
        <v>6120</v>
      </c>
      <c r="G4181" t="s">
        <v>1909</v>
      </c>
      <c r="H4181">
        <v>9287049345</v>
      </c>
      <c r="I4181">
        <v>133</v>
      </c>
      <c r="K4181" t="s">
        <v>11076</v>
      </c>
      <c r="M4181" t="s">
        <v>1634</v>
      </c>
    </row>
    <row r="4182" spans="1:13" x14ac:dyDescent="0.25">
      <c r="A4182">
        <v>79510</v>
      </c>
      <c r="B4182" t="s">
        <v>11116</v>
      </c>
      <c r="C4182" t="s">
        <v>11123</v>
      </c>
      <c r="D4182" t="s">
        <v>2605</v>
      </c>
      <c r="E4182" t="s">
        <v>10715</v>
      </c>
      <c r="F4182" t="s">
        <v>4405</v>
      </c>
      <c r="G4182" t="s">
        <v>11087</v>
      </c>
      <c r="K4182" t="s">
        <v>11088</v>
      </c>
      <c r="M4182" t="s">
        <v>1640</v>
      </c>
    </row>
    <row r="4183" spans="1:13" x14ac:dyDescent="0.25">
      <c r="A4183">
        <v>79499</v>
      </c>
      <c r="B4183" t="s">
        <v>11124</v>
      </c>
      <c r="C4183" t="s">
        <v>11125</v>
      </c>
      <c r="D4183" t="s">
        <v>2596</v>
      </c>
      <c r="E4183" t="s">
        <v>10715</v>
      </c>
      <c r="F4183" t="s">
        <v>11126</v>
      </c>
      <c r="G4183" t="s">
        <v>10773</v>
      </c>
      <c r="I4183">
        <v>106</v>
      </c>
      <c r="J4183">
        <v>9288752526</v>
      </c>
      <c r="K4183" t="s">
        <v>11127</v>
      </c>
      <c r="L4183" t="s">
        <v>8309</v>
      </c>
      <c r="M4183" t="s">
        <v>1634</v>
      </c>
    </row>
    <row r="4184" spans="1:13" x14ac:dyDescent="0.25">
      <c r="A4184">
        <v>79499</v>
      </c>
      <c r="B4184" t="s">
        <v>11124</v>
      </c>
      <c r="C4184" t="s">
        <v>11125</v>
      </c>
      <c r="D4184" t="s">
        <v>2596</v>
      </c>
      <c r="E4184" t="s">
        <v>10715</v>
      </c>
      <c r="F4184" t="s">
        <v>6260</v>
      </c>
      <c r="G4184" t="s">
        <v>11128</v>
      </c>
      <c r="H4184">
        <v>8774706011</v>
      </c>
      <c r="K4184" t="s">
        <v>11129</v>
      </c>
      <c r="L4184" t="s">
        <v>1640</v>
      </c>
      <c r="M4184" t="s">
        <v>1640</v>
      </c>
    </row>
    <row r="4185" spans="1:13" x14ac:dyDescent="0.25">
      <c r="A4185">
        <v>79511</v>
      </c>
      <c r="B4185" t="s">
        <v>11130</v>
      </c>
      <c r="C4185" t="s">
        <v>11131</v>
      </c>
      <c r="D4185" t="s">
        <v>2605</v>
      </c>
      <c r="E4185" t="s">
        <v>10715</v>
      </c>
      <c r="F4185" t="s">
        <v>11126</v>
      </c>
      <c r="G4185" t="s">
        <v>10773</v>
      </c>
      <c r="J4185">
        <v>9288752526</v>
      </c>
      <c r="K4185" t="s">
        <v>11127</v>
      </c>
      <c r="M4185" t="s">
        <v>1634</v>
      </c>
    </row>
    <row r="4186" spans="1:13" x14ac:dyDescent="0.25">
      <c r="A4186">
        <v>79511</v>
      </c>
      <c r="B4186" t="s">
        <v>11130</v>
      </c>
      <c r="C4186" t="s">
        <v>11131</v>
      </c>
      <c r="D4186" t="s">
        <v>2605</v>
      </c>
      <c r="E4186" t="s">
        <v>10715</v>
      </c>
      <c r="F4186" t="s">
        <v>11132</v>
      </c>
      <c r="G4186" t="s">
        <v>11133</v>
      </c>
      <c r="K4186" t="s">
        <v>11134</v>
      </c>
      <c r="M4186" t="s">
        <v>1634</v>
      </c>
    </row>
    <row r="4187" spans="1:13" x14ac:dyDescent="0.25">
      <c r="A4187">
        <v>79511</v>
      </c>
      <c r="B4187" t="s">
        <v>11130</v>
      </c>
      <c r="C4187" t="s">
        <v>11131</v>
      </c>
      <c r="D4187" t="s">
        <v>2605</v>
      </c>
      <c r="E4187" t="s">
        <v>10715</v>
      </c>
      <c r="F4187" t="s">
        <v>11135</v>
      </c>
      <c r="G4187" t="s">
        <v>11136</v>
      </c>
      <c r="H4187">
        <v>9288752525</v>
      </c>
      <c r="I4187">
        <v>104</v>
      </c>
      <c r="J4187">
        <v>9288752526</v>
      </c>
      <c r="K4187" t="s">
        <v>11137</v>
      </c>
      <c r="L4187" t="s">
        <v>2045</v>
      </c>
      <c r="M4187" t="s">
        <v>1765</v>
      </c>
    </row>
    <row r="4188" spans="1:13" x14ac:dyDescent="0.25">
      <c r="A4188">
        <v>4386</v>
      </c>
      <c r="B4188" t="s">
        <v>11138</v>
      </c>
      <c r="C4188" t="s">
        <v>11139</v>
      </c>
      <c r="D4188" t="s">
        <v>1628</v>
      </c>
      <c r="E4188" t="s">
        <v>7889</v>
      </c>
      <c r="F4188" t="s">
        <v>11140</v>
      </c>
      <c r="G4188" t="s">
        <v>11141</v>
      </c>
      <c r="H4188">
        <v>9285244201</v>
      </c>
      <c r="J4188">
        <v>9285244209</v>
      </c>
      <c r="K4188" t="s">
        <v>11142</v>
      </c>
      <c r="L4188" t="s">
        <v>11143</v>
      </c>
      <c r="M4188" t="s">
        <v>1634</v>
      </c>
    </row>
    <row r="4189" spans="1:13" x14ac:dyDescent="0.25">
      <c r="A4189">
        <v>4386</v>
      </c>
      <c r="B4189" t="s">
        <v>11138</v>
      </c>
      <c r="C4189" t="s">
        <v>11139</v>
      </c>
      <c r="D4189" t="s">
        <v>1628</v>
      </c>
      <c r="E4189" t="s">
        <v>7889</v>
      </c>
      <c r="F4189" t="s">
        <v>7018</v>
      </c>
      <c r="G4189" t="s">
        <v>11144</v>
      </c>
      <c r="J4189">
        <v>9285241748</v>
      </c>
      <c r="K4189" t="s">
        <v>11145</v>
      </c>
      <c r="L4189" t="s">
        <v>11146</v>
      </c>
      <c r="M4189" t="s">
        <v>1640</v>
      </c>
    </row>
    <row r="4190" spans="1:13" x14ac:dyDescent="0.25">
      <c r="A4190">
        <v>7654</v>
      </c>
      <c r="B4190" t="s">
        <v>11147</v>
      </c>
      <c r="C4190" t="s">
        <v>11148</v>
      </c>
      <c r="D4190" t="s">
        <v>1643</v>
      </c>
      <c r="E4190" t="s">
        <v>7889</v>
      </c>
      <c r="F4190" t="s">
        <v>7018</v>
      </c>
      <c r="G4190" t="s">
        <v>11144</v>
      </c>
      <c r="K4190" t="s">
        <v>11149</v>
      </c>
      <c r="M4190" t="s">
        <v>1765</v>
      </c>
    </row>
    <row r="4191" spans="1:13" x14ac:dyDescent="0.25">
      <c r="A4191">
        <v>4387</v>
      </c>
      <c r="B4191" t="s">
        <v>345</v>
      </c>
      <c r="C4191" t="s">
        <v>11150</v>
      </c>
      <c r="D4191" t="s">
        <v>1628</v>
      </c>
      <c r="E4191" t="s">
        <v>7889</v>
      </c>
      <c r="F4191" t="s">
        <v>11151</v>
      </c>
      <c r="G4191" t="s">
        <v>11152</v>
      </c>
      <c r="K4191" t="s">
        <v>11153</v>
      </c>
      <c r="L4191" t="s">
        <v>1668</v>
      </c>
      <c r="M4191" t="s">
        <v>1634</v>
      </c>
    </row>
    <row r="4192" spans="1:13" x14ac:dyDescent="0.25">
      <c r="A4192">
        <v>4387</v>
      </c>
      <c r="B4192" t="s">
        <v>345</v>
      </c>
      <c r="C4192" t="s">
        <v>11150</v>
      </c>
      <c r="D4192" t="s">
        <v>1628</v>
      </c>
      <c r="E4192" t="s">
        <v>7889</v>
      </c>
      <c r="F4192" t="s">
        <v>5457</v>
      </c>
      <c r="G4192" t="s">
        <v>11154</v>
      </c>
      <c r="H4192">
        <v>9282888101</v>
      </c>
      <c r="K4192" t="s">
        <v>11155</v>
      </c>
      <c r="L4192" t="s">
        <v>1668</v>
      </c>
      <c r="M4192" t="s">
        <v>1634</v>
      </c>
    </row>
    <row r="4193" spans="1:13" x14ac:dyDescent="0.25">
      <c r="A4193">
        <v>4387</v>
      </c>
      <c r="B4193" t="s">
        <v>345</v>
      </c>
      <c r="C4193" t="s">
        <v>11150</v>
      </c>
      <c r="D4193" t="s">
        <v>1628</v>
      </c>
      <c r="E4193" t="s">
        <v>7889</v>
      </c>
      <c r="F4193" t="s">
        <v>2033</v>
      </c>
      <c r="G4193" t="s">
        <v>11156</v>
      </c>
      <c r="J4193">
        <v>9282888292</v>
      </c>
      <c r="K4193" t="s">
        <v>11157</v>
      </c>
      <c r="L4193" t="s">
        <v>1640</v>
      </c>
      <c r="M4193" t="s">
        <v>1640</v>
      </c>
    </row>
    <row r="4194" spans="1:13" x14ac:dyDescent="0.25">
      <c r="A4194">
        <v>4387</v>
      </c>
      <c r="B4194" t="s">
        <v>345</v>
      </c>
      <c r="C4194" t="s">
        <v>11150</v>
      </c>
      <c r="D4194" t="s">
        <v>1628</v>
      </c>
      <c r="E4194" t="s">
        <v>7889</v>
      </c>
      <c r="F4194" t="s">
        <v>2997</v>
      </c>
      <c r="G4194" t="s">
        <v>11158</v>
      </c>
      <c r="H4194">
        <v>9282888102</v>
      </c>
      <c r="J4194">
        <v>9282888292</v>
      </c>
      <c r="K4194" t="s">
        <v>11159</v>
      </c>
      <c r="L4194" t="s">
        <v>1765</v>
      </c>
      <c r="M4194" t="s">
        <v>1765</v>
      </c>
    </row>
    <row r="4195" spans="1:13" x14ac:dyDescent="0.25">
      <c r="A4195">
        <v>5600</v>
      </c>
      <c r="B4195" t="s">
        <v>11160</v>
      </c>
      <c r="C4195" t="s">
        <v>11161</v>
      </c>
      <c r="D4195" t="s">
        <v>1643</v>
      </c>
      <c r="E4195" t="s">
        <v>7889</v>
      </c>
      <c r="F4195" t="s">
        <v>11162</v>
      </c>
      <c r="G4195" t="s">
        <v>11163</v>
      </c>
      <c r="H4195">
        <v>9282888400</v>
      </c>
      <c r="L4195" t="s">
        <v>1647</v>
      </c>
      <c r="M4195" t="s">
        <v>1634</v>
      </c>
    </row>
    <row r="4196" spans="1:13" x14ac:dyDescent="0.25">
      <c r="A4196">
        <v>5601</v>
      </c>
      <c r="B4196" t="s">
        <v>3766</v>
      </c>
      <c r="C4196" t="s">
        <v>11164</v>
      </c>
      <c r="D4196" t="s">
        <v>1643</v>
      </c>
      <c r="E4196" t="s">
        <v>7889</v>
      </c>
      <c r="F4196" t="s">
        <v>3978</v>
      </c>
      <c r="G4196" t="s">
        <v>6680</v>
      </c>
      <c r="H4196">
        <v>9282888500</v>
      </c>
      <c r="L4196" t="s">
        <v>1647</v>
      </c>
      <c r="M4196" t="s">
        <v>1634</v>
      </c>
    </row>
    <row r="4197" spans="1:13" x14ac:dyDescent="0.25">
      <c r="A4197">
        <v>5602</v>
      </c>
      <c r="B4197" t="s">
        <v>11165</v>
      </c>
      <c r="C4197" t="s">
        <v>11166</v>
      </c>
      <c r="D4197" t="s">
        <v>1643</v>
      </c>
      <c r="E4197" t="s">
        <v>7889</v>
      </c>
      <c r="F4197" t="s">
        <v>1787</v>
      </c>
      <c r="G4197" t="s">
        <v>11167</v>
      </c>
      <c r="K4197" t="s">
        <v>11168</v>
      </c>
      <c r="L4197" t="s">
        <v>1647</v>
      </c>
      <c r="M4197" t="s">
        <v>1634</v>
      </c>
    </row>
    <row r="4198" spans="1:13" x14ac:dyDescent="0.25">
      <c r="A4198">
        <v>5603</v>
      </c>
      <c r="B4198" t="s">
        <v>11169</v>
      </c>
      <c r="C4198" t="s">
        <v>11170</v>
      </c>
      <c r="D4198" t="s">
        <v>1643</v>
      </c>
      <c r="E4198" t="s">
        <v>7889</v>
      </c>
      <c r="F4198" t="s">
        <v>3758</v>
      </c>
      <c r="G4198" t="s">
        <v>10760</v>
      </c>
      <c r="H4198">
        <v>9282888300</v>
      </c>
      <c r="L4198" t="s">
        <v>1721</v>
      </c>
      <c r="M4198" t="s">
        <v>1634</v>
      </c>
    </row>
    <row r="4199" spans="1:13" x14ac:dyDescent="0.25">
      <c r="A4199">
        <v>5604</v>
      </c>
      <c r="B4199" t="s">
        <v>11171</v>
      </c>
      <c r="C4199" t="s">
        <v>11172</v>
      </c>
      <c r="D4199" t="s">
        <v>1643</v>
      </c>
      <c r="E4199" t="s">
        <v>7889</v>
      </c>
    </row>
    <row r="4200" spans="1:13" x14ac:dyDescent="0.25">
      <c r="A4200">
        <v>4388</v>
      </c>
      <c r="B4200" t="s">
        <v>11173</v>
      </c>
      <c r="C4200" t="s">
        <v>11174</v>
      </c>
      <c r="D4200" t="s">
        <v>1628</v>
      </c>
      <c r="E4200" t="s">
        <v>7889</v>
      </c>
      <c r="F4200" t="s">
        <v>2803</v>
      </c>
      <c r="G4200" t="s">
        <v>11175</v>
      </c>
      <c r="K4200" t="s">
        <v>11176</v>
      </c>
      <c r="L4200" t="s">
        <v>1668</v>
      </c>
      <c r="M4200" t="s">
        <v>1634</v>
      </c>
    </row>
    <row r="4201" spans="1:13" x14ac:dyDescent="0.25">
      <c r="A4201">
        <v>4388</v>
      </c>
      <c r="B4201" t="s">
        <v>11173</v>
      </c>
      <c r="C4201" t="s">
        <v>11174</v>
      </c>
      <c r="D4201" t="s">
        <v>1628</v>
      </c>
      <c r="E4201" t="s">
        <v>7889</v>
      </c>
      <c r="F4201" t="s">
        <v>2027</v>
      </c>
      <c r="G4201" t="s">
        <v>8135</v>
      </c>
      <c r="K4201" t="s">
        <v>11177</v>
      </c>
      <c r="L4201" t="s">
        <v>1640</v>
      </c>
      <c r="M4201" t="s">
        <v>1640</v>
      </c>
    </row>
    <row r="4202" spans="1:13" x14ac:dyDescent="0.25">
      <c r="A4202">
        <v>5605</v>
      </c>
      <c r="B4202" t="s">
        <v>11178</v>
      </c>
      <c r="C4202" t="s">
        <v>11179</v>
      </c>
      <c r="D4202" t="s">
        <v>1643</v>
      </c>
      <c r="E4202" t="s">
        <v>7889</v>
      </c>
      <c r="F4202" t="s">
        <v>3720</v>
      </c>
      <c r="G4202" t="s">
        <v>11180</v>
      </c>
      <c r="H4202">
        <v>9282883329</v>
      </c>
      <c r="J4202">
        <v>9282883317</v>
      </c>
      <c r="K4202" t="s">
        <v>11181</v>
      </c>
      <c r="M4202" t="s">
        <v>1634</v>
      </c>
    </row>
    <row r="4203" spans="1:13" x14ac:dyDescent="0.25">
      <c r="A4203">
        <v>5606</v>
      </c>
      <c r="B4203" t="s">
        <v>11182</v>
      </c>
      <c r="C4203" t="s">
        <v>11183</v>
      </c>
      <c r="D4203" t="s">
        <v>1643</v>
      </c>
      <c r="E4203" t="s">
        <v>7889</v>
      </c>
      <c r="F4203" t="s">
        <v>3024</v>
      </c>
      <c r="G4203" t="s">
        <v>1918</v>
      </c>
      <c r="M4203" t="s">
        <v>1634</v>
      </c>
    </row>
    <row r="4204" spans="1:13" x14ac:dyDescent="0.25">
      <c r="A4204">
        <v>87530</v>
      </c>
      <c r="B4204" t="s">
        <v>11184</v>
      </c>
      <c r="C4204" t="s">
        <v>11185</v>
      </c>
      <c r="D4204" t="s">
        <v>1643</v>
      </c>
      <c r="E4204" t="s">
        <v>7889</v>
      </c>
      <c r="F4204" t="s">
        <v>3024</v>
      </c>
      <c r="G4204" t="s">
        <v>1918</v>
      </c>
      <c r="L4204" t="s">
        <v>1647</v>
      </c>
      <c r="M4204" t="s">
        <v>1634</v>
      </c>
    </row>
    <row r="4205" spans="1:13" x14ac:dyDescent="0.25">
      <c r="A4205">
        <v>4389</v>
      </c>
      <c r="B4205" t="s">
        <v>434</v>
      </c>
      <c r="C4205" t="s">
        <v>11186</v>
      </c>
      <c r="D4205" t="s">
        <v>1628</v>
      </c>
      <c r="E4205" t="s">
        <v>7889</v>
      </c>
      <c r="F4205" t="s">
        <v>11187</v>
      </c>
      <c r="G4205" t="s">
        <v>11188</v>
      </c>
      <c r="K4205" t="s">
        <v>11189</v>
      </c>
      <c r="L4205" t="s">
        <v>1668</v>
      </c>
      <c r="M4205" t="s">
        <v>1634</v>
      </c>
    </row>
    <row r="4206" spans="1:13" x14ac:dyDescent="0.25">
      <c r="A4206">
        <v>4389</v>
      </c>
      <c r="B4206" t="s">
        <v>434</v>
      </c>
      <c r="C4206" t="s">
        <v>11186</v>
      </c>
      <c r="D4206" t="s">
        <v>1628</v>
      </c>
      <c r="E4206" t="s">
        <v>7889</v>
      </c>
      <c r="F4206" t="s">
        <v>2401</v>
      </c>
      <c r="G4206" t="s">
        <v>11175</v>
      </c>
      <c r="J4206">
        <v>9285243073</v>
      </c>
      <c r="K4206" t="s">
        <v>11190</v>
      </c>
      <c r="L4206" t="s">
        <v>11191</v>
      </c>
      <c r="M4206" t="s">
        <v>1634</v>
      </c>
    </row>
    <row r="4207" spans="1:13" x14ac:dyDescent="0.25">
      <c r="A4207">
        <v>4389</v>
      </c>
      <c r="B4207" t="s">
        <v>434</v>
      </c>
      <c r="C4207" t="s">
        <v>11186</v>
      </c>
      <c r="D4207" t="s">
        <v>1628</v>
      </c>
      <c r="E4207" t="s">
        <v>7889</v>
      </c>
      <c r="F4207" t="s">
        <v>4250</v>
      </c>
      <c r="G4207" t="s">
        <v>11192</v>
      </c>
      <c r="H4207">
        <v>9285246144</v>
      </c>
      <c r="K4207" t="s">
        <v>11193</v>
      </c>
      <c r="L4207" t="s">
        <v>1640</v>
      </c>
      <c r="M4207" t="s">
        <v>1640</v>
      </c>
    </row>
    <row r="4208" spans="1:13" x14ac:dyDescent="0.25">
      <c r="A4208">
        <v>4389</v>
      </c>
      <c r="B4208" t="s">
        <v>434</v>
      </c>
      <c r="C4208" t="s">
        <v>11186</v>
      </c>
      <c r="D4208" t="s">
        <v>1628</v>
      </c>
      <c r="E4208" t="s">
        <v>7889</v>
      </c>
      <c r="F4208" t="s">
        <v>4008</v>
      </c>
      <c r="G4208" t="s">
        <v>11194</v>
      </c>
      <c r="K4208" t="s">
        <v>11195</v>
      </c>
      <c r="M4208" t="s">
        <v>1640</v>
      </c>
    </row>
    <row r="4209" spans="1:13" x14ac:dyDescent="0.25">
      <c r="A4209">
        <v>4389</v>
      </c>
      <c r="B4209" t="s">
        <v>434</v>
      </c>
      <c r="C4209" t="s">
        <v>11186</v>
      </c>
      <c r="D4209" t="s">
        <v>1628</v>
      </c>
      <c r="E4209" t="s">
        <v>7889</v>
      </c>
      <c r="F4209" t="s">
        <v>3000</v>
      </c>
      <c r="G4209" t="s">
        <v>11196</v>
      </c>
      <c r="K4209" t="s">
        <v>11197</v>
      </c>
      <c r="M4209" t="s">
        <v>1765</v>
      </c>
    </row>
    <row r="4210" spans="1:13" x14ac:dyDescent="0.25">
      <c r="A4210">
        <v>5607</v>
      </c>
      <c r="B4210" t="s">
        <v>11198</v>
      </c>
      <c r="C4210" t="s">
        <v>11199</v>
      </c>
      <c r="D4210" t="s">
        <v>1643</v>
      </c>
      <c r="E4210" t="s">
        <v>7889</v>
      </c>
      <c r="F4210" t="s">
        <v>1761</v>
      </c>
      <c r="G4210" t="s">
        <v>11200</v>
      </c>
      <c r="L4210" t="s">
        <v>1647</v>
      </c>
      <c r="M4210" t="s">
        <v>1634</v>
      </c>
    </row>
    <row r="4211" spans="1:13" x14ac:dyDescent="0.25">
      <c r="A4211">
        <v>5608</v>
      </c>
      <c r="B4211" t="s">
        <v>11201</v>
      </c>
      <c r="C4211" t="s">
        <v>11202</v>
      </c>
      <c r="D4211" t="s">
        <v>1643</v>
      </c>
      <c r="E4211" t="s">
        <v>7889</v>
      </c>
      <c r="F4211" t="s">
        <v>2094</v>
      </c>
      <c r="G4211" t="s">
        <v>10912</v>
      </c>
      <c r="H4211">
        <v>9285246138</v>
      </c>
      <c r="J4211">
        <v>9285246998</v>
      </c>
      <c r="K4211" t="s">
        <v>11203</v>
      </c>
      <c r="M4211" t="s">
        <v>1634</v>
      </c>
    </row>
    <row r="4212" spans="1:13" x14ac:dyDescent="0.25">
      <c r="A4212">
        <v>79377</v>
      </c>
      <c r="B4212" t="s">
        <v>435</v>
      </c>
      <c r="C4212" t="s">
        <v>11204</v>
      </c>
      <c r="D4212" t="s">
        <v>1643</v>
      </c>
      <c r="E4212" t="s">
        <v>7889</v>
      </c>
      <c r="F4212" t="s">
        <v>11205</v>
      </c>
      <c r="G4212" t="s">
        <v>11206</v>
      </c>
      <c r="M4212" t="s">
        <v>1634</v>
      </c>
    </row>
    <row r="4213" spans="1:13" x14ac:dyDescent="0.25">
      <c r="A4213">
        <v>5609</v>
      </c>
      <c r="B4213" t="s">
        <v>11207</v>
      </c>
      <c r="C4213" t="s">
        <v>11208</v>
      </c>
      <c r="D4213" t="s">
        <v>1643</v>
      </c>
      <c r="E4213" t="s">
        <v>7889</v>
      </c>
      <c r="F4213" t="s">
        <v>10819</v>
      </c>
      <c r="G4213" t="s">
        <v>11209</v>
      </c>
      <c r="M4213" t="s">
        <v>1634</v>
      </c>
    </row>
    <row r="4214" spans="1:13" x14ac:dyDescent="0.25">
      <c r="A4214">
        <v>5610</v>
      </c>
      <c r="B4214" t="s">
        <v>11210</v>
      </c>
      <c r="C4214" t="s">
        <v>11211</v>
      </c>
      <c r="D4214" t="s">
        <v>1643</v>
      </c>
      <c r="E4214" t="s">
        <v>7889</v>
      </c>
      <c r="F4214" t="s">
        <v>4299</v>
      </c>
      <c r="G4214" t="s">
        <v>11212</v>
      </c>
      <c r="K4214" t="s">
        <v>11213</v>
      </c>
      <c r="L4214" t="s">
        <v>1647</v>
      </c>
      <c r="M4214" t="s">
        <v>1634</v>
      </c>
    </row>
    <row r="4215" spans="1:13" x14ac:dyDescent="0.25">
      <c r="A4215">
        <v>4390</v>
      </c>
      <c r="B4215" t="s">
        <v>312</v>
      </c>
      <c r="C4215" t="s">
        <v>11214</v>
      </c>
      <c r="D4215" t="s">
        <v>1628</v>
      </c>
      <c r="E4215" t="s">
        <v>7889</v>
      </c>
      <c r="F4215" t="s">
        <v>2204</v>
      </c>
      <c r="G4215" t="s">
        <v>11215</v>
      </c>
      <c r="K4215" t="s">
        <v>11216</v>
      </c>
      <c r="L4215" t="s">
        <v>1668</v>
      </c>
      <c r="M4215" t="s">
        <v>1634</v>
      </c>
    </row>
    <row r="4216" spans="1:13" x14ac:dyDescent="0.25">
      <c r="A4216">
        <v>4390</v>
      </c>
      <c r="B4216" t="s">
        <v>312</v>
      </c>
      <c r="C4216" t="s">
        <v>11214</v>
      </c>
      <c r="D4216" t="s">
        <v>1628</v>
      </c>
      <c r="E4216" t="s">
        <v>7889</v>
      </c>
      <c r="F4216" t="s">
        <v>11217</v>
      </c>
      <c r="G4216" t="s">
        <v>11218</v>
      </c>
      <c r="H4216">
        <v>9287252192</v>
      </c>
      <c r="K4216" t="s">
        <v>11219</v>
      </c>
      <c r="L4216" t="s">
        <v>11220</v>
      </c>
      <c r="M4216" t="s">
        <v>1634</v>
      </c>
    </row>
    <row r="4217" spans="1:13" x14ac:dyDescent="0.25">
      <c r="A4217">
        <v>4390</v>
      </c>
      <c r="B4217" t="s">
        <v>312</v>
      </c>
      <c r="C4217" t="s">
        <v>11214</v>
      </c>
      <c r="D4217" t="s">
        <v>1628</v>
      </c>
      <c r="E4217" t="s">
        <v>7889</v>
      </c>
      <c r="F4217" t="s">
        <v>2258</v>
      </c>
      <c r="G4217" t="s">
        <v>1788</v>
      </c>
      <c r="H4217">
        <v>9287252110</v>
      </c>
      <c r="K4217" t="s">
        <v>11221</v>
      </c>
      <c r="L4217" t="s">
        <v>1640</v>
      </c>
      <c r="M4217" t="s">
        <v>1640</v>
      </c>
    </row>
    <row r="4218" spans="1:13" x14ac:dyDescent="0.25">
      <c r="A4218">
        <v>4390</v>
      </c>
      <c r="B4218" t="s">
        <v>312</v>
      </c>
      <c r="C4218" t="s">
        <v>11214</v>
      </c>
      <c r="D4218" t="s">
        <v>1628</v>
      </c>
      <c r="E4218" t="s">
        <v>7889</v>
      </c>
      <c r="F4218" t="s">
        <v>11222</v>
      </c>
      <c r="G4218" t="s">
        <v>11223</v>
      </c>
      <c r="H4218">
        <v>5208792025</v>
      </c>
      <c r="K4218" t="s">
        <v>11224</v>
      </c>
      <c r="L4218" t="s">
        <v>1765</v>
      </c>
      <c r="M4218" t="s">
        <v>1765</v>
      </c>
    </row>
    <row r="4219" spans="1:13" x14ac:dyDescent="0.25">
      <c r="A4219">
        <v>1001442</v>
      </c>
      <c r="B4219" t="s">
        <v>11225</v>
      </c>
      <c r="C4219" t="s">
        <v>11226</v>
      </c>
      <c r="D4219" t="s">
        <v>1643</v>
      </c>
      <c r="E4219" t="s">
        <v>7889</v>
      </c>
    </row>
    <row r="4220" spans="1:13" x14ac:dyDescent="0.25">
      <c r="A4220">
        <v>5611</v>
      </c>
      <c r="B4220" t="s">
        <v>428</v>
      </c>
      <c r="C4220" t="s">
        <v>11227</v>
      </c>
      <c r="D4220" t="s">
        <v>1643</v>
      </c>
      <c r="E4220" t="s">
        <v>7889</v>
      </c>
    </row>
    <row r="4221" spans="1:13" x14ac:dyDescent="0.25">
      <c r="A4221">
        <v>5612</v>
      </c>
      <c r="B4221" t="s">
        <v>425</v>
      </c>
      <c r="C4221" t="s">
        <v>11228</v>
      </c>
      <c r="D4221" t="s">
        <v>1643</v>
      </c>
      <c r="E4221" t="s">
        <v>7889</v>
      </c>
      <c r="F4221" t="s">
        <v>1935</v>
      </c>
      <c r="G4221" t="s">
        <v>2757</v>
      </c>
      <c r="H4221">
        <v>9287252300</v>
      </c>
      <c r="K4221" t="s">
        <v>11229</v>
      </c>
      <c r="L4221" t="s">
        <v>11230</v>
      </c>
      <c r="M4221" t="s">
        <v>1634</v>
      </c>
    </row>
    <row r="4222" spans="1:13" x14ac:dyDescent="0.25">
      <c r="A4222">
        <v>5613</v>
      </c>
      <c r="B4222" t="s">
        <v>890</v>
      </c>
      <c r="C4222" t="s">
        <v>11231</v>
      </c>
      <c r="D4222" t="s">
        <v>1643</v>
      </c>
      <c r="E4222" t="s">
        <v>7889</v>
      </c>
      <c r="F4222" t="s">
        <v>1935</v>
      </c>
      <c r="G4222" t="s">
        <v>2757</v>
      </c>
      <c r="M4222" t="s">
        <v>1634</v>
      </c>
    </row>
    <row r="4223" spans="1:13" x14ac:dyDescent="0.25">
      <c r="A4223">
        <v>5613</v>
      </c>
      <c r="B4223" t="s">
        <v>890</v>
      </c>
      <c r="C4223" t="s">
        <v>11231</v>
      </c>
      <c r="D4223" t="s">
        <v>1643</v>
      </c>
      <c r="E4223" t="s">
        <v>7889</v>
      </c>
      <c r="F4223" t="s">
        <v>11232</v>
      </c>
      <c r="G4223" t="s">
        <v>11233</v>
      </c>
      <c r="K4223" t="s">
        <v>11234</v>
      </c>
      <c r="L4223" t="s">
        <v>1647</v>
      </c>
      <c r="M4223" t="s">
        <v>1634</v>
      </c>
    </row>
    <row r="4224" spans="1:13" x14ac:dyDescent="0.25">
      <c r="A4224">
        <v>4391</v>
      </c>
      <c r="B4224" t="s">
        <v>1470</v>
      </c>
      <c r="C4224" t="s">
        <v>11235</v>
      </c>
      <c r="D4224" t="s">
        <v>1628</v>
      </c>
      <c r="E4224" t="s">
        <v>7889</v>
      </c>
      <c r="F4224" t="s">
        <v>11236</v>
      </c>
      <c r="G4224" t="s">
        <v>1743</v>
      </c>
      <c r="H4224">
        <v>9285364156</v>
      </c>
      <c r="I4224">
        <v>214</v>
      </c>
      <c r="K4224" t="s">
        <v>11237</v>
      </c>
      <c r="L4224" t="s">
        <v>1668</v>
      </c>
      <c r="M4224" t="s">
        <v>1634</v>
      </c>
    </row>
    <row r="4225" spans="1:13" x14ac:dyDescent="0.25">
      <c r="A4225">
        <v>4391</v>
      </c>
      <c r="B4225" t="s">
        <v>1470</v>
      </c>
      <c r="C4225" t="s">
        <v>11235</v>
      </c>
      <c r="D4225" t="s">
        <v>1628</v>
      </c>
      <c r="E4225" t="s">
        <v>7889</v>
      </c>
      <c r="F4225" t="s">
        <v>7938</v>
      </c>
      <c r="G4225" t="s">
        <v>11238</v>
      </c>
      <c r="H4225">
        <v>9285364156</v>
      </c>
      <c r="K4225" t="s">
        <v>11239</v>
      </c>
      <c r="L4225" t="s">
        <v>1664</v>
      </c>
      <c r="M4225" t="s">
        <v>1634</v>
      </c>
    </row>
    <row r="4226" spans="1:13" x14ac:dyDescent="0.25">
      <c r="A4226">
        <v>4391</v>
      </c>
      <c r="B4226" t="s">
        <v>1470</v>
      </c>
      <c r="C4226" t="s">
        <v>11235</v>
      </c>
      <c r="D4226" t="s">
        <v>1628</v>
      </c>
      <c r="E4226" t="s">
        <v>7889</v>
      </c>
      <c r="F4226" t="s">
        <v>3193</v>
      </c>
      <c r="G4226" t="s">
        <v>11240</v>
      </c>
      <c r="K4226" t="s">
        <v>11241</v>
      </c>
      <c r="L4226" t="s">
        <v>1647</v>
      </c>
      <c r="M4226" t="s">
        <v>1634</v>
      </c>
    </row>
    <row r="4227" spans="1:13" x14ac:dyDescent="0.25">
      <c r="A4227">
        <v>4391</v>
      </c>
      <c r="B4227" t="s">
        <v>1470</v>
      </c>
      <c r="C4227" t="s">
        <v>11235</v>
      </c>
      <c r="D4227" t="s">
        <v>1628</v>
      </c>
      <c r="E4227" t="s">
        <v>7889</v>
      </c>
      <c r="F4227" t="s">
        <v>11242</v>
      </c>
      <c r="G4227" t="s">
        <v>2178</v>
      </c>
      <c r="H4227">
        <v>9285364156</v>
      </c>
      <c r="K4227" t="s">
        <v>11243</v>
      </c>
      <c r="L4227" t="s">
        <v>11244</v>
      </c>
      <c r="M4227" t="s">
        <v>1634</v>
      </c>
    </row>
    <row r="4228" spans="1:13" x14ac:dyDescent="0.25">
      <c r="A4228">
        <v>4391</v>
      </c>
      <c r="B4228" t="s">
        <v>1470</v>
      </c>
      <c r="C4228" t="s">
        <v>11235</v>
      </c>
      <c r="D4228" t="s">
        <v>1628</v>
      </c>
      <c r="E4228" t="s">
        <v>7889</v>
      </c>
      <c r="F4228" t="s">
        <v>5493</v>
      </c>
      <c r="G4228" t="s">
        <v>11245</v>
      </c>
      <c r="K4228" t="s">
        <v>11246</v>
      </c>
      <c r="L4228" t="s">
        <v>1647</v>
      </c>
      <c r="M4228" t="s">
        <v>1634</v>
      </c>
    </row>
    <row r="4229" spans="1:13" x14ac:dyDescent="0.25">
      <c r="A4229">
        <v>4391</v>
      </c>
      <c r="B4229" t="s">
        <v>1470</v>
      </c>
      <c r="C4229" t="s">
        <v>11235</v>
      </c>
      <c r="D4229" t="s">
        <v>1628</v>
      </c>
      <c r="E4229" t="s">
        <v>7889</v>
      </c>
      <c r="F4229" t="s">
        <v>2082</v>
      </c>
      <c r="G4229" t="s">
        <v>11247</v>
      </c>
      <c r="J4229">
        <v>9285362634</v>
      </c>
      <c r="K4229" t="s">
        <v>11248</v>
      </c>
      <c r="L4229" t="s">
        <v>1640</v>
      </c>
      <c r="M4229" t="s">
        <v>1640</v>
      </c>
    </row>
    <row r="4230" spans="1:13" x14ac:dyDescent="0.25">
      <c r="A4230">
        <v>4391</v>
      </c>
      <c r="B4230" t="s">
        <v>1470</v>
      </c>
      <c r="C4230" t="s">
        <v>11235</v>
      </c>
      <c r="D4230" t="s">
        <v>1628</v>
      </c>
      <c r="E4230" t="s">
        <v>7889</v>
      </c>
      <c r="F4230" t="s">
        <v>5611</v>
      </c>
      <c r="G4230" t="s">
        <v>11249</v>
      </c>
      <c r="H4230">
        <v>9285364156</v>
      </c>
      <c r="K4230" t="s">
        <v>11250</v>
      </c>
      <c r="M4230" t="s">
        <v>1765</v>
      </c>
    </row>
    <row r="4231" spans="1:13" x14ac:dyDescent="0.25">
      <c r="A4231">
        <v>5614</v>
      </c>
      <c r="B4231" t="s">
        <v>1471</v>
      </c>
      <c r="C4231" t="s">
        <v>11251</v>
      </c>
      <c r="D4231" t="s">
        <v>1643</v>
      </c>
      <c r="E4231" t="s">
        <v>7889</v>
      </c>
      <c r="F4231" t="s">
        <v>11252</v>
      </c>
      <c r="G4231" t="s">
        <v>11253</v>
      </c>
      <c r="H4231">
        <v>9285364156</v>
      </c>
      <c r="I4231">
        <v>7110</v>
      </c>
      <c r="J4231">
        <v>9285362995</v>
      </c>
      <c r="K4231" t="s">
        <v>11254</v>
      </c>
      <c r="L4231" t="s">
        <v>1647</v>
      </c>
      <c r="M4231" t="s">
        <v>1634</v>
      </c>
    </row>
    <row r="4232" spans="1:13" x14ac:dyDescent="0.25">
      <c r="A4232">
        <v>5615</v>
      </c>
      <c r="B4232" t="s">
        <v>11255</v>
      </c>
      <c r="C4232" t="s">
        <v>11256</v>
      </c>
      <c r="D4232" t="s">
        <v>1643</v>
      </c>
      <c r="E4232" t="s">
        <v>7889</v>
      </c>
      <c r="F4232" t="s">
        <v>6342</v>
      </c>
      <c r="G4232" t="s">
        <v>11257</v>
      </c>
      <c r="H4232">
        <v>9285364156</v>
      </c>
      <c r="I4232">
        <v>125</v>
      </c>
      <c r="J4232">
        <v>9285362634</v>
      </c>
      <c r="K4232" t="s">
        <v>11258</v>
      </c>
      <c r="M4232" t="s">
        <v>1634</v>
      </c>
    </row>
    <row r="4233" spans="1:13" x14ac:dyDescent="0.25">
      <c r="A4233">
        <v>5615</v>
      </c>
      <c r="B4233" t="s">
        <v>11255</v>
      </c>
      <c r="C4233" t="s">
        <v>11256</v>
      </c>
      <c r="D4233" t="s">
        <v>1643</v>
      </c>
      <c r="E4233" t="s">
        <v>7889</v>
      </c>
      <c r="F4233" t="s">
        <v>2325</v>
      </c>
      <c r="G4233" t="s">
        <v>3304</v>
      </c>
      <c r="H4233">
        <v>9285364156</v>
      </c>
      <c r="J4233">
        <v>9285366887</v>
      </c>
      <c r="K4233" t="s">
        <v>11259</v>
      </c>
      <c r="L4233" t="s">
        <v>1647</v>
      </c>
      <c r="M4233" t="s">
        <v>1634</v>
      </c>
    </row>
    <row r="4234" spans="1:13" x14ac:dyDescent="0.25">
      <c r="A4234">
        <v>5616</v>
      </c>
      <c r="B4234" t="s">
        <v>11260</v>
      </c>
      <c r="C4234" t="s">
        <v>11261</v>
      </c>
      <c r="D4234" t="s">
        <v>1643</v>
      </c>
      <c r="E4234" t="s">
        <v>7889</v>
      </c>
      <c r="F4234" t="s">
        <v>1750</v>
      </c>
      <c r="G4234" t="s">
        <v>5601</v>
      </c>
      <c r="H4234">
        <v>9285364156</v>
      </c>
      <c r="I4234">
        <v>7310</v>
      </c>
      <c r="J4234">
        <v>9285363007</v>
      </c>
      <c r="K4234" t="s">
        <v>11262</v>
      </c>
      <c r="L4234" t="s">
        <v>1647</v>
      </c>
      <c r="M4234" t="s">
        <v>1634</v>
      </c>
    </row>
    <row r="4235" spans="1:13" x14ac:dyDescent="0.25">
      <c r="A4235">
        <v>5617</v>
      </c>
      <c r="B4235" t="s">
        <v>11263</v>
      </c>
      <c r="C4235" t="s">
        <v>11264</v>
      </c>
      <c r="D4235" t="s">
        <v>1643</v>
      </c>
      <c r="E4235" t="s">
        <v>7889</v>
      </c>
      <c r="F4235" t="s">
        <v>4443</v>
      </c>
      <c r="G4235" t="s">
        <v>11265</v>
      </c>
      <c r="H4235">
        <v>9285364156</v>
      </c>
      <c r="I4235">
        <v>7411</v>
      </c>
      <c r="J4235">
        <v>9285367225</v>
      </c>
      <c r="K4235" t="s">
        <v>11266</v>
      </c>
      <c r="L4235" t="s">
        <v>1647</v>
      </c>
      <c r="M4235" t="s">
        <v>1634</v>
      </c>
    </row>
    <row r="4236" spans="1:13" x14ac:dyDescent="0.25">
      <c r="A4236">
        <v>5618</v>
      </c>
      <c r="B4236" t="s">
        <v>11267</v>
      </c>
      <c r="C4236" t="s">
        <v>11268</v>
      </c>
      <c r="D4236" t="s">
        <v>1643</v>
      </c>
      <c r="E4236" t="s">
        <v>7889</v>
      </c>
      <c r="F4236" t="s">
        <v>4162</v>
      </c>
      <c r="G4236" t="s">
        <v>11269</v>
      </c>
      <c r="H4236">
        <v>9285364156</v>
      </c>
      <c r="J4236">
        <v>9285364240</v>
      </c>
      <c r="K4236" t="s">
        <v>11270</v>
      </c>
      <c r="L4236" t="s">
        <v>1647</v>
      </c>
      <c r="M4236" t="s">
        <v>1634</v>
      </c>
    </row>
    <row r="4237" spans="1:13" x14ac:dyDescent="0.25">
      <c r="A4237">
        <v>5619</v>
      </c>
      <c r="B4237" t="s">
        <v>11271</v>
      </c>
      <c r="C4237" t="s">
        <v>11272</v>
      </c>
      <c r="D4237" t="s">
        <v>1643</v>
      </c>
      <c r="E4237" t="s">
        <v>7889</v>
      </c>
      <c r="F4237" t="s">
        <v>3150</v>
      </c>
      <c r="G4237" t="s">
        <v>4769</v>
      </c>
      <c r="H4237">
        <v>9285364156</v>
      </c>
      <c r="I4237">
        <v>7610</v>
      </c>
      <c r="J4237">
        <v>9285363006</v>
      </c>
      <c r="K4237" t="s">
        <v>11273</v>
      </c>
      <c r="L4237" t="s">
        <v>1647</v>
      </c>
      <c r="M4237" t="s">
        <v>1634</v>
      </c>
    </row>
    <row r="4238" spans="1:13" x14ac:dyDescent="0.25">
      <c r="A4238">
        <v>87577</v>
      </c>
      <c r="B4238" t="s">
        <v>11274</v>
      </c>
      <c r="C4238" t="s">
        <v>11275</v>
      </c>
      <c r="D4238" t="s">
        <v>1643</v>
      </c>
      <c r="E4238" t="s">
        <v>7889</v>
      </c>
      <c r="F4238" t="s">
        <v>3040</v>
      </c>
      <c r="G4238" t="s">
        <v>2927</v>
      </c>
      <c r="M4238" t="s">
        <v>1634</v>
      </c>
    </row>
    <row r="4239" spans="1:13" x14ac:dyDescent="0.25">
      <c r="A4239">
        <v>4392</v>
      </c>
      <c r="B4239" t="s">
        <v>11276</v>
      </c>
      <c r="C4239" t="s">
        <v>11277</v>
      </c>
      <c r="D4239" t="s">
        <v>1628</v>
      </c>
      <c r="E4239" t="s">
        <v>7889</v>
      </c>
      <c r="F4239" t="s">
        <v>7938</v>
      </c>
      <c r="G4239" t="s">
        <v>11238</v>
      </c>
      <c r="H4239">
        <v>9285354622</v>
      </c>
      <c r="K4239" t="s">
        <v>11278</v>
      </c>
      <c r="L4239" t="s">
        <v>1668</v>
      </c>
      <c r="M4239" t="s">
        <v>1634</v>
      </c>
    </row>
    <row r="4240" spans="1:13" x14ac:dyDescent="0.25">
      <c r="A4240">
        <v>4392</v>
      </c>
      <c r="B4240" t="s">
        <v>11276</v>
      </c>
      <c r="C4240" t="s">
        <v>11277</v>
      </c>
      <c r="D4240" t="s">
        <v>1628</v>
      </c>
      <c r="E4240" t="s">
        <v>7889</v>
      </c>
      <c r="F4240" t="s">
        <v>2965</v>
      </c>
      <c r="G4240" t="s">
        <v>11279</v>
      </c>
      <c r="H4240">
        <v>9285354622</v>
      </c>
      <c r="I4240">
        <v>5004</v>
      </c>
      <c r="K4240" t="s">
        <v>11280</v>
      </c>
      <c r="L4240" t="s">
        <v>11281</v>
      </c>
      <c r="M4240" t="s">
        <v>1634</v>
      </c>
    </row>
    <row r="4241" spans="1:13" x14ac:dyDescent="0.25">
      <c r="A4241">
        <v>4392</v>
      </c>
      <c r="B4241" t="s">
        <v>11276</v>
      </c>
      <c r="C4241" t="s">
        <v>11277</v>
      </c>
      <c r="D4241" t="s">
        <v>1628</v>
      </c>
      <c r="E4241" t="s">
        <v>7889</v>
      </c>
      <c r="F4241" t="s">
        <v>2348</v>
      </c>
      <c r="G4241" t="s">
        <v>11282</v>
      </c>
      <c r="I4241">
        <v>5003</v>
      </c>
      <c r="J4241">
        <v>9285355146</v>
      </c>
      <c r="L4241" t="s">
        <v>1640</v>
      </c>
      <c r="M4241" t="s">
        <v>1640</v>
      </c>
    </row>
    <row r="4242" spans="1:13" x14ac:dyDescent="0.25">
      <c r="A4242">
        <v>4392</v>
      </c>
      <c r="B4242" t="s">
        <v>11276</v>
      </c>
      <c r="C4242" t="s">
        <v>11277</v>
      </c>
      <c r="D4242" t="s">
        <v>1628</v>
      </c>
      <c r="E4242" t="s">
        <v>7889</v>
      </c>
      <c r="F4242" t="s">
        <v>2348</v>
      </c>
      <c r="G4242" t="s">
        <v>11282</v>
      </c>
      <c r="I4242">
        <v>5003</v>
      </c>
      <c r="J4242">
        <v>9285355146</v>
      </c>
      <c r="L4242" t="s">
        <v>1640</v>
      </c>
      <c r="M4242" t="s">
        <v>1765</v>
      </c>
    </row>
    <row r="4243" spans="1:13" x14ac:dyDescent="0.25">
      <c r="A4243">
        <v>6053</v>
      </c>
      <c r="B4243" t="s">
        <v>11283</v>
      </c>
      <c r="C4243" t="s">
        <v>11284</v>
      </c>
      <c r="D4243" t="s">
        <v>1643</v>
      </c>
      <c r="E4243" t="s">
        <v>7889</v>
      </c>
      <c r="F4243" t="s">
        <v>3387</v>
      </c>
      <c r="G4243" t="s">
        <v>11285</v>
      </c>
      <c r="H4243">
        <v>9285356572</v>
      </c>
      <c r="K4243" t="s">
        <v>11286</v>
      </c>
      <c r="L4243" t="s">
        <v>1647</v>
      </c>
      <c r="M4243" t="s">
        <v>1634</v>
      </c>
    </row>
    <row r="4244" spans="1:13" x14ac:dyDescent="0.25">
      <c r="A4244">
        <v>6053</v>
      </c>
      <c r="B4244" t="s">
        <v>11283</v>
      </c>
      <c r="C4244" t="s">
        <v>11284</v>
      </c>
      <c r="D4244" t="s">
        <v>1643</v>
      </c>
      <c r="E4244" t="s">
        <v>7889</v>
      </c>
      <c r="F4244" t="s">
        <v>7938</v>
      </c>
      <c r="G4244" t="s">
        <v>11238</v>
      </c>
      <c r="K4244" t="s">
        <v>11278</v>
      </c>
      <c r="L4244" t="s">
        <v>1668</v>
      </c>
      <c r="M4244" t="s">
        <v>1634</v>
      </c>
    </row>
    <row r="4245" spans="1:13" x14ac:dyDescent="0.25">
      <c r="A4245">
        <v>5623</v>
      </c>
      <c r="B4245" t="s">
        <v>11287</v>
      </c>
      <c r="C4245" t="s">
        <v>11288</v>
      </c>
      <c r="D4245" t="s">
        <v>1643</v>
      </c>
      <c r="E4245" t="s">
        <v>7889</v>
      </c>
      <c r="F4245" t="s">
        <v>3387</v>
      </c>
      <c r="G4245" t="s">
        <v>11285</v>
      </c>
      <c r="K4245" t="s">
        <v>11289</v>
      </c>
      <c r="L4245" t="s">
        <v>1647</v>
      </c>
      <c r="M4245" t="s">
        <v>1634</v>
      </c>
    </row>
    <row r="4246" spans="1:13" x14ac:dyDescent="0.25">
      <c r="A4246">
        <v>5623</v>
      </c>
      <c r="B4246" t="s">
        <v>11287</v>
      </c>
      <c r="C4246" t="s">
        <v>11288</v>
      </c>
      <c r="D4246" t="s">
        <v>1643</v>
      </c>
      <c r="E4246" t="s">
        <v>7889</v>
      </c>
      <c r="F4246" t="s">
        <v>2156</v>
      </c>
      <c r="G4246" t="s">
        <v>11290</v>
      </c>
      <c r="H4246" t="s">
        <v>11291</v>
      </c>
      <c r="K4246" t="s">
        <v>11292</v>
      </c>
      <c r="M4246" t="s">
        <v>1634</v>
      </c>
    </row>
    <row r="4247" spans="1:13" x14ac:dyDescent="0.25">
      <c r="A4247">
        <v>5623</v>
      </c>
      <c r="B4247" t="s">
        <v>11287</v>
      </c>
      <c r="C4247" t="s">
        <v>11288</v>
      </c>
      <c r="D4247" t="s">
        <v>1643</v>
      </c>
      <c r="E4247" t="s">
        <v>7889</v>
      </c>
      <c r="F4247" t="s">
        <v>7938</v>
      </c>
      <c r="G4247" t="s">
        <v>11238</v>
      </c>
      <c r="H4247">
        <v>9285354622</v>
      </c>
      <c r="K4247" t="s">
        <v>11278</v>
      </c>
      <c r="L4247" t="s">
        <v>1668</v>
      </c>
      <c r="M4247" t="s">
        <v>1634</v>
      </c>
    </row>
    <row r="4248" spans="1:13" x14ac:dyDescent="0.25">
      <c r="A4248">
        <v>5624</v>
      </c>
      <c r="B4248" t="s">
        <v>11293</v>
      </c>
      <c r="C4248" t="s">
        <v>11294</v>
      </c>
      <c r="D4248" t="s">
        <v>1643</v>
      </c>
      <c r="E4248" t="s">
        <v>7889</v>
      </c>
      <c r="F4248" t="s">
        <v>7938</v>
      </c>
      <c r="G4248" t="s">
        <v>11238</v>
      </c>
      <c r="H4248">
        <v>9285354667</v>
      </c>
      <c r="J4248">
        <v>9285359044</v>
      </c>
      <c r="K4248" t="s">
        <v>11295</v>
      </c>
      <c r="M4248" t="s">
        <v>1634</v>
      </c>
    </row>
    <row r="4249" spans="1:13" x14ac:dyDescent="0.25">
      <c r="A4249">
        <v>5624</v>
      </c>
      <c r="B4249" t="s">
        <v>11293</v>
      </c>
      <c r="C4249" t="s">
        <v>11294</v>
      </c>
      <c r="D4249" t="s">
        <v>1643</v>
      </c>
      <c r="E4249" t="s">
        <v>7889</v>
      </c>
      <c r="F4249" t="s">
        <v>3387</v>
      </c>
      <c r="G4249" t="s">
        <v>11285</v>
      </c>
      <c r="H4249">
        <v>9285354238</v>
      </c>
      <c r="I4249">
        <v>2104</v>
      </c>
      <c r="K4249" t="s">
        <v>11296</v>
      </c>
      <c r="L4249" t="s">
        <v>1647</v>
      </c>
      <c r="M4249" t="s">
        <v>1634</v>
      </c>
    </row>
    <row r="4250" spans="1:13" x14ac:dyDescent="0.25">
      <c r="A4250">
        <v>5625</v>
      </c>
      <c r="B4250" t="s">
        <v>11297</v>
      </c>
      <c r="C4250" t="s">
        <v>11298</v>
      </c>
      <c r="D4250" t="s">
        <v>1643</v>
      </c>
      <c r="E4250" t="s">
        <v>7889</v>
      </c>
      <c r="F4250" t="s">
        <v>3387</v>
      </c>
      <c r="G4250" t="s">
        <v>11285</v>
      </c>
      <c r="H4250">
        <v>9285354238</v>
      </c>
      <c r="I4250">
        <v>2104</v>
      </c>
      <c r="K4250" t="s">
        <v>11296</v>
      </c>
      <c r="L4250" t="s">
        <v>1647</v>
      </c>
      <c r="M4250" t="s">
        <v>1634</v>
      </c>
    </row>
    <row r="4251" spans="1:13" x14ac:dyDescent="0.25">
      <c r="A4251">
        <v>4393</v>
      </c>
      <c r="B4251" t="s">
        <v>11299</v>
      </c>
      <c r="C4251" t="s">
        <v>11300</v>
      </c>
      <c r="D4251" t="s">
        <v>1628</v>
      </c>
      <c r="E4251" t="s">
        <v>7889</v>
      </c>
      <c r="F4251" t="s">
        <v>11301</v>
      </c>
      <c r="G4251" t="s">
        <v>11302</v>
      </c>
      <c r="H4251">
        <v>9285376001</v>
      </c>
      <c r="K4251" t="s">
        <v>11303</v>
      </c>
      <c r="L4251" t="s">
        <v>1633</v>
      </c>
      <c r="M4251" t="s">
        <v>1634</v>
      </c>
    </row>
    <row r="4252" spans="1:13" x14ac:dyDescent="0.25">
      <c r="A4252">
        <v>4393</v>
      </c>
      <c r="B4252" t="s">
        <v>11299</v>
      </c>
      <c r="C4252" t="s">
        <v>11300</v>
      </c>
      <c r="D4252" t="s">
        <v>1628</v>
      </c>
      <c r="E4252" t="s">
        <v>7889</v>
      </c>
      <c r="F4252" t="s">
        <v>2351</v>
      </c>
      <c r="G4252" t="s">
        <v>1936</v>
      </c>
      <c r="H4252">
        <v>9285376001</v>
      </c>
      <c r="I4252">
        <v>1002</v>
      </c>
      <c r="K4252" t="s">
        <v>11304</v>
      </c>
      <c r="M4252" t="s">
        <v>1634</v>
      </c>
    </row>
    <row r="4253" spans="1:13" x14ac:dyDescent="0.25">
      <c r="A4253">
        <v>4393</v>
      </c>
      <c r="B4253" t="s">
        <v>11299</v>
      </c>
      <c r="C4253" t="s">
        <v>11300</v>
      </c>
      <c r="D4253" t="s">
        <v>1628</v>
      </c>
      <c r="E4253" t="s">
        <v>7889</v>
      </c>
      <c r="F4253" t="s">
        <v>3870</v>
      </c>
      <c r="G4253" t="s">
        <v>11305</v>
      </c>
      <c r="H4253">
        <v>9285376011</v>
      </c>
      <c r="K4253" t="s">
        <v>11306</v>
      </c>
      <c r="L4253" t="s">
        <v>1640</v>
      </c>
      <c r="M4253" t="s">
        <v>1640</v>
      </c>
    </row>
    <row r="4254" spans="1:13" x14ac:dyDescent="0.25">
      <c r="A4254">
        <v>4393</v>
      </c>
      <c r="B4254" t="s">
        <v>11299</v>
      </c>
      <c r="C4254" t="s">
        <v>11300</v>
      </c>
      <c r="D4254" t="s">
        <v>1628</v>
      </c>
      <c r="E4254" t="s">
        <v>7889</v>
      </c>
      <c r="F4254" t="s">
        <v>11307</v>
      </c>
      <c r="G4254" t="s">
        <v>11308</v>
      </c>
      <c r="H4254">
        <v>9285376011</v>
      </c>
      <c r="I4254">
        <v>1002</v>
      </c>
      <c r="K4254" t="s">
        <v>11309</v>
      </c>
      <c r="M4254" t="s">
        <v>1640</v>
      </c>
    </row>
    <row r="4255" spans="1:13" x14ac:dyDescent="0.25">
      <c r="A4255">
        <v>4393</v>
      </c>
      <c r="B4255" t="s">
        <v>11299</v>
      </c>
      <c r="C4255" t="s">
        <v>11300</v>
      </c>
      <c r="D4255" t="s">
        <v>1628</v>
      </c>
      <c r="E4255" t="s">
        <v>7889</v>
      </c>
      <c r="F4255" t="s">
        <v>4022</v>
      </c>
      <c r="G4255" t="s">
        <v>3429</v>
      </c>
      <c r="H4255">
        <v>9285376049</v>
      </c>
      <c r="K4255" t="s">
        <v>11310</v>
      </c>
      <c r="L4255" t="s">
        <v>10965</v>
      </c>
      <c r="M4255" t="s">
        <v>1640</v>
      </c>
    </row>
    <row r="4256" spans="1:13" x14ac:dyDescent="0.25">
      <c r="A4256">
        <v>4393</v>
      </c>
      <c r="B4256" t="s">
        <v>11299</v>
      </c>
      <c r="C4256" t="s">
        <v>11300</v>
      </c>
      <c r="D4256" t="s">
        <v>1628</v>
      </c>
      <c r="E4256" t="s">
        <v>7889</v>
      </c>
      <c r="F4256" t="s">
        <v>2033</v>
      </c>
      <c r="G4256" t="s">
        <v>11311</v>
      </c>
      <c r="H4256">
        <v>9285376045</v>
      </c>
      <c r="K4256" t="s">
        <v>11312</v>
      </c>
      <c r="M4256" t="s">
        <v>1765</v>
      </c>
    </row>
    <row r="4257" spans="1:13" x14ac:dyDescent="0.25">
      <c r="A4257">
        <v>4393</v>
      </c>
      <c r="B4257" t="s">
        <v>11299</v>
      </c>
      <c r="C4257" t="s">
        <v>11300</v>
      </c>
      <c r="D4257" t="s">
        <v>1628</v>
      </c>
      <c r="E4257" t="s">
        <v>7889</v>
      </c>
      <c r="F4257" t="s">
        <v>1732</v>
      </c>
      <c r="G4257" t="s">
        <v>11313</v>
      </c>
      <c r="H4257">
        <v>9285326843</v>
      </c>
      <c r="K4257" t="s">
        <v>11314</v>
      </c>
      <c r="L4257" t="s">
        <v>11315</v>
      </c>
      <c r="M4257" t="s">
        <v>1765</v>
      </c>
    </row>
    <row r="4258" spans="1:13" x14ac:dyDescent="0.25">
      <c r="A4258">
        <v>7673</v>
      </c>
      <c r="B4258" t="s">
        <v>11316</v>
      </c>
      <c r="C4258" t="s">
        <v>11317</v>
      </c>
      <c r="D4258" t="s">
        <v>1643</v>
      </c>
      <c r="E4258" t="s">
        <v>7889</v>
      </c>
      <c r="F4258" t="s">
        <v>1750</v>
      </c>
      <c r="G4258" t="s">
        <v>1810</v>
      </c>
      <c r="L4258" t="s">
        <v>1647</v>
      </c>
      <c r="M4258" t="s">
        <v>1634</v>
      </c>
    </row>
    <row r="4259" spans="1:13" x14ac:dyDescent="0.25">
      <c r="A4259">
        <v>5626</v>
      </c>
      <c r="B4259" t="s">
        <v>11318</v>
      </c>
      <c r="C4259" t="s">
        <v>11319</v>
      </c>
      <c r="D4259" t="s">
        <v>1643</v>
      </c>
      <c r="E4259" t="s">
        <v>7889</v>
      </c>
      <c r="F4259" t="s">
        <v>3150</v>
      </c>
      <c r="G4259" t="s">
        <v>4769</v>
      </c>
      <c r="K4259" t="s">
        <v>11320</v>
      </c>
      <c r="L4259" t="s">
        <v>1647</v>
      </c>
      <c r="M4259" t="s">
        <v>1634</v>
      </c>
    </row>
    <row r="4260" spans="1:13" x14ac:dyDescent="0.25">
      <c r="A4260">
        <v>5627</v>
      </c>
      <c r="B4260" t="s">
        <v>11321</v>
      </c>
      <c r="C4260" t="s">
        <v>11322</v>
      </c>
      <c r="D4260" t="s">
        <v>1643</v>
      </c>
      <c r="E4260" t="s">
        <v>7889</v>
      </c>
      <c r="F4260" t="s">
        <v>1761</v>
      </c>
      <c r="G4260" t="s">
        <v>2202</v>
      </c>
      <c r="H4260">
        <v>9285376150</v>
      </c>
      <c r="J4260">
        <v>9285376199</v>
      </c>
      <c r="K4260" t="s">
        <v>11323</v>
      </c>
      <c r="L4260" t="s">
        <v>1647</v>
      </c>
      <c r="M4260" t="s">
        <v>1634</v>
      </c>
    </row>
    <row r="4261" spans="1:13" x14ac:dyDescent="0.25">
      <c r="A4261">
        <v>5628</v>
      </c>
      <c r="B4261" t="s">
        <v>11324</v>
      </c>
      <c r="C4261" t="s">
        <v>11325</v>
      </c>
      <c r="D4261" t="s">
        <v>1643</v>
      </c>
      <c r="E4261" t="s">
        <v>7889</v>
      </c>
      <c r="F4261" t="s">
        <v>1750</v>
      </c>
      <c r="G4261" t="s">
        <v>1810</v>
      </c>
      <c r="H4261">
        <v>9285376017</v>
      </c>
      <c r="J4261">
        <v>9285376039</v>
      </c>
      <c r="K4261" t="s">
        <v>11326</v>
      </c>
      <c r="L4261" t="s">
        <v>1647</v>
      </c>
      <c r="M4261" t="s">
        <v>1634</v>
      </c>
    </row>
    <row r="4262" spans="1:13" x14ac:dyDescent="0.25">
      <c r="A4262">
        <v>5628</v>
      </c>
      <c r="B4262" t="s">
        <v>11324</v>
      </c>
      <c r="C4262" t="s">
        <v>11325</v>
      </c>
      <c r="D4262" t="s">
        <v>1643</v>
      </c>
      <c r="E4262" t="s">
        <v>7889</v>
      </c>
      <c r="F4262" t="s">
        <v>1761</v>
      </c>
      <c r="G4262" t="s">
        <v>11327</v>
      </c>
      <c r="K4262" t="s">
        <v>11328</v>
      </c>
      <c r="L4262" t="s">
        <v>1647</v>
      </c>
      <c r="M4262" t="s">
        <v>1634</v>
      </c>
    </row>
    <row r="4263" spans="1:13" x14ac:dyDescent="0.25">
      <c r="A4263">
        <v>5631</v>
      </c>
      <c r="B4263" t="s">
        <v>11329</v>
      </c>
      <c r="C4263" t="s">
        <v>11330</v>
      </c>
      <c r="D4263" t="s">
        <v>1643</v>
      </c>
      <c r="E4263" t="s">
        <v>7889</v>
      </c>
      <c r="F4263" t="s">
        <v>1761</v>
      </c>
      <c r="G4263" t="s">
        <v>11327</v>
      </c>
      <c r="K4263" t="s">
        <v>11331</v>
      </c>
      <c r="L4263" t="s">
        <v>1647</v>
      </c>
      <c r="M4263" t="s">
        <v>1634</v>
      </c>
    </row>
    <row r="4264" spans="1:13" x14ac:dyDescent="0.25">
      <c r="A4264">
        <v>5632</v>
      </c>
      <c r="B4264" t="s">
        <v>11332</v>
      </c>
      <c r="C4264" t="s">
        <v>11333</v>
      </c>
      <c r="D4264" t="s">
        <v>1643</v>
      </c>
      <c r="E4264" t="s">
        <v>7889</v>
      </c>
      <c r="F4264" t="s">
        <v>6668</v>
      </c>
      <c r="G4264" t="s">
        <v>2054</v>
      </c>
      <c r="H4264">
        <v>9285376200</v>
      </c>
      <c r="J4264">
        <v>9285376299</v>
      </c>
      <c r="K4264" t="s">
        <v>11334</v>
      </c>
      <c r="L4264" t="s">
        <v>1647</v>
      </c>
      <c r="M4264" t="s">
        <v>1634</v>
      </c>
    </row>
    <row r="4265" spans="1:13" x14ac:dyDescent="0.25">
      <c r="A4265">
        <v>79646</v>
      </c>
      <c r="B4265" t="s">
        <v>11335</v>
      </c>
      <c r="C4265" t="s">
        <v>11336</v>
      </c>
      <c r="D4265" t="s">
        <v>1643</v>
      </c>
      <c r="E4265" t="s">
        <v>7889</v>
      </c>
      <c r="F4265" t="s">
        <v>6668</v>
      </c>
      <c r="G4265" t="s">
        <v>2054</v>
      </c>
      <c r="H4265">
        <v>9285376200</v>
      </c>
      <c r="J4265">
        <v>9285376299</v>
      </c>
      <c r="K4265" t="s">
        <v>11334</v>
      </c>
      <c r="M4265" t="s">
        <v>1634</v>
      </c>
    </row>
    <row r="4266" spans="1:13" x14ac:dyDescent="0.25">
      <c r="A4266">
        <v>91203</v>
      </c>
      <c r="B4266" t="s">
        <v>11337</v>
      </c>
      <c r="C4266" t="s">
        <v>11338</v>
      </c>
      <c r="D4266" t="s">
        <v>1643</v>
      </c>
      <c r="E4266" t="s">
        <v>7889</v>
      </c>
      <c r="F4266" t="s">
        <v>1775</v>
      </c>
      <c r="G4266" t="s">
        <v>11339</v>
      </c>
      <c r="H4266">
        <v>9285376008</v>
      </c>
      <c r="J4266">
        <v>9285376004</v>
      </c>
      <c r="K4266" t="s">
        <v>11340</v>
      </c>
      <c r="M4266" t="s">
        <v>1640</v>
      </c>
    </row>
    <row r="4267" spans="1:13" x14ac:dyDescent="0.25">
      <c r="A4267">
        <v>4394</v>
      </c>
      <c r="B4267" t="s">
        <v>439</v>
      </c>
      <c r="C4267" t="s">
        <v>11341</v>
      </c>
      <c r="D4267" t="s">
        <v>1628</v>
      </c>
      <c r="E4267" t="s">
        <v>7889</v>
      </c>
      <c r="F4267" t="s">
        <v>11342</v>
      </c>
      <c r="G4267" t="s">
        <v>11343</v>
      </c>
      <c r="J4267">
        <v>9283585703</v>
      </c>
      <c r="K4267" t="s">
        <v>11344</v>
      </c>
      <c r="L4267" t="s">
        <v>1640</v>
      </c>
      <c r="M4267" t="s">
        <v>1634</v>
      </c>
    </row>
    <row r="4268" spans="1:13" x14ac:dyDescent="0.25">
      <c r="A4268">
        <v>4394</v>
      </c>
      <c r="B4268" t="s">
        <v>439</v>
      </c>
      <c r="C4268" t="s">
        <v>11341</v>
      </c>
      <c r="D4268" t="s">
        <v>1628</v>
      </c>
      <c r="E4268" t="s">
        <v>7889</v>
      </c>
      <c r="F4268" t="s">
        <v>11342</v>
      </c>
      <c r="G4268" t="s">
        <v>11343</v>
      </c>
      <c r="J4268">
        <v>9283585703</v>
      </c>
      <c r="K4268" t="s">
        <v>11344</v>
      </c>
      <c r="L4268" t="s">
        <v>1640</v>
      </c>
      <c r="M4268" t="s">
        <v>1640</v>
      </c>
    </row>
    <row r="4269" spans="1:13" x14ac:dyDescent="0.25">
      <c r="A4269">
        <v>4394</v>
      </c>
      <c r="B4269" t="s">
        <v>439</v>
      </c>
      <c r="C4269" t="s">
        <v>11341</v>
      </c>
      <c r="D4269" t="s">
        <v>1628</v>
      </c>
      <c r="E4269" t="s">
        <v>7889</v>
      </c>
      <c r="F4269" t="s">
        <v>11345</v>
      </c>
      <c r="G4269" t="s">
        <v>5706</v>
      </c>
      <c r="H4269">
        <v>9283585720</v>
      </c>
      <c r="K4269" t="s">
        <v>11346</v>
      </c>
      <c r="L4269" t="s">
        <v>11347</v>
      </c>
      <c r="M4269" t="s">
        <v>1765</v>
      </c>
    </row>
    <row r="4270" spans="1:13" x14ac:dyDescent="0.25">
      <c r="A4270">
        <v>4394</v>
      </c>
      <c r="B4270" t="s">
        <v>439</v>
      </c>
      <c r="C4270" t="s">
        <v>11341</v>
      </c>
      <c r="D4270" t="s">
        <v>1628</v>
      </c>
      <c r="E4270" t="s">
        <v>7889</v>
      </c>
      <c r="F4270" t="s">
        <v>11348</v>
      </c>
      <c r="G4270" t="s">
        <v>11349</v>
      </c>
      <c r="H4270">
        <v>9283585827</v>
      </c>
      <c r="K4270" t="s">
        <v>11350</v>
      </c>
      <c r="L4270" t="s">
        <v>11351</v>
      </c>
      <c r="M4270" t="s">
        <v>1765</v>
      </c>
    </row>
    <row r="4271" spans="1:13" x14ac:dyDescent="0.25">
      <c r="A4271">
        <v>5633</v>
      </c>
      <c r="B4271" t="s">
        <v>847</v>
      </c>
      <c r="C4271" t="s">
        <v>11352</v>
      </c>
      <c r="D4271" t="s">
        <v>1643</v>
      </c>
      <c r="E4271" t="s">
        <v>7889</v>
      </c>
      <c r="F4271" t="s">
        <v>1779</v>
      </c>
      <c r="G4271" t="s">
        <v>11353</v>
      </c>
      <c r="H4271">
        <v>9283384138</v>
      </c>
      <c r="K4271" t="s">
        <v>11354</v>
      </c>
      <c r="M4271" t="s">
        <v>1634</v>
      </c>
    </row>
    <row r="4272" spans="1:13" x14ac:dyDescent="0.25">
      <c r="A4272">
        <v>5633</v>
      </c>
      <c r="B4272" t="s">
        <v>847</v>
      </c>
      <c r="C4272" t="s">
        <v>11352</v>
      </c>
      <c r="D4272" t="s">
        <v>1643</v>
      </c>
      <c r="E4272" t="s">
        <v>7889</v>
      </c>
      <c r="F4272" t="s">
        <v>2079</v>
      </c>
      <c r="G4272" t="s">
        <v>11355</v>
      </c>
      <c r="J4272">
        <v>9283585661</v>
      </c>
      <c r="K4272" t="s">
        <v>11356</v>
      </c>
      <c r="L4272" t="s">
        <v>1721</v>
      </c>
      <c r="M4272" t="s">
        <v>1634</v>
      </c>
    </row>
    <row r="4273" spans="1:13" x14ac:dyDescent="0.25">
      <c r="A4273">
        <v>5635</v>
      </c>
      <c r="B4273" t="s">
        <v>444</v>
      </c>
      <c r="C4273" t="s">
        <v>11357</v>
      </c>
      <c r="D4273" t="s">
        <v>1643</v>
      </c>
      <c r="E4273" t="s">
        <v>7889</v>
      </c>
      <c r="F4273" t="s">
        <v>3003</v>
      </c>
      <c r="G4273" t="s">
        <v>2270</v>
      </c>
      <c r="K4273" t="s">
        <v>11358</v>
      </c>
      <c r="L4273" t="s">
        <v>1647</v>
      </c>
      <c r="M4273" t="s">
        <v>1634</v>
      </c>
    </row>
    <row r="4274" spans="1:13" x14ac:dyDescent="0.25">
      <c r="A4274">
        <v>5635</v>
      </c>
      <c r="B4274" t="s">
        <v>444</v>
      </c>
      <c r="C4274" t="s">
        <v>11357</v>
      </c>
      <c r="D4274" t="s">
        <v>1643</v>
      </c>
      <c r="E4274" t="s">
        <v>7889</v>
      </c>
      <c r="F4274" t="s">
        <v>11359</v>
      </c>
      <c r="G4274" t="s">
        <v>1918</v>
      </c>
      <c r="H4274">
        <v>9283585680</v>
      </c>
      <c r="J4274">
        <v>9283585681</v>
      </c>
      <c r="K4274" t="s">
        <v>11360</v>
      </c>
      <c r="L4274" t="s">
        <v>1647</v>
      </c>
      <c r="M4274" t="s">
        <v>1634</v>
      </c>
    </row>
    <row r="4275" spans="1:13" x14ac:dyDescent="0.25">
      <c r="A4275">
        <v>5636</v>
      </c>
      <c r="B4275" t="s">
        <v>446</v>
      </c>
      <c r="C4275" t="s">
        <v>11361</v>
      </c>
      <c r="D4275" t="s">
        <v>1643</v>
      </c>
      <c r="E4275" t="s">
        <v>7889</v>
      </c>
      <c r="F4275" t="s">
        <v>4581</v>
      </c>
      <c r="G4275" t="s">
        <v>11362</v>
      </c>
      <c r="H4275">
        <v>9283381026</v>
      </c>
      <c r="J4275">
        <v>9283381417</v>
      </c>
      <c r="K4275" t="s">
        <v>11363</v>
      </c>
      <c r="M4275" t="s">
        <v>1634</v>
      </c>
    </row>
    <row r="4276" spans="1:13" x14ac:dyDescent="0.25">
      <c r="A4276">
        <v>5636</v>
      </c>
      <c r="B4276" t="s">
        <v>446</v>
      </c>
      <c r="C4276" t="s">
        <v>11361</v>
      </c>
      <c r="D4276" t="s">
        <v>1643</v>
      </c>
      <c r="E4276" t="s">
        <v>7889</v>
      </c>
      <c r="F4276" t="s">
        <v>1973</v>
      </c>
      <c r="G4276" t="s">
        <v>11364</v>
      </c>
      <c r="H4276">
        <v>9283585650</v>
      </c>
      <c r="J4276">
        <v>9283585651</v>
      </c>
      <c r="K4276" t="s">
        <v>11365</v>
      </c>
      <c r="L4276" t="s">
        <v>1647</v>
      </c>
      <c r="M4276" t="s">
        <v>1634</v>
      </c>
    </row>
    <row r="4277" spans="1:13" x14ac:dyDescent="0.25">
      <c r="A4277">
        <v>79698</v>
      </c>
      <c r="B4277" t="s">
        <v>440</v>
      </c>
      <c r="C4277" t="s">
        <v>11366</v>
      </c>
      <c r="D4277" t="s">
        <v>1643</v>
      </c>
      <c r="E4277" t="s">
        <v>7889</v>
      </c>
      <c r="F4277" t="s">
        <v>3345</v>
      </c>
      <c r="G4277" t="s">
        <v>3346</v>
      </c>
      <c r="H4277">
        <v>9283381353</v>
      </c>
      <c r="K4277" t="s">
        <v>11367</v>
      </c>
      <c r="L4277" t="s">
        <v>1647</v>
      </c>
      <c r="M4277" t="s">
        <v>1634</v>
      </c>
    </row>
    <row r="4278" spans="1:13" x14ac:dyDescent="0.25">
      <c r="A4278">
        <v>5637</v>
      </c>
      <c r="B4278" t="s">
        <v>1026</v>
      </c>
      <c r="C4278" t="s">
        <v>11368</v>
      </c>
      <c r="D4278" t="s">
        <v>1643</v>
      </c>
      <c r="E4278" t="s">
        <v>7889</v>
      </c>
      <c r="F4278" t="s">
        <v>11369</v>
      </c>
      <c r="G4278" t="s">
        <v>11370</v>
      </c>
      <c r="H4278">
        <v>9283585690</v>
      </c>
      <c r="J4278">
        <v>9283585691</v>
      </c>
      <c r="K4278" t="s">
        <v>11371</v>
      </c>
      <c r="L4278" t="s">
        <v>1647</v>
      </c>
      <c r="M4278" t="s">
        <v>1634</v>
      </c>
    </row>
    <row r="4279" spans="1:13" x14ac:dyDescent="0.25">
      <c r="A4279">
        <v>5637</v>
      </c>
      <c r="B4279" t="s">
        <v>1026</v>
      </c>
      <c r="C4279" t="s">
        <v>11368</v>
      </c>
      <c r="D4279" t="s">
        <v>1643</v>
      </c>
      <c r="E4279" t="s">
        <v>7889</v>
      </c>
      <c r="F4279" t="s">
        <v>2192</v>
      </c>
      <c r="G4279" t="s">
        <v>11372</v>
      </c>
      <c r="H4279">
        <v>9283384842</v>
      </c>
      <c r="K4279" t="s">
        <v>11373</v>
      </c>
      <c r="L4279" t="s">
        <v>1647</v>
      </c>
      <c r="M4279" t="s">
        <v>1634</v>
      </c>
    </row>
    <row r="4280" spans="1:13" x14ac:dyDescent="0.25">
      <c r="A4280">
        <v>1001160</v>
      </c>
      <c r="B4280" t="s">
        <v>11374</v>
      </c>
      <c r="C4280" t="s">
        <v>11375</v>
      </c>
      <c r="D4280" t="s">
        <v>1643</v>
      </c>
      <c r="E4280" t="s">
        <v>7889</v>
      </c>
      <c r="F4280" t="s">
        <v>2053</v>
      </c>
      <c r="G4280" t="s">
        <v>11376</v>
      </c>
      <c r="H4280">
        <v>9283686126</v>
      </c>
      <c r="I4280">
        <v>1101</v>
      </c>
      <c r="J4280">
        <v>9283685570</v>
      </c>
      <c r="K4280" t="s">
        <v>11377</v>
      </c>
      <c r="L4280" t="s">
        <v>2707</v>
      </c>
      <c r="M4280" t="s">
        <v>1634</v>
      </c>
    </row>
    <row r="4281" spans="1:13" x14ac:dyDescent="0.25">
      <c r="A4281">
        <v>1001160</v>
      </c>
      <c r="B4281" t="s">
        <v>11374</v>
      </c>
      <c r="C4281" t="s">
        <v>11375</v>
      </c>
      <c r="D4281" t="s">
        <v>1643</v>
      </c>
      <c r="E4281" t="s">
        <v>7889</v>
      </c>
      <c r="F4281" t="s">
        <v>4334</v>
      </c>
      <c r="G4281" t="s">
        <v>11378</v>
      </c>
      <c r="H4281">
        <v>9283686126</v>
      </c>
      <c r="I4281">
        <v>1108</v>
      </c>
      <c r="K4281" t="s">
        <v>11379</v>
      </c>
      <c r="L4281" t="s">
        <v>11380</v>
      </c>
      <c r="M4281" t="s">
        <v>1634</v>
      </c>
    </row>
    <row r="4282" spans="1:13" x14ac:dyDescent="0.25">
      <c r="A4282">
        <v>1001160</v>
      </c>
      <c r="B4282" t="s">
        <v>11374</v>
      </c>
      <c r="C4282" t="s">
        <v>11375</v>
      </c>
      <c r="D4282" t="s">
        <v>1643</v>
      </c>
      <c r="E4282" t="s">
        <v>7889</v>
      </c>
      <c r="F4282" t="s">
        <v>2222</v>
      </c>
      <c r="G4282" t="s">
        <v>2846</v>
      </c>
      <c r="H4282">
        <v>9283686126</v>
      </c>
      <c r="K4282" t="s">
        <v>11381</v>
      </c>
      <c r="M4282" t="s">
        <v>1634</v>
      </c>
    </row>
    <row r="4283" spans="1:13" x14ac:dyDescent="0.25">
      <c r="A4283">
        <v>1001160</v>
      </c>
      <c r="B4283" t="s">
        <v>11374</v>
      </c>
      <c r="C4283" t="s">
        <v>11375</v>
      </c>
      <c r="D4283" t="s">
        <v>1643</v>
      </c>
      <c r="E4283" t="s">
        <v>7889</v>
      </c>
      <c r="F4283" t="s">
        <v>2348</v>
      </c>
      <c r="G4283" t="s">
        <v>2826</v>
      </c>
      <c r="H4283">
        <v>9283686126</v>
      </c>
      <c r="K4283" t="s">
        <v>11382</v>
      </c>
      <c r="L4283" t="s">
        <v>1640</v>
      </c>
      <c r="M4283" t="s">
        <v>1640</v>
      </c>
    </row>
    <row r="4284" spans="1:13" x14ac:dyDescent="0.25">
      <c r="A4284">
        <v>4395</v>
      </c>
      <c r="B4284" t="s">
        <v>429</v>
      </c>
      <c r="C4284" t="s">
        <v>11383</v>
      </c>
      <c r="D4284" t="s">
        <v>1628</v>
      </c>
      <c r="E4284" t="s">
        <v>7889</v>
      </c>
      <c r="F4284" t="s">
        <v>3551</v>
      </c>
      <c r="G4284" t="s">
        <v>11384</v>
      </c>
      <c r="H4284">
        <v>9287382334</v>
      </c>
      <c r="K4284" t="s">
        <v>11385</v>
      </c>
      <c r="L4284" t="s">
        <v>8344</v>
      </c>
      <c r="M4284" t="s">
        <v>1634</v>
      </c>
    </row>
    <row r="4285" spans="1:13" x14ac:dyDescent="0.25">
      <c r="A4285">
        <v>4395</v>
      </c>
      <c r="B4285" t="s">
        <v>429</v>
      </c>
      <c r="C4285" t="s">
        <v>11383</v>
      </c>
      <c r="D4285" t="s">
        <v>1628</v>
      </c>
      <c r="E4285" t="s">
        <v>7889</v>
      </c>
      <c r="F4285" t="s">
        <v>1962</v>
      </c>
      <c r="G4285" t="s">
        <v>11386</v>
      </c>
      <c r="H4285">
        <v>9287382334</v>
      </c>
      <c r="I4285">
        <v>101</v>
      </c>
      <c r="K4285" t="s">
        <v>11387</v>
      </c>
      <c r="L4285" t="s">
        <v>2030</v>
      </c>
      <c r="M4285" t="s">
        <v>1634</v>
      </c>
    </row>
    <row r="4286" spans="1:13" x14ac:dyDescent="0.25">
      <c r="A4286">
        <v>4395</v>
      </c>
      <c r="B4286" t="s">
        <v>429</v>
      </c>
      <c r="C4286" t="s">
        <v>11383</v>
      </c>
      <c r="D4286" t="s">
        <v>1628</v>
      </c>
      <c r="E4286" t="s">
        <v>7889</v>
      </c>
      <c r="F4286" t="s">
        <v>2921</v>
      </c>
      <c r="G4286" t="s">
        <v>1716</v>
      </c>
      <c r="H4286">
        <v>9287382366</v>
      </c>
      <c r="K4286" t="s">
        <v>11388</v>
      </c>
      <c r="L4286" t="s">
        <v>2030</v>
      </c>
      <c r="M4286" t="s">
        <v>1634</v>
      </c>
    </row>
    <row r="4287" spans="1:13" x14ac:dyDescent="0.25">
      <c r="A4287">
        <v>4395</v>
      </c>
      <c r="B4287" t="s">
        <v>429</v>
      </c>
      <c r="C4287" t="s">
        <v>11383</v>
      </c>
      <c r="D4287" t="s">
        <v>1628</v>
      </c>
      <c r="E4287" t="s">
        <v>7889</v>
      </c>
      <c r="F4287" t="s">
        <v>3411</v>
      </c>
      <c r="G4287" t="s">
        <v>11389</v>
      </c>
      <c r="H4287">
        <v>9287382367</v>
      </c>
      <c r="I4287">
        <v>25</v>
      </c>
      <c r="K4287" t="s">
        <v>11390</v>
      </c>
      <c r="M4287" t="s">
        <v>1634</v>
      </c>
    </row>
    <row r="4288" spans="1:13" x14ac:dyDescent="0.25">
      <c r="A4288">
        <v>4395</v>
      </c>
      <c r="B4288" t="s">
        <v>429</v>
      </c>
      <c r="C4288" t="s">
        <v>11383</v>
      </c>
      <c r="D4288" t="s">
        <v>1628</v>
      </c>
      <c r="E4288" t="s">
        <v>7889</v>
      </c>
      <c r="F4288" t="s">
        <v>2642</v>
      </c>
      <c r="G4288" t="s">
        <v>1723</v>
      </c>
      <c r="H4288">
        <v>9287382367</v>
      </c>
      <c r="K4288" t="s">
        <v>11391</v>
      </c>
      <c r="L4288" t="s">
        <v>11392</v>
      </c>
      <c r="M4288" t="s">
        <v>1634</v>
      </c>
    </row>
    <row r="4289" spans="1:13" x14ac:dyDescent="0.25">
      <c r="A4289">
        <v>4395</v>
      </c>
      <c r="B4289" t="s">
        <v>429</v>
      </c>
      <c r="C4289" t="s">
        <v>11383</v>
      </c>
      <c r="D4289" t="s">
        <v>1628</v>
      </c>
      <c r="E4289" t="s">
        <v>7889</v>
      </c>
      <c r="F4289" t="s">
        <v>11393</v>
      </c>
      <c r="G4289" t="s">
        <v>1716</v>
      </c>
      <c r="H4289">
        <v>9287385677</v>
      </c>
      <c r="K4289" t="s">
        <v>11394</v>
      </c>
      <c r="L4289" t="s">
        <v>1668</v>
      </c>
      <c r="M4289" t="s">
        <v>1634</v>
      </c>
    </row>
    <row r="4290" spans="1:13" x14ac:dyDescent="0.25">
      <c r="A4290">
        <v>4395</v>
      </c>
      <c r="B4290" t="s">
        <v>429</v>
      </c>
      <c r="C4290" t="s">
        <v>11383</v>
      </c>
      <c r="D4290" t="s">
        <v>1628</v>
      </c>
      <c r="E4290" t="s">
        <v>7889</v>
      </c>
      <c r="F4290" t="s">
        <v>2079</v>
      </c>
      <c r="G4290" t="s">
        <v>11395</v>
      </c>
      <c r="H4290">
        <v>9287382366</v>
      </c>
      <c r="K4290" t="s">
        <v>11396</v>
      </c>
      <c r="L4290" t="s">
        <v>1640</v>
      </c>
      <c r="M4290" t="s">
        <v>1640</v>
      </c>
    </row>
    <row r="4291" spans="1:13" x14ac:dyDescent="0.25">
      <c r="A4291">
        <v>4395</v>
      </c>
      <c r="B4291" t="s">
        <v>429</v>
      </c>
      <c r="C4291" t="s">
        <v>11383</v>
      </c>
      <c r="D4291" t="s">
        <v>1628</v>
      </c>
      <c r="E4291" t="s">
        <v>7889</v>
      </c>
      <c r="F4291" t="s">
        <v>2642</v>
      </c>
      <c r="G4291" t="s">
        <v>1723</v>
      </c>
      <c r="H4291">
        <v>9287382367</v>
      </c>
      <c r="K4291" t="s">
        <v>11391</v>
      </c>
      <c r="L4291" t="s">
        <v>11392</v>
      </c>
      <c r="M4291" t="s">
        <v>1640</v>
      </c>
    </row>
    <row r="4292" spans="1:13" x14ac:dyDescent="0.25">
      <c r="A4292">
        <v>4395</v>
      </c>
      <c r="B4292" t="s">
        <v>429</v>
      </c>
      <c r="C4292" t="s">
        <v>11383</v>
      </c>
      <c r="D4292" t="s">
        <v>1628</v>
      </c>
      <c r="E4292" t="s">
        <v>7889</v>
      </c>
      <c r="F4292" t="s">
        <v>4581</v>
      </c>
      <c r="G4292" t="s">
        <v>11397</v>
      </c>
      <c r="H4292">
        <v>9286543251</v>
      </c>
      <c r="K4292" t="s">
        <v>11398</v>
      </c>
      <c r="L4292" t="s">
        <v>1765</v>
      </c>
      <c r="M4292" t="s">
        <v>1765</v>
      </c>
    </row>
    <row r="4293" spans="1:13" x14ac:dyDescent="0.25">
      <c r="A4293">
        <v>5638</v>
      </c>
      <c r="B4293" t="s">
        <v>430</v>
      </c>
      <c r="C4293" t="s">
        <v>11399</v>
      </c>
      <c r="D4293" t="s">
        <v>1643</v>
      </c>
      <c r="E4293" t="s">
        <v>7889</v>
      </c>
      <c r="F4293" t="s">
        <v>4495</v>
      </c>
      <c r="G4293" t="s">
        <v>3330</v>
      </c>
      <c r="K4293" t="s">
        <v>11400</v>
      </c>
      <c r="L4293" t="s">
        <v>1647</v>
      </c>
      <c r="M4293" t="s">
        <v>1634</v>
      </c>
    </row>
    <row r="4294" spans="1:13" x14ac:dyDescent="0.25">
      <c r="A4294">
        <v>5638</v>
      </c>
      <c r="B4294" t="s">
        <v>430</v>
      </c>
      <c r="C4294" t="s">
        <v>11399</v>
      </c>
      <c r="D4294" t="s">
        <v>1643</v>
      </c>
      <c r="E4294" t="s">
        <v>7889</v>
      </c>
      <c r="F4294" t="s">
        <v>11401</v>
      </c>
      <c r="G4294" t="s">
        <v>2846</v>
      </c>
      <c r="K4294" t="s">
        <v>11402</v>
      </c>
      <c r="M4294" t="s">
        <v>1634</v>
      </c>
    </row>
    <row r="4295" spans="1:13" x14ac:dyDescent="0.25">
      <c r="A4295">
        <v>5638</v>
      </c>
      <c r="B4295" t="s">
        <v>430</v>
      </c>
      <c r="C4295" t="s">
        <v>11399</v>
      </c>
      <c r="D4295" t="s">
        <v>1643</v>
      </c>
      <c r="E4295" t="s">
        <v>7889</v>
      </c>
      <c r="F4295" t="s">
        <v>2079</v>
      </c>
      <c r="G4295" t="s">
        <v>11395</v>
      </c>
      <c r="H4295">
        <v>9287382367</v>
      </c>
      <c r="K4295" t="s">
        <v>11396</v>
      </c>
      <c r="M4295" t="s">
        <v>1640</v>
      </c>
    </row>
    <row r="4296" spans="1:13" x14ac:dyDescent="0.25">
      <c r="A4296">
        <v>87518</v>
      </c>
      <c r="B4296" t="s">
        <v>11403</v>
      </c>
      <c r="C4296" t="s">
        <v>11404</v>
      </c>
      <c r="D4296" t="s">
        <v>1643</v>
      </c>
      <c r="E4296" t="s">
        <v>7889</v>
      </c>
      <c r="F4296" t="s">
        <v>4834</v>
      </c>
      <c r="G4296" t="s">
        <v>3380</v>
      </c>
      <c r="K4296" t="s">
        <v>11405</v>
      </c>
      <c r="L4296" t="s">
        <v>1647</v>
      </c>
      <c r="M4296" t="s">
        <v>1634</v>
      </c>
    </row>
    <row r="4297" spans="1:13" x14ac:dyDescent="0.25">
      <c r="A4297">
        <v>87518</v>
      </c>
      <c r="B4297" t="s">
        <v>11403</v>
      </c>
      <c r="C4297" t="s">
        <v>11404</v>
      </c>
      <c r="D4297" t="s">
        <v>1643</v>
      </c>
      <c r="E4297" t="s">
        <v>7889</v>
      </c>
      <c r="F4297" t="s">
        <v>1931</v>
      </c>
      <c r="G4297" t="s">
        <v>11406</v>
      </c>
      <c r="H4297">
        <v>9287382367</v>
      </c>
      <c r="J4297">
        <v>9287385275</v>
      </c>
      <c r="K4297" t="s">
        <v>11407</v>
      </c>
      <c r="L4297" t="s">
        <v>1640</v>
      </c>
      <c r="M4297" t="s">
        <v>1640</v>
      </c>
    </row>
    <row r="4298" spans="1:13" x14ac:dyDescent="0.25">
      <c r="A4298">
        <v>4396</v>
      </c>
      <c r="B4298" t="s">
        <v>421</v>
      </c>
      <c r="C4298" t="s">
        <v>11408</v>
      </c>
      <c r="D4298" t="s">
        <v>1628</v>
      </c>
      <c r="E4298" t="s">
        <v>7889</v>
      </c>
      <c r="F4298" t="s">
        <v>7040</v>
      </c>
      <c r="G4298" t="s">
        <v>11409</v>
      </c>
      <c r="H4298">
        <v>9286972203</v>
      </c>
      <c r="K4298" t="s">
        <v>11410</v>
      </c>
      <c r="L4298" t="s">
        <v>1647</v>
      </c>
      <c r="M4298" t="s">
        <v>1634</v>
      </c>
    </row>
    <row r="4299" spans="1:13" x14ac:dyDescent="0.25">
      <c r="A4299">
        <v>4396</v>
      </c>
      <c r="B4299" t="s">
        <v>421</v>
      </c>
      <c r="C4299" t="s">
        <v>11408</v>
      </c>
      <c r="D4299" t="s">
        <v>1628</v>
      </c>
      <c r="E4299" t="s">
        <v>7889</v>
      </c>
      <c r="F4299" t="s">
        <v>1860</v>
      </c>
      <c r="G4299" t="s">
        <v>1861</v>
      </c>
      <c r="H4299">
        <v>9286972005</v>
      </c>
      <c r="K4299" t="s">
        <v>11411</v>
      </c>
      <c r="M4299" t="s">
        <v>1640</v>
      </c>
    </row>
    <row r="4300" spans="1:13" x14ac:dyDescent="0.25">
      <c r="A4300">
        <v>4396</v>
      </c>
      <c r="B4300" t="s">
        <v>421</v>
      </c>
      <c r="C4300" t="s">
        <v>11408</v>
      </c>
      <c r="D4300" t="s">
        <v>1628</v>
      </c>
      <c r="E4300" t="s">
        <v>7889</v>
      </c>
      <c r="F4300" t="s">
        <v>11412</v>
      </c>
      <c r="G4300" t="s">
        <v>8471</v>
      </c>
      <c r="H4300">
        <v>6028810228</v>
      </c>
      <c r="K4300" t="s">
        <v>11413</v>
      </c>
      <c r="L4300" t="s">
        <v>8344</v>
      </c>
      <c r="M4300" t="s">
        <v>1640</v>
      </c>
    </row>
    <row r="4301" spans="1:13" x14ac:dyDescent="0.25">
      <c r="A4301">
        <v>4396</v>
      </c>
      <c r="B4301" t="s">
        <v>421</v>
      </c>
      <c r="C4301" t="s">
        <v>11408</v>
      </c>
      <c r="D4301" t="s">
        <v>1628</v>
      </c>
      <c r="E4301" t="s">
        <v>7889</v>
      </c>
      <c r="F4301" t="s">
        <v>1775</v>
      </c>
      <c r="G4301" t="s">
        <v>4259</v>
      </c>
      <c r="H4301">
        <v>9286972005</v>
      </c>
      <c r="K4301" t="s">
        <v>11414</v>
      </c>
      <c r="L4301" t="s">
        <v>1640</v>
      </c>
      <c r="M4301" t="s">
        <v>1640</v>
      </c>
    </row>
    <row r="4302" spans="1:13" x14ac:dyDescent="0.25">
      <c r="A4302">
        <v>4396</v>
      </c>
      <c r="B4302" t="s">
        <v>421</v>
      </c>
      <c r="C4302" t="s">
        <v>11408</v>
      </c>
      <c r="D4302" t="s">
        <v>1628</v>
      </c>
      <c r="E4302" t="s">
        <v>7889</v>
      </c>
      <c r="F4302" t="s">
        <v>2443</v>
      </c>
      <c r="G4302" t="s">
        <v>11415</v>
      </c>
      <c r="J4302">
        <v>9286972195</v>
      </c>
      <c r="K4302" t="s">
        <v>11416</v>
      </c>
      <c r="M4302" t="s">
        <v>1765</v>
      </c>
    </row>
    <row r="4303" spans="1:13" x14ac:dyDescent="0.25">
      <c r="A4303">
        <v>5641</v>
      </c>
      <c r="B4303" t="s">
        <v>1540</v>
      </c>
      <c r="C4303" t="s">
        <v>11417</v>
      </c>
      <c r="D4303" t="s">
        <v>1643</v>
      </c>
      <c r="E4303" t="s">
        <v>7889</v>
      </c>
      <c r="F4303" t="s">
        <v>1707</v>
      </c>
      <c r="G4303" t="s">
        <v>11418</v>
      </c>
      <c r="K4303" t="s">
        <v>11419</v>
      </c>
      <c r="L4303" t="s">
        <v>1647</v>
      </c>
      <c r="M4303" t="s">
        <v>1634</v>
      </c>
    </row>
    <row r="4304" spans="1:13" x14ac:dyDescent="0.25">
      <c r="A4304">
        <v>5641</v>
      </c>
      <c r="B4304" t="s">
        <v>1540</v>
      </c>
      <c r="C4304" t="s">
        <v>11417</v>
      </c>
      <c r="D4304" t="s">
        <v>1643</v>
      </c>
      <c r="E4304" t="s">
        <v>7889</v>
      </c>
      <c r="F4304" t="s">
        <v>5734</v>
      </c>
      <c r="G4304" t="s">
        <v>11420</v>
      </c>
      <c r="H4304">
        <v>9286972315</v>
      </c>
      <c r="K4304" t="s">
        <v>11421</v>
      </c>
      <c r="L4304" t="s">
        <v>2180</v>
      </c>
      <c r="M4304" t="s">
        <v>1634</v>
      </c>
    </row>
    <row r="4305" spans="1:13" x14ac:dyDescent="0.25">
      <c r="A4305">
        <v>5642</v>
      </c>
      <c r="B4305" t="s">
        <v>422</v>
      </c>
      <c r="C4305" t="s">
        <v>11422</v>
      </c>
      <c r="D4305" t="s">
        <v>1643</v>
      </c>
      <c r="E4305" t="s">
        <v>7889</v>
      </c>
      <c r="F4305" t="s">
        <v>6128</v>
      </c>
      <c r="G4305" t="s">
        <v>11062</v>
      </c>
      <c r="K4305" t="s">
        <v>11423</v>
      </c>
      <c r="L4305" t="s">
        <v>1647</v>
      </c>
      <c r="M4305" t="s">
        <v>1634</v>
      </c>
    </row>
    <row r="4306" spans="1:13" x14ac:dyDescent="0.25">
      <c r="A4306">
        <v>5642</v>
      </c>
      <c r="B4306" t="s">
        <v>422</v>
      </c>
      <c r="C4306" t="s">
        <v>11422</v>
      </c>
      <c r="D4306" t="s">
        <v>1643</v>
      </c>
      <c r="E4306" t="s">
        <v>7889</v>
      </c>
      <c r="F4306" t="s">
        <v>2729</v>
      </c>
      <c r="G4306" t="s">
        <v>11424</v>
      </c>
      <c r="K4306" t="s">
        <v>11425</v>
      </c>
      <c r="M4306" t="s">
        <v>1634</v>
      </c>
    </row>
    <row r="4307" spans="1:13" x14ac:dyDescent="0.25">
      <c r="A4307">
        <v>5642</v>
      </c>
      <c r="B4307" t="s">
        <v>422</v>
      </c>
      <c r="C4307" t="s">
        <v>11422</v>
      </c>
      <c r="D4307" t="s">
        <v>1643</v>
      </c>
      <c r="E4307" t="s">
        <v>7889</v>
      </c>
      <c r="F4307" t="s">
        <v>5734</v>
      </c>
      <c r="G4307" t="s">
        <v>11420</v>
      </c>
      <c r="H4307">
        <v>9286972315</v>
      </c>
      <c r="K4307" t="s">
        <v>11421</v>
      </c>
      <c r="M4307" t="s">
        <v>1634</v>
      </c>
    </row>
    <row r="4308" spans="1:13" x14ac:dyDescent="0.25">
      <c r="A4308">
        <v>5642</v>
      </c>
      <c r="B4308" t="s">
        <v>422</v>
      </c>
      <c r="C4308" t="s">
        <v>11422</v>
      </c>
      <c r="D4308" t="s">
        <v>1643</v>
      </c>
      <c r="E4308" t="s">
        <v>7889</v>
      </c>
      <c r="F4308" t="s">
        <v>1955</v>
      </c>
      <c r="G4308" t="s">
        <v>4078</v>
      </c>
      <c r="L4308" t="s">
        <v>1647</v>
      </c>
      <c r="M4308" t="s">
        <v>1634</v>
      </c>
    </row>
    <row r="4309" spans="1:13" x14ac:dyDescent="0.25">
      <c r="A4309">
        <v>5644</v>
      </c>
      <c r="B4309" t="s">
        <v>889</v>
      </c>
      <c r="C4309" t="s">
        <v>11426</v>
      </c>
      <c r="D4309" t="s">
        <v>1643</v>
      </c>
      <c r="E4309" t="s">
        <v>7889</v>
      </c>
      <c r="F4309" t="s">
        <v>7040</v>
      </c>
      <c r="G4309" t="s">
        <v>11409</v>
      </c>
      <c r="H4309">
        <v>9286972173</v>
      </c>
      <c r="K4309" t="s">
        <v>11427</v>
      </c>
      <c r="L4309" t="s">
        <v>1647</v>
      </c>
      <c r="M4309" t="s">
        <v>1634</v>
      </c>
    </row>
    <row r="4310" spans="1:13" x14ac:dyDescent="0.25">
      <c r="A4310">
        <v>4397</v>
      </c>
      <c r="B4310" t="s">
        <v>11428</v>
      </c>
      <c r="C4310" t="s">
        <v>11429</v>
      </c>
      <c r="D4310" t="s">
        <v>1628</v>
      </c>
      <c r="E4310" t="s">
        <v>7889</v>
      </c>
      <c r="F4310" t="s">
        <v>2053</v>
      </c>
      <c r="G4310" t="s">
        <v>11376</v>
      </c>
      <c r="H4310">
        <v>9283686126</v>
      </c>
      <c r="I4310">
        <v>1101</v>
      </c>
      <c r="J4310">
        <v>9283685570</v>
      </c>
      <c r="K4310" t="s">
        <v>11377</v>
      </c>
      <c r="L4310" t="s">
        <v>2707</v>
      </c>
      <c r="M4310" t="s">
        <v>1634</v>
      </c>
    </row>
    <row r="4311" spans="1:13" x14ac:dyDescent="0.25">
      <c r="A4311">
        <v>4397</v>
      </c>
      <c r="B4311" t="s">
        <v>11428</v>
      </c>
      <c r="C4311" t="s">
        <v>11429</v>
      </c>
      <c r="D4311" t="s">
        <v>1628</v>
      </c>
      <c r="E4311" t="s">
        <v>7889</v>
      </c>
      <c r="F4311" t="s">
        <v>2222</v>
      </c>
      <c r="G4311" t="s">
        <v>2846</v>
      </c>
      <c r="H4311">
        <v>9283686126</v>
      </c>
      <c r="K4311" t="s">
        <v>11381</v>
      </c>
      <c r="M4311" t="s">
        <v>1634</v>
      </c>
    </row>
    <row r="4312" spans="1:13" x14ac:dyDescent="0.25">
      <c r="A4312">
        <v>4397</v>
      </c>
      <c r="B4312" t="s">
        <v>11428</v>
      </c>
      <c r="C4312" t="s">
        <v>11429</v>
      </c>
      <c r="D4312" t="s">
        <v>1628</v>
      </c>
      <c r="E4312" t="s">
        <v>7889</v>
      </c>
      <c r="F4312" t="s">
        <v>1775</v>
      </c>
      <c r="G4312" t="s">
        <v>2846</v>
      </c>
      <c r="H4312">
        <v>9283686126</v>
      </c>
      <c r="J4312">
        <v>9283685570</v>
      </c>
      <c r="K4312" t="s">
        <v>11381</v>
      </c>
      <c r="L4312" t="s">
        <v>1668</v>
      </c>
      <c r="M4312" t="s">
        <v>1634</v>
      </c>
    </row>
    <row r="4313" spans="1:13" x14ac:dyDescent="0.25">
      <c r="A4313">
        <v>4397</v>
      </c>
      <c r="B4313" t="s">
        <v>11428</v>
      </c>
      <c r="C4313" t="s">
        <v>11429</v>
      </c>
      <c r="D4313" t="s">
        <v>1628</v>
      </c>
      <c r="E4313" t="s">
        <v>7889</v>
      </c>
      <c r="F4313" t="s">
        <v>5788</v>
      </c>
      <c r="G4313" t="s">
        <v>11430</v>
      </c>
      <c r="H4313">
        <v>9283686126</v>
      </c>
      <c r="K4313" t="s">
        <v>11431</v>
      </c>
      <c r="L4313" t="s">
        <v>11432</v>
      </c>
      <c r="M4313" t="s">
        <v>1634</v>
      </c>
    </row>
    <row r="4314" spans="1:13" x14ac:dyDescent="0.25">
      <c r="A4314">
        <v>4397</v>
      </c>
      <c r="B4314" t="s">
        <v>11428</v>
      </c>
      <c r="C4314" t="s">
        <v>11429</v>
      </c>
      <c r="D4314" t="s">
        <v>1628</v>
      </c>
      <c r="E4314" t="s">
        <v>7889</v>
      </c>
      <c r="F4314" t="s">
        <v>2348</v>
      </c>
      <c r="G4314" t="s">
        <v>2826</v>
      </c>
      <c r="H4314">
        <v>9283686126</v>
      </c>
      <c r="K4314" t="s">
        <v>11382</v>
      </c>
      <c r="L4314" t="s">
        <v>1640</v>
      </c>
      <c r="M4314" t="s">
        <v>1640</v>
      </c>
    </row>
    <row r="4315" spans="1:13" x14ac:dyDescent="0.25">
      <c r="A4315">
        <v>4397</v>
      </c>
      <c r="B4315" t="s">
        <v>11428</v>
      </c>
      <c r="C4315" t="s">
        <v>11429</v>
      </c>
      <c r="D4315" t="s">
        <v>1628</v>
      </c>
      <c r="E4315" t="s">
        <v>7889</v>
      </c>
      <c r="F4315" t="s">
        <v>2499</v>
      </c>
      <c r="G4315" t="s">
        <v>11433</v>
      </c>
      <c r="H4315">
        <v>9283686126</v>
      </c>
      <c r="I4315">
        <v>1108</v>
      </c>
      <c r="K4315" t="s">
        <v>11434</v>
      </c>
      <c r="L4315" t="s">
        <v>11435</v>
      </c>
      <c r="M4315" t="s">
        <v>1640</v>
      </c>
    </row>
    <row r="4316" spans="1:13" x14ac:dyDescent="0.25">
      <c r="A4316">
        <v>4397</v>
      </c>
      <c r="B4316" t="s">
        <v>11428</v>
      </c>
      <c r="C4316" t="s">
        <v>11429</v>
      </c>
      <c r="D4316" t="s">
        <v>1628</v>
      </c>
      <c r="E4316" t="s">
        <v>7889</v>
      </c>
      <c r="F4316" t="s">
        <v>5788</v>
      </c>
      <c r="G4316" t="s">
        <v>11430</v>
      </c>
      <c r="H4316">
        <v>9283686126</v>
      </c>
      <c r="K4316" t="s">
        <v>11431</v>
      </c>
      <c r="L4316" t="s">
        <v>11432</v>
      </c>
      <c r="M4316" t="s">
        <v>1640</v>
      </c>
    </row>
    <row r="4317" spans="1:13" x14ac:dyDescent="0.25">
      <c r="A4317">
        <v>4397</v>
      </c>
      <c r="B4317" t="s">
        <v>11428</v>
      </c>
      <c r="C4317" t="s">
        <v>11429</v>
      </c>
      <c r="D4317" t="s">
        <v>1628</v>
      </c>
      <c r="E4317" t="s">
        <v>7889</v>
      </c>
      <c r="F4317" t="s">
        <v>4607</v>
      </c>
      <c r="G4317" t="s">
        <v>11436</v>
      </c>
      <c r="H4317">
        <v>9283686126</v>
      </c>
      <c r="K4317" t="s">
        <v>11437</v>
      </c>
      <c r="L4317" t="s">
        <v>11438</v>
      </c>
      <c r="M4317" t="s">
        <v>1765</v>
      </c>
    </row>
    <row r="4318" spans="1:13" x14ac:dyDescent="0.25">
      <c r="A4318">
        <v>5645</v>
      </c>
      <c r="B4318" t="s">
        <v>11439</v>
      </c>
      <c r="C4318" t="s">
        <v>11440</v>
      </c>
      <c r="D4318" t="s">
        <v>1643</v>
      </c>
      <c r="E4318" t="s">
        <v>7889</v>
      </c>
      <c r="F4318" t="s">
        <v>11441</v>
      </c>
      <c r="G4318" t="s">
        <v>11442</v>
      </c>
      <c r="H4318">
        <v>9283686182</v>
      </c>
      <c r="J4318">
        <v>9283686183</v>
      </c>
      <c r="K4318" t="s">
        <v>11443</v>
      </c>
      <c r="M4318" t="s">
        <v>1634</v>
      </c>
    </row>
    <row r="4319" spans="1:13" x14ac:dyDescent="0.25">
      <c r="A4319">
        <v>5645</v>
      </c>
      <c r="B4319" t="s">
        <v>11439</v>
      </c>
      <c r="C4319" t="s">
        <v>11440</v>
      </c>
      <c r="D4319" t="s">
        <v>1643</v>
      </c>
      <c r="E4319" t="s">
        <v>7889</v>
      </c>
      <c r="F4319" t="s">
        <v>5962</v>
      </c>
      <c r="G4319" t="s">
        <v>5439</v>
      </c>
      <c r="H4319">
        <v>9283686126</v>
      </c>
      <c r="K4319" t="s">
        <v>11444</v>
      </c>
      <c r="L4319" t="s">
        <v>1647</v>
      </c>
      <c r="M4319" t="s">
        <v>1634</v>
      </c>
    </row>
    <row r="4320" spans="1:13" x14ac:dyDescent="0.25">
      <c r="A4320">
        <v>5645</v>
      </c>
      <c r="B4320" t="s">
        <v>11439</v>
      </c>
      <c r="C4320" t="s">
        <v>11440</v>
      </c>
      <c r="D4320" t="s">
        <v>1643</v>
      </c>
      <c r="E4320" t="s">
        <v>7889</v>
      </c>
      <c r="F4320" t="s">
        <v>5079</v>
      </c>
      <c r="G4320" t="s">
        <v>3341</v>
      </c>
      <c r="L4320" t="s">
        <v>1721</v>
      </c>
      <c r="M4320" t="s">
        <v>1634</v>
      </c>
    </row>
    <row r="4321" spans="1:13" x14ac:dyDescent="0.25">
      <c r="A4321">
        <v>5647</v>
      </c>
      <c r="B4321" t="s">
        <v>11445</v>
      </c>
      <c r="C4321" t="s">
        <v>11446</v>
      </c>
      <c r="D4321" t="s">
        <v>1643</v>
      </c>
      <c r="E4321" t="s">
        <v>7889</v>
      </c>
      <c r="F4321" t="s">
        <v>3870</v>
      </c>
      <c r="G4321" t="s">
        <v>11447</v>
      </c>
      <c r="H4321">
        <v>9283686377</v>
      </c>
      <c r="J4321">
        <v>9283686378</v>
      </c>
      <c r="K4321" t="s">
        <v>11448</v>
      </c>
      <c r="M4321" t="s">
        <v>1634</v>
      </c>
    </row>
    <row r="4322" spans="1:13" x14ac:dyDescent="0.25">
      <c r="A4322">
        <v>5647</v>
      </c>
      <c r="B4322" t="s">
        <v>11445</v>
      </c>
      <c r="C4322" t="s">
        <v>11446</v>
      </c>
      <c r="D4322" t="s">
        <v>1643</v>
      </c>
      <c r="E4322" t="s">
        <v>7889</v>
      </c>
      <c r="F4322" t="s">
        <v>11449</v>
      </c>
      <c r="G4322" t="s">
        <v>2425</v>
      </c>
      <c r="J4322">
        <v>9283685570</v>
      </c>
      <c r="K4322" t="s">
        <v>11450</v>
      </c>
      <c r="L4322" t="s">
        <v>1647</v>
      </c>
      <c r="M4322" t="s">
        <v>1634</v>
      </c>
    </row>
    <row r="4323" spans="1:13" x14ac:dyDescent="0.25">
      <c r="A4323">
        <v>456092</v>
      </c>
      <c r="B4323" t="s">
        <v>11451</v>
      </c>
      <c r="C4323" t="s">
        <v>11452</v>
      </c>
      <c r="D4323" t="s">
        <v>1643</v>
      </c>
      <c r="E4323" t="s">
        <v>7889</v>
      </c>
      <c r="F4323" t="s">
        <v>2348</v>
      </c>
      <c r="G4323" t="s">
        <v>2826</v>
      </c>
      <c r="H4323">
        <v>9283686126</v>
      </c>
      <c r="K4323" t="s">
        <v>11453</v>
      </c>
      <c r="L4323" t="s">
        <v>11454</v>
      </c>
      <c r="M4323" t="s">
        <v>1634</v>
      </c>
    </row>
    <row r="4324" spans="1:13" x14ac:dyDescent="0.25">
      <c r="A4324">
        <v>456092</v>
      </c>
      <c r="B4324" t="s">
        <v>11451</v>
      </c>
      <c r="C4324" t="s">
        <v>11452</v>
      </c>
      <c r="D4324" t="s">
        <v>1643</v>
      </c>
      <c r="E4324" t="s">
        <v>7889</v>
      </c>
      <c r="F4324" t="s">
        <v>2348</v>
      </c>
      <c r="G4324" t="s">
        <v>2826</v>
      </c>
      <c r="H4324">
        <v>9283686126</v>
      </c>
      <c r="K4324" t="s">
        <v>11453</v>
      </c>
      <c r="L4324" t="s">
        <v>11454</v>
      </c>
      <c r="M4324" t="s">
        <v>1640</v>
      </c>
    </row>
    <row r="4325" spans="1:13" x14ac:dyDescent="0.25">
      <c r="A4325">
        <v>5648</v>
      </c>
      <c r="B4325" t="s">
        <v>11455</v>
      </c>
      <c r="C4325" t="s">
        <v>11456</v>
      </c>
      <c r="D4325" t="s">
        <v>1643</v>
      </c>
      <c r="E4325" t="s">
        <v>7889</v>
      </c>
      <c r="F4325" t="s">
        <v>5079</v>
      </c>
      <c r="G4325" t="s">
        <v>3341</v>
      </c>
      <c r="K4325" t="s">
        <v>11457</v>
      </c>
      <c r="L4325" t="s">
        <v>11458</v>
      </c>
      <c r="M4325" t="s">
        <v>1634</v>
      </c>
    </row>
    <row r="4326" spans="1:13" x14ac:dyDescent="0.25">
      <c r="A4326">
        <v>5648</v>
      </c>
      <c r="B4326" t="s">
        <v>11455</v>
      </c>
      <c r="C4326" t="s">
        <v>11456</v>
      </c>
      <c r="D4326" t="s">
        <v>1643</v>
      </c>
      <c r="E4326" t="s">
        <v>7889</v>
      </c>
      <c r="F4326" t="s">
        <v>3870</v>
      </c>
      <c r="G4326" t="s">
        <v>11459</v>
      </c>
      <c r="M4326" t="s">
        <v>1634</v>
      </c>
    </row>
    <row r="4327" spans="1:13" x14ac:dyDescent="0.25">
      <c r="A4327">
        <v>5648</v>
      </c>
      <c r="B4327" t="s">
        <v>11455</v>
      </c>
      <c r="C4327" t="s">
        <v>11456</v>
      </c>
      <c r="D4327" t="s">
        <v>1643</v>
      </c>
      <c r="E4327" t="s">
        <v>7889</v>
      </c>
      <c r="F4327" t="s">
        <v>3003</v>
      </c>
      <c r="G4327" t="s">
        <v>2270</v>
      </c>
      <c r="K4327" t="s">
        <v>11460</v>
      </c>
      <c r="L4327" t="s">
        <v>1647</v>
      </c>
      <c r="M4327" t="s">
        <v>1634</v>
      </c>
    </row>
    <row r="4328" spans="1:13" x14ac:dyDescent="0.25">
      <c r="A4328">
        <v>78786</v>
      </c>
      <c r="B4328" t="s">
        <v>11461</v>
      </c>
      <c r="C4328" t="s">
        <v>11462</v>
      </c>
      <c r="D4328" t="s">
        <v>1628</v>
      </c>
      <c r="E4328" t="s">
        <v>7889</v>
      </c>
      <c r="F4328" t="s">
        <v>2835</v>
      </c>
      <c r="G4328" t="s">
        <v>11463</v>
      </c>
      <c r="H4328">
        <v>9285366232</v>
      </c>
      <c r="K4328" t="s">
        <v>11464</v>
      </c>
      <c r="L4328" t="s">
        <v>1668</v>
      </c>
      <c r="M4328" t="s">
        <v>1634</v>
      </c>
    </row>
    <row r="4329" spans="1:13" x14ac:dyDescent="0.25">
      <c r="A4329">
        <v>78786</v>
      </c>
      <c r="B4329" t="s">
        <v>11461</v>
      </c>
      <c r="C4329" t="s">
        <v>11462</v>
      </c>
      <c r="D4329" t="s">
        <v>1628</v>
      </c>
      <c r="E4329" t="s">
        <v>7889</v>
      </c>
      <c r="F4329" t="s">
        <v>10928</v>
      </c>
      <c r="G4329" t="s">
        <v>9770</v>
      </c>
      <c r="J4329">
        <v>9285367287</v>
      </c>
      <c r="K4329" t="s">
        <v>11465</v>
      </c>
      <c r="L4329" t="s">
        <v>1640</v>
      </c>
      <c r="M4329" t="s">
        <v>1640</v>
      </c>
    </row>
    <row r="4330" spans="1:13" x14ac:dyDescent="0.25">
      <c r="A4330">
        <v>78958</v>
      </c>
      <c r="B4330" t="s">
        <v>11466</v>
      </c>
      <c r="C4330" t="s">
        <v>11467</v>
      </c>
      <c r="D4330" t="s">
        <v>1643</v>
      </c>
      <c r="E4330" t="s">
        <v>7889</v>
      </c>
    </row>
    <row r="4331" spans="1:13" x14ac:dyDescent="0.25">
      <c r="A4331">
        <v>78959</v>
      </c>
      <c r="B4331" t="s">
        <v>11468</v>
      </c>
      <c r="C4331" t="s">
        <v>11469</v>
      </c>
      <c r="D4331" t="s">
        <v>1643</v>
      </c>
      <c r="E4331" t="s">
        <v>7889</v>
      </c>
    </row>
    <row r="4332" spans="1:13" x14ac:dyDescent="0.25">
      <c r="A4332">
        <v>78956</v>
      </c>
      <c r="B4332" t="s">
        <v>11470</v>
      </c>
      <c r="C4332" t="s">
        <v>11471</v>
      </c>
      <c r="D4332" t="s">
        <v>1643</v>
      </c>
      <c r="E4332" t="s">
        <v>7889</v>
      </c>
    </row>
    <row r="4333" spans="1:13" x14ac:dyDescent="0.25">
      <c r="A4333">
        <v>78957</v>
      </c>
      <c r="B4333" t="s">
        <v>11472</v>
      </c>
      <c r="C4333" t="s">
        <v>11473</v>
      </c>
      <c r="D4333" t="s">
        <v>1643</v>
      </c>
      <c r="E4333" t="s">
        <v>7889</v>
      </c>
      <c r="F4333" t="s">
        <v>11474</v>
      </c>
      <c r="G4333" t="s">
        <v>11475</v>
      </c>
      <c r="H4333">
        <v>9285326118</v>
      </c>
      <c r="J4333">
        <v>9285326112</v>
      </c>
      <c r="M4333" t="s">
        <v>1634</v>
      </c>
    </row>
    <row r="4334" spans="1:13" x14ac:dyDescent="0.25">
      <c r="A4334">
        <v>78960</v>
      </c>
      <c r="B4334" t="s">
        <v>11476</v>
      </c>
      <c r="C4334" t="s">
        <v>11477</v>
      </c>
      <c r="D4334" t="s">
        <v>1643</v>
      </c>
      <c r="E4334" t="s">
        <v>7889</v>
      </c>
    </row>
    <row r="4335" spans="1:13" x14ac:dyDescent="0.25">
      <c r="A4335">
        <v>79319</v>
      </c>
      <c r="B4335" t="s">
        <v>11478</v>
      </c>
      <c r="C4335" t="s">
        <v>11479</v>
      </c>
      <c r="D4335" t="s">
        <v>1643</v>
      </c>
      <c r="E4335" t="s">
        <v>7889</v>
      </c>
      <c r="F4335" t="s">
        <v>2053</v>
      </c>
      <c r="G4335" t="s">
        <v>2581</v>
      </c>
      <c r="H4335">
        <v>9285366232</v>
      </c>
      <c r="J4335">
        <v>9285367287</v>
      </c>
      <c r="K4335" t="s">
        <v>11480</v>
      </c>
      <c r="L4335" t="s">
        <v>1640</v>
      </c>
      <c r="M4335" t="s">
        <v>1634</v>
      </c>
    </row>
    <row r="4336" spans="1:13" x14ac:dyDescent="0.25">
      <c r="A4336">
        <v>79688</v>
      </c>
      <c r="B4336" t="s">
        <v>11481</v>
      </c>
      <c r="C4336" t="s">
        <v>11482</v>
      </c>
      <c r="D4336" t="s">
        <v>1643</v>
      </c>
      <c r="E4336" t="s">
        <v>7889</v>
      </c>
      <c r="F4336" t="s">
        <v>11483</v>
      </c>
      <c r="G4336" t="s">
        <v>1748</v>
      </c>
      <c r="H4336">
        <v>9285326118</v>
      </c>
      <c r="J4336">
        <v>9285376415</v>
      </c>
      <c r="L4336" t="s">
        <v>1647</v>
      </c>
      <c r="M4336" t="s">
        <v>1634</v>
      </c>
    </row>
    <row r="4337" spans="1:13" x14ac:dyDescent="0.25">
      <c r="A4337">
        <v>80060</v>
      </c>
      <c r="B4337" t="s">
        <v>11484</v>
      </c>
      <c r="C4337" t="s">
        <v>11485</v>
      </c>
      <c r="D4337" t="s">
        <v>1643</v>
      </c>
      <c r="E4337" t="s">
        <v>7889</v>
      </c>
      <c r="F4337" t="s">
        <v>1938</v>
      </c>
      <c r="G4337" t="s">
        <v>11486</v>
      </c>
      <c r="M4337" t="s">
        <v>1634</v>
      </c>
    </row>
    <row r="4338" spans="1:13" x14ac:dyDescent="0.25">
      <c r="A4338">
        <v>80061</v>
      </c>
      <c r="B4338" t="s">
        <v>11487</v>
      </c>
      <c r="C4338" t="s">
        <v>11488</v>
      </c>
      <c r="D4338" t="s">
        <v>1643</v>
      </c>
      <c r="E4338" t="s">
        <v>7889</v>
      </c>
      <c r="F4338" t="s">
        <v>2053</v>
      </c>
      <c r="G4338" t="s">
        <v>2581</v>
      </c>
      <c r="H4338">
        <v>9285366232</v>
      </c>
      <c r="J4338">
        <v>9285367287</v>
      </c>
      <c r="K4338" t="s">
        <v>11480</v>
      </c>
      <c r="L4338" t="s">
        <v>1640</v>
      </c>
      <c r="M4338" t="s">
        <v>1634</v>
      </c>
    </row>
    <row r="4339" spans="1:13" x14ac:dyDescent="0.25">
      <c r="A4339">
        <v>80062</v>
      </c>
      <c r="B4339" t="s">
        <v>11489</v>
      </c>
      <c r="C4339" t="s">
        <v>11490</v>
      </c>
      <c r="D4339" t="s">
        <v>1643</v>
      </c>
      <c r="E4339" t="s">
        <v>7889</v>
      </c>
      <c r="F4339" t="s">
        <v>2053</v>
      </c>
      <c r="G4339" t="s">
        <v>2581</v>
      </c>
      <c r="H4339">
        <v>9285366232</v>
      </c>
      <c r="J4339">
        <v>9285367287</v>
      </c>
      <c r="K4339" t="s">
        <v>11480</v>
      </c>
      <c r="L4339" t="s">
        <v>1640</v>
      </c>
      <c r="M4339" t="s">
        <v>1634</v>
      </c>
    </row>
    <row r="4340" spans="1:13" x14ac:dyDescent="0.25">
      <c r="A4340">
        <v>81201</v>
      </c>
      <c r="B4340" t="s">
        <v>11491</v>
      </c>
      <c r="C4340" t="s">
        <v>11492</v>
      </c>
      <c r="D4340" t="s">
        <v>1643</v>
      </c>
      <c r="E4340" t="s">
        <v>7889</v>
      </c>
    </row>
    <row r="4341" spans="1:13" x14ac:dyDescent="0.25">
      <c r="A4341">
        <v>1000198</v>
      </c>
      <c r="B4341" t="s">
        <v>11493</v>
      </c>
      <c r="C4341" t="s">
        <v>11494</v>
      </c>
      <c r="D4341" t="s">
        <v>1643</v>
      </c>
      <c r="E4341" t="s">
        <v>7889</v>
      </c>
    </row>
    <row r="4342" spans="1:13" x14ac:dyDescent="0.25">
      <c r="A4342">
        <v>1000205</v>
      </c>
      <c r="B4342" t="s">
        <v>11495</v>
      </c>
      <c r="C4342" t="s">
        <v>11496</v>
      </c>
      <c r="D4342" t="s">
        <v>1643</v>
      </c>
      <c r="E4342" t="s">
        <v>7889</v>
      </c>
    </row>
    <row r="4343" spans="1:13" x14ac:dyDescent="0.25">
      <c r="A4343">
        <v>1000199</v>
      </c>
      <c r="B4343" t="s">
        <v>11497</v>
      </c>
      <c r="C4343" t="s">
        <v>11498</v>
      </c>
      <c r="D4343" t="s">
        <v>1643</v>
      </c>
      <c r="E4343" t="s">
        <v>7889</v>
      </c>
    </row>
    <row r="4344" spans="1:13" x14ac:dyDescent="0.25">
      <c r="A4344">
        <v>1000201</v>
      </c>
      <c r="B4344" t="s">
        <v>11499</v>
      </c>
      <c r="C4344" t="s">
        <v>11500</v>
      </c>
      <c r="D4344" t="s">
        <v>1643</v>
      </c>
      <c r="E4344" t="s">
        <v>7889</v>
      </c>
    </row>
    <row r="4345" spans="1:13" x14ac:dyDescent="0.25">
      <c r="A4345">
        <v>1000200</v>
      </c>
      <c r="B4345" t="s">
        <v>11501</v>
      </c>
      <c r="C4345" t="s">
        <v>11502</v>
      </c>
      <c r="D4345" t="s">
        <v>1643</v>
      </c>
      <c r="E4345" t="s">
        <v>7889</v>
      </c>
    </row>
    <row r="4346" spans="1:13" x14ac:dyDescent="0.25">
      <c r="A4346">
        <v>1000202</v>
      </c>
      <c r="B4346" t="s">
        <v>11503</v>
      </c>
      <c r="C4346" t="s">
        <v>11504</v>
      </c>
      <c r="D4346" t="s">
        <v>1643</v>
      </c>
      <c r="E4346" t="s">
        <v>7889</v>
      </c>
    </row>
    <row r="4347" spans="1:13" x14ac:dyDescent="0.25">
      <c r="A4347">
        <v>1000207</v>
      </c>
      <c r="B4347" t="s">
        <v>11505</v>
      </c>
      <c r="C4347" t="s">
        <v>11506</v>
      </c>
      <c r="D4347" t="s">
        <v>1643</v>
      </c>
      <c r="E4347" t="s">
        <v>7889</v>
      </c>
    </row>
    <row r="4348" spans="1:13" x14ac:dyDescent="0.25">
      <c r="A4348">
        <v>81202</v>
      </c>
      <c r="B4348" t="s">
        <v>11507</v>
      </c>
      <c r="C4348" t="s">
        <v>11508</v>
      </c>
      <c r="D4348" t="s">
        <v>1643</v>
      </c>
      <c r="E4348" t="s">
        <v>7889</v>
      </c>
    </row>
    <row r="4349" spans="1:13" x14ac:dyDescent="0.25">
      <c r="A4349">
        <v>81114</v>
      </c>
      <c r="B4349" t="s">
        <v>11509</v>
      </c>
      <c r="C4349" t="s">
        <v>11510</v>
      </c>
      <c r="D4349" t="s">
        <v>1628</v>
      </c>
      <c r="E4349" t="s">
        <v>7889</v>
      </c>
      <c r="F4349" t="s">
        <v>11511</v>
      </c>
      <c r="G4349" t="s">
        <v>1693</v>
      </c>
      <c r="J4349">
        <v>9286972502</v>
      </c>
      <c r="K4349" t="s">
        <v>11512</v>
      </c>
      <c r="L4349" t="s">
        <v>2030</v>
      </c>
      <c r="M4349" t="s">
        <v>1634</v>
      </c>
    </row>
    <row r="4350" spans="1:13" x14ac:dyDescent="0.25">
      <c r="A4350">
        <v>81114</v>
      </c>
      <c r="B4350" t="s">
        <v>11509</v>
      </c>
      <c r="C4350" t="s">
        <v>11510</v>
      </c>
      <c r="D4350" t="s">
        <v>1628</v>
      </c>
      <c r="E4350" t="s">
        <v>7889</v>
      </c>
      <c r="F4350" t="s">
        <v>1938</v>
      </c>
      <c r="G4350" t="s">
        <v>11513</v>
      </c>
      <c r="H4350">
        <v>9283374920</v>
      </c>
      <c r="K4350" t="s">
        <v>11514</v>
      </c>
      <c r="L4350" t="s">
        <v>8594</v>
      </c>
      <c r="M4350" t="s">
        <v>1640</v>
      </c>
    </row>
    <row r="4351" spans="1:13" x14ac:dyDescent="0.25">
      <c r="A4351">
        <v>81114</v>
      </c>
      <c r="B4351" t="s">
        <v>11509</v>
      </c>
      <c r="C4351" t="s">
        <v>11510</v>
      </c>
      <c r="D4351" t="s">
        <v>1628</v>
      </c>
      <c r="E4351" t="s">
        <v>7889</v>
      </c>
      <c r="F4351" t="s">
        <v>11515</v>
      </c>
      <c r="G4351" t="s">
        <v>1716</v>
      </c>
      <c r="J4351">
        <v>9286972502</v>
      </c>
      <c r="K4351" t="s">
        <v>11516</v>
      </c>
      <c r="L4351" t="s">
        <v>1640</v>
      </c>
      <c r="M4351" t="s">
        <v>1640</v>
      </c>
    </row>
    <row r="4352" spans="1:13" x14ac:dyDescent="0.25">
      <c r="A4352">
        <v>81114</v>
      </c>
      <c r="B4352" t="s">
        <v>11509</v>
      </c>
      <c r="C4352" t="s">
        <v>11510</v>
      </c>
      <c r="D4352" t="s">
        <v>1628</v>
      </c>
      <c r="E4352" t="s">
        <v>7889</v>
      </c>
      <c r="F4352" t="s">
        <v>11517</v>
      </c>
      <c r="G4352" t="s">
        <v>11518</v>
      </c>
      <c r="H4352">
        <v>9284668692</v>
      </c>
      <c r="K4352" t="s">
        <v>11519</v>
      </c>
      <c r="M4352" t="s">
        <v>1640</v>
      </c>
    </row>
    <row r="4353" spans="1:13" x14ac:dyDescent="0.25">
      <c r="A4353">
        <v>81115</v>
      </c>
      <c r="B4353" t="s">
        <v>11520</v>
      </c>
      <c r="C4353" t="s">
        <v>11521</v>
      </c>
      <c r="D4353" t="s">
        <v>1643</v>
      </c>
      <c r="E4353" t="s">
        <v>7889</v>
      </c>
    </row>
    <row r="4354" spans="1:13" x14ac:dyDescent="0.25">
      <c r="A4354">
        <v>81116</v>
      </c>
      <c r="B4354" t="s">
        <v>11522</v>
      </c>
      <c r="C4354" t="s">
        <v>11523</v>
      </c>
      <c r="D4354" t="s">
        <v>1643</v>
      </c>
      <c r="E4354" t="s">
        <v>7889</v>
      </c>
    </row>
    <row r="4355" spans="1:13" x14ac:dyDescent="0.25">
      <c r="A4355">
        <v>81117</v>
      </c>
      <c r="B4355" t="s">
        <v>11524</v>
      </c>
      <c r="C4355" t="s">
        <v>11525</v>
      </c>
      <c r="D4355" t="s">
        <v>1643</v>
      </c>
      <c r="E4355" t="s">
        <v>7889</v>
      </c>
    </row>
    <row r="4356" spans="1:13" x14ac:dyDescent="0.25">
      <c r="A4356">
        <v>81118</v>
      </c>
      <c r="B4356" t="s">
        <v>11526</v>
      </c>
      <c r="C4356" t="s">
        <v>11527</v>
      </c>
      <c r="D4356" t="s">
        <v>1643</v>
      </c>
      <c r="E4356" t="s">
        <v>7889</v>
      </c>
    </row>
    <row r="4357" spans="1:13" x14ac:dyDescent="0.25">
      <c r="A4357">
        <v>81119</v>
      </c>
      <c r="B4357" t="s">
        <v>11528</v>
      </c>
      <c r="C4357" t="s">
        <v>11529</v>
      </c>
      <c r="D4357" t="s">
        <v>1643</v>
      </c>
      <c r="E4357" t="s">
        <v>7889</v>
      </c>
    </row>
    <row r="4358" spans="1:13" x14ac:dyDescent="0.25">
      <c r="A4358">
        <v>81120</v>
      </c>
      <c r="B4358" t="s">
        <v>11530</v>
      </c>
      <c r="C4358" t="s">
        <v>11531</v>
      </c>
      <c r="D4358" t="s">
        <v>1643</v>
      </c>
      <c r="E4358" t="s">
        <v>7889</v>
      </c>
    </row>
    <row r="4359" spans="1:13" x14ac:dyDescent="0.25">
      <c r="A4359">
        <v>81121</v>
      </c>
      <c r="B4359" t="s">
        <v>11532</v>
      </c>
      <c r="C4359" t="s">
        <v>11533</v>
      </c>
      <c r="D4359" t="s">
        <v>1643</v>
      </c>
      <c r="E4359" t="s">
        <v>7889</v>
      </c>
      <c r="F4359" t="s">
        <v>1690</v>
      </c>
      <c r="G4359" t="s">
        <v>11534</v>
      </c>
      <c r="M4359" t="s">
        <v>1634</v>
      </c>
    </row>
    <row r="4360" spans="1:13" x14ac:dyDescent="0.25">
      <c r="A4360">
        <v>87488</v>
      </c>
      <c r="B4360" t="s">
        <v>11535</v>
      </c>
      <c r="C4360" t="s">
        <v>11536</v>
      </c>
      <c r="D4360" t="s">
        <v>1643</v>
      </c>
      <c r="E4360" t="s">
        <v>7889</v>
      </c>
      <c r="F4360" t="s">
        <v>2085</v>
      </c>
      <c r="G4360" t="s">
        <v>11537</v>
      </c>
      <c r="H4360">
        <v>9286972501</v>
      </c>
      <c r="J4360">
        <v>9286972502</v>
      </c>
      <c r="K4360" t="s">
        <v>11538</v>
      </c>
      <c r="L4360" t="s">
        <v>1668</v>
      </c>
      <c r="M4360" t="s">
        <v>1634</v>
      </c>
    </row>
    <row r="4361" spans="1:13" x14ac:dyDescent="0.25">
      <c r="A4361">
        <v>91201</v>
      </c>
      <c r="B4361" t="s">
        <v>11539</v>
      </c>
      <c r="C4361" t="s">
        <v>11540</v>
      </c>
      <c r="D4361" t="s">
        <v>1643</v>
      </c>
      <c r="E4361" t="s">
        <v>7889</v>
      </c>
      <c r="F4361" t="s">
        <v>2085</v>
      </c>
      <c r="G4361" t="s">
        <v>11537</v>
      </c>
      <c r="H4361">
        <v>9286972501</v>
      </c>
      <c r="J4361">
        <v>9286972502</v>
      </c>
      <c r="K4361" t="s">
        <v>11541</v>
      </c>
      <c r="L4361" t="s">
        <v>1668</v>
      </c>
      <c r="M4361" t="s">
        <v>1634</v>
      </c>
    </row>
    <row r="4362" spans="1:13" x14ac:dyDescent="0.25">
      <c r="A4362">
        <v>91802</v>
      </c>
      <c r="B4362" t="s">
        <v>11542</v>
      </c>
      <c r="C4362" t="s">
        <v>11543</v>
      </c>
      <c r="D4362" t="s">
        <v>1643</v>
      </c>
      <c r="E4362" t="s">
        <v>7889</v>
      </c>
    </row>
    <row r="4363" spans="1:13" x14ac:dyDescent="0.25">
      <c r="A4363">
        <v>4400</v>
      </c>
      <c r="B4363" t="s">
        <v>1585</v>
      </c>
      <c r="C4363" t="s">
        <v>11544</v>
      </c>
      <c r="D4363" t="s">
        <v>2596</v>
      </c>
      <c r="E4363" t="s">
        <v>7889</v>
      </c>
      <c r="F4363" t="s">
        <v>11545</v>
      </c>
      <c r="G4363" t="s">
        <v>11546</v>
      </c>
      <c r="H4363">
        <v>9285363920</v>
      </c>
      <c r="J4363">
        <v>9285364441</v>
      </c>
      <c r="K4363" t="s">
        <v>11547</v>
      </c>
      <c r="M4363" t="s">
        <v>1634</v>
      </c>
    </row>
    <row r="4364" spans="1:13" x14ac:dyDescent="0.25">
      <c r="A4364">
        <v>4400</v>
      </c>
      <c r="B4364" t="s">
        <v>1585</v>
      </c>
      <c r="C4364" t="s">
        <v>11544</v>
      </c>
      <c r="D4364" t="s">
        <v>2596</v>
      </c>
      <c r="E4364" t="s">
        <v>7889</v>
      </c>
      <c r="F4364" t="s">
        <v>3428</v>
      </c>
      <c r="G4364" t="s">
        <v>11548</v>
      </c>
      <c r="K4364" t="s">
        <v>11549</v>
      </c>
      <c r="M4364" t="s">
        <v>1634</v>
      </c>
    </row>
    <row r="4365" spans="1:13" x14ac:dyDescent="0.25">
      <c r="A4365">
        <v>4400</v>
      </c>
      <c r="B4365" t="s">
        <v>1585</v>
      </c>
      <c r="C4365" t="s">
        <v>11544</v>
      </c>
      <c r="D4365" t="s">
        <v>2596</v>
      </c>
      <c r="E4365" t="s">
        <v>7889</v>
      </c>
      <c r="F4365" t="s">
        <v>11550</v>
      </c>
      <c r="G4365" t="s">
        <v>11551</v>
      </c>
      <c r="H4365">
        <v>9285364222</v>
      </c>
      <c r="J4365">
        <v>9285364441</v>
      </c>
      <c r="K4365" t="s">
        <v>11552</v>
      </c>
      <c r="L4365" t="s">
        <v>2404</v>
      </c>
      <c r="M4365" t="s">
        <v>1765</v>
      </c>
    </row>
    <row r="4366" spans="1:13" x14ac:dyDescent="0.25">
      <c r="A4366">
        <v>4400</v>
      </c>
      <c r="B4366" t="s">
        <v>1585</v>
      </c>
      <c r="C4366" t="s">
        <v>11544</v>
      </c>
      <c r="D4366" t="s">
        <v>2596</v>
      </c>
      <c r="E4366" t="s">
        <v>7889</v>
      </c>
      <c r="F4366" t="s">
        <v>11553</v>
      </c>
      <c r="G4366" t="s">
        <v>11554</v>
      </c>
      <c r="H4366">
        <v>9282893329</v>
      </c>
      <c r="J4366">
        <v>9282894485</v>
      </c>
      <c r="K4366" t="s">
        <v>11555</v>
      </c>
      <c r="L4366" t="s">
        <v>2045</v>
      </c>
      <c r="M4366" t="s">
        <v>1765</v>
      </c>
    </row>
    <row r="4367" spans="1:13" x14ac:dyDescent="0.25">
      <c r="A4367">
        <v>5652</v>
      </c>
      <c r="B4367" t="s">
        <v>11556</v>
      </c>
      <c r="C4367" t="s">
        <v>11557</v>
      </c>
      <c r="D4367" t="s">
        <v>2605</v>
      </c>
      <c r="E4367" t="s">
        <v>7889</v>
      </c>
      <c r="F4367" t="s">
        <v>11545</v>
      </c>
      <c r="G4367" t="s">
        <v>11546</v>
      </c>
      <c r="H4367">
        <v>9285364222</v>
      </c>
      <c r="K4367" t="s">
        <v>11547</v>
      </c>
      <c r="L4367" t="s">
        <v>3043</v>
      </c>
      <c r="M4367" t="s">
        <v>1634</v>
      </c>
    </row>
    <row r="4368" spans="1:13" x14ac:dyDescent="0.25">
      <c r="A4368">
        <v>5652</v>
      </c>
      <c r="B4368" t="s">
        <v>11556</v>
      </c>
      <c r="C4368" t="s">
        <v>11557</v>
      </c>
      <c r="D4368" t="s">
        <v>2605</v>
      </c>
      <c r="E4368" t="s">
        <v>7889</v>
      </c>
      <c r="F4368" t="s">
        <v>3428</v>
      </c>
      <c r="G4368" t="s">
        <v>11548</v>
      </c>
      <c r="K4368" t="s">
        <v>11549</v>
      </c>
      <c r="M4368" t="s">
        <v>1634</v>
      </c>
    </row>
    <row r="4369" spans="1:13" x14ac:dyDescent="0.25">
      <c r="A4369">
        <v>5652</v>
      </c>
      <c r="B4369" t="s">
        <v>11556</v>
      </c>
      <c r="C4369" t="s">
        <v>11557</v>
      </c>
      <c r="D4369" t="s">
        <v>2605</v>
      </c>
      <c r="E4369" t="s">
        <v>7889</v>
      </c>
      <c r="F4369" t="s">
        <v>3040</v>
      </c>
      <c r="G4369" t="s">
        <v>1853</v>
      </c>
      <c r="H4369">
        <v>9285364222</v>
      </c>
      <c r="J4369">
        <v>9285364441</v>
      </c>
      <c r="K4369" t="s">
        <v>11558</v>
      </c>
      <c r="L4369" t="s">
        <v>11559</v>
      </c>
      <c r="M4369" t="s">
        <v>1640</v>
      </c>
    </row>
    <row r="4370" spans="1:13" x14ac:dyDescent="0.25">
      <c r="A4370">
        <v>6353</v>
      </c>
      <c r="B4370" t="s">
        <v>882</v>
      </c>
      <c r="C4370" t="s">
        <v>11560</v>
      </c>
      <c r="D4370" t="s">
        <v>2596</v>
      </c>
      <c r="E4370" t="s">
        <v>7889</v>
      </c>
      <c r="F4370" t="s">
        <v>3708</v>
      </c>
      <c r="G4370" t="s">
        <v>11561</v>
      </c>
      <c r="H4370" t="s">
        <v>11562</v>
      </c>
      <c r="J4370">
        <v>9286723507</v>
      </c>
      <c r="K4370" t="s">
        <v>11563</v>
      </c>
      <c r="L4370" t="s">
        <v>11564</v>
      </c>
      <c r="M4370" t="s">
        <v>1634</v>
      </c>
    </row>
    <row r="4371" spans="1:13" x14ac:dyDescent="0.25">
      <c r="A4371">
        <v>6353</v>
      </c>
      <c r="B4371" t="s">
        <v>882</v>
      </c>
      <c r="C4371" t="s">
        <v>11560</v>
      </c>
      <c r="D4371" t="s">
        <v>2596</v>
      </c>
      <c r="E4371" t="s">
        <v>7889</v>
      </c>
      <c r="F4371" t="s">
        <v>6636</v>
      </c>
      <c r="G4371" t="s">
        <v>11565</v>
      </c>
      <c r="H4371">
        <v>9286723500</v>
      </c>
      <c r="I4371">
        <v>3014</v>
      </c>
      <c r="K4371" t="s">
        <v>11566</v>
      </c>
      <c r="L4371" t="s">
        <v>11567</v>
      </c>
      <c r="M4371" t="s">
        <v>1634</v>
      </c>
    </row>
    <row r="4372" spans="1:13" x14ac:dyDescent="0.25">
      <c r="A4372">
        <v>6353</v>
      </c>
      <c r="B4372" t="s">
        <v>882</v>
      </c>
      <c r="C4372" t="s">
        <v>11560</v>
      </c>
      <c r="D4372" t="s">
        <v>2596</v>
      </c>
      <c r="E4372" t="s">
        <v>7889</v>
      </c>
      <c r="F4372" t="s">
        <v>11393</v>
      </c>
      <c r="G4372" t="s">
        <v>6252</v>
      </c>
      <c r="H4372">
        <v>9286723549</v>
      </c>
      <c r="I4372">
        <v>3005</v>
      </c>
      <c r="K4372" t="s">
        <v>11568</v>
      </c>
      <c r="L4372" t="s">
        <v>1640</v>
      </c>
      <c r="M4372" t="s">
        <v>1634</v>
      </c>
    </row>
    <row r="4373" spans="1:13" x14ac:dyDescent="0.25">
      <c r="A4373">
        <v>6353</v>
      </c>
      <c r="B4373" t="s">
        <v>882</v>
      </c>
      <c r="C4373" t="s">
        <v>11560</v>
      </c>
      <c r="D4373" t="s">
        <v>2596</v>
      </c>
      <c r="E4373" t="s">
        <v>7889</v>
      </c>
      <c r="F4373" t="s">
        <v>11393</v>
      </c>
      <c r="G4373" t="s">
        <v>6252</v>
      </c>
      <c r="H4373">
        <v>9286723549</v>
      </c>
      <c r="I4373">
        <v>3005</v>
      </c>
      <c r="K4373" t="s">
        <v>11568</v>
      </c>
      <c r="L4373" t="s">
        <v>1640</v>
      </c>
      <c r="M4373" t="s">
        <v>1640</v>
      </c>
    </row>
    <row r="4374" spans="1:13" x14ac:dyDescent="0.25">
      <c r="A4374">
        <v>5653</v>
      </c>
      <c r="B4374" t="s">
        <v>883</v>
      </c>
      <c r="C4374" t="s">
        <v>11569</v>
      </c>
      <c r="D4374" t="s">
        <v>2605</v>
      </c>
      <c r="E4374" t="s">
        <v>7889</v>
      </c>
    </row>
    <row r="4375" spans="1:13" x14ac:dyDescent="0.25">
      <c r="A4375">
        <v>79971</v>
      </c>
      <c r="B4375" t="s">
        <v>11570</v>
      </c>
      <c r="C4375" t="s">
        <v>11571</v>
      </c>
      <c r="D4375" t="s">
        <v>2596</v>
      </c>
      <c r="E4375" t="s">
        <v>1273</v>
      </c>
      <c r="F4375" t="s">
        <v>6836</v>
      </c>
      <c r="G4375" t="s">
        <v>1588</v>
      </c>
      <c r="H4375">
        <v>4806351900</v>
      </c>
      <c r="J4375">
        <v>4806351906</v>
      </c>
      <c r="K4375" t="s">
        <v>11572</v>
      </c>
      <c r="L4375" t="s">
        <v>11573</v>
      </c>
      <c r="M4375" t="s">
        <v>1634</v>
      </c>
    </row>
    <row r="4376" spans="1:13" x14ac:dyDescent="0.25">
      <c r="A4376">
        <v>79971</v>
      </c>
      <c r="B4376" t="s">
        <v>11570</v>
      </c>
      <c r="C4376" t="s">
        <v>11571</v>
      </c>
      <c r="D4376" t="s">
        <v>2596</v>
      </c>
      <c r="E4376" t="s">
        <v>1273</v>
      </c>
      <c r="F4376" t="s">
        <v>8013</v>
      </c>
      <c r="G4376" t="s">
        <v>8014</v>
      </c>
      <c r="H4376">
        <v>4802069357</v>
      </c>
      <c r="K4376" t="s">
        <v>9054</v>
      </c>
      <c r="L4376" t="s">
        <v>9055</v>
      </c>
      <c r="M4376" t="s">
        <v>1640</v>
      </c>
    </row>
    <row r="4377" spans="1:13" x14ac:dyDescent="0.25">
      <c r="A4377">
        <v>79971</v>
      </c>
      <c r="B4377" t="s">
        <v>11570</v>
      </c>
      <c r="C4377" t="s">
        <v>11571</v>
      </c>
      <c r="D4377" t="s">
        <v>2596</v>
      </c>
      <c r="E4377" t="s">
        <v>1273</v>
      </c>
      <c r="F4377" t="s">
        <v>7110</v>
      </c>
      <c r="G4377" t="s">
        <v>7947</v>
      </c>
      <c r="K4377" t="s">
        <v>11574</v>
      </c>
      <c r="L4377" t="s">
        <v>11575</v>
      </c>
      <c r="M4377" t="s">
        <v>1765</v>
      </c>
    </row>
    <row r="4378" spans="1:13" x14ac:dyDescent="0.25">
      <c r="A4378">
        <v>81102</v>
      </c>
      <c r="B4378" t="s">
        <v>11576</v>
      </c>
      <c r="C4378" t="s">
        <v>11577</v>
      </c>
      <c r="D4378" t="s">
        <v>2605</v>
      </c>
      <c r="E4378" t="s">
        <v>1273</v>
      </c>
      <c r="F4378" t="s">
        <v>6836</v>
      </c>
      <c r="G4378" t="s">
        <v>1588</v>
      </c>
      <c r="H4378">
        <v>4806351900</v>
      </c>
      <c r="K4378" t="s">
        <v>9053</v>
      </c>
      <c r="M4378" t="s">
        <v>1634</v>
      </c>
    </row>
    <row r="4379" spans="1:13" x14ac:dyDescent="0.25">
      <c r="A4379">
        <v>4401</v>
      </c>
      <c r="B4379" t="s">
        <v>11578</v>
      </c>
      <c r="C4379" t="s">
        <v>11579</v>
      </c>
      <c r="D4379" t="s">
        <v>1628</v>
      </c>
      <c r="E4379" t="s">
        <v>3494</v>
      </c>
      <c r="F4379" t="s">
        <v>5231</v>
      </c>
      <c r="G4379" t="s">
        <v>2639</v>
      </c>
      <c r="H4379">
        <v>5207244724</v>
      </c>
      <c r="J4379">
        <v>5208825184</v>
      </c>
      <c r="K4379" t="s">
        <v>11580</v>
      </c>
      <c r="L4379" t="s">
        <v>1668</v>
      </c>
      <c r="M4379" t="s">
        <v>1634</v>
      </c>
    </row>
    <row r="4380" spans="1:13" x14ac:dyDescent="0.25">
      <c r="A4380">
        <v>4401</v>
      </c>
      <c r="B4380" t="s">
        <v>11578</v>
      </c>
      <c r="C4380" t="s">
        <v>11579</v>
      </c>
      <c r="D4380" t="s">
        <v>1628</v>
      </c>
      <c r="E4380" t="s">
        <v>3494</v>
      </c>
      <c r="F4380" t="s">
        <v>11581</v>
      </c>
      <c r="G4380" t="s">
        <v>11582</v>
      </c>
      <c r="K4380" t="s">
        <v>11583</v>
      </c>
      <c r="M4380" t="s">
        <v>1634</v>
      </c>
    </row>
    <row r="4381" spans="1:13" x14ac:dyDescent="0.25">
      <c r="A4381">
        <v>4401</v>
      </c>
      <c r="B4381" t="s">
        <v>11578</v>
      </c>
      <c r="C4381" t="s">
        <v>11579</v>
      </c>
      <c r="D4381" t="s">
        <v>1628</v>
      </c>
      <c r="E4381" t="s">
        <v>3494</v>
      </c>
      <c r="F4381" t="s">
        <v>11584</v>
      </c>
      <c r="G4381" t="s">
        <v>11585</v>
      </c>
      <c r="H4381">
        <v>5207248997</v>
      </c>
      <c r="K4381" t="s">
        <v>11586</v>
      </c>
      <c r="L4381" t="s">
        <v>11587</v>
      </c>
      <c r="M4381" t="s">
        <v>1634</v>
      </c>
    </row>
    <row r="4382" spans="1:13" x14ac:dyDescent="0.25">
      <c r="A4382">
        <v>4401</v>
      </c>
      <c r="B4382" t="s">
        <v>11578</v>
      </c>
      <c r="C4382" t="s">
        <v>11579</v>
      </c>
      <c r="D4382" t="s">
        <v>1628</v>
      </c>
      <c r="E4382" t="s">
        <v>3494</v>
      </c>
      <c r="F4382" t="s">
        <v>11588</v>
      </c>
      <c r="G4382" t="s">
        <v>11589</v>
      </c>
      <c r="J4382">
        <v>5208825184</v>
      </c>
      <c r="K4382" t="s">
        <v>11590</v>
      </c>
      <c r="L4382" t="s">
        <v>11591</v>
      </c>
      <c r="M4382" t="s">
        <v>1765</v>
      </c>
    </row>
    <row r="4383" spans="1:13" x14ac:dyDescent="0.25">
      <c r="A4383">
        <v>5654</v>
      </c>
      <c r="B4383" t="s">
        <v>11592</v>
      </c>
      <c r="C4383" t="s">
        <v>11593</v>
      </c>
      <c r="D4383" t="s">
        <v>1643</v>
      </c>
      <c r="E4383" t="s">
        <v>3494</v>
      </c>
      <c r="F4383" t="s">
        <v>5231</v>
      </c>
      <c r="G4383" t="s">
        <v>2639</v>
      </c>
      <c r="H4383">
        <v>5207244724</v>
      </c>
      <c r="K4383" t="s">
        <v>11580</v>
      </c>
      <c r="M4383" t="s">
        <v>1634</v>
      </c>
    </row>
    <row r="4384" spans="1:13" x14ac:dyDescent="0.25">
      <c r="A4384">
        <v>5656</v>
      </c>
      <c r="B4384" t="s">
        <v>11594</v>
      </c>
      <c r="C4384" t="s">
        <v>11595</v>
      </c>
      <c r="D4384" t="s">
        <v>1643</v>
      </c>
      <c r="E4384" t="s">
        <v>3494</v>
      </c>
      <c r="F4384" t="s">
        <v>5231</v>
      </c>
      <c r="G4384" t="s">
        <v>2639</v>
      </c>
      <c r="H4384">
        <v>5207244724</v>
      </c>
      <c r="K4384" t="s">
        <v>11580</v>
      </c>
      <c r="M4384" t="s">
        <v>1634</v>
      </c>
    </row>
    <row r="4385" spans="1:13" x14ac:dyDescent="0.25">
      <c r="A4385">
        <v>4403</v>
      </c>
      <c r="B4385" t="s">
        <v>330</v>
      </c>
      <c r="C4385" t="s">
        <v>11596</v>
      </c>
      <c r="D4385" t="s">
        <v>1628</v>
      </c>
      <c r="E4385" t="s">
        <v>3494</v>
      </c>
      <c r="F4385" t="s">
        <v>3024</v>
      </c>
      <c r="G4385" t="s">
        <v>11597</v>
      </c>
      <c r="H4385">
        <v>5202256485</v>
      </c>
      <c r="J4385">
        <v>5202256174</v>
      </c>
      <c r="K4385" t="s">
        <v>11598</v>
      </c>
      <c r="L4385" t="s">
        <v>11599</v>
      </c>
      <c r="M4385" t="s">
        <v>1634</v>
      </c>
    </row>
    <row r="4386" spans="1:13" x14ac:dyDescent="0.25">
      <c r="A4386">
        <v>4403</v>
      </c>
      <c r="B4386" t="s">
        <v>330</v>
      </c>
      <c r="C4386" t="s">
        <v>11596</v>
      </c>
      <c r="D4386" t="s">
        <v>1628</v>
      </c>
      <c r="E4386" t="s">
        <v>3494</v>
      </c>
      <c r="F4386" t="s">
        <v>3105</v>
      </c>
      <c r="G4386" t="s">
        <v>11600</v>
      </c>
      <c r="K4386" t="s">
        <v>11601</v>
      </c>
      <c r="L4386" t="s">
        <v>6404</v>
      </c>
      <c r="M4386" t="s">
        <v>1634</v>
      </c>
    </row>
    <row r="4387" spans="1:13" x14ac:dyDescent="0.25">
      <c r="A4387">
        <v>4403</v>
      </c>
      <c r="B4387" t="s">
        <v>330</v>
      </c>
      <c r="C4387" t="s">
        <v>11596</v>
      </c>
      <c r="D4387" t="s">
        <v>1628</v>
      </c>
      <c r="E4387" t="s">
        <v>3494</v>
      </c>
      <c r="F4387" t="s">
        <v>9247</v>
      </c>
      <c r="G4387" t="s">
        <v>3063</v>
      </c>
      <c r="H4387">
        <v>5202256060</v>
      </c>
      <c r="K4387" t="s">
        <v>11602</v>
      </c>
      <c r="L4387" t="s">
        <v>1633</v>
      </c>
      <c r="M4387" t="s">
        <v>1634</v>
      </c>
    </row>
    <row r="4388" spans="1:13" x14ac:dyDescent="0.25">
      <c r="A4388">
        <v>4403</v>
      </c>
      <c r="B4388" t="s">
        <v>330</v>
      </c>
      <c r="C4388" t="s">
        <v>11596</v>
      </c>
      <c r="D4388" t="s">
        <v>1628</v>
      </c>
      <c r="E4388" t="s">
        <v>3494</v>
      </c>
      <c r="F4388" t="s">
        <v>2099</v>
      </c>
      <c r="G4388" t="s">
        <v>11603</v>
      </c>
      <c r="H4388">
        <v>5202256611</v>
      </c>
      <c r="K4388" t="s">
        <v>11604</v>
      </c>
      <c r="L4388" t="s">
        <v>11605</v>
      </c>
      <c r="M4388" t="s">
        <v>1640</v>
      </c>
    </row>
    <row r="4389" spans="1:13" x14ac:dyDescent="0.25">
      <c r="A4389">
        <v>80038</v>
      </c>
      <c r="B4389" t="s">
        <v>11606</v>
      </c>
      <c r="C4389" t="s">
        <v>11607</v>
      </c>
      <c r="D4389" t="s">
        <v>1643</v>
      </c>
      <c r="E4389" t="s">
        <v>3494</v>
      </c>
    </row>
    <row r="4390" spans="1:13" x14ac:dyDescent="0.25">
      <c r="A4390">
        <v>5659</v>
      </c>
      <c r="B4390" t="s">
        <v>1417</v>
      </c>
      <c r="C4390" t="s">
        <v>11608</v>
      </c>
      <c r="D4390" t="s">
        <v>1643</v>
      </c>
      <c r="E4390" t="s">
        <v>3494</v>
      </c>
      <c r="F4390" t="s">
        <v>1943</v>
      </c>
      <c r="G4390" t="s">
        <v>3576</v>
      </c>
      <c r="H4390">
        <v>5202326500</v>
      </c>
      <c r="K4390" t="s">
        <v>11609</v>
      </c>
      <c r="L4390" t="s">
        <v>1647</v>
      </c>
      <c r="M4390" t="s">
        <v>1634</v>
      </c>
    </row>
    <row r="4391" spans="1:13" x14ac:dyDescent="0.25">
      <c r="A4391">
        <v>5660</v>
      </c>
      <c r="B4391" t="s">
        <v>1310</v>
      </c>
      <c r="C4391" t="s">
        <v>11610</v>
      </c>
      <c r="D4391" t="s">
        <v>1643</v>
      </c>
      <c r="E4391" t="s">
        <v>3494</v>
      </c>
      <c r="F4391" t="s">
        <v>1824</v>
      </c>
      <c r="G4391" t="s">
        <v>11611</v>
      </c>
      <c r="H4391">
        <v>5207313704</v>
      </c>
      <c r="K4391" t="s">
        <v>11612</v>
      </c>
      <c r="L4391" t="s">
        <v>1647</v>
      </c>
      <c r="M4391" t="s">
        <v>1634</v>
      </c>
    </row>
    <row r="4392" spans="1:13" x14ac:dyDescent="0.25">
      <c r="A4392">
        <v>5661</v>
      </c>
      <c r="B4392" t="s">
        <v>1318</v>
      </c>
      <c r="C4392" t="s">
        <v>11613</v>
      </c>
      <c r="D4392" t="s">
        <v>1643</v>
      </c>
      <c r="E4392" t="s">
        <v>3494</v>
      </c>
      <c r="F4392" t="s">
        <v>2089</v>
      </c>
      <c r="G4392" t="s">
        <v>11614</v>
      </c>
      <c r="H4392">
        <v>5202326600</v>
      </c>
      <c r="K4392" t="s">
        <v>11615</v>
      </c>
      <c r="L4392" t="s">
        <v>1647</v>
      </c>
      <c r="M4392" t="s">
        <v>1634</v>
      </c>
    </row>
    <row r="4393" spans="1:13" x14ac:dyDescent="0.25">
      <c r="A4393">
        <v>5662</v>
      </c>
      <c r="B4393" t="s">
        <v>11616</v>
      </c>
      <c r="C4393" t="s">
        <v>11617</v>
      </c>
      <c r="D4393" t="s">
        <v>1643</v>
      </c>
      <c r="E4393" t="s">
        <v>3494</v>
      </c>
    </row>
    <row r="4394" spans="1:13" x14ac:dyDescent="0.25">
      <c r="A4394">
        <v>5663</v>
      </c>
      <c r="B4394" t="s">
        <v>11618</v>
      </c>
      <c r="C4394" t="s">
        <v>11619</v>
      </c>
      <c r="D4394" t="s">
        <v>1643</v>
      </c>
      <c r="E4394" t="s">
        <v>3494</v>
      </c>
      <c r="F4394" t="s">
        <v>5457</v>
      </c>
      <c r="G4394" t="s">
        <v>11620</v>
      </c>
      <c r="H4394">
        <v>5205844604</v>
      </c>
      <c r="J4394">
        <v>5205844601</v>
      </c>
      <c r="K4394" t="s">
        <v>11621</v>
      </c>
      <c r="L4394" t="s">
        <v>1647</v>
      </c>
      <c r="M4394" t="s">
        <v>1634</v>
      </c>
    </row>
    <row r="4395" spans="1:13" x14ac:dyDescent="0.25">
      <c r="A4395">
        <v>5664</v>
      </c>
      <c r="B4395" t="s">
        <v>11622</v>
      </c>
      <c r="C4395" t="s">
        <v>11623</v>
      </c>
      <c r="D4395" t="s">
        <v>1643</v>
      </c>
      <c r="E4395" t="s">
        <v>3494</v>
      </c>
      <c r="F4395" t="s">
        <v>2269</v>
      </c>
      <c r="G4395" t="s">
        <v>2524</v>
      </c>
      <c r="H4395">
        <v>5202251000</v>
      </c>
      <c r="K4395" t="s">
        <v>11624</v>
      </c>
      <c r="L4395" t="s">
        <v>1647</v>
      </c>
      <c r="M4395" t="s">
        <v>1634</v>
      </c>
    </row>
    <row r="4396" spans="1:13" x14ac:dyDescent="0.25">
      <c r="A4396">
        <v>5666</v>
      </c>
      <c r="B4396" t="s">
        <v>11625</v>
      </c>
      <c r="C4396" t="s">
        <v>11626</v>
      </c>
      <c r="D4396" t="s">
        <v>1643</v>
      </c>
      <c r="E4396" t="s">
        <v>3494</v>
      </c>
    </row>
    <row r="4397" spans="1:13" x14ac:dyDescent="0.25">
      <c r="A4397">
        <v>5667</v>
      </c>
      <c r="B4397" t="s">
        <v>1419</v>
      </c>
      <c r="C4397" t="s">
        <v>11627</v>
      </c>
      <c r="D4397" t="s">
        <v>1643</v>
      </c>
      <c r="E4397" t="s">
        <v>3494</v>
      </c>
      <c r="F4397" t="s">
        <v>3456</v>
      </c>
      <c r="G4397" t="s">
        <v>11628</v>
      </c>
      <c r="H4397">
        <v>5202251304</v>
      </c>
      <c r="K4397" t="s">
        <v>11629</v>
      </c>
      <c r="L4397" t="s">
        <v>1647</v>
      </c>
      <c r="M4397" t="s">
        <v>1634</v>
      </c>
    </row>
    <row r="4398" spans="1:13" x14ac:dyDescent="0.25">
      <c r="A4398">
        <v>5668</v>
      </c>
      <c r="B4398" t="s">
        <v>6960</v>
      </c>
      <c r="C4398" t="s">
        <v>11630</v>
      </c>
      <c r="D4398" t="s">
        <v>1643</v>
      </c>
      <c r="E4398" t="s">
        <v>3494</v>
      </c>
      <c r="F4398" t="s">
        <v>2587</v>
      </c>
      <c r="G4398" t="s">
        <v>11631</v>
      </c>
      <c r="K4398" t="s">
        <v>11632</v>
      </c>
      <c r="L4398" t="s">
        <v>1647</v>
      </c>
      <c r="M4398" t="s">
        <v>1634</v>
      </c>
    </row>
    <row r="4399" spans="1:13" x14ac:dyDescent="0.25">
      <c r="A4399">
        <v>5670</v>
      </c>
      <c r="B4399" t="s">
        <v>11633</v>
      </c>
      <c r="C4399" t="s">
        <v>11634</v>
      </c>
      <c r="D4399" t="s">
        <v>1643</v>
      </c>
      <c r="E4399" t="s">
        <v>3494</v>
      </c>
      <c r="F4399" t="s">
        <v>2335</v>
      </c>
      <c r="G4399" t="s">
        <v>11635</v>
      </c>
      <c r="H4399">
        <v>5202326700</v>
      </c>
      <c r="K4399" t="s">
        <v>11636</v>
      </c>
      <c r="L4399" t="s">
        <v>1647</v>
      </c>
      <c r="M4399" t="s">
        <v>1634</v>
      </c>
    </row>
    <row r="4400" spans="1:13" x14ac:dyDescent="0.25">
      <c r="A4400">
        <v>5671</v>
      </c>
      <c r="B4400" t="s">
        <v>11637</v>
      </c>
      <c r="C4400" t="s">
        <v>11638</v>
      </c>
      <c r="D4400" t="s">
        <v>1643</v>
      </c>
      <c r="E4400" t="s">
        <v>3494</v>
      </c>
      <c r="F4400" t="s">
        <v>4804</v>
      </c>
      <c r="G4400" t="s">
        <v>11639</v>
      </c>
      <c r="H4400">
        <v>5202326804</v>
      </c>
      <c r="K4400" t="s">
        <v>11640</v>
      </c>
      <c r="L4400" t="s">
        <v>1647</v>
      </c>
      <c r="M4400" t="s">
        <v>1634</v>
      </c>
    </row>
    <row r="4401" spans="1:13" x14ac:dyDescent="0.25">
      <c r="A4401">
        <v>5672</v>
      </c>
      <c r="B4401" t="s">
        <v>11641</v>
      </c>
      <c r="C4401" t="s">
        <v>11642</v>
      </c>
      <c r="D4401" t="s">
        <v>1643</v>
      </c>
      <c r="E4401" t="s">
        <v>3494</v>
      </c>
    </row>
    <row r="4402" spans="1:13" x14ac:dyDescent="0.25">
      <c r="A4402">
        <v>6269</v>
      </c>
      <c r="B4402" t="s">
        <v>11643</v>
      </c>
      <c r="C4402" t="s">
        <v>11644</v>
      </c>
      <c r="D4402" t="s">
        <v>1643</v>
      </c>
      <c r="E4402" t="s">
        <v>3494</v>
      </c>
      <c r="F4402" t="s">
        <v>1661</v>
      </c>
      <c r="G4402" t="s">
        <v>11645</v>
      </c>
      <c r="H4402">
        <v>5202328200</v>
      </c>
      <c r="K4402" t="s">
        <v>11646</v>
      </c>
      <c r="L4402" t="s">
        <v>1647</v>
      </c>
      <c r="M4402" t="s">
        <v>1634</v>
      </c>
    </row>
    <row r="4403" spans="1:13" x14ac:dyDescent="0.25">
      <c r="A4403">
        <v>5673</v>
      </c>
      <c r="B4403" t="s">
        <v>828</v>
      </c>
      <c r="C4403" t="s">
        <v>11647</v>
      </c>
      <c r="D4403" t="s">
        <v>1643</v>
      </c>
      <c r="E4403" t="s">
        <v>3494</v>
      </c>
    </row>
    <row r="4404" spans="1:13" x14ac:dyDescent="0.25">
      <c r="A4404">
        <v>5674</v>
      </c>
      <c r="B4404" t="s">
        <v>11648</v>
      </c>
      <c r="C4404" t="s">
        <v>11649</v>
      </c>
      <c r="D4404" t="s">
        <v>1643</v>
      </c>
      <c r="E4404" t="s">
        <v>3494</v>
      </c>
      <c r="F4404" t="s">
        <v>9919</v>
      </c>
      <c r="G4404" t="s">
        <v>7532</v>
      </c>
      <c r="H4404">
        <v>5202251500</v>
      </c>
      <c r="K4404" t="s">
        <v>11650</v>
      </c>
      <c r="L4404" t="s">
        <v>1647</v>
      </c>
      <c r="M4404" t="s">
        <v>1634</v>
      </c>
    </row>
    <row r="4405" spans="1:13" x14ac:dyDescent="0.25">
      <c r="A4405">
        <v>5676</v>
      </c>
      <c r="B4405" t="s">
        <v>11651</v>
      </c>
      <c r="C4405" t="s">
        <v>11652</v>
      </c>
      <c r="D4405" t="s">
        <v>1643</v>
      </c>
      <c r="E4405" t="s">
        <v>3494</v>
      </c>
      <c r="F4405" t="s">
        <v>4495</v>
      </c>
      <c r="G4405" t="s">
        <v>724</v>
      </c>
      <c r="H4405">
        <v>5207314204</v>
      </c>
      <c r="K4405" t="s">
        <v>11653</v>
      </c>
      <c r="L4405" t="s">
        <v>1647</v>
      </c>
      <c r="M4405" t="s">
        <v>1634</v>
      </c>
    </row>
    <row r="4406" spans="1:13" x14ac:dyDescent="0.25">
      <c r="A4406">
        <v>5677</v>
      </c>
      <c r="B4406" t="s">
        <v>11654</v>
      </c>
      <c r="C4406" t="s">
        <v>11655</v>
      </c>
      <c r="D4406" t="s">
        <v>1643</v>
      </c>
      <c r="E4406" t="s">
        <v>3494</v>
      </c>
      <c r="F4406" t="s">
        <v>2894</v>
      </c>
      <c r="G4406" t="s">
        <v>11656</v>
      </c>
      <c r="H4406">
        <v>5205845000</v>
      </c>
      <c r="J4406">
        <v>5205845001</v>
      </c>
      <c r="K4406" t="s">
        <v>11657</v>
      </c>
      <c r="L4406" t="s">
        <v>1647</v>
      </c>
      <c r="M4406" t="s">
        <v>1634</v>
      </c>
    </row>
    <row r="4407" spans="1:13" x14ac:dyDescent="0.25">
      <c r="A4407">
        <v>5677</v>
      </c>
      <c r="B4407" t="s">
        <v>11654</v>
      </c>
      <c r="C4407" t="s">
        <v>11655</v>
      </c>
      <c r="D4407" t="s">
        <v>1643</v>
      </c>
      <c r="E4407" t="s">
        <v>3494</v>
      </c>
      <c r="F4407" t="s">
        <v>2672</v>
      </c>
      <c r="G4407" t="s">
        <v>4438</v>
      </c>
      <c r="H4407">
        <v>5205845000</v>
      </c>
      <c r="J4407">
        <v>5205845001</v>
      </c>
      <c r="K4407" t="s">
        <v>11658</v>
      </c>
      <c r="L4407" t="s">
        <v>11659</v>
      </c>
      <c r="M4407" t="s">
        <v>1640</v>
      </c>
    </row>
    <row r="4408" spans="1:13" x14ac:dyDescent="0.25">
      <c r="A4408">
        <v>5678</v>
      </c>
      <c r="B4408" t="s">
        <v>11660</v>
      </c>
      <c r="C4408" t="s">
        <v>11661</v>
      </c>
      <c r="D4408" t="s">
        <v>1643</v>
      </c>
      <c r="E4408" t="s">
        <v>3494</v>
      </c>
      <c r="F4408" t="s">
        <v>4811</v>
      </c>
      <c r="G4408" t="s">
        <v>1853</v>
      </c>
      <c r="H4408">
        <v>5207314304</v>
      </c>
      <c r="L4408" t="s">
        <v>1721</v>
      </c>
      <c r="M4408" t="s">
        <v>1634</v>
      </c>
    </row>
    <row r="4409" spans="1:13" x14ac:dyDescent="0.25">
      <c r="A4409">
        <v>5680</v>
      </c>
      <c r="B4409" t="s">
        <v>11662</v>
      </c>
      <c r="C4409" t="s">
        <v>11663</v>
      </c>
      <c r="D4409" t="s">
        <v>1643</v>
      </c>
      <c r="E4409" t="s">
        <v>3494</v>
      </c>
      <c r="F4409" t="s">
        <v>2053</v>
      </c>
      <c r="G4409" t="s">
        <v>2705</v>
      </c>
      <c r="H4409">
        <v>5207314400</v>
      </c>
      <c r="K4409" t="s">
        <v>11664</v>
      </c>
      <c r="L4409" t="s">
        <v>1647</v>
      </c>
      <c r="M4409" t="s">
        <v>1634</v>
      </c>
    </row>
    <row r="4410" spans="1:13" x14ac:dyDescent="0.25">
      <c r="A4410">
        <v>5680</v>
      </c>
      <c r="B4410" t="s">
        <v>11662</v>
      </c>
      <c r="C4410" t="s">
        <v>11663</v>
      </c>
      <c r="D4410" t="s">
        <v>1643</v>
      </c>
      <c r="E4410" t="s">
        <v>3494</v>
      </c>
      <c r="F4410" t="s">
        <v>2156</v>
      </c>
      <c r="G4410" t="s">
        <v>11665</v>
      </c>
      <c r="H4410">
        <v>5207314400</v>
      </c>
      <c r="J4410">
        <v>5207344401</v>
      </c>
      <c r="K4410" t="s">
        <v>11666</v>
      </c>
      <c r="L4410" t="s">
        <v>2446</v>
      </c>
      <c r="M4410" t="s">
        <v>1640</v>
      </c>
    </row>
    <row r="4411" spans="1:13" x14ac:dyDescent="0.25">
      <c r="A4411">
        <v>5681</v>
      </c>
      <c r="B4411" t="s">
        <v>11667</v>
      </c>
      <c r="C4411" t="s">
        <v>11668</v>
      </c>
      <c r="D4411" t="s">
        <v>1643</v>
      </c>
      <c r="E4411" t="s">
        <v>3494</v>
      </c>
      <c r="F4411" t="s">
        <v>2261</v>
      </c>
      <c r="G4411" t="s">
        <v>11669</v>
      </c>
      <c r="H4411">
        <v>5202254504</v>
      </c>
      <c r="K4411" t="s">
        <v>11670</v>
      </c>
      <c r="L4411" t="s">
        <v>1647</v>
      </c>
      <c r="M4411" t="s">
        <v>1634</v>
      </c>
    </row>
    <row r="4412" spans="1:13" x14ac:dyDescent="0.25">
      <c r="A4412">
        <v>5683</v>
      </c>
      <c r="B4412" t="s">
        <v>1423</v>
      </c>
      <c r="C4412" t="s">
        <v>11671</v>
      </c>
      <c r="D4412" t="s">
        <v>1643</v>
      </c>
      <c r="E4412" t="s">
        <v>3494</v>
      </c>
      <c r="F4412" t="s">
        <v>10221</v>
      </c>
      <c r="G4412" t="s">
        <v>11672</v>
      </c>
      <c r="H4412">
        <v>5209083602</v>
      </c>
      <c r="K4412" t="s">
        <v>11673</v>
      </c>
      <c r="L4412" t="s">
        <v>1647</v>
      </c>
      <c r="M4412" t="s">
        <v>1634</v>
      </c>
    </row>
    <row r="4413" spans="1:13" x14ac:dyDescent="0.25">
      <c r="A4413">
        <v>5684</v>
      </c>
      <c r="B4413" t="s">
        <v>1341</v>
      </c>
      <c r="C4413" t="s">
        <v>11674</v>
      </c>
      <c r="D4413" t="s">
        <v>1643</v>
      </c>
      <c r="E4413" t="s">
        <v>3494</v>
      </c>
    </row>
    <row r="4414" spans="1:13" x14ac:dyDescent="0.25">
      <c r="A4414">
        <v>5685</v>
      </c>
      <c r="B4414" t="s">
        <v>11675</v>
      </c>
      <c r="C4414" t="s">
        <v>11676</v>
      </c>
      <c r="D4414" t="s">
        <v>1643</v>
      </c>
      <c r="E4414" t="s">
        <v>3494</v>
      </c>
      <c r="F4414" t="s">
        <v>2142</v>
      </c>
      <c r="G4414" t="s">
        <v>3818</v>
      </c>
      <c r="H4414">
        <v>5207314700</v>
      </c>
      <c r="K4414" t="s">
        <v>11677</v>
      </c>
      <c r="L4414" t="s">
        <v>1647</v>
      </c>
      <c r="M4414" t="s">
        <v>1634</v>
      </c>
    </row>
    <row r="4415" spans="1:13" x14ac:dyDescent="0.25">
      <c r="A4415">
        <v>5686</v>
      </c>
      <c r="B4415" t="s">
        <v>803</v>
      </c>
      <c r="C4415" t="s">
        <v>11678</v>
      </c>
      <c r="D4415" t="s">
        <v>1643</v>
      </c>
      <c r="E4415" t="s">
        <v>3494</v>
      </c>
      <c r="F4415" t="s">
        <v>11679</v>
      </c>
      <c r="G4415" t="s">
        <v>11680</v>
      </c>
      <c r="H4415">
        <v>5202251604</v>
      </c>
      <c r="K4415" t="s">
        <v>11681</v>
      </c>
      <c r="L4415" t="s">
        <v>1647</v>
      </c>
      <c r="M4415" t="s">
        <v>1634</v>
      </c>
    </row>
    <row r="4416" spans="1:13" x14ac:dyDescent="0.25">
      <c r="A4416">
        <v>5687</v>
      </c>
      <c r="B4416" t="s">
        <v>11682</v>
      </c>
      <c r="C4416" t="s">
        <v>11683</v>
      </c>
      <c r="D4416" t="s">
        <v>1643</v>
      </c>
      <c r="E4416" t="s">
        <v>3494</v>
      </c>
      <c r="F4416" t="s">
        <v>11684</v>
      </c>
      <c r="G4416" t="s">
        <v>3025</v>
      </c>
      <c r="H4416">
        <v>5202327202</v>
      </c>
      <c r="K4416" t="s">
        <v>11685</v>
      </c>
      <c r="L4416" t="s">
        <v>1647</v>
      </c>
      <c r="M4416" t="s">
        <v>1634</v>
      </c>
    </row>
    <row r="4417" spans="1:13" x14ac:dyDescent="0.25">
      <c r="A4417">
        <v>5688</v>
      </c>
      <c r="B4417" t="s">
        <v>11686</v>
      </c>
      <c r="C4417" t="s">
        <v>11687</v>
      </c>
      <c r="D4417" t="s">
        <v>1643</v>
      </c>
      <c r="E4417" t="s">
        <v>3494</v>
      </c>
      <c r="F4417" t="s">
        <v>2490</v>
      </c>
      <c r="G4417" t="s">
        <v>11688</v>
      </c>
      <c r="H4417">
        <v>5207314800</v>
      </c>
      <c r="J4417">
        <v>5207314801</v>
      </c>
      <c r="K4417" t="s">
        <v>11689</v>
      </c>
      <c r="M4417" t="s">
        <v>1634</v>
      </c>
    </row>
    <row r="4418" spans="1:13" x14ac:dyDescent="0.25">
      <c r="A4418">
        <v>5689</v>
      </c>
      <c r="B4418" t="s">
        <v>11690</v>
      </c>
      <c r="C4418" t="s">
        <v>11691</v>
      </c>
      <c r="D4418" t="s">
        <v>1643</v>
      </c>
      <c r="E4418" t="s">
        <v>3494</v>
      </c>
      <c r="F4418" t="s">
        <v>10680</v>
      </c>
      <c r="G4418" t="s">
        <v>11692</v>
      </c>
      <c r="H4418">
        <v>5202327400</v>
      </c>
      <c r="K4418" t="s">
        <v>11693</v>
      </c>
      <c r="L4418" t="s">
        <v>1647</v>
      </c>
      <c r="M4418" t="s">
        <v>1634</v>
      </c>
    </row>
    <row r="4419" spans="1:13" x14ac:dyDescent="0.25">
      <c r="A4419">
        <v>5691</v>
      </c>
      <c r="B4419" t="s">
        <v>11694</v>
      </c>
      <c r="C4419" t="s">
        <v>11695</v>
      </c>
      <c r="D4419" t="s">
        <v>1643</v>
      </c>
      <c r="E4419" t="s">
        <v>3494</v>
      </c>
    </row>
    <row r="4420" spans="1:13" x14ac:dyDescent="0.25">
      <c r="A4420">
        <v>5693</v>
      </c>
      <c r="B4420" t="s">
        <v>11696</v>
      </c>
      <c r="C4420" t="s">
        <v>11697</v>
      </c>
      <c r="D4420" t="s">
        <v>1643</v>
      </c>
      <c r="E4420" t="s">
        <v>3494</v>
      </c>
      <c r="F4420" t="s">
        <v>2348</v>
      </c>
      <c r="G4420" t="s">
        <v>11698</v>
      </c>
      <c r="H4420">
        <v>5205845100</v>
      </c>
      <c r="K4420" t="s">
        <v>11699</v>
      </c>
      <c r="L4420" t="s">
        <v>1647</v>
      </c>
      <c r="M4420" t="s">
        <v>1634</v>
      </c>
    </row>
    <row r="4421" spans="1:13" x14ac:dyDescent="0.25">
      <c r="A4421">
        <v>5694</v>
      </c>
      <c r="B4421" t="s">
        <v>766</v>
      </c>
      <c r="C4421" t="s">
        <v>11700</v>
      </c>
      <c r="D4421" t="s">
        <v>1643</v>
      </c>
      <c r="E4421" t="s">
        <v>3494</v>
      </c>
      <c r="F4421" t="s">
        <v>11701</v>
      </c>
      <c r="G4421" t="s">
        <v>11702</v>
      </c>
      <c r="H4421">
        <v>5209083904</v>
      </c>
      <c r="K4421" t="s">
        <v>11703</v>
      </c>
      <c r="L4421" t="s">
        <v>1647</v>
      </c>
      <c r="M4421" t="s">
        <v>1634</v>
      </c>
    </row>
    <row r="4422" spans="1:13" x14ac:dyDescent="0.25">
      <c r="A4422">
        <v>5695</v>
      </c>
      <c r="B4422" t="s">
        <v>11704</v>
      </c>
      <c r="C4422" t="s">
        <v>11705</v>
      </c>
      <c r="D4422" t="s">
        <v>1643</v>
      </c>
      <c r="E4422" t="s">
        <v>3494</v>
      </c>
    </row>
    <row r="4423" spans="1:13" x14ac:dyDescent="0.25">
      <c r="A4423">
        <v>5697</v>
      </c>
      <c r="B4423" t="s">
        <v>11706</v>
      </c>
      <c r="C4423" t="s">
        <v>11707</v>
      </c>
      <c r="D4423" t="s">
        <v>1643</v>
      </c>
      <c r="E4423" t="s">
        <v>3494</v>
      </c>
      <c r="F4423" t="s">
        <v>11708</v>
      </c>
      <c r="G4423" t="s">
        <v>11709</v>
      </c>
      <c r="H4423">
        <v>5209084000</v>
      </c>
      <c r="K4423" t="s">
        <v>11710</v>
      </c>
      <c r="L4423" t="s">
        <v>1647</v>
      </c>
      <c r="M4423" t="s">
        <v>1634</v>
      </c>
    </row>
    <row r="4424" spans="1:13" x14ac:dyDescent="0.25">
      <c r="A4424">
        <v>5699</v>
      </c>
      <c r="B4424" t="s">
        <v>11711</v>
      </c>
      <c r="C4424" t="s">
        <v>11712</v>
      </c>
      <c r="D4424" t="s">
        <v>1643</v>
      </c>
      <c r="E4424" t="s">
        <v>3494</v>
      </c>
    </row>
    <row r="4425" spans="1:13" x14ac:dyDescent="0.25">
      <c r="A4425">
        <v>5700</v>
      </c>
      <c r="B4425" t="s">
        <v>11713</v>
      </c>
      <c r="C4425" t="s">
        <v>11714</v>
      </c>
      <c r="D4425" t="s">
        <v>1643</v>
      </c>
      <c r="E4425" t="s">
        <v>3494</v>
      </c>
      <c r="F4425" t="s">
        <v>2027</v>
      </c>
      <c r="G4425" t="s">
        <v>11715</v>
      </c>
      <c r="H4425">
        <v>5202251900</v>
      </c>
      <c r="K4425" t="s">
        <v>11716</v>
      </c>
      <c r="L4425" t="s">
        <v>1647</v>
      </c>
      <c r="M4425" t="s">
        <v>1634</v>
      </c>
    </row>
    <row r="4426" spans="1:13" x14ac:dyDescent="0.25">
      <c r="A4426">
        <v>5701</v>
      </c>
      <c r="B4426" t="s">
        <v>11717</v>
      </c>
      <c r="C4426" t="s">
        <v>11718</v>
      </c>
      <c r="D4426" t="s">
        <v>1643</v>
      </c>
      <c r="E4426" t="s">
        <v>3494</v>
      </c>
      <c r="F4426" t="s">
        <v>4598</v>
      </c>
      <c r="G4426" t="s">
        <v>11719</v>
      </c>
      <c r="H4426">
        <v>5207311904</v>
      </c>
      <c r="K4426" t="s">
        <v>11720</v>
      </c>
      <c r="L4426" t="s">
        <v>1647</v>
      </c>
      <c r="M4426" t="s">
        <v>1634</v>
      </c>
    </row>
    <row r="4427" spans="1:13" x14ac:dyDescent="0.25">
      <c r="A4427">
        <v>5703</v>
      </c>
      <c r="B4427" t="s">
        <v>11721</v>
      </c>
      <c r="C4427" t="s">
        <v>11722</v>
      </c>
      <c r="D4427" t="s">
        <v>1643</v>
      </c>
      <c r="E4427" t="s">
        <v>3494</v>
      </c>
    </row>
    <row r="4428" spans="1:13" x14ac:dyDescent="0.25">
      <c r="A4428">
        <v>5704</v>
      </c>
      <c r="B4428" t="s">
        <v>11723</v>
      </c>
      <c r="C4428" t="s">
        <v>11724</v>
      </c>
      <c r="D4428" t="s">
        <v>1643</v>
      </c>
      <c r="E4428" t="s">
        <v>3494</v>
      </c>
      <c r="F4428" t="s">
        <v>11725</v>
      </c>
      <c r="G4428" t="s">
        <v>7074</v>
      </c>
      <c r="K4428" t="s">
        <v>11726</v>
      </c>
      <c r="L4428" t="s">
        <v>1647</v>
      </c>
      <c r="M4428" t="s">
        <v>1634</v>
      </c>
    </row>
    <row r="4429" spans="1:13" x14ac:dyDescent="0.25">
      <c r="A4429">
        <v>5705</v>
      </c>
      <c r="B4429" t="s">
        <v>784</v>
      </c>
      <c r="C4429" t="s">
        <v>11727</v>
      </c>
      <c r="D4429" t="s">
        <v>1643</v>
      </c>
      <c r="E4429" t="s">
        <v>3494</v>
      </c>
      <c r="F4429" t="s">
        <v>1931</v>
      </c>
      <c r="G4429" t="s">
        <v>11728</v>
      </c>
      <c r="H4429">
        <v>5202252304</v>
      </c>
      <c r="K4429" t="s">
        <v>11729</v>
      </c>
      <c r="L4429" t="s">
        <v>1647</v>
      </c>
      <c r="M4429" t="s">
        <v>1634</v>
      </c>
    </row>
    <row r="4430" spans="1:13" x14ac:dyDescent="0.25">
      <c r="A4430">
        <v>5706</v>
      </c>
      <c r="B4430" t="s">
        <v>826</v>
      </c>
      <c r="C4430" t="s">
        <v>11730</v>
      </c>
      <c r="D4430" t="s">
        <v>1643</v>
      </c>
      <c r="E4430" t="s">
        <v>3494</v>
      </c>
    </row>
    <row r="4431" spans="1:13" x14ac:dyDescent="0.25">
      <c r="A4431">
        <v>5707</v>
      </c>
      <c r="B4431" t="s">
        <v>793</v>
      </c>
      <c r="C4431" t="s">
        <v>11731</v>
      </c>
      <c r="D4431" t="s">
        <v>1643</v>
      </c>
      <c r="E4431" t="s">
        <v>3494</v>
      </c>
      <c r="F4431" t="s">
        <v>11732</v>
      </c>
      <c r="G4431" t="s">
        <v>11733</v>
      </c>
      <c r="H4431">
        <v>5202252404</v>
      </c>
      <c r="K4431" t="s">
        <v>11734</v>
      </c>
      <c r="L4431" t="s">
        <v>1647</v>
      </c>
      <c r="M4431" t="s">
        <v>1634</v>
      </c>
    </row>
    <row r="4432" spans="1:13" x14ac:dyDescent="0.25">
      <c r="A4432">
        <v>80039</v>
      </c>
      <c r="B4432" t="s">
        <v>11735</v>
      </c>
      <c r="C4432" t="s">
        <v>11736</v>
      </c>
      <c r="D4432" t="s">
        <v>1643</v>
      </c>
      <c r="E4432" t="s">
        <v>3494</v>
      </c>
      <c r="F4432" t="s">
        <v>1908</v>
      </c>
      <c r="G4432" t="s">
        <v>11737</v>
      </c>
      <c r="H4432">
        <v>5202255700</v>
      </c>
      <c r="K4432" t="s">
        <v>11738</v>
      </c>
      <c r="L4432" t="s">
        <v>1647</v>
      </c>
      <c r="M4432" t="s">
        <v>1634</v>
      </c>
    </row>
    <row r="4433" spans="1:13" x14ac:dyDescent="0.25">
      <c r="A4433">
        <v>5708</v>
      </c>
      <c r="B4433" t="s">
        <v>11739</v>
      </c>
      <c r="C4433" t="s">
        <v>11740</v>
      </c>
      <c r="D4433" t="s">
        <v>1643</v>
      </c>
      <c r="E4433" t="s">
        <v>3494</v>
      </c>
    </row>
    <row r="4434" spans="1:13" x14ac:dyDescent="0.25">
      <c r="A4434">
        <v>5712</v>
      </c>
      <c r="B4434" t="s">
        <v>11741</v>
      </c>
      <c r="C4434" t="s">
        <v>11742</v>
      </c>
      <c r="D4434" t="s">
        <v>1643</v>
      </c>
      <c r="E4434" t="s">
        <v>3494</v>
      </c>
      <c r="F4434" t="s">
        <v>2479</v>
      </c>
      <c r="G4434" t="s">
        <v>2142</v>
      </c>
      <c r="H4434">
        <v>5209084304</v>
      </c>
      <c r="J4434">
        <v>5209084301</v>
      </c>
      <c r="K4434" t="s">
        <v>11743</v>
      </c>
      <c r="L4434" t="s">
        <v>1647</v>
      </c>
      <c r="M4434" t="s">
        <v>1634</v>
      </c>
    </row>
    <row r="4435" spans="1:13" x14ac:dyDescent="0.25">
      <c r="A4435">
        <v>5712</v>
      </c>
      <c r="B4435" t="s">
        <v>11741</v>
      </c>
      <c r="C4435" t="s">
        <v>11742</v>
      </c>
      <c r="D4435" t="s">
        <v>1643</v>
      </c>
      <c r="E4435" t="s">
        <v>3494</v>
      </c>
      <c r="F4435" t="s">
        <v>11744</v>
      </c>
      <c r="G4435" t="s">
        <v>8471</v>
      </c>
      <c r="H4435">
        <v>5209084300</v>
      </c>
      <c r="J4435">
        <v>5209084301</v>
      </c>
      <c r="K4435" t="s">
        <v>11745</v>
      </c>
      <c r="L4435" t="s">
        <v>2446</v>
      </c>
      <c r="M4435" t="s">
        <v>1640</v>
      </c>
    </row>
    <row r="4436" spans="1:13" x14ac:dyDescent="0.25">
      <c r="A4436">
        <v>5713</v>
      </c>
      <c r="B4436" t="s">
        <v>1434</v>
      </c>
      <c r="C4436" t="s">
        <v>11746</v>
      </c>
      <c r="D4436" t="s">
        <v>1643</v>
      </c>
      <c r="E4436" t="s">
        <v>3494</v>
      </c>
    </row>
    <row r="4437" spans="1:13" x14ac:dyDescent="0.25">
      <c r="A4437">
        <v>5715</v>
      </c>
      <c r="B4437" t="s">
        <v>1518</v>
      </c>
      <c r="C4437" t="s">
        <v>11747</v>
      </c>
      <c r="D4437" t="s">
        <v>1643</v>
      </c>
      <c r="E4437" t="s">
        <v>3494</v>
      </c>
      <c r="F4437" t="s">
        <v>2505</v>
      </c>
      <c r="G4437" t="s">
        <v>11748</v>
      </c>
      <c r="H4437">
        <v>5209084400</v>
      </c>
      <c r="K4437" t="s">
        <v>11749</v>
      </c>
      <c r="L4437" t="s">
        <v>1647</v>
      </c>
      <c r="M4437" t="s">
        <v>1634</v>
      </c>
    </row>
    <row r="4438" spans="1:13" x14ac:dyDescent="0.25">
      <c r="A4438">
        <v>5719</v>
      </c>
      <c r="B4438" t="s">
        <v>11750</v>
      </c>
      <c r="C4438" t="s">
        <v>11751</v>
      </c>
      <c r="D4438" t="s">
        <v>1643</v>
      </c>
      <c r="E4438" t="s">
        <v>3494</v>
      </c>
      <c r="F4438" t="s">
        <v>1820</v>
      </c>
      <c r="G4438" t="s">
        <v>11752</v>
      </c>
      <c r="H4438">
        <v>5205847200</v>
      </c>
      <c r="K4438" t="s">
        <v>11753</v>
      </c>
      <c r="L4438" t="s">
        <v>1647</v>
      </c>
      <c r="M4438" t="s">
        <v>1634</v>
      </c>
    </row>
    <row r="4439" spans="1:13" x14ac:dyDescent="0.25">
      <c r="A4439">
        <v>5721</v>
      </c>
      <c r="B4439" t="s">
        <v>11754</v>
      </c>
      <c r="C4439" t="s">
        <v>11755</v>
      </c>
      <c r="D4439" t="s">
        <v>1643</v>
      </c>
      <c r="E4439" t="s">
        <v>3494</v>
      </c>
      <c r="F4439" t="s">
        <v>1661</v>
      </c>
      <c r="G4439" t="s">
        <v>11756</v>
      </c>
      <c r="H4439">
        <v>5207315400</v>
      </c>
      <c r="J4439">
        <v>5207315401</v>
      </c>
      <c r="K4439" t="s">
        <v>11757</v>
      </c>
      <c r="M4439" t="s">
        <v>1634</v>
      </c>
    </row>
    <row r="4440" spans="1:13" x14ac:dyDescent="0.25">
      <c r="A4440">
        <v>5723</v>
      </c>
      <c r="B4440" t="s">
        <v>11758</v>
      </c>
      <c r="C4440" t="s">
        <v>11759</v>
      </c>
      <c r="D4440" t="s">
        <v>1643</v>
      </c>
      <c r="E4440" t="s">
        <v>3494</v>
      </c>
    </row>
    <row r="4441" spans="1:13" x14ac:dyDescent="0.25">
      <c r="A4441">
        <v>5724</v>
      </c>
      <c r="B4441" t="s">
        <v>11760</v>
      </c>
      <c r="C4441" t="s">
        <v>11761</v>
      </c>
      <c r="D4441" t="s">
        <v>1643</v>
      </c>
      <c r="E4441" t="s">
        <v>3494</v>
      </c>
      <c r="F4441" t="s">
        <v>2756</v>
      </c>
      <c r="G4441" t="s">
        <v>2440</v>
      </c>
      <c r="H4441">
        <v>5202253304</v>
      </c>
      <c r="K4441" t="s">
        <v>11762</v>
      </c>
      <c r="L4441" t="s">
        <v>1647</v>
      </c>
      <c r="M4441" t="s">
        <v>1634</v>
      </c>
    </row>
    <row r="4442" spans="1:13" x14ac:dyDescent="0.25">
      <c r="A4442">
        <v>5725</v>
      </c>
      <c r="B4442" t="s">
        <v>1529</v>
      </c>
      <c r="C4442" t="s">
        <v>11763</v>
      </c>
      <c r="D4442" t="s">
        <v>1643</v>
      </c>
      <c r="E4442" t="s">
        <v>3494</v>
      </c>
    </row>
    <row r="4443" spans="1:13" x14ac:dyDescent="0.25">
      <c r="A4443">
        <v>5726</v>
      </c>
      <c r="B4443" t="s">
        <v>799</v>
      </c>
      <c r="C4443" t="s">
        <v>11764</v>
      </c>
      <c r="D4443" t="s">
        <v>1643</v>
      </c>
      <c r="E4443" t="s">
        <v>3494</v>
      </c>
      <c r="F4443" t="s">
        <v>11765</v>
      </c>
      <c r="G4443" t="s">
        <v>1840</v>
      </c>
      <c r="K4443" t="s">
        <v>11766</v>
      </c>
      <c r="L4443" t="s">
        <v>1647</v>
      </c>
      <c r="M4443" t="s">
        <v>1634</v>
      </c>
    </row>
    <row r="4444" spans="1:13" x14ac:dyDescent="0.25">
      <c r="A4444">
        <v>5726</v>
      </c>
      <c r="B4444" t="s">
        <v>799</v>
      </c>
      <c r="C4444" t="s">
        <v>11764</v>
      </c>
      <c r="D4444" t="s">
        <v>1643</v>
      </c>
      <c r="E4444" t="s">
        <v>3494</v>
      </c>
      <c r="F4444" t="s">
        <v>7003</v>
      </c>
      <c r="G4444" t="s">
        <v>11767</v>
      </c>
      <c r="H4444">
        <v>5202253705</v>
      </c>
      <c r="J4444">
        <v>5202253701</v>
      </c>
      <c r="K4444" t="s">
        <v>11768</v>
      </c>
      <c r="L4444" t="s">
        <v>2446</v>
      </c>
      <c r="M4444" t="s">
        <v>1640</v>
      </c>
    </row>
    <row r="4445" spans="1:13" x14ac:dyDescent="0.25">
      <c r="A4445">
        <v>5728</v>
      </c>
      <c r="B4445" t="s">
        <v>11769</v>
      </c>
      <c r="C4445" t="s">
        <v>11770</v>
      </c>
      <c r="D4445" t="s">
        <v>1643</v>
      </c>
      <c r="E4445" t="s">
        <v>3494</v>
      </c>
      <c r="F4445" t="s">
        <v>3162</v>
      </c>
      <c r="G4445" t="s">
        <v>11771</v>
      </c>
      <c r="K4445" t="s">
        <v>11772</v>
      </c>
      <c r="L4445" t="s">
        <v>1647</v>
      </c>
      <c r="M4445" t="s">
        <v>1634</v>
      </c>
    </row>
    <row r="4446" spans="1:13" x14ac:dyDescent="0.25">
      <c r="A4446">
        <v>5728</v>
      </c>
      <c r="B4446" t="s">
        <v>11769</v>
      </c>
      <c r="C4446" t="s">
        <v>11770</v>
      </c>
      <c r="D4446" t="s">
        <v>1643</v>
      </c>
      <c r="E4446" t="s">
        <v>3494</v>
      </c>
      <c r="F4446" t="s">
        <v>1935</v>
      </c>
      <c r="G4446" t="s">
        <v>4078</v>
      </c>
      <c r="H4446">
        <v>5209084600</v>
      </c>
      <c r="J4446">
        <v>5209084601</v>
      </c>
      <c r="K4446" t="s">
        <v>11773</v>
      </c>
      <c r="L4446" t="s">
        <v>2446</v>
      </c>
      <c r="M4446" t="s">
        <v>1640</v>
      </c>
    </row>
    <row r="4447" spans="1:13" x14ac:dyDescent="0.25">
      <c r="A4447">
        <v>5729</v>
      </c>
      <c r="B4447" t="s">
        <v>11774</v>
      </c>
      <c r="C4447" t="s">
        <v>11775</v>
      </c>
      <c r="D4447" t="s">
        <v>1643</v>
      </c>
      <c r="E4447" t="s">
        <v>3494</v>
      </c>
    </row>
    <row r="4448" spans="1:13" x14ac:dyDescent="0.25">
      <c r="A4448">
        <v>5730</v>
      </c>
      <c r="B4448" t="s">
        <v>11776</v>
      </c>
      <c r="C4448" t="s">
        <v>11777</v>
      </c>
      <c r="D4448" t="s">
        <v>1643</v>
      </c>
      <c r="E4448" t="s">
        <v>3494</v>
      </c>
    </row>
    <row r="4449" spans="1:13" x14ac:dyDescent="0.25">
      <c r="A4449">
        <v>5731</v>
      </c>
      <c r="B4449" t="s">
        <v>11778</v>
      </c>
      <c r="C4449" t="s">
        <v>11779</v>
      </c>
      <c r="D4449" t="s">
        <v>1643</v>
      </c>
      <c r="E4449" t="s">
        <v>3494</v>
      </c>
      <c r="F4449" t="s">
        <v>5965</v>
      </c>
      <c r="G4449" t="s">
        <v>3299</v>
      </c>
      <c r="H4449">
        <v>5209085300</v>
      </c>
      <c r="K4449" t="s">
        <v>11780</v>
      </c>
      <c r="L4449" t="s">
        <v>1647</v>
      </c>
      <c r="M4449" t="s">
        <v>1634</v>
      </c>
    </row>
    <row r="4450" spans="1:13" x14ac:dyDescent="0.25">
      <c r="A4450">
        <v>5732</v>
      </c>
      <c r="B4450" t="s">
        <v>11781</v>
      </c>
      <c r="C4450" t="s">
        <v>11782</v>
      </c>
      <c r="D4450" t="s">
        <v>1643</v>
      </c>
      <c r="E4450" t="s">
        <v>3494</v>
      </c>
      <c r="F4450" t="s">
        <v>1779</v>
      </c>
      <c r="G4450" t="s">
        <v>11783</v>
      </c>
      <c r="H4450">
        <v>5202328000</v>
      </c>
      <c r="K4450" t="s">
        <v>11784</v>
      </c>
      <c r="L4450" t="s">
        <v>1647</v>
      </c>
      <c r="M4450" t="s">
        <v>1634</v>
      </c>
    </row>
    <row r="4451" spans="1:13" x14ac:dyDescent="0.25">
      <c r="A4451">
        <v>5733</v>
      </c>
      <c r="B4451" t="s">
        <v>822</v>
      </c>
      <c r="C4451" t="s">
        <v>11785</v>
      </c>
      <c r="D4451" t="s">
        <v>1643</v>
      </c>
      <c r="E4451" t="s">
        <v>3494</v>
      </c>
    </row>
    <row r="4452" spans="1:13" x14ac:dyDescent="0.25">
      <c r="A4452">
        <v>5735</v>
      </c>
      <c r="B4452" t="s">
        <v>11786</v>
      </c>
      <c r="C4452" t="s">
        <v>11787</v>
      </c>
      <c r="D4452" t="s">
        <v>1643</v>
      </c>
      <c r="E4452" t="s">
        <v>3494</v>
      </c>
    </row>
    <row r="4453" spans="1:13" x14ac:dyDescent="0.25">
      <c r="A4453">
        <v>5737</v>
      </c>
      <c r="B4453" t="s">
        <v>820</v>
      </c>
      <c r="C4453" t="s">
        <v>11788</v>
      </c>
      <c r="D4453" t="s">
        <v>1643</v>
      </c>
      <c r="E4453" t="s">
        <v>3494</v>
      </c>
      <c r="F4453" t="s">
        <v>11307</v>
      </c>
      <c r="G4453" t="s">
        <v>2310</v>
      </c>
      <c r="H4453">
        <v>5202326900</v>
      </c>
      <c r="K4453" t="s">
        <v>11789</v>
      </c>
      <c r="L4453" t="s">
        <v>1647</v>
      </c>
      <c r="M4453" t="s">
        <v>1634</v>
      </c>
    </row>
    <row r="4454" spans="1:13" x14ac:dyDescent="0.25">
      <c r="A4454">
        <v>5738</v>
      </c>
      <c r="B4454" t="s">
        <v>11790</v>
      </c>
      <c r="C4454" t="s">
        <v>11791</v>
      </c>
      <c r="D4454" t="s">
        <v>1643</v>
      </c>
      <c r="E4454" t="s">
        <v>3494</v>
      </c>
    </row>
    <row r="4455" spans="1:13" x14ac:dyDescent="0.25">
      <c r="A4455">
        <v>5739</v>
      </c>
      <c r="B4455" t="s">
        <v>11792</v>
      </c>
      <c r="C4455" t="s">
        <v>11793</v>
      </c>
      <c r="D4455" t="s">
        <v>1643</v>
      </c>
      <c r="E4455" t="s">
        <v>3494</v>
      </c>
      <c r="F4455" t="s">
        <v>5780</v>
      </c>
      <c r="G4455" t="s">
        <v>11794</v>
      </c>
      <c r="H4455">
        <v>5207314600</v>
      </c>
      <c r="K4455" t="s">
        <v>11795</v>
      </c>
      <c r="L4455" t="s">
        <v>1647</v>
      </c>
      <c r="M4455" t="s">
        <v>1634</v>
      </c>
    </row>
    <row r="4456" spans="1:13" x14ac:dyDescent="0.25">
      <c r="A4456">
        <v>5741</v>
      </c>
      <c r="B4456" t="s">
        <v>11796</v>
      </c>
      <c r="C4456" t="s">
        <v>11797</v>
      </c>
      <c r="D4456" t="s">
        <v>1643</v>
      </c>
      <c r="E4456" t="s">
        <v>3494</v>
      </c>
    </row>
    <row r="4457" spans="1:13" x14ac:dyDescent="0.25">
      <c r="A4457">
        <v>5742</v>
      </c>
      <c r="B4457" t="s">
        <v>11798</v>
      </c>
      <c r="C4457" t="s">
        <v>11799</v>
      </c>
      <c r="D4457" t="s">
        <v>1643</v>
      </c>
      <c r="E4457" t="s">
        <v>3494</v>
      </c>
    </row>
    <row r="4458" spans="1:13" x14ac:dyDescent="0.25">
      <c r="A4458">
        <v>92239</v>
      </c>
      <c r="B4458" t="s">
        <v>11800</v>
      </c>
      <c r="C4458" t="s">
        <v>11801</v>
      </c>
      <c r="D4458" t="s">
        <v>1643</v>
      </c>
      <c r="E4458" t="s">
        <v>3494</v>
      </c>
      <c r="F4458" t="s">
        <v>5780</v>
      </c>
      <c r="G4458" t="s">
        <v>11802</v>
      </c>
      <c r="H4458">
        <v>5204812172</v>
      </c>
      <c r="L4458" t="s">
        <v>1647</v>
      </c>
      <c r="M4458" t="s">
        <v>1634</v>
      </c>
    </row>
    <row r="4459" spans="1:13" x14ac:dyDescent="0.25">
      <c r="A4459">
        <v>91202</v>
      </c>
      <c r="B4459" t="s">
        <v>11803</v>
      </c>
      <c r="C4459" t="s">
        <v>11804</v>
      </c>
      <c r="D4459" t="s">
        <v>1643</v>
      </c>
      <c r="E4459" t="s">
        <v>3494</v>
      </c>
      <c r="F4459" t="s">
        <v>1931</v>
      </c>
      <c r="G4459" t="s">
        <v>11805</v>
      </c>
      <c r="H4459">
        <v>5208772004</v>
      </c>
      <c r="K4459" t="s">
        <v>11806</v>
      </c>
      <c r="L4459" t="s">
        <v>1647</v>
      </c>
      <c r="M4459" t="s">
        <v>1634</v>
      </c>
    </row>
    <row r="4460" spans="1:13" x14ac:dyDescent="0.25">
      <c r="A4460">
        <v>5744</v>
      </c>
      <c r="B4460" t="s">
        <v>824</v>
      </c>
      <c r="C4460" t="s">
        <v>11807</v>
      </c>
      <c r="D4460" t="s">
        <v>1643</v>
      </c>
      <c r="E4460" t="s">
        <v>3494</v>
      </c>
      <c r="F4460" t="s">
        <v>11808</v>
      </c>
      <c r="G4460" t="s">
        <v>11809</v>
      </c>
      <c r="H4460">
        <v>5205846804</v>
      </c>
      <c r="K4460" t="s">
        <v>11810</v>
      </c>
      <c r="L4460" t="s">
        <v>1647</v>
      </c>
      <c r="M4460" t="s">
        <v>1634</v>
      </c>
    </row>
    <row r="4461" spans="1:13" x14ac:dyDescent="0.25">
      <c r="A4461">
        <v>5745</v>
      </c>
      <c r="B4461" t="s">
        <v>11811</v>
      </c>
      <c r="C4461" t="s">
        <v>11812</v>
      </c>
      <c r="D4461" t="s">
        <v>1643</v>
      </c>
      <c r="E4461" t="s">
        <v>3494</v>
      </c>
    </row>
    <row r="4462" spans="1:13" x14ac:dyDescent="0.25">
      <c r="A4462">
        <v>5746</v>
      </c>
      <c r="B4462" t="s">
        <v>795</v>
      </c>
      <c r="C4462" t="s">
        <v>11813</v>
      </c>
      <c r="D4462" t="s">
        <v>1643</v>
      </c>
      <c r="E4462" t="s">
        <v>3494</v>
      </c>
      <c r="F4462" t="s">
        <v>2997</v>
      </c>
      <c r="G4462" t="s">
        <v>8432</v>
      </c>
      <c r="H4462">
        <v>5202253014</v>
      </c>
      <c r="K4462" t="s">
        <v>11814</v>
      </c>
      <c r="L4462" t="s">
        <v>1647</v>
      </c>
      <c r="M4462" t="s">
        <v>1634</v>
      </c>
    </row>
    <row r="4463" spans="1:13" x14ac:dyDescent="0.25">
      <c r="A4463">
        <v>5747</v>
      </c>
      <c r="B4463" t="s">
        <v>831</v>
      </c>
      <c r="C4463" t="s">
        <v>11815</v>
      </c>
      <c r="D4463" t="s">
        <v>1643</v>
      </c>
      <c r="E4463" t="s">
        <v>3494</v>
      </c>
      <c r="F4463" t="s">
        <v>2330</v>
      </c>
      <c r="G4463" t="s">
        <v>2506</v>
      </c>
      <c r="H4463">
        <v>5207315304</v>
      </c>
      <c r="K4463" t="s">
        <v>11816</v>
      </c>
      <c r="L4463" t="s">
        <v>1647</v>
      </c>
      <c r="M4463" t="s">
        <v>1634</v>
      </c>
    </row>
    <row r="4464" spans="1:13" x14ac:dyDescent="0.25">
      <c r="A4464">
        <v>5749</v>
      </c>
      <c r="B4464" t="s">
        <v>1448</v>
      </c>
      <c r="C4464" t="s">
        <v>11817</v>
      </c>
      <c r="D4464" t="s">
        <v>1643</v>
      </c>
      <c r="E4464" t="s">
        <v>3494</v>
      </c>
      <c r="F4464" t="s">
        <v>2663</v>
      </c>
      <c r="G4464" t="s">
        <v>11818</v>
      </c>
      <c r="H4464">
        <v>5202253502</v>
      </c>
      <c r="K4464" t="s">
        <v>11819</v>
      </c>
      <c r="L4464" t="s">
        <v>1647</v>
      </c>
      <c r="M4464" t="s">
        <v>1634</v>
      </c>
    </row>
    <row r="4465" spans="1:13" x14ac:dyDescent="0.25">
      <c r="A4465">
        <v>5750</v>
      </c>
      <c r="B4465" t="s">
        <v>11820</v>
      </c>
      <c r="C4465" t="s">
        <v>11821</v>
      </c>
      <c r="D4465" t="s">
        <v>1643</v>
      </c>
      <c r="E4465" t="s">
        <v>3494</v>
      </c>
      <c r="F4465" t="s">
        <v>2429</v>
      </c>
      <c r="G4465" t="s">
        <v>11822</v>
      </c>
      <c r="H4465">
        <v>5202253504</v>
      </c>
      <c r="K4465" t="s">
        <v>11823</v>
      </c>
      <c r="L4465" t="s">
        <v>1647</v>
      </c>
      <c r="M4465" t="s">
        <v>1634</v>
      </c>
    </row>
    <row r="4466" spans="1:13" x14ac:dyDescent="0.25">
      <c r="A4466">
        <v>5751</v>
      </c>
      <c r="B4466" t="s">
        <v>772</v>
      </c>
      <c r="C4466" t="s">
        <v>11824</v>
      </c>
      <c r="D4466" t="s">
        <v>1643</v>
      </c>
      <c r="E4466" t="s">
        <v>3494</v>
      </c>
      <c r="F4466" t="s">
        <v>4581</v>
      </c>
      <c r="G4466" t="s">
        <v>7081</v>
      </c>
      <c r="H4466">
        <v>5209084500</v>
      </c>
      <c r="J4466">
        <v>5209084501</v>
      </c>
      <c r="K4466" t="s">
        <v>11825</v>
      </c>
      <c r="L4466" t="s">
        <v>1647</v>
      </c>
      <c r="M4466" t="s">
        <v>1634</v>
      </c>
    </row>
    <row r="4467" spans="1:13" x14ac:dyDescent="0.25">
      <c r="A4467">
        <v>5752</v>
      </c>
      <c r="B4467" t="s">
        <v>11826</v>
      </c>
      <c r="C4467" t="s">
        <v>11827</v>
      </c>
      <c r="D4467" t="s">
        <v>1643</v>
      </c>
      <c r="E4467" t="s">
        <v>3494</v>
      </c>
    </row>
    <row r="4468" spans="1:13" x14ac:dyDescent="0.25">
      <c r="A4468">
        <v>5755</v>
      </c>
      <c r="B4468" t="s">
        <v>11828</v>
      </c>
      <c r="C4468" t="s">
        <v>11829</v>
      </c>
      <c r="D4468" t="s">
        <v>1643</v>
      </c>
      <c r="E4468" t="s">
        <v>3494</v>
      </c>
      <c r="F4468" t="s">
        <v>9921</v>
      </c>
      <c r="G4468" t="s">
        <v>3843</v>
      </c>
      <c r="H4468">
        <v>5202252904</v>
      </c>
      <c r="K4468" t="s">
        <v>11830</v>
      </c>
      <c r="L4468" t="s">
        <v>1647</v>
      </c>
      <c r="M4468" t="s">
        <v>1634</v>
      </c>
    </row>
    <row r="4469" spans="1:13" x14ac:dyDescent="0.25">
      <c r="A4469">
        <v>5756</v>
      </c>
      <c r="B4469" t="s">
        <v>1008</v>
      </c>
      <c r="C4469" t="s">
        <v>11831</v>
      </c>
      <c r="D4469" t="s">
        <v>1643</v>
      </c>
      <c r="E4469" t="s">
        <v>3494</v>
      </c>
      <c r="F4469" t="s">
        <v>11832</v>
      </c>
      <c r="G4469" t="s">
        <v>11833</v>
      </c>
      <c r="H4469">
        <v>5202328404</v>
      </c>
      <c r="K4469" t="s">
        <v>11834</v>
      </c>
      <c r="L4469" t="s">
        <v>1647</v>
      </c>
      <c r="M4469" t="s">
        <v>1634</v>
      </c>
    </row>
    <row r="4470" spans="1:13" x14ac:dyDescent="0.25">
      <c r="A4470">
        <v>5756</v>
      </c>
      <c r="B4470" t="s">
        <v>1008</v>
      </c>
      <c r="C4470" t="s">
        <v>11831</v>
      </c>
      <c r="D4470" t="s">
        <v>1643</v>
      </c>
      <c r="E4470" t="s">
        <v>3494</v>
      </c>
      <c r="F4470" t="s">
        <v>9338</v>
      </c>
      <c r="G4470" t="s">
        <v>5424</v>
      </c>
      <c r="H4470">
        <v>5202328404</v>
      </c>
      <c r="K4470" t="s">
        <v>11835</v>
      </c>
      <c r="L4470" t="s">
        <v>1647</v>
      </c>
      <c r="M4470" t="s">
        <v>1634</v>
      </c>
    </row>
    <row r="4471" spans="1:13" x14ac:dyDescent="0.25">
      <c r="A4471">
        <v>5757</v>
      </c>
      <c r="B4471" t="s">
        <v>11836</v>
      </c>
      <c r="C4471" t="s">
        <v>11837</v>
      </c>
      <c r="D4471" t="s">
        <v>1643</v>
      </c>
      <c r="E4471" t="s">
        <v>3494</v>
      </c>
      <c r="F4471" t="s">
        <v>2089</v>
      </c>
      <c r="G4471" t="s">
        <v>3198</v>
      </c>
      <c r="H4471">
        <v>5202254004</v>
      </c>
      <c r="K4471" t="s">
        <v>11838</v>
      </c>
      <c r="L4471" t="s">
        <v>1647</v>
      </c>
      <c r="M4471" t="s">
        <v>1634</v>
      </c>
    </row>
    <row r="4472" spans="1:13" x14ac:dyDescent="0.25">
      <c r="A4472">
        <v>5757</v>
      </c>
      <c r="B4472" t="s">
        <v>11836</v>
      </c>
      <c r="C4472" t="s">
        <v>11837</v>
      </c>
      <c r="D4472" t="s">
        <v>1643</v>
      </c>
      <c r="E4472" t="s">
        <v>3494</v>
      </c>
      <c r="F4472" t="s">
        <v>5611</v>
      </c>
      <c r="G4472" t="s">
        <v>11839</v>
      </c>
      <c r="H4472">
        <v>5202254202</v>
      </c>
      <c r="K4472" t="s">
        <v>11840</v>
      </c>
      <c r="L4472" t="s">
        <v>1728</v>
      </c>
      <c r="M4472" t="s">
        <v>1640</v>
      </c>
    </row>
    <row r="4473" spans="1:13" x14ac:dyDescent="0.25">
      <c r="A4473">
        <v>5757</v>
      </c>
      <c r="B4473" t="s">
        <v>11836</v>
      </c>
      <c r="C4473" t="s">
        <v>11837</v>
      </c>
      <c r="D4473" t="s">
        <v>1643</v>
      </c>
      <c r="E4473" t="s">
        <v>3494</v>
      </c>
      <c r="F4473" t="s">
        <v>11841</v>
      </c>
      <c r="G4473" t="s">
        <v>11842</v>
      </c>
      <c r="H4473">
        <v>5202254202</v>
      </c>
      <c r="K4473" t="s">
        <v>11843</v>
      </c>
      <c r="L4473" t="s">
        <v>11844</v>
      </c>
      <c r="M4473" t="s">
        <v>1640</v>
      </c>
    </row>
    <row r="4474" spans="1:13" x14ac:dyDescent="0.25">
      <c r="A4474">
        <v>5758</v>
      </c>
      <c r="B4474" t="s">
        <v>11845</v>
      </c>
      <c r="C4474" t="s">
        <v>11846</v>
      </c>
      <c r="D4474" t="s">
        <v>1643</v>
      </c>
      <c r="E4474" t="s">
        <v>3494</v>
      </c>
      <c r="F4474" t="s">
        <v>3024</v>
      </c>
      <c r="G4474" t="s">
        <v>11847</v>
      </c>
      <c r="H4474">
        <v>5205847403</v>
      </c>
      <c r="K4474" t="s">
        <v>11848</v>
      </c>
      <c r="L4474" t="s">
        <v>1647</v>
      </c>
      <c r="M4474" t="s">
        <v>1634</v>
      </c>
    </row>
    <row r="4475" spans="1:13" x14ac:dyDescent="0.25">
      <c r="A4475">
        <v>5759</v>
      </c>
      <c r="B4475" t="s">
        <v>991</v>
      </c>
      <c r="C4475" t="s">
        <v>11849</v>
      </c>
      <c r="D4475" t="s">
        <v>1643</v>
      </c>
      <c r="E4475" t="s">
        <v>3494</v>
      </c>
    </row>
    <row r="4476" spans="1:13" x14ac:dyDescent="0.25">
      <c r="A4476">
        <v>5760</v>
      </c>
      <c r="B4476" t="s">
        <v>11850</v>
      </c>
      <c r="C4476" t="s">
        <v>11851</v>
      </c>
      <c r="D4476" t="s">
        <v>1643</v>
      </c>
      <c r="E4476" t="s">
        <v>3494</v>
      </c>
    </row>
    <row r="4477" spans="1:13" x14ac:dyDescent="0.25">
      <c r="A4477">
        <v>5761</v>
      </c>
      <c r="B4477" t="s">
        <v>11852</v>
      </c>
      <c r="C4477" t="s">
        <v>11853</v>
      </c>
      <c r="D4477" t="s">
        <v>1643</v>
      </c>
      <c r="E4477" t="s">
        <v>3494</v>
      </c>
      <c r="F4477" t="s">
        <v>2992</v>
      </c>
      <c r="G4477" t="s">
        <v>11854</v>
      </c>
      <c r="L4477" t="s">
        <v>1647</v>
      </c>
      <c r="M4477" t="s">
        <v>1634</v>
      </c>
    </row>
    <row r="4478" spans="1:13" x14ac:dyDescent="0.25">
      <c r="A4478">
        <v>5762</v>
      </c>
      <c r="B4478" t="s">
        <v>11855</v>
      </c>
      <c r="C4478" t="s">
        <v>11856</v>
      </c>
      <c r="D4478" t="s">
        <v>1643</v>
      </c>
      <c r="E4478" t="s">
        <v>3494</v>
      </c>
      <c r="F4478" t="s">
        <v>11765</v>
      </c>
      <c r="G4478" t="s">
        <v>11857</v>
      </c>
      <c r="H4478">
        <v>5207317103</v>
      </c>
      <c r="K4478" t="s">
        <v>11858</v>
      </c>
      <c r="L4478" t="s">
        <v>1647</v>
      </c>
      <c r="M4478" t="s">
        <v>1634</v>
      </c>
    </row>
    <row r="4479" spans="1:13" x14ac:dyDescent="0.25">
      <c r="A4479">
        <v>5763</v>
      </c>
      <c r="B4479" t="s">
        <v>11859</v>
      </c>
      <c r="C4479" t="s">
        <v>11860</v>
      </c>
      <c r="D4479" t="s">
        <v>1643</v>
      </c>
      <c r="E4479" t="s">
        <v>3494</v>
      </c>
      <c r="F4479" t="s">
        <v>2429</v>
      </c>
      <c r="G4479" t="s">
        <v>2037</v>
      </c>
      <c r="H4479">
        <v>5207317500</v>
      </c>
      <c r="K4479" t="s">
        <v>11861</v>
      </c>
      <c r="L4479" t="s">
        <v>1647</v>
      </c>
      <c r="M4479" t="s">
        <v>1634</v>
      </c>
    </row>
    <row r="4480" spans="1:13" x14ac:dyDescent="0.25">
      <c r="A4480">
        <v>5764</v>
      </c>
      <c r="B4480" t="s">
        <v>11862</v>
      </c>
      <c r="C4480" t="s">
        <v>11863</v>
      </c>
      <c r="D4480" t="s">
        <v>1643</v>
      </c>
      <c r="E4480" t="s">
        <v>3494</v>
      </c>
      <c r="F4480" t="s">
        <v>7571</v>
      </c>
      <c r="G4480" t="s">
        <v>2162</v>
      </c>
      <c r="H4480">
        <v>5202255003</v>
      </c>
      <c r="K4480" t="s">
        <v>11864</v>
      </c>
      <c r="L4480" t="s">
        <v>1721</v>
      </c>
      <c r="M4480" t="s">
        <v>1634</v>
      </c>
    </row>
    <row r="4481" spans="1:13" x14ac:dyDescent="0.25">
      <c r="A4481">
        <v>6264</v>
      </c>
      <c r="B4481" t="s">
        <v>11865</v>
      </c>
      <c r="C4481" t="s">
        <v>11866</v>
      </c>
      <c r="D4481" t="s">
        <v>1643</v>
      </c>
      <c r="E4481" t="s">
        <v>3494</v>
      </c>
      <c r="F4481" t="s">
        <v>11867</v>
      </c>
      <c r="G4481" t="s">
        <v>11868</v>
      </c>
      <c r="H4481">
        <v>5202252600</v>
      </c>
      <c r="K4481" t="s">
        <v>11869</v>
      </c>
      <c r="L4481" t="s">
        <v>1647</v>
      </c>
      <c r="M4481" t="s">
        <v>1634</v>
      </c>
    </row>
    <row r="4482" spans="1:13" x14ac:dyDescent="0.25">
      <c r="A4482">
        <v>5766</v>
      </c>
      <c r="B4482" t="s">
        <v>7677</v>
      </c>
      <c r="C4482" t="s">
        <v>11870</v>
      </c>
      <c r="D4482" t="s">
        <v>1643</v>
      </c>
      <c r="E4482" t="s">
        <v>3494</v>
      </c>
      <c r="F4482" t="s">
        <v>3428</v>
      </c>
      <c r="G4482" t="s">
        <v>11871</v>
      </c>
      <c r="H4482">
        <v>5202325903</v>
      </c>
      <c r="K4482" t="s">
        <v>11872</v>
      </c>
      <c r="L4482" t="s">
        <v>1721</v>
      </c>
      <c r="M4482" t="s">
        <v>1634</v>
      </c>
    </row>
    <row r="4483" spans="1:13" x14ac:dyDescent="0.25">
      <c r="A4483">
        <v>6272</v>
      </c>
      <c r="B4483" t="s">
        <v>11873</v>
      </c>
      <c r="C4483" t="s">
        <v>11874</v>
      </c>
      <c r="D4483" t="s">
        <v>1643</v>
      </c>
      <c r="E4483" t="s">
        <v>3494</v>
      </c>
      <c r="F4483" t="s">
        <v>3533</v>
      </c>
      <c r="G4483" t="s">
        <v>11875</v>
      </c>
      <c r="K4483" t="s">
        <v>11876</v>
      </c>
      <c r="L4483" t="s">
        <v>1647</v>
      </c>
      <c r="M4483" t="s">
        <v>1634</v>
      </c>
    </row>
    <row r="4484" spans="1:13" x14ac:dyDescent="0.25">
      <c r="A4484">
        <v>1001156</v>
      </c>
      <c r="B4484" t="s">
        <v>11877</v>
      </c>
      <c r="C4484" t="s">
        <v>11878</v>
      </c>
      <c r="D4484" t="s">
        <v>1643</v>
      </c>
      <c r="E4484" t="s">
        <v>3494</v>
      </c>
    </row>
    <row r="4485" spans="1:13" x14ac:dyDescent="0.25">
      <c r="A4485">
        <v>85924</v>
      </c>
      <c r="B4485" t="s">
        <v>11879</v>
      </c>
      <c r="C4485" t="s">
        <v>11880</v>
      </c>
      <c r="D4485" t="s">
        <v>1643</v>
      </c>
      <c r="E4485" t="s">
        <v>3494</v>
      </c>
    </row>
    <row r="4486" spans="1:13" x14ac:dyDescent="0.25">
      <c r="A4486">
        <v>87481</v>
      </c>
      <c r="B4486" t="s">
        <v>11881</v>
      </c>
      <c r="C4486" t="s">
        <v>11882</v>
      </c>
      <c r="D4486" t="s">
        <v>1643</v>
      </c>
      <c r="E4486" t="s">
        <v>3494</v>
      </c>
    </row>
    <row r="4487" spans="1:13" x14ac:dyDescent="0.25">
      <c r="A4487">
        <v>4404</v>
      </c>
      <c r="B4487" t="s">
        <v>1348</v>
      </c>
      <c r="C4487" t="s">
        <v>11883</v>
      </c>
      <c r="D4487" t="s">
        <v>1628</v>
      </c>
      <c r="E4487" t="s">
        <v>3494</v>
      </c>
      <c r="F4487" t="s">
        <v>1925</v>
      </c>
      <c r="G4487" t="s">
        <v>11884</v>
      </c>
      <c r="H4487">
        <v>5206824749</v>
      </c>
      <c r="K4487" t="s">
        <v>11885</v>
      </c>
      <c r="L4487" t="s">
        <v>11886</v>
      </c>
      <c r="M4487" t="s">
        <v>1634</v>
      </c>
    </row>
    <row r="4488" spans="1:13" x14ac:dyDescent="0.25">
      <c r="A4488">
        <v>4404</v>
      </c>
      <c r="B4488" t="s">
        <v>1348</v>
      </c>
      <c r="C4488" t="s">
        <v>11883</v>
      </c>
      <c r="D4488" t="s">
        <v>1628</v>
      </c>
      <c r="E4488" t="s">
        <v>3494</v>
      </c>
      <c r="F4488" t="s">
        <v>3838</v>
      </c>
      <c r="G4488" t="s">
        <v>2440</v>
      </c>
      <c r="H4488">
        <v>5206824774</v>
      </c>
      <c r="K4488" t="s">
        <v>11887</v>
      </c>
      <c r="L4488" t="s">
        <v>1668</v>
      </c>
      <c r="M4488" t="s">
        <v>1634</v>
      </c>
    </row>
    <row r="4489" spans="1:13" x14ac:dyDescent="0.25">
      <c r="A4489">
        <v>4404</v>
      </c>
      <c r="B4489" t="s">
        <v>1348</v>
      </c>
      <c r="C4489" t="s">
        <v>11883</v>
      </c>
      <c r="D4489" t="s">
        <v>1628</v>
      </c>
      <c r="E4489" t="s">
        <v>3494</v>
      </c>
      <c r="F4489" t="s">
        <v>4149</v>
      </c>
      <c r="G4489" t="s">
        <v>11888</v>
      </c>
      <c r="K4489" t="s">
        <v>11889</v>
      </c>
      <c r="M4489" t="s">
        <v>1634</v>
      </c>
    </row>
    <row r="4490" spans="1:13" x14ac:dyDescent="0.25">
      <c r="A4490">
        <v>4404</v>
      </c>
      <c r="B4490" t="s">
        <v>1348</v>
      </c>
      <c r="C4490" t="s">
        <v>11883</v>
      </c>
      <c r="D4490" t="s">
        <v>1628</v>
      </c>
      <c r="E4490" t="s">
        <v>3494</v>
      </c>
      <c r="F4490" t="s">
        <v>2499</v>
      </c>
      <c r="G4490" t="s">
        <v>11890</v>
      </c>
      <c r="H4490">
        <v>5206824756</v>
      </c>
      <c r="K4490" t="s">
        <v>11891</v>
      </c>
      <c r="L4490" t="s">
        <v>2368</v>
      </c>
      <c r="M4490" t="s">
        <v>1640</v>
      </c>
    </row>
    <row r="4491" spans="1:13" x14ac:dyDescent="0.25">
      <c r="A4491">
        <v>4404</v>
      </c>
      <c r="B4491" t="s">
        <v>1348</v>
      </c>
      <c r="C4491" t="s">
        <v>11883</v>
      </c>
      <c r="D4491" t="s">
        <v>1628</v>
      </c>
      <c r="E4491" t="s">
        <v>3494</v>
      </c>
      <c r="F4491" t="s">
        <v>1750</v>
      </c>
      <c r="G4491" t="s">
        <v>11892</v>
      </c>
      <c r="K4491" t="s">
        <v>11893</v>
      </c>
      <c r="L4491" t="s">
        <v>1640</v>
      </c>
      <c r="M4491" t="s">
        <v>1640</v>
      </c>
    </row>
    <row r="4492" spans="1:13" x14ac:dyDescent="0.25">
      <c r="A4492">
        <v>4404</v>
      </c>
      <c r="B4492" t="s">
        <v>1348</v>
      </c>
      <c r="C4492" t="s">
        <v>11883</v>
      </c>
      <c r="D4492" t="s">
        <v>1628</v>
      </c>
      <c r="E4492" t="s">
        <v>3494</v>
      </c>
      <c r="F4492" t="s">
        <v>5231</v>
      </c>
      <c r="G4492" t="s">
        <v>2054</v>
      </c>
      <c r="H4492">
        <v>5206824800</v>
      </c>
      <c r="K4492" t="s">
        <v>11894</v>
      </c>
      <c r="L4492" t="s">
        <v>11895</v>
      </c>
      <c r="M4492" t="s">
        <v>1765</v>
      </c>
    </row>
    <row r="4493" spans="1:13" x14ac:dyDescent="0.25">
      <c r="A4493">
        <v>5768</v>
      </c>
      <c r="B4493" t="s">
        <v>11896</v>
      </c>
      <c r="C4493" t="s">
        <v>11897</v>
      </c>
      <c r="D4493" t="s">
        <v>1643</v>
      </c>
      <c r="E4493" t="s">
        <v>3494</v>
      </c>
    </row>
    <row r="4494" spans="1:13" x14ac:dyDescent="0.25">
      <c r="A4494">
        <v>6279</v>
      </c>
      <c r="B4494" t="s">
        <v>11898</v>
      </c>
      <c r="C4494" t="s">
        <v>11899</v>
      </c>
      <c r="D4494" t="s">
        <v>1643</v>
      </c>
      <c r="E4494" t="s">
        <v>3494</v>
      </c>
      <c r="F4494" t="s">
        <v>2269</v>
      </c>
      <c r="G4494" t="s">
        <v>11900</v>
      </c>
      <c r="H4494">
        <v>5206824773</v>
      </c>
      <c r="K4494" t="s">
        <v>11901</v>
      </c>
      <c r="L4494" t="s">
        <v>1647</v>
      </c>
      <c r="M4494" t="s">
        <v>1634</v>
      </c>
    </row>
    <row r="4495" spans="1:13" x14ac:dyDescent="0.25">
      <c r="A4495">
        <v>87083</v>
      </c>
      <c r="B4495" t="s">
        <v>11902</v>
      </c>
      <c r="C4495" t="s">
        <v>11903</v>
      </c>
      <c r="D4495" t="s">
        <v>1643</v>
      </c>
      <c r="E4495" t="s">
        <v>3494</v>
      </c>
      <c r="F4495" t="s">
        <v>2499</v>
      </c>
      <c r="G4495" t="s">
        <v>11890</v>
      </c>
      <c r="H4495">
        <v>5206824749</v>
      </c>
      <c r="J4495">
        <v>5206824811</v>
      </c>
      <c r="K4495" t="s">
        <v>11904</v>
      </c>
      <c r="L4495" t="s">
        <v>4663</v>
      </c>
      <c r="M4495" t="s">
        <v>1634</v>
      </c>
    </row>
    <row r="4496" spans="1:13" x14ac:dyDescent="0.25">
      <c r="A4496">
        <v>5769</v>
      </c>
      <c r="B4496" t="s">
        <v>11905</v>
      </c>
      <c r="C4496" t="s">
        <v>11906</v>
      </c>
      <c r="D4496" t="s">
        <v>1643</v>
      </c>
      <c r="E4496" t="s">
        <v>3494</v>
      </c>
      <c r="F4496" t="s">
        <v>1775</v>
      </c>
      <c r="G4496" t="s">
        <v>11907</v>
      </c>
      <c r="K4496" t="s">
        <v>11908</v>
      </c>
      <c r="M4496" t="s">
        <v>1634</v>
      </c>
    </row>
    <row r="4497" spans="1:13" x14ac:dyDescent="0.25">
      <c r="A4497">
        <v>5770</v>
      </c>
      <c r="B4497" t="s">
        <v>11909</v>
      </c>
      <c r="C4497" t="s">
        <v>11910</v>
      </c>
      <c r="D4497" t="s">
        <v>1643</v>
      </c>
      <c r="E4497" t="s">
        <v>3494</v>
      </c>
      <c r="F4497" t="s">
        <v>1872</v>
      </c>
      <c r="G4497" t="s">
        <v>11911</v>
      </c>
      <c r="K4497" t="s">
        <v>11912</v>
      </c>
      <c r="M4497" t="s">
        <v>1634</v>
      </c>
    </row>
    <row r="4498" spans="1:13" x14ac:dyDescent="0.25">
      <c r="A4498">
        <v>5772</v>
      </c>
      <c r="B4498" t="s">
        <v>11913</v>
      </c>
      <c r="C4498" t="s">
        <v>11914</v>
      </c>
      <c r="D4498" t="s">
        <v>1643</v>
      </c>
      <c r="E4498" t="s">
        <v>3494</v>
      </c>
      <c r="F4498" t="s">
        <v>3471</v>
      </c>
      <c r="G4498" t="s">
        <v>11915</v>
      </c>
      <c r="K4498" t="s">
        <v>11916</v>
      </c>
      <c r="M4498" t="s">
        <v>1634</v>
      </c>
    </row>
    <row r="4499" spans="1:13" x14ac:dyDescent="0.25">
      <c r="A4499">
        <v>5773</v>
      </c>
      <c r="B4499" t="s">
        <v>1285</v>
      </c>
      <c r="C4499" t="s">
        <v>11917</v>
      </c>
      <c r="D4499" t="s">
        <v>1643</v>
      </c>
      <c r="E4499" t="s">
        <v>3494</v>
      </c>
      <c r="F4499" t="s">
        <v>9409</v>
      </c>
      <c r="G4499" t="s">
        <v>11918</v>
      </c>
      <c r="K4499" t="s">
        <v>11919</v>
      </c>
      <c r="M4499" t="s">
        <v>1634</v>
      </c>
    </row>
    <row r="4500" spans="1:13" x14ac:dyDescent="0.25">
      <c r="A4500">
        <v>5774</v>
      </c>
      <c r="B4500" t="s">
        <v>11920</v>
      </c>
      <c r="C4500" t="s">
        <v>11921</v>
      </c>
      <c r="D4500" t="s">
        <v>1643</v>
      </c>
      <c r="E4500" t="s">
        <v>3494</v>
      </c>
      <c r="F4500" t="s">
        <v>2053</v>
      </c>
      <c r="G4500" t="s">
        <v>11922</v>
      </c>
      <c r="K4500" t="s">
        <v>11923</v>
      </c>
      <c r="M4500" t="s">
        <v>1634</v>
      </c>
    </row>
    <row r="4501" spans="1:13" x14ac:dyDescent="0.25">
      <c r="A4501">
        <v>5775</v>
      </c>
      <c r="B4501" t="s">
        <v>6080</v>
      </c>
      <c r="C4501" t="s">
        <v>11924</v>
      </c>
      <c r="D4501" t="s">
        <v>1643</v>
      </c>
      <c r="E4501" t="s">
        <v>3494</v>
      </c>
      <c r="F4501" t="s">
        <v>1766</v>
      </c>
      <c r="G4501" t="s">
        <v>1853</v>
      </c>
      <c r="K4501" t="s">
        <v>11925</v>
      </c>
      <c r="M4501" t="s">
        <v>1634</v>
      </c>
    </row>
    <row r="4502" spans="1:13" x14ac:dyDescent="0.25">
      <c r="A4502">
        <v>5776</v>
      </c>
      <c r="B4502" t="s">
        <v>4762</v>
      </c>
      <c r="C4502" t="s">
        <v>11926</v>
      </c>
      <c r="D4502" t="s">
        <v>1643</v>
      </c>
      <c r="E4502" t="s">
        <v>3494</v>
      </c>
      <c r="F4502" t="s">
        <v>2335</v>
      </c>
      <c r="G4502" t="s">
        <v>11927</v>
      </c>
      <c r="K4502" t="s">
        <v>11928</v>
      </c>
      <c r="M4502" t="s">
        <v>1634</v>
      </c>
    </row>
    <row r="4503" spans="1:13" x14ac:dyDescent="0.25">
      <c r="A4503">
        <v>5777</v>
      </c>
      <c r="B4503" t="s">
        <v>11929</v>
      </c>
      <c r="C4503" t="s">
        <v>11930</v>
      </c>
      <c r="D4503" t="s">
        <v>1643</v>
      </c>
      <c r="E4503" t="s">
        <v>3494</v>
      </c>
      <c r="F4503" t="s">
        <v>2499</v>
      </c>
      <c r="G4503" t="s">
        <v>1853</v>
      </c>
      <c r="H4503">
        <v>5205795105</v>
      </c>
      <c r="J4503">
        <v>5205795098</v>
      </c>
      <c r="K4503" t="s">
        <v>11931</v>
      </c>
      <c r="M4503" t="s">
        <v>1634</v>
      </c>
    </row>
    <row r="4504" spans="1:13" x14ac:dyDescent="0.25">
      <c r="A4504">
        <v>79445</v>
      </c>
      <c r="B4504" t="s">
        <v>11932</v>
      </c>
      <c r="C4504" t="s">
        <v>11933</v>
      </c>
      <c r="D4504" t="s">
        <v>1643</v>
      </c>
      <c r="E4504" t="s">
        <v>3494</v>
      </c>
      <c r="F4504" t="s">
        <v>11934</v>
      </c>
      <c r="G4504" t="s">
        <v>11935</v>
      </c>
      <c r="H4504">
        <v>5205794750</v>
      </c>
      <c r="K4504" t="s">
        <v>11936</v>
      </c>
      <c r="L4504" t="s">
        <v>1647</v>
      </c>
      <c r="M4504" t="s">
        <v>1634</v>
      </c>
    </row>
    <row r="4505" spans="1:13" x14ac:dyDescent="0.25">
      <c r="A4505">
        <v>89585</v>
      </c>
      <c r="B4505" t="s">
        <v>11937</v>
      </c>
      <c r="C4505" t="s">
        <v>11938</v>
      </c>
      <c r="D4505" t="s">
        <v>1643</v>
      </c>
      <c r="E4505" t="s">
        <v>3494</v>
      </c>
      <c r="F4505" t="s">
        <v>2835</v>
      </c>
      <c r="G4505" t="s">
        <v>11939</v>
      </c>
      <c r="K4505" t="s">
        <v>11940</v>
      </c>
      <c r="M4505" t="s">
        <v>1634</v>
      </c>
    </row>
    <row r="4506" spans="1:13" x14ac:dyDescent="0.25">
      <c r="A4506">
        <v>89585</v>
      </c>
      <c r="B4506" t="s">
        <v>11937</v>
      </c>
      <c r="C4506" t="s">
        <v>11938</v>
      </c>
      <c r="D4506" t="s">
        <v>1643</v>
      </c>
      <c r="E4506" t="s">
        <v>3494</v>
      </c>
      <c r="F4506" t="s">
        <v>2499</v>
      </c>
      <c r="G4506" t="s">
        <v>11890</v>
      </c>
      <c r="H4506">
        <v>5206824749</v>
      </c>
      <c r="J4506">
        <v>5206824811</v>
      </c>
      <c r="K4506" t="s">
        <v>11904</v>
      </c>
      <c r="L4506" t="s">
        <v>4663</v>
      </c>
      <c r="M4506" t="s">
        <v>1640</v>
      </c>
    </row>
    <row r="4507" spans="1:13" x14ac:dyDescent="0.25">
      <c r="A4507">
        <v>713837</v>
      </c>
      <c r="B4507" t="s">
        <v>11941</v>
      </c>
      <c r="C4507" t="s">
        <v>11942</v>
      </c>
      <c r="D4507" t="s">
        <v>1643</v>
      </c>
      <c r="E4507" t="s">
        <v>3494</v>
      </c>
      <c r="F4507" t="s">
        <v>2099</v>
      </c>
      <c r="G4507" t="s">
        <v>11943</v>
      </c>
      <c r="K4507" t="s">
        <v>11944</v>
      </c>
      <c r="M4507" t="s">
        <v>1634</v>
      </c>
    </row>
    <row r="4508" spans="1:13" x14ac:dyDescent="0.25">
      <c r="A4508">
        <v>1000116</v>
      </c>
      <c r="B4508" t="s">
        <v>11945</v>
      </c>
      <c r="C4508" t="s">
        <v>11946</v>
      </c>
      <c r="D4508" t="s">
        <v>1643</v>
      </c>
      <c r="E4508" t="s">
        <v>3494</v>
      </c>
      <c r="F4508" t="s">
        <v>2335</v>
      </c>
      <c r="G4508" t="s">
        <v>11927</v>
      </c>
      <c r="H4508">
        <v>5206824756</v>
      </c>
      <c r="K4508" t="s">
        <v>11947</v>
      </c>
      <c r="L4508" t="s">
        <v>1647</v>
      </c>
      <c r="M4508" t="s">
        <v>1634</v>
      </c>
    </row>
    <row r="4509" spans="1:13" x14ac:dyDescent="0.25">
      <c r="A4509">
        <v>5779</v>
      </c>
      <c r="B4509" t="s">
        <v>11948</v>
      </c>
      <c r="C4509" t="s">
        <v>11949</v>
      </c>
      <c r="D4509" t="s">
        <v>1643</v>
      </c>
      <c r="E4509" t="s">
        <v>3494</v>
      </c>
      <c r="F4509" t="s">
        <v>4149</v>
      </c>
      <c r="G4509" t="s">
        <v>11888</v>
      </c>
      <c r="H4509">
        <v>5206821014</v>
      </c>
      <c r="K4509" t="s">
        <v>11950</v>
      </c>
      <c r="M4509" t="s">
        <v>1634</v>
      </c>
    </row>
    <row r="4510" spans="1:13" x14ac:dyDescent="0.25">
      <c r="A4510">
        <v>5779</v>
      </c>
      <c r="B4510" t="s">
        <v>11948</v>
      </c>
      <c r="C4510" t="s">
        <v>11949</v>
      </c>
      <c r="D4510" t="s">
        <v>1643</v>
      </c>
      <c r="E4510" t="s">
        <v>3494</v>
      </c>
      <c r="F4510" t="s">
        <v>11951</v>
      </c>
      <c r="G4510" t="s">
        <v>11952</v>
      </c>
      <c r="K4510" t="s">
        <v>11953</v>
      </c>
      <c r="M4510" t="s">
        <v>1634</v>
      </c>
    </row>
    <row r="4511" spans="1:13" x14ac:dyDescent="0.25">
      <c r="A4511">
        <v>5780</v>
      </c>
      <c r="B4511" t="s">
        <v>11954</v>
      </c>
      <c r="C4511" t="s">
        <v>11955</v>
      </c>
      <c r="D4511" t="s">
        <v>1643</v>
      </c>
      <c r="E4511" t="s">
        <v>3494</v>
      </c>
      <c r="F4511" t="s">
        <v>11956</v>
      </c>
      <c r="G4511" t="s">
        <v>1690</v>
      </c>
      <c r="K4511" t="s">
        <v>11957</v>
      </c>
      <c r="M4511" t="s">
        <v>1634</v>
      </c>
    </row>
    <row r="4512" spans="1:13" x14ac:dyDescent="0.25">
      <c r="A4512">
        <v>5781</v>
      </c>
      <c r="B4512" t="s">
        <v>11958</v>
      </c>
      <c r="C4512" t="s">
        <v>11959</v>
      </c>
      <c r="D4512" t="s">
        <v>1643</v>
      </c>
      <c r="E4512" t="s">
        <v>3494</v>
      </c>
      <c r="F4512" t="s">
        <v>1707</v>
      </c>
      <c r="G4512" t="s">
        <v>11960</v>
      </c>
      <c r="K4512" t="s">
        <v>11961</v>
      </c>
      <c r="M4512" t="s">
        <v>1634</v>
      </c>
    </row>
    <row r="4513" spans="1:13" x14ac:dyDescent="0.25">
      <c r="A4513">
        <v>5782</v>
      </c>
      <c r="B4513" t="s">
        <v>4026</v>
      </c>
      <c r="C4513" t="s">
        <v>11962</v>
      </c>
      <c r="D4513" t="s">
        <v>1643</v>
      </c>
      <c r="E4513" t="s">
        <v>3494</v>
      </c>
      <c r="F4513" t="s">
        <v>2547</v>
      </c>
      <c r="G4513" t="s">
        <v>11963</v>
      </c>
      <c r="K4513" t="s">
        <v>11964</v>
      </c>
      <c r="M4513" t="s">
        <v>1634</v>
      </c>
    </row>
    <row r="4514" spans="1:13" x14ac:dyDescent="0.25">
      <c r="A4514">
        <v>4405</v>
      </c>
      <c r="B4514" t="s">
        <v>1287</v>
      </c>
      <c r="C4514" t="s">
        <v>11965</v>
      </c>
      <c r="D4514" t="s">
        <v>1628</v>
      </c>
      <c r="E4514" t="s">
        <v>3494</v>
      </c>
      <c r="F4514" t="s">
        <v>1707</v>
      </c>
      <c r="G4514" t="s">
        <v>10202</v>
      </c>
      <c r="J4514">
        <v>5206902400</v>
      </c>
      <c r="K4514" t="s">
        <v>11966</v>
      </c>
      <c r="L4514" t="s">
        <v>1668</v>
      </c>
      <c r="M4514" t="s">
        <v>1634</v>
      </c>
    </row>
    <row r="4515" spans="1:13" x14ac:dyDescent="0.25">
      <c r="A4515">
        <v>4405</v>
      </c>
      <c r="B4515" t="s">
        <v>1287</v>
      </c>
      <c r="C4515" t="s">
        <v>11965</v>
      </c>
      <c r="D4515" t="s">
        <v>1628</v>
      </c>
      <c r="E4515" t="s">
        <v>3494</v>
      </c>
      <c r="F4515" t="s">
        <v>11967</v>
      </c>
      <c r="G4515" t="s">
        <v>11968</v>
      </c>
      <c r="H4515">
        <v>5809698821</v>
      </c>
      <c r="J4515">
        <v>5206902420</v>
      </c>
      <c r="K4515" t="s">
        <v>11969</v>
      </c>
      <c r="L4515" t="s">
        <v>2613</v>
      </c>
      <c r="M4515" t="s">
        <v>1634</v>
      </c>
    </row>
    <row r="4516" spans="1:13" x14ac:dyDescent="0.25">
      <c r="A4516">
        <v>4405</v>
      </c>
      <c r="B4516" t="s">
        <v>1287</v>
      </c>
      <c r="C4516" t="s">
        <v>11965</v>
      </c>
      <c r="D4516" t="s">
        <v>1628</v>
      </c>
      <c r="E4516" t="s">
        <v>3494</v>
      </c>
      <c r="F4516" t="s">
        <v>1761</v>
      </c>
      <c r="G4516" t="s">
        <v>11970</v>
      </c>
      <c r="H4516">
        <v>5206968805</v>
      </c>
      <c r="J4516">
        <v>5206902400</v>
      </c>
      <c r="K4516" t="s">
        <v>11971</v>
      </c>
      <c r="L4516" t="s">
        <v>2613</v>
      </c>
      <c r="M4516" t="s">
        <v>1634</v>
      </c>
    </row>
    <row r="4517" spans="1:13" x14ac:dyDescent="0.25">
      <c r="A4517">
        <v>4405</v>
      </c>
      <c r="B4517" t="s">
        <v>1287</v>
      </c>
      <c r="C4517" t="s">
        <v>11965</v>
      </c>
      <c r="D4517" t="s">
        <v>1628</v>
      </c>
      <c r="E4517" t="s">
        <v>3494</v>
      </c>
      <c r="F4517" t="s">
        <v>6780</v>
      </c>
      <c r="G4517" t="s">
        <v>11972</v>
      </c>
      <c r="H4517">
        <v>5206968813</v>
      </c>
      <c r="J4517">
        <v>5206902330</v>
      </c>
      <c r="K4517" t="s">
        <v>11973</v>
      </c>
      <c r="L4517" t="s">
        <v>11974</v>
      </c>
      <c r="M4517" t="s">
        <v>1640</v>
      </c>
    </row>
    <row r="4518" spans="1:13" x14ac:dyDescent="0.25">
      <c r="A4518">
        <v>4405</v>
      </c>
      <c r="B4518" t="s">
        <v>1287</v>
      </c>
      <c r="C4518" t="s">
        <v>11965</v>
      </c>
      <c r="D4518" t="s">
        <v>1628</v>
      </c>
      <c r="E4518" t="s">
        <v>3494</v>
      </c>
      <c r="F4518" t="s">
        <v>2156</v>
      </c>
      <c r="G4518" t="s">
        <v>11975</v>
      </c>
      <c r="H4518">
        <v>5206968810</v>
      </c>
      <c r="J4518">
        <v>5206902400</v>
      </c>
      <c r="K4518" t="s">
        <v>11976</v>
      </c>
      <c r="L4518" t="s">
        <v>11977</v>
      </c>
      <c r="M4518" t="s">
        <v>1765</v>
      </c>
    </row>
    <row r="4519" spans="1:13" x14ac:dyDescent="0.25">
      <c r="A4519">
        <v>4405</v>
      </c>
      <c r="B4519" t="s">
        <v>1287</v>
      </c>
      <c r="C4519" t="s">
        <v>11965</v>
      </c>
      <c r="D4519" t="s">
        <v>1628</v>
      </c>
      <c r="E4519" t="s">
        <v>3494</v>
      </c>
      <c r="F4519" t="s">
        <v>11978</v>
      </c>
      <c r="G4519" t="s">
        <v>11979</v>
      </c>
      <c r="H4519">
        <v>5206968800</v>
      </c>
      <c r="J4519">
        <v>5206902400</v>
      </c>
      <c r="K4519" t="s">
        <v>11980</v>
      </c>
      <c r="L4519" t="s">
        <v>11981</v>
      </c>
      <c r="M4519" t="s">
        <v>1765</v>
      </c>
    </row>
    <row r="4520" spans="1:13" x14ac:dyDescent="0.25">
      <c r="A4520">
        <v>6054</v>
      </c>
      <c r="B4520" t="s">
        <v>11982</v>
      </c>
      <c r="C4520" t="s">
        <v>11983</v>
      </c>
      <c r="D4520" t="s">
        <v>1643</v>
      </c>
      <c r="E4520" t="s">
        <v>3494</v>
      </c>
      <c r="F4520" t="s">
        <v>7669</v>
      </c>
      <c r="G4520" t="s">
        <v>11984</v>
      </c>
      <c r="H4520">
        <v>5206968905</v>
      </c>
      <c r="J4520">
        <v>5205793773</v>
      </c>
      <c r="K4520" t="s">
        <v>11985</v>
      </c>
      <c r="L4520" t="s">
        <v>1647</v>
      </c>
      <c r="M4520" t="s">
        <v>1634</v>
      </c>
    </row>
    <row r="4521" spans="1:13" x14ac:dyDescent="0.25">
      <c r="A4521">
        <v>79249</v>
      </c>
      <c r="B4521" t="s">
        <v>11986</v>
      </c>
      <c r="C4521" t="s">
        <v>11987</v>
      </c>
      <c r="D4521" t="s">
        <v>1643</v>
      </c>
      <c r="E4521" t="s">
        <v>3494</v>
      </c>
      <c r="F4521" t="s">
        <v>2521</v>
      </c>
      <c r="G4521" t="s">
        <v>11988</v>
      </c>
      <c r="H4521">
        <v>5206905657</v>
      </c>
      <c r="K4521" t="s">
        <v>11989</v>
      </c>
      <c r="L4521" t="s">
        <v>3124</v>
      </c>
      <c r="M4521" t="s">
        <v>1634</v>
      </c>
    </row>
    <row r="4522" spans="1:13" x14ac:dyDescent="0.25">
      <c r="A4522">
        <v>79249</v>
      </c>
      <c r="B4522" t="s">
        <v>11986</v>
      </c>
      <c r="C4522" t="s">
        <v>11987</v>
      </c>
      <c r="D4522" t="s">
        <v>1643</v>
      </c>
      <c r="E4522" t="s">
        <v>3494</v>
      </c>
      <c r="F4522" t="s">
        <v>2521</v>
      </c>
      <c r="G4522" t="s">
        <v>11990</v>
      </c>
      <c r="H4522">
        <v>5206968909</v>
      </c>
      <c r="J4522">
        <v>5206902405</v>
      </c>
      <c r="K4522" t="s">
        <v>11991</v>
      </c>
      <c r="L4522" t="s">
        <v>3124</v>
      </c>
      <c r="M4522" t="s">
        <v>1634</v>
      </c>
    </row>
    <row r="4523" spans="1:13" x14ac:dyDescent="0.25">
      <c r="A4523">
        <v>5784</v>
      </c>
      <c r="B4523" t="s">
        <v>4690</v>
      </c>
      <c r="C4523" t="s">
        <v>11992</v>
      </c>
      <c r="D4523" t="s">
        <v>1643</v>
      </c>
      <c r="E4523" t="s">
        <v>3494</v>
      </c>
      <c r="F4523" t="s">
        <v>1658</v>
      </c>
      <c r="G4523" t="s">
        <v>1803</v>
      </c>
      <c r="H4523">
        <v>5206968200</v>
      </c>
      <c r="J4523">
        <v>5206905613</v>
      </c>
      <c r="K4523" t="s">
        <v>11993</v>
      </c>
      <c r="L4523" t="s">
        <v>1647</v>
      </c>
      <c r="M4523" t="s">
        <v>1634</v>
      </c>
    </row>
    <row r="4524" spans="1:13" x14ac:dyDescent="0.25">
      <c r="A4524">
        <v>5784</v>
      </c>
      <c r="B4524" t="s">
        <v>4690</v>
      </c>
      <c r="C4524" t="s">
        <v>11992</v>
      </c>
      <c r="D4524" t="s">
        <v>1643</v>
      </c>
      <c r="E4524" t="s">
        <v>3494</v>
      </c>
      <c r="F4524" t="s">
        <v>6912</v>
      </c>
      <c r="G4524" t="s">
        <v>2556</v>
      </c>
      <c r="H4524">
        <v>5206968205</v>
      </c>
      <c r="J4524">
        <v>5206905613</v>
      </c>
      <c r="K4524" t="s">
        <v>11994</v>
      </c>
      <c r="L4524" t="s">
        <v>1647</v>
      </c>
      <c r="M4524" t="s">
        <v>1634</v>
      </c>
    </row>
    <row r="4525" spans="1:13" x14ac:dyDescent="0.25">
      <c r="A4525">
        <v>5785</v>
      </c>
      <c r="B4525" t="s">
        <v>11995</v>
      </c>
      <c r="C4525" t="s">
        <v>11996</v>
      </c>
      <c r="D4525" t="s">
        <v>1643</v>
      </c>
      <c r="E4525" t="s">
        <v>3494</v>
      </c>
      <c r="F4525" t="s">
        <v>3345</v>
      </c>
      <c r="G4525" t="s">
        <v>1918</v>
      </c>
      <c r="H4525">
        <v>5206968255</v>
      </c>
      <c r="J4525">
        <v>5206905614</v>
      </c>
      <c r="K4525" t="s">
        <v>11997</v>
      </c>
      <c r="L4525" t="s">
        <v>1647</v>
      </c>
      <c r="M4525" t="s">
        <v>1634</v>
      </c>
    </row>
    <row r="4526" spans="1:13" x14ac:dyDescent="0.25">
      <c r="A4526">
        <v>5786</v>
      </c>
      <c r="B4526" t="s">
        <v>11998</v>
      </c>
      <c r="C4526" t="s">
        <v>11999</v>
      </c>
      <c r="D4526" t="s">
        <v>1643</v>
      </c>
      <c r="E4526" t="s">
        <v>3494</v>
      </c>
    </row>
    <row r="4527" spans="1:13" x14ac:dyDescent="0.25">
      <c r="A4527">
        <v>5787</v>
      </c>
      <c r="B4527" t="s">
        <v>12000</v>
      </c>
      <c r="C4527" t="s">
        <v>12001</v>
      </c>
      <c r="D4527" t="s">
        <v>1643</v>
      </c>
      <c r="E4527" t="s">
        <v>3494</v>
      </c>
      <c r="F4527" t="s">
        <v>6598</v>
      </c>
      <c r="G4527" t="s">
        <v>2666</v>
      </c>
      <c r="H4527">
        <v>5206968401</v>
      </c>
      <c r="J4527">
        <v>5206905612</v>
      </c>
      <c r="K4527" t="s">
        <v>12002</v>
      </c>
      <c r="L4527" t="s">
        <v>1647</v>
      </c>
      <c r="M4527" t="s">
        <v>1634</v>
      </c>
    </row>
    <row r="4528" spans="1:13" x14ac:dyDescent="0.25">
      <c r="A4528">
        <v>5788</v>
      </c>
      <c r="B4528" t="s">
        <v>1288</v>
      </c>
      <c r="C4528" t="s">
        <v>12003</v>
      </c>
      <c r="D4528" t="s">
        <v>1643</v>
      </c>
      <c r="E4528" t="s">
        <v>3494</v>
      </c>
      <c r="F4528" t="s">
        <v>2580</v>
      </c>
      <c r="G4528" t="s">
        <v>6184</v>
      </c>
      <c r="H4528">
        <v>5206968451</v>
      </c>
      <c r="J4528">
        <v>5206905616</v>
      </c>
      <c r="K4528" t="s">
        <v>12004</v>
      </c>
      <c r="L4528" t="s">
        <v>1647</v>
      </c>
      <c r="M4528" t="s">
        <v>1634</v>
      </c>
    </row>
    <row r="4529" spans="1:13" x14ac:dyDescent="0.25">
      <c r="A4529">
        <v>5789</v>
      </c>
      <c r="B4529" t="s">
        <v>12005</v>
      </c>
      <c r="C4529" t="s">
        <v>12006</v>
      </c>
      <c r="D4529" t="s">
        <v>1643</v>
      </c>
      <c r="E4529" t="s">
        <v>3494</v>
      </c>
      <c r="F4529" t="s">
        <v>12007</v>
      </c>
      <c r="G4529" t="s">
        <v>11818</v>
      </c>
      <c r="H4529">
        <v>5206968500</v>
      </c>
      <c r="J4529">
        <v>5206905617</v>
      </c>
      <c r="K4529" t="s">
        <v>12008</v>
      </c>
      <c r="L4529" t="s">
        <v>1647</v>
      </c>
      <c r="M4529" t="s">
        <v>1634</v>
      </c>
    </row>
    <row r="4530" spans="1:13" x14ac:dyDescent="0.25">
      <c r="A4530">
        <v>5790</v>
      </c>
      <c r="B4530" t="s">
        <v>12009</v>
      </c>
      <c r="C4530" t="s">
        <v>12010</v>
      </c>
      <c r="D4530" t="s">
        <v>1643</v>
      </c>
      <c r="E4530" t="s">
        <v>3494</v>
      </c>
    </row>
    <row r="4531" spans="1:13" x14ac:dyDescent="0.25">
      <c r="A4531">
        <v>5791</v>
      </c>
      <c r="B4531" t="s">
        <v>12011</v>
      </c>
      <c r="C4531" t="s">
        <v>12012</v>
      </c>
      <c r="D4531" t="s">
        <v>1643</v>
      </c>
      <c r="E4531" t="s">
        <v>3494</v>
      </c>
      <c r="F4531" t="s">
        <v>2965</v>
      </c>
      <c r="G4531" t="s">
        <v>11611</v>
      </c>
      <c r="H4531">
        <v>5206968150</v>
      </c>
      <c r="J4531">
        <v>5206902379</v>
      </c>
      <c r="K4531" t="s">
        <v>12013</v>
      </c>
      <c r="M4531" t="s">
        <v>1634</v>
      </c>
    </row>
    <row r="4532" spans="1:13" x14ac:dyDescent="0.25">
      <c r="A4532">
        <v>5791</v>
      </c>
      <c r="B4532" t="s">
        <v>12011</v>
      </c>
      <c r="C4532" t="s">
        <v>12012</v>
      </c>
      <c r="D4532" t="s">
        <v>1643</v>
      </c>
      <c r="E4532" t="s">
        <v>3494</v>
      </c>
      <c r="F4532" t="s">
        <v>4341</v>
      </c>
      <c r="G4532" t="s">
        <v>12014</v>
      </c>
      <c r="H4532">
        <v>5206968008</v>
      </c>
      <c r="J4532">
        <v>5206902379</v>
      </c>
      <c r="K4532" t="s">
        <v>12015</v>
      </c>
      <c r="L4532" t="s">
        <v>1738</v>
      </c>
      <c r="M4532" t="s">
        <v>1640</v>
      </c>
    </row>
    <row r="4533" spans="1:13" x14ac:dyDescent="0.25">
      <c r="A4533">
        <v>91832</v>
      </c>
      <c r="B4533" t="s">
        <v>12016</v>
      </c>
      <c r="C4533" t="s">
        <v>12017</v>
      </c>
      <c r="D4533" t="s">
        <v>1643</v>
      </c>
      <c r="E4533" t="s">
        <v>3494</v>
      </c>
      <c r="F4533" t="s">
        <v>7669</v>
      </c>
      <c r="G4533" t="s">
        <v>11984</v>
      </c>
      <c r="L4533" t="s">
        <v>1647</v>
      </c>
      <c r="M4533" t="s">
        <v>1634</v>
      </c>
    </row>
    <row r="4534" spans="1:13" x14ac:dyDescent="0.25">
      <c r="A4534">
        <v>91832</v>
      </c>
      <c r="B4534" t="s">
        <v>12016</v>
      </c>
      <c r="C4534" t="s">
        <v>12017</v>
      </c>
      <c r="D4534" t="s">
        <v>1643</v>
      </c>
      <c r="E4534" t="s">
        <v>3494</v>
      </c>
      <c r="F4534" t="s">
        <v>4581</v>
      </c>
      <c r="G4534" t="s">
        <v>2639</v>
      </c>
      <c r="M4534" t="s">
        <v>1634</v>
      </c>
    </row>
    <row r="4535" spans="1:13" x14ac:dyDescent="0.25">
      <c r="A4535">
        <v>4406</v>
      </c>
      <c r="B4535" t="s">
        <v>337</v>
      </c>
      <c r="C4535" t="s">
        <v>12018</v>
      </c>
      <c r="D4535" t="s">
        <v>1628</v>
      </c>
      <c r="E4535" t="s">
        <v>3494</v>
      </c>
      <c r="F4535" t="s">
        <v>2547</v>
      </c>
      <c r="G4535" t="s">
        <v>4305</v>
      </c>
      <c r="H4535">
        <v>5206965205</v>
      </c>
      <c r="J4535">
        <v>5206965074</v>
      </c>
      <c r="K4535" t="s">
        <v>12019</v>
      </c>
      <c r="L4535" t="s">
        <v>1668</v>
      </c>
      <c r="M4535" t="s">
        <v>1634</v>
      </c>
    </row>
    <row r="4536" spans="1:13" x14ac:dyDescent="0.25">
      <c r="A4536">
        <v>4406</v>
      </c>
      <c r="B4536" t="s">
        <v>337</v>
      </c>
      <c r="C4536" t="s">
        <v>12018</v>
      </c>
      <c r="D4536" t="s">
        <v>1628</v>
      </c>
      <c r="E4536" t="s">
        <v>3494</v>
      </c>
      <c r="F4536" t="s">
        <v>1690</v>
      </c>
      <c r="G4536" t="s">
        <v>7314</v>
      </c>
      <c r="J4536">
        <v>5206965065</v>
      </c>
      <c r="K4536" t="s">
        <v>12020</v>
      </c>
      <c r="L4536" t="s">
        <v>2368</v>
      </c>
      <c r="M4536" t="s">
        <v>1634</v>
      </c>
    </row>
    <row r="4537" spans="1:13" x14ac:dyDescent="0.25">
      <c r="A4537">
        <v>4406</v>
      </c>
      <c r="B4537" t="s">
        <v>337</v>
      </c>
      <c r="C4537" t="s">
        <v>12018</v>
      </c>
      <c r="D4537" t="s">
        <v>1628</v>
      </c>
      <c r="E4537" t="s">
        <v>3494</v>
      </c>
      <c r="F4537" t="s">
        <v>3758</v>
      </c>
      <c r="G4537" t="s">
        <v>12021</v>
      </c>
      <c r="H4537">
        <v>5206965055</v>
      </c>
      <c r="J4537">
        <v>5206966953</v>
      </c>
      <c r="K4537" t="s">
        <v>12022</v>
      </c>
      <c r="L4537" t="s">
        <v>12023</v>
      </c>
      <c r="M4537" t="s">
        <v>1634</v>
      </c>
    </row>
    <row r="4538" spans="1:13" x14ac:dyDescent="0.25">
      <c r="A4538">
        <v>4406</v>
      </c>
      <c r="B4538" t="s">
        <v>337</v>
      </c>
      <c r="C4538" t="s">
        <v>12018</v>
      </c>
      <c r="D4538" t="s">
        <v>1628</v>
      </c>
      <c r="E4538" t="s">
        <v>3494</v>
      </c>
      <c r="F4538" t="s">
        <v>1775</v>
      </c>
      <c r="G4538" t="s">
        <v>12024</v>
      </c>
      <c r="H4538">
        <v>5206964611</v>
      </c>
      <c r="K4538" t="s">
        <v>12025</v>
      </c>
      <c r="L4538" t="s">
        <v>1647</v>
      </c>
      <c r="M4538" t="s">
        <v>1634</v>
      </c>
    </row>
    <row r="4539" spans="1:13" x14ac:dyDescent="0.25">
      <c r="A4539">
        <v>4406</v>
      </c>
      <c r="B4539" t="s">
        <v>337</v>
      </c>
      <c r="C4539" t="s">
        <v>12018</v>
      </c>
      <c r="D4539" t="s">
        <v>1628</v>
      </c>
      <c r="E4539" t="s">
        <v>3494</v>
      </c>
      <c r="F4539" t="s">
        <v>2376</v>
      </c>
      <c r="G4539" t="s">
        <v>12026</v>
      </c>
      <c r="H4539">
        <v>5206965156</v>
      </c>
      <c r="K4539" t="s">
        <v>12027</v>
      </c>
      <c r="L4539" t="s">
        <v>12028</v>
      </c>
      <c r="M4539" t="s">
        <v>1634</v>
      </c>
    </row>
    <row r="4540" spans="1:13" x14ac:dyDescent="0.25">
      <c r="A4540">
        <v>4406</v>
      </c>
      <c r="B4540" t="s">
        <v>337</v>
      </c>
      <c r="C4540" t="s">
        <v>12018</v>
      </c>
      <c r="D4540" t="s">
        <v>1628</v>
      </c>
      <c r="E4540" t="s">
        <v>3494</v>
      </c>
      <c r="F4540" t="s">
        <v>1690</v>
      </c>
      <c r="G4540" t="s">
        <v>7314</v>
      </c>
      <c r="J4540">
        <v>5206965065</v>
      </c>
      <c r="K4540" t="s">
        <v>12020</v>
      </c>
      <c r="L4540" t="s">
        <v>2368</v>
      </c>
      <c r="M4540" t="s">
        <v>1640</v>
      </c>
    </row>
    <row r="4541" spans="1:13" x14ac:dyDescent="0.25">
      <c r="A4541">
        <v>5792</v>
      </c>
      <c r="B4541" t="s">
        <v>12029</v>
      </c>
      <c r="C4541" t="s">
        <v>12030</v>
      </c>
      <c r="D4541" t="s">
        <v>1643</v>
      </c>
      <c r="E4541" t="s">
        <v>3494</v>
      </c>
      <c r="F4541" t="s">
        <v>2570</v>
      </c>
      <c r="G4541" t="s">
        <v>12031</v>
      </c>
      <c r="H4541">
        <v>5206966160</v>
      </c>
      <c r="J4541">
        <v>5206966204</v>
      </c>
      <c r="K4541" t="s">
        <v>12032</v>
      </c>
      <c r="M4541" t="s">
        <v>1634</v>
      </c>
    </row>
    <row r="4542" spans="1:13" x14ac:dyDescent="0.25">
      <c r="A4542">
        <v>5793</v>
      </c>
      <c r="B4542" t="s">
        <v>12033</v>
      </c>
      <c r="C4542" t="s">
        <v>12034</v>
      </c>
      <c r="D4542" t="s">
        <v>1643</v>
      </c>
      <c r="E4542" t="s">
        <v>3494</v>
      </c>
      <c r="F4542" t="s">
        <v>2253</v>
      </c>
      <c r="G4542" t="s">
        <v>12035</v>
      </c>
      <c r="H4542">
        <v>5206966020</v>
      </c>
      <c r="J4542">
        <v>5206966070</v>
      </c>
      <c r="K4542" t="s">
        <v>12036</v>
      </c>
      <c r="L4542" t="s">
        <v>1647</v>
      </c>
      <c r="M4542" t="s">
        <v>1634</v>
      </c>
    </row>
    <row r="4543" spans="1:13" x14ac:dyDescent="0.25">
      <c r="A4543">
        <v>5794</v>
      </c>
      <c r="B4543" t="s">
        <v>12037</v>
      </c>
      <c r="C4543" t="s">
        <v>12038</v>
      </c>
      <c r="D4543" t="s">
        <v>1643</v>
      </c>
      <c r="E4543" t="s">
        <v>3494</v>
      </c>
      <c r="F4543" t="s">
        <v>12039</v>
      </c>
      <c r="G4543" t="s">
        <v>12040</v>
      </c>
      <c r="H4543">
        <v>5206966880</v>
      </c>
      <c r="J4543">
        <v>5206966924</v>
      </c>
      <c r="K4543" t="s">
        <v>12041</v>
      </c>
      <c r="L4543" t="s">
        <v>1647</v>
      </c>
      <c r="M4543" t="s">
        <v>1634</v>
      </c>
    </row>
    <row r="4544" spans="1:13" x14ac:dyDescent="0.25">
      <c r="A4544">
        <v>5794</v>
      </c>
      <c r="B4544" t="s">
        <v>12037</v>
      </c>
      <c r="C4544" t="s">
        <v>12038</v>
      </c>
      <c r="D4544" t="s">
        <v>1643</v>
      </c>
      <c r="E4544" t="s">
        <v>3494</v>
      </c>
      <c r="F4544" t="s">
        <v>2204</v>
      </c>
      <c r="G4544" t="s">
        <v>2746</v>
      </c>
      <c r="J4544">
        <v>5206966924</v>
      </c>
      <c r="K4544" t="s">
        <v>12042</v>
      </c>
      <c r="L4544" t="s">
        <v>1721</v>
      </c>
      <c r="M4544" t="s">
        <v>1634</v>
      </c>
    </row>
    <row r="4545" spans="1:13" x14ac:dyDescent="0.25">
      <c r="A4545">
        <v>5795</v>
      </c>
      <c r="B4545" t="s">
        <v>12043</v>
      </c>
      <c r="C4545" t="s">
        <v>12044</v>
      </c>
      <c r="D4545" t="s">
        <v>1643</v>
      </c>
      <c r="E4545" t="s">
        <v>3494</v>
      </c>
      <c r="F4545" t="s">
        <v>1820</v>
      </c>
      <c r="G4545" t="s">
        <v>12045</v>
      </c>
      <c r="H4545">
        <v>5206966944</v>
      </c>
      <c r="J4545">
        <v>5206966977</v>
      </c>
      <c r="K4545" t="s">
        <v>12046</v>
      </c>
      <c r="L4545" t="s">
        <v>1647</v>
      </c>
      <c r="M4545" t="s">
        <v>1634</v>
      </c>
    </row>
    <row r="4546" spans="1:13" x14ac:dyDescent="0.25">
      <c r="A4546">
        <v>5795</v>
      </c>
      <c r="B4546" t="s">
        <v>12043</v>
      </c>
      <c r="C4546" t="s">
        <v>12044</v>
      </c>
      <c r="D4546" t="s">
        <v>1643</v>
      </c>
      <c r="E4546" t="s">
        <v>3494</v>
      </c>
      <c r="F4546" t="s">
        <v>12047</v>
      </c>
      <c r="G4546" t="s">
        <v>12048</v>
      </c>
      <c r="K4546" t="s">
        <v>12049</v>
      </c>
      <c r="L4546" t="s">
        <v>1647</v>
      </c>
      <c r="M4546" t="s">
        <v>1634</v>
      </c>
    </row>
    <row r="4547" spans="1:13" x14ac:dyDescent="0.25">
      <c r="A4547">
        <v>5796</v>
      </c>
      <c r="B4547" t="s">
        <v>782</v>
      </c>
      <c r="C4547" t="s">
        <v>12050</v>
      </c>
      <c r="D4547" t="s">
        <v>1643</v>
      </c>
      <c r="E4547" t="s">
        <v>3494</v>
      </c>
      <c r="F4547" t="s">
        <v>1820</v>
      </c>
      <c r="G4547" t="s">
        <v>12051</v>
      </c>
      <c r="K4547" t="s">
        <v>12052</v>
      </c>
      <c r="L4547" t="s">
        <v>1647</v>
      </c>
      <c r="M4547" t="s">
        <v>1634</v>
      </c>
    </row>
    <row r="4548" spans="1:13" x14ac:dyDescent="0.25">
      <c r="A4548">
        <v>5797</v>
      </c>
      <c r="B4548" t="s">
        <v>789</v>
      </c>
      <c r="C4548" t="s">
        <v>12053</v>
      </c>
      <c r="D4548" t="s">
        <v>1643</v>
      </c>
      <c r="E4548" t="s">
        <v>3494</v>
      </c>
      <c r="F4548" t="s">
        <v>1787</v>
      </c>
      <c r="G4548" t="s">
        <v>12054</v>
      </c>
      <c r="H4548">
        <v>5206966364</v>
      </c>
      <c r="K4548" t="s">
        <v>12055</v>
      </c>
      <c r="L4548" t="s">
        <v>1647</v>
      </c>
      <c r="M4548" t="s">
        <v>1634</v>
      </c>
    </row>
    <row r="4549" spans="1:13" x14ac:dyDescent="0.25">
      <c r="A4549">
        <v>5797</v>
      </c>
      <c r="B4549" t="s">
        <v>789</v>
      </c>
      <c r="C4549" t="s">
        <v>12053</v>
      </c>
      <c r="D4549" t="s">
        <v>1643</v>
      </c>
      <c r="E4549" t="s">
        <v>3494</v>
      </c>
      <c r="F4549" t="s">
        <v>3673</v>
      </c>
      <c r="G4549" t="s">
        <v>12056</v>
      </c>
      <c r="H4549">
        <v>5206966365</v>
      </c>
      <c r="J4549">
        <v>5206966413</v>
      </c>
      <c r="K4549" t="s">
        <v>12057</v>
      </c>
      <c r="L4549" t="s">
        <v>1647</v>
      </c>
      <c r="M4549" t="s">
        <v>1634</v>
      </c>
    </row>
    <row r="4550" spans="1:13" x14ac:dyDescent="0.25">
      <c r="A4550">
        <v>5798</v>
      </c>
      <c r="B4550" t="s">
        <v>12058</v>
      </c>
      <c r="C4550" t="s">
        <v>12059</v>
      </c>
      <c r="D4550" t="s">
        <v>1643</v>
      </c>
      <c r="E4550" t="s">
        <v>3494</v>
      </c>
      <c r="F4550" t="s">
        <v>1775</v>
      </c>
      <c r="G4550" t="s">
        <v>12024</v>
      </c>
      <c r="K4550" t="s">
        <v>12060</v>
      </c>
      <c r="L4550" t="s">
        <v>1647</v>
      </c>
      <c r="M4550" t="s">
        <v>1634</v>
      </c>
    </row>
    <row r="4551" spans="1:13" x14ac:dyDescent="0.25">
      <c r="A4551">
        <v>79282</v>
      </c>
      <c r="B4551" t="s">
        <v>12061</v>
      </c>
      <c r="C4551" t="s">
        <v>12062</v>
      </c>
      <c r="D4551" t="s">
        <v>1643</v>
      </c>
      <c r="E4551" t="s">
        <v>3494</v>
      </c>
      <c r="F4551" t="s">
        <v>2189</v>
      </c>
      <c r="G4551" t="s">
        <v>12063</v>
      </c>
      <c r="K4551" t="s">
        <v>12064</v>
      </c>
      <c r="L4551" t="s">
        <v>1647</v>
      </c>
      <c r="M4551" t="s">
        <v>1634</v>
      </c>
    </row>
    <row r="4552" spans="1:13" x14ac:dyDescent="0.25">
      <c r="A4552">
        <v>5799</v>
      </c>
      <c r="B4552" t="s">
        <v>12065</v>
      </c>
      <c r="C4552" t="s">
        <v>12066</v>
      </c>
      <c r="D4552" t="s">
        <v>1643</v>
      </c>
      <c r="E4552" t="s">
        <v>3494</v>
      </c>
      <c r="F4552" t="s">
        <v>12067</v>
      </c>
      <c r="G4552" t="s">
        <v>9865</v>
      </c>
      <c r="K4552" t="s">
        <v>12068</v>
      </c>
      <c r="L4552" t="s">
        <v>1647</v>
      </c>
      <c r="M4552" t="s">
        <v>1634</v>
      </c>
    </row>
    <row r="4553" spans="1:13" x14ac:dyDescent="0.25">
      <c r="A4553">
        <v>5800</v>
      </c>
      <c r="B4553" t="s">
        <v>12069</v>
      </c>
      <c r="C4553" t="s">
        <v>12070</v>
      </c>
      <c r="D4553" t="s">
        <v>1643</v>
      </c>
      <c r="E4553" t="s">
        <v>3494</v>
      </c>
      <c r="F4553" t="s">
        <v>6017</v>
      </c>
      <c r="G4553" t="s">
        <v>12071</v>
      </c>
      <c r="H4553">
        <v>5206966090</v>
      </c>
      <c r="J4553">
        <v>5206966137</v>
      </c>
      <c r="K4553" t="s">
        <v>12072</v>
      </c>
      <c r="L4553" t="s">
        <v>1647</v>
      </c>
      <c r="M4553" t="s">
        <v>1634</v>
      </c>
    </row>
    <row r="4554" spans="1:13" x14ac:dyDescent="0.25">
      <c r="A4554">
        <v>5801</v>
      </c>
      <c r="B4554" t="s">
        <v>12073</v>
      </c>
      <c r="C4554" t="s">
        <v>12074</v>
      </c>
      <c r="D4554" t="s">
        <v>1643</v>
      </c>
      <c r="E4554" t="s">
        <v>3494</v>
      </c>
      <c r="F4554" t="s">
        <v>12075</v>
      </c>
      <c r="G4554" t="s">
        <v>3861</v>
      </c>
      <c r="H4554">
        <v>5206965250</v>
      </c>
      <c r="J4554">
        <v>5206965260</v>
      </c>
      <c r="K4554" t="s">
        <v>12076</v>
      </c>
      <c r="M4554" t="s">
        <v>1634</v>
      </c>
    </row>
    <row r="4555" spans="1:13" x14ac:dyDescent="0.25">
      <c r="A4555">
        <v>5802</v>
      </c>
      <c r="B4555" t="s">
        <v>5545</v>
      </c>
      <c r="C4555" t="s">
        <v>12077</v>
      </c>
      <c r="D4555" t="s">
        <v>1643</v>
      </c>
      <c r="E4555" t="s">
        <v>3494</v>
      </c>
      <c r="F4555" t="s">
        <v>4811</v>
      </c>
      <c r="G4555" t="s">
        <v>2322</v>
      </c>
      <c r="H4555">
        <v>5206966800</v>
      </c>
      <c r="J4555">
        <v>5206966806</v>
      </c>
      <c r="K4555" t="s">
        <v>12078</v>
      </c>
      <c r="L4555" t="s">
        <v>2096</v>
      </c>
      <c r="M4555" t="s">
        <v>1634</v>
      </c>
    </row>
    <row r="4556" spans="1:13" x14ac:dyDescent="0.25">
      <c r="A4556">
        <v>12976</v>
      </c>
      <c r="B4556" t="s">
        <v>12079</v>
      </c>
      <c r="C4556" t="s">
        <v>12080</v>
      </c>
      <c r="D4556" t="s">
        <v>1643</v>
      </c>
      <c r="E4556" t="s">
        <v>3494</v>
      </c>
    </row>
    <row r="4557" spans="1:13" x14ac:dyDescent="0.25">
      <c r="A4557">
        <v>5803</v>
      </c>
      <c r="B4557" t="s">
        <v>12081</v>
      </c>
      <c r="C4557" t="s">
        <v>12082</v>
      </c>
      <c r="D4557" t="s">
        <v>1643</v>
      </c>
      <c r="E4557" t="s">
        <v>3494</v>
      </c>
      <c r="F4557" t="s">
        <v>2610</v>
      </c>
      <c r="G4557" t="s">
        <v>12083</v>
      </c>
      <c r="H4557">
        <v>5206966420</v>
      </c>
      <c r="J4557">
        <v>5206966435</v>
      </c>
      <c r="K4557" t="s">
        <v>12084</v>
      </c>
      <c r="M4557" t="s">
        <v>1634</v>
      </c>
    </row>
    <row r="4558" spans="1:13" x14ac:dyDescent="0.25">
      <c r="A4558">
        <v>5804</v>
      </c>
      <c r="B4558" t="s">
        <v>1265</v>
      </c>
      <c r="C4558" t="s">
        <v>12085</v>
      </c>
      <c r="D4558" t="s">
        <v>1643</v>
      </c>
      <c r="E4558" t="s">
        <v>3494</v>
      </c>
      <c r="F4558" t="s">
        <v>3239</v>
      </c>
      <c r="G4558" t="s">
        <v>12086</v>
      </c>
      <c r="H4558">
        <v>5206966730</v>
      </c>
      <c r="J4558">
        <v>5206966793</v>
      </c>
      <c r="K4558" t="s">
        <v>12087</v>
      </c>
      <c r="M4558" t="s">
        <v>1634</v>
      </c>
    </row>
    <row r="4559" spans="1:13" x14ac:dyDescent="0.25">
      <c r="A4559">
        <v>5804</v>
      </c>
      <c r="B4559" t="s">
        <v>1265</v>
      </c>
      <c r="C4559" t="s">
        <v>12085</v>
      </c>
      <c r="D4559" t="s">
        <v>1643</v>
      </c>
      <c r="E4559" t="s">
        <v>3494</v>
      </c>
      <c r="F4559" t="s">
        <v>2355</v>
      </c>
      <c r="G4559" t="s">
        <v>8709</v>
      </c>
      <c r="K4559" t="s">
        <v>12088</v>
      </c>
      <c r="L4559" t="s">
        <v>1647</v>
      </c>
      <c r="M4559" t="s">
        <v>1634</v>
      </c>
    </row>
    <row r="4560" spans="1:13" x14ac:dyDescent="0.25">
      <c r="A4560">
        <v>5805</v>
      </c>
      <c r="B4560" t="s">
        <v>1369</v>
      </c>
      <c r="C4560" t="s">
        <v>12089</v>
      </c>
      <c r="D4560" t="s">
        <v>1643</v>
      </c>
      <c r="E4560" t="s">
        <v>3494</v>
      </c>
      <c r="F4560" t="s">
        <v>1938</v>
      </c>
      <c r="G4560" t="s">
        <v>12090</v>
      </c>
      <c r="H4560">
        <v>5206966230</v>
      </c>
      <c r="J4560">
        <v>5206966236</v>
      </c>
      <c r="K4560" t="s">
        <v>12091</v>
      </c>
      <c r="M4560" t="s">
        <v>1634</v>
      </c>
    </row>
    <row r="4561" spans="1:13" x14ac:dyDescent="0.25">
      <c r="A4561">
        <v>5805</v>
      </c>
      <c r="B4561" t="s">
        <v>1369</v>
      </c>
      <c r="C4561" t="s">
        <v>12089</v>
      </c>
      <c r="D4561" t="s">
        <v>1643</v>
      </c>
      <c r="E4561" t="s">
        <v>3494</v>
      </c>
      <c r="F4561" t="s">
        <v>12047</v>
      </c>
      <c r="G4561" t="s">
        <v>12048</v>
      </c>
      <c r="K4561" t="s">
        <v>12049</v>
      </c>
      <c r="L4561" t="s">
        <v>5382</v>
      </c>
      <c r="M4561" t="s">
        <v>1634</v>
      </c>
    </row>
    <row r="4562" spans="1:13" x14ac:dyDescent="0.25">
      <c r="A4562">
        <v>5806</v>
      </c>
      <c r="B4562" t="s">
        <v>12092</v>
      </c>
      <c r="C4562" t="s">
        <v>12093</v>
      </c>
      <c r="D4562" t="s">
        <v>1643</v>
      </c>
      <c r="E4562" t="s">
        <v>3494</v>
      </c>
      <c r="F4562" t="s">
        <v>1820</v>
      </c>
      <c r="G4562" t="s">
        <v>12094</v>
      </c>
      <c r="H4562">
        <v>5206965920</v>
      </c>
      <c r="J4562">
        <v>5206965996</v>
      </c>
      <c r="K4562" t="s">
        <v>12095</v>
      </c>
      <c r="M4562" t="s">
        <v>1634</v>
      </c>
    </row>
    <row r="4563" spans="1:13" x14ac:dyDescent="0.25">
      <c r="A4563">
        <v>5806</v>
      </c>
      <c r="B4563" t="s">
        <v>12092</v>
      </c>
      <c r="C4563" t="s">
        <v>12093</v>
      </c>
      <c r="D4563" t="s">
        <v>1643</v>
      </c>
      <c r="E4563" t="s">
        <v>3494</v>
      </c>
      <c r="F4563" t="s">
        <v>1848</v>
      </c>
      <c r="G4563" t="s">
        <v>724</v>
      </c>
      <c r="K4563" t="s">
        <v>12096</v>
      </c>
      <c r="L4563" t="s">
        <v>1647</v>
      </c>
      <c r="M4563" t="s">
        <v>1634</v>
      </c>
    </row>
    <row r="4564" spans="1:13" x14ac:dyDescent="0.25">
      <c r="A4564">
        <v>5807</v>
      </c>
      <c r="B4564" t="s">
        <v>12097</v>
      </c>
      <c r="C4564" t="s">
        <v>12098</v>
      </c>
      <c r="D4564" t="s">
        <v>1643</v>
      </c>
      <c r="E4564" t="s">
        <v>3494</v>
      </c>
      <c r="F4564" t="s">
        <v>5808</v>
      </c>
      <c r="G4564" t="s">
        <v>12099</v>
      </c>
      <c r="H4564">
        <v>5206965800</v>
      </c>
      <c r="J4564">
        <v>5206965900</v>
      </c>
      <c r="K4564" t="s">
        <v>12100</v>
      </c>
      <c r="L4564" t="s">
        <v>1647</v>
      </c>
      <c r="M4564" t="s">
        <v>1634</v>
      </c>
    </row>
    <row r="4565" spans="1:13" x14ac:dyDescent="0.25">
      <c r="A4565">
        <v>79378</v>
      </c>
      <c r="B4565" t="s">
        <v>12101</v>
      </c>
      <c r="C4565" t="s">
        <v>12102</v>
      </c>
      <c r="D4565" t="s">
        <v>1643</v>
      </c>
      <c r="E4565" t="s">
        <v>3494</v>
      </c>
      <c r="F4565" t="s">
        <v>2222</v>
      </c>
      <c r="G4565" t="s">
        <v>12103</v>
      </c>
      <c r="K4565" t="s">
        <v>12104</v>
      </c>
      <c r="L4565" t="s">
        <v>1647</v>
      </c>
      <c r="M4565" t="s">
        <v>1634</v>
      </c>
    </row>
    <row r="4566" spans="1:13" x14ac:dyDescent="0.25">
      <c r="A4566">
        <v>79378</v>
      </c>
      <c r="B4566" t="s">
        <v>12101</v>
      </c>
      <c r="C4566" t="s">
        <v>12102</v>
      </c>
      <c r="D4566" t="s">
        <v>1643</v>
      </c>
      <c r="E4566" t="s">
        <v>3494</v>
      </c>
      <c r="F4566" t="s">
        <v>1775</v>
      </c>
      <c r="G4566" t="s">
        <v>12105</v>
      </c>
      <c r="L4566" t="s">
        <v>1647</v>
      </c>
      <c r="M4566" t="s">
        <v>1634</v>
      </c>
    </row>
    <row r="4567" spans="1:13" x14ac:dyDescent="0.25">
      <c r="A4567">
        <v>6055</v>
      </c>
      <c r="B4567" t="s">
        <v>12106</v>
      </c>
      <c r="C4567" t="s">
        <v>12107</v>
      </c>
      <c r="D4567" t="s">
        <v>1643</v>
      </c>
      <c r="E4567" t="s">
        <v>3494</v>
      </c>
      <c r="F4567" t="s">
        <v>1959</v>
      </c>
      <c r="G4567" t="s">
        <v>12108</v>
      </c>
      <c r="K4567" t="s">
        <v>12109</v>
      </c>
      <c r="L4567" t="s">
        <v>1647</v>
      </c>
      <c r="M4567" t="s">
        <v>1634</v>
      </c>
    </row>
    <row r="4568" spans="1:13" x14ac:dyDescent="0.25">
      <c r="A4568">
        <v>5808</v>
      </c>
      <c r="B4568" t="s">
        <v>12110</v>
      </c>
      <c r="C4568" t="s">
        <v>12111</v>
      </c>
      <c r="D4568" t="s">
        <v>1643</v>
      </c>
      <c r="E4568" t="s">
        <v>3494</v>
      </c>
      <c r="F4568" t="s">
        <v>12112</v>
      </c>
      <c r="G4568" t="s">
        <v>12113</v>
      </c>
      <c r="K4568" t="s">
        <v>12114</v>
      </c>
      <c r="L4568" t="s">
        <v>1647</v>
      </c>
      <c r="M4568" t="s">
        <v>1634</v>
      </c>
    </row>
    <row r="4569" spans="1:13" x14ac:dyDescent="0.25">
      <c r="A4569">
        <v>91755</v>
      </c>
      <c r="B4569" t="s">
        <v>12115</v>
      </c>
      <c r="C4569" t="s">
        <v>12116</v>
      </c>
      <c r="D4569" t="s">
        <v>1643</v>
      </c>
      <c r="E4569" t="s">
        <v>3494</v>
      </c>
    </row>
    <row r="4570" spans="1:13" x14ac:dyDescent="0.25">
      <c r="A4570">
        <v>4407</v>
      </c>
      <c r="B4570" t="s">
        <v>331</v>
      </c>
      <c r="C4570" t="s">
        <v>12117</v>
      </c>
      <c r="D4570" t="s">
        <v>1628</v>
      </c>
      <c r="E4570" t="s">
        <v>3494</v>
      </c>
      <c r="F4570" t="s">
        <v>12118</v>
      </c>
      <c r="G4570" t="s">
        <v>7006</v>
      </c>
      <c r="K4570" t="s">
        <v>12119</v>
      </c>
      <c r="L4570" t="s">
        <v>1800</v>
      </c>
      <c r="M4570" t="s">
        <v>1634</v>
      </c>
    </row>
    <row r="4571" spans="1:13" x14ac:dyDescent="0.25">
      <c r="A4571">
        <v>4407</v>
      </c>
      <c r="B4571" t="s">
        <v>331</v>
      </c>
      <c r="C4571" t="s">
        <v>12117</v>
      </c>
      <c r="D4571" t="s">
        <v>1628</v>
      </c>
      <c r="E4571" t="s">
        <v>3494</v>
      </c>
      <c r="F4571" t="s">
        <v>2997</v>
      </c>
      <c r="G4571" t="s">
        <v>12120</v>
      </c>
      <c r="K4571" t="s">
        <v>12121</v>
      </c>
      <c r="L4571" t="s">
        <v>1668</v>
      </c>
      <c r="M4571" t="s">
        <v>1634</v>
      </c>
    </row>
    <row r="4572" spans="1:13" x14ac:dyDescent="0.25">
      <c r="A4572">
        <v>4407</v>
      </c>
      <c r="B4572" t="s">
        <v>331</v>
      </c>
      <c r="C4572" t="s">
        <v>12117</v>
      </c>
      <c r="D4572" t="s">
        <v>1628</v>
      </c>
      <c r="E4572" t="s">
        <v>3494</v>
      </c>
      <c r="F4572" t="s">
        <v>2348</v>
      </c>
      <c r="G4572" t="s">
        <v>12122</v>
      </c>
      <c r="H4572">
        <v>5205452042</v>
      </c>
      <c r="K4572" t="s">
        <v>12123</v>
      </c>
      <c r="L4572" t="s">
        <v>12124</v>
      </c>
      <c r="M4572" t="s">
        <v>1640</v>
      </c>
    </row>
    <row r="4573" spans="1:13" x14ac:dyDescent="0.25">
      <c r="A4573">
        <v>4407</v>
      </c>
      <c r="B4573" t="s">
        <v>331</v>
      </c>
      <c r="C4573" t="s">
        <v>12117</v>
      </c>
      <c r="D4573" t="s">
        <v>1628</v>
      </c>
      <c r="E4573" t="s">
        <v>3494</v>
      </c>
      <c r="F4573" t="s">
        <v>12125</v>
      </c>
      <c r="G4573" t="s">
        <v>12126</v>
      </c>
      <c r="H4573">
        <v>5205452154</v>
      </c>
      <c r="J4573">
        <v>5205452116</v>
      </c>
      <c r="K4573" t="s">
        <v>12127</v>
      </c>
      <c r="L4573" t="s">
        <v>2368</v>
      </c>
      <c r="M4573" t="s">
        <v>1640</v>
      </c>
    </row>
    <row r="4574" spans="1:13" x14ac:dyDescent="0.25">
      <c r="A4574">
        <v>4407</v>
      </c>
      <c r="B4574" t="s">
        <v>331</v>
      </c>
      <c r="C4574" t="s">
        <v>12117</v>
      </c>
      <c r="D4574" t="s">
        <v>1628</v>
      </c>
      <c r="E4574" t="s">
        <v>3494</v>
      </c>
      <c r="F4574" t="s">
        <v>1832</v>
      </c>
      <c r="G4574" t="s">
        <v>12128</v>
      </c>
      <c r="K4574" t="s">
        <v>12129</v>
      </c>
      <c r="L4574" t="s">
        <v>12130</v>
      </c>
      <c r="M4574" t="s">
        <v>1640</v>
      </c>
    </row>
    <row r="4575" spans="1:13" x14ac:dyDescent="0.25">
      <c r="A4575">
        <v>4407</v>
      </c>
      <c r="B4575" t="s">
        <v>331</v>
      </c>
      <c r="C4575" t="s">
        <v>12117</v>
      </c>
      <c r="D4575" t="s">
        <v>1628</v>
      </c>
      <c r="E4575" t="s">
        <v>3494</v>
      </c>
      <c r="F4575" t="s">
        <v>12118</v>
      </c>
      <c r="G4575" t="s">
        <v>7006</v>
      </c>
      <c r="K4575" t="s">
        <v>12119</v>
      </c>
      <c r="L4575" t="s">
        <v>1800</v>
      </c>
      <c r="M4575" t="s">
        <v>1765</v>
      </c>
    </row>
    <row r="4576" spans="1:13" x14ac:dyDescent="0.25">
      <c r="A4576">
        <v>91829</v>
      </c>
      <c r="B4576" t="s">
        <v>12131</v>
      </c>
      <c r="C4576" t="s">
        <v>12132</v>
      </c>
      <c r="D4576" t="s">
        <v>1643</v>
      </c>
      <c r="E4576" t="s">
        <v>3494</v>
      </c>
      <c r="F4576" t="s">
        <v>12125</v>
      </c>
      <c r="G4576" t="s">
        <v>12126</v>
      </c>
      <c r="H4576">
        <v>5205452220</v>
      </c>
      <c r="J4576">
        <v>5205452116</v>
      </c>
      <c r="K4576" t="s">
        <v>12133</v>
      </c>
      <c r="L4576" t="s">
        <v>9660</v>
      </c>
      <c r="M4576" t="s">
        <v>1640</v>
      </c>
    </row>
    <row r="4577" spans="1:13" x14ac:dyDescent="0.25">
      <c r="A4577">
        <v>91829</v>
      </c>
      <c r="B4577" t="s">
        <v>12131</v>
      </c>
      <c r="C4577" t="s">
        <v>12132</v>
      </c>
      <c r="D4577" t="s">
        <v>1643</v>
      </c>
      <c r="E4577" t="s">
        <v>3494</v>
      </c>
      <c r="F4577" t="s">
        <v>12118</v>
      </c>
      <c r="G4577" t="s">
        <v>7006</v>
      </c>
      <c r="J4577">
        <v>5205452116</v>
      </c>
      <c r="K4577" t="s">
        <v>12134</v>
      </c>
      <c r="L4577" t="s">
        <v>1800</v>
      </c>
      <c r="M4577" t="s">
        <v>1765</v>
      </c>
    </row>
    <row r="4578" spans="1:13" x14ac:dyDescent="0.25">
      <c r="A4578">
        <v>92770</v>
      </c>
      <c r="B4578" t="s">
        <v>12135</v>
      </c>
      <c r="C4578" t="s">
        <v>12136</v>
      </c>
      <c r="D4578" t="s">
        <v>1643</v>
      </c>
      <c r="E4578" t="s">
        <v>3494</v>
      </c>
      <c r="F4578" t="s">
        <v>4396</v>
      </c>
      <c r="G4578" t="s">
        <v>12137</v>
      </c>
      <c r="H4578">
        <v>5205454700</v>
      </c>
      <c r="I4578">
        <v>4705</v>
      </c>
      <c r="K4578" t="s">
        <v>12138</v>
      </c>
      <c r="L4578" t="s">
        <v>1647</v>
      </c>
      <c r="M4578" t="s">
        <v>1634</v>
      </c>
    </row>
    <row r="4579" spans="1:13" x14ac:dyDescent="0.25">
      <c r="A4579">
        <v>5809</v>
      </c>
      <c r="B4579" t="s">
        <v>791</v>
      </c>
      <c r="C4579" t="s">
        <v>12139</v>
      </c>
      <c r="D4579" t="s">
        <v>1643</v>
      </c>
      <c r="E4579" t="s">
        <v>3494</v>
      </c>
      <c r="F4579" t="s">
        <v>6260</v>
      </c>
      <c r="G4579" t="s">
        <v>12140</v>
      </c>
      <c r="H4579">
        <v>5205454505</v>
      </c>
      <c r="J4579">
        <v>5205453016</v>
      </c>
      <c r="K4579" t="s">
        <v>12141</v>
      </c>
      <c r="L4579" t="s">
        <v>1647</v>
      </c>
      <c r="M4579" t="s">
        <v>1634</v>
      </c>
    </row>
    <row r="4580" spans="1:13" x14ac:dyDescent="0.25">
      <c r="A4580">
        <v>5810</v>
      </c>
      <c r="B4580" t="s">
        <v>12142</v>
      </c>
      <c r="C4580" t="s">
        <v>12143</v>
      </c>
      <c r="D4580" t="s">
        <v>1643</v>
      </c>
      <c r="E4580" t="s">
        <v>3494</v>
      </c>
      <c r="F4580" t="s">
        <v>1787</v>
      </c>
      <c r="G4580" t="s">
        <v>12144</v>
      </c>
      <c r="H4580">
        <v>5205452600</v>
      </c>
      <c r="J4580">
        <v>5205452616</v>
      </c>
      <c r="K4580" t="s">
        <v>12145</v>
      </c>
      <c r="L4580" t="s">
        <v>1647</v>
      </c>
      <c r="M4580" t="s">
        <v>1634</v>
      </c>
    </row>
    <row r="4581" spans="1:13" x14ac:dyDescent="0.25">
      <c r="A4581">
        <v>5810</v>
      </c>
      <c r="B4581" t="s">
        <v>12142</v>
      </c>
      <c r="C4581" t="s">
        <v>12143</v>
      </c>
      <c r="D4581" t="s">
        <v>1643</v>
      </c>
      <c r="E4581" t="s">
        <v>3494</v>
      </c>
      <c r="F4581" t="s">
        <v>1723</v>
      </c>
      <c r="G4581" t="s">
        <v>12146</v>
      </c>
      <c r="H4581">
        <v>5205452600</v>
      </c>
      <c r="I4581">
        <v>2605</v>
      </c>
      <c r="J4581">
        <v>5205452616</v>
      </c>
      <c r="K4581" t="s">
        <v>12147</v>
      </c>
      <c r="L4581" t="s">
        <v>5382</v>
      </c>
      <c r="M4581" t="s">
        <v>1634</v>
      </c>
    </row>
    <row r="4582" spans="1:13" x14ac:dyDescent="0.25">
      <c r="A4582">
        <v>5812</v>
      </c>
      <c r="B4582" t="s">
        <v>797</v>
      </c>
      <c r="C4582" t="s">
        <v>12148</v>
      </c>
      <c r="D4582" t="s">
        <v>1643</v>
      </c>
      <c r="E4582" t="s">
        <v>3494</v>
      </c>
      <c r="F4582" t="s">
        <v>12149</v>
      </c>
      <c r="G4582" t="s">
        <v>2123</v>
      </c>
      <c r="H4582">
        <v>5205452700</v>
      </c>
      <c r="J4582">
        <v>5205452716</v>
      </c>
      <c r="K4582" t="s">
        <v>12150</v>
      </c>
      <c r="M4582" t="s">
        <v>1634</v>
      </c>
    </row>
    <row r="4583" spans="1:13" x14ac:dyDescent="0.25">
      <c r="A4583">
        <v>5812</v>
      </c>
      <c r="B4583" t="s">
        <v>797</v>
      </c>
      <c r="C4583" t="s">
        <v>12148</v>
      </c>
      <c r="D4583" t="s">
        <v>1643</v>
      </c>
      <c r="E4583" t="s">
        <v>3494</v>
      </c>
      <c r="F4583" t="s">
        <v>12151</v>
      </c>
      <c r="G4583" t="s">
        <v>12152</v>
      </c>
      <c r="H4583">
        <v>5205452700</v>
      </c>
      <c r="I4583">
        <v>2705</v>
      </c>
      <c r="J4583">
        <v>5205452716</v>
      </c>
      <c r="K4583" t="s">
        <v>12153</v>
      </c>
      <c r="L4583" t="s">
        <v>1647</v>
      </c>
      <c r="M4583" t="s">
        <v>1634</v>
      </c>
    </row>
    <row r="4584" spans="1:13" x14ac:dyDescent="0.25">
      <c r="A4584">
        <v>5812</v>
      </c>
      <c r="B4584" t="s">
        <v>797</v>
      </c>
      <c r="C4584" t="s">
        <v>12148</v>
      </c>
      <c r="D4584" t="s">
        <v>1643</v>
      </c>
      <c r="E4584" t="s">
        <v>3494</v>
      </c>
      <c r="F4584" t="s">
        <v>12125</v>
      </c>
      <c r="G4584" t="s">
        <v>12154</v>
      </c>
      <c r="H4584">
        <v>5205452020</v>
      </c>
      <c r="K4584" t="s">
        <v>12133</v>
      </c>
      <c r="M4584" t="s">
        <v>1640</v>
      </c>
    </row>
    <row r="4585" spans="1:13" x14ac:dyDescent="0.25">
      <c r="A4585">
        <v>5813</v>
      </c>
      <c r="B4585" t="s">
        <v>12155</v>
      </c>
      <c r="C4585" t="s">
        <v>12156</v>
      </c>
      <c r="D4585" t="s">
        <v>1643</v>
      </c>
      <c r="E4585" t="s">
        <v>3494</v>
      </c>
      <c r="F4585" t="s">
        <v>5054</v>
      </c>
      <c r="G4585" t="s">
        <v>12157</v>
      </c>
      <c r="H4585">
        <v>5205452800</v>
      </c>
      <c r="I4585">
        <v>2813</v>
      </c>
      <c r="J4585">
        <v>5205452890</v>
      </c>
      <c r="K4585" t="s">
        <v>12158</v>
      </c>
      <c r="L4585" t="s">
        <v>1647</v>
      </c>
      <c r="M4585" t="s">
        <v>1634</v>
      </c>
    </row>
    <row r="4586" spans="1:13" x14ac:dyDescent="0.25">
      <c r="A4586">
        <v>5814</v>
      </c>
      <c r="B4586" t="s">
        <v>1425</v>
      </c>
      <c r="C4586" t="s">
        <v>12159</v>
      </c>
      <c r="D4586" t="s">
        <v>1643</v>
      </c>
      <c r="E4586" t="s">
        <v>3494</v>
      </c>
      <c r="F4586" t="s">
        <v>12160</v>
      </c>
      <c r="G4586" t="s">
        <v>6351</v>
      </c>
      <c r="H4586">
        <v>5205452900</v>
      </c>
      <c r="I4586">
        <v>2905</v>
      </c>
      <c r="J4586">
        <v>5205452916</v>
      </c>
      <c r="K4586" t="s">
        <v>12161</v>
      </c>
      <c r="L4586" t="s">
        <v>1647</v>
      </c>
      <c r="M4586" t="s">
        <v>1634</v>
      </c>
    </row>
    <row r="4587" spans="1:13" x14ac:dyDescent="0.25">
      <c r="A4587">
        <v>5814</v>
      </c>
      <c r="B4587" t="s">
        <v>1425</v>
      </c>
      <c r="C4587" t="s">
        <v>12159</v>
      </c>
      <c r="D4587" t="s">
        <v>1643</v>
      </c>
      <c r="E4587" t="s">
        <v>3494</v>
      </c>
      <c r="F4587" t="s">
        <v>2276</v>
      </c>
      <c r="G4587" t="s">
        <v>12162</v>
      </c>
      <c r="H4587">
        <v>5205422900</v>
      </c>
      <c r="I4587">
        <v>2944</v>
      </c>
      <c r="J4587">
        <v>5205452916</v>
      </c>
      <c r="K4587" t="s">
        <v>12163</v>
      </c>
      <c r="L4587" t="s">
        <v>12164</v>
      </c>
      <c r="M4587" t="s">
        <v>1634</v>
      </c>
    </row>
    <row r="4588" spans="1:13" x14ac:dyDescent="0.25">
      <c r="A4588">
        <v>5815</v>
      </c>
      <c r="B4588" t="s">
        <v>1516</v>
      </c>
      <c r="C4588" t="s">
        <v>12165</v>
      </c>
      <c r="D4588" t="s">
        <v>1643</v>
      </c>
      <c r="E4588" t="s">
        <v>3494</v>
      </c>
      <c r="F4588" t="s">
        <v>2313</v>
      </c>
      <c r="G4588" t="s">
        <v>12166</v>
      </c>
      <c r="H4588">
        <v>5205453100</v>
      </c>
      <c r="I4588">
        <v>3105</v>
      </c>
      <c r="J4588">
        <v>5205453116</v>
      </c>
      <c r="K4588" t="s">
        <v>12167</v>
      </c>
      <c r="L4588" t="s">
        <v>1647</v>
      </c>
      <c r="M4588" t="s">
        <v>1634</v>
      </c>
    </row>
    <row r="4589" spans="1:13" x14ac:dyDescent="0.25">
      <c r="A4589">
        <v>5816</v>
      </c>
      <c r="B4589" t="s">
        <v>1480</v>
      </c>
      <c r="C4589" t="s">
        <v>12168</v>
      </c>
      <c r="D4589" t="s">
        <v>1643</v>
      </c>
      <c r="E4589" t="s">
        <v>3494</v>
      </c>
      <c r="F4589" t="s">
        <v>12169</v>
      </c>
      <c r="G4589" t="s">
        <v>12170</v>
      </c>
      <c r="H4589">
        <v>5205453000</v>
      </c>
      <c r="J4589">
        <v>5205453016</v>
      </c>
      <c r="K4589" t="s">
        <v>12171</v>
      </c>
      <c r="L4589" t="s">
        <v>1647</v>
      </c>
      <c r="M4589" t="s">
        <v>1634</v>
      </c>
    </row>
    <row r="4590" spans="1:13" x14ac:dyDescent="0.25">
      <c r="A4590">
        <v>5816</v>
      </c>
      <c r="B4590" t="s">
        <v>1480</v>
      </c>
      <c r="C4590" t="s">
        <v>12168</v>
      </c>
      <c r="D4590" t="s">
        <v>1643</v>
      </c>
      <c r="E4590" t="s">
        <v>3494</v>
      </c>
      <c r="F4590" t="s">
        <v>12169</v>
      </c>
      <c r="G4590" t="s">
        <v>10184</v>
      </c>
      <c r="H4590">
        <v>5205453000</v>
      </c>
      <c r="I4590">
        <v>3005</v>
      </c>
      <c r="J4590">
        <v>5205453016</v>
      </c>
      <c r="K4590" t="s">
        <v>12172</v>
      </c>
      <c r="L4590" t="s">
        <v>1647</v>
      </c>
      <c r="M4590" t="s">
        <v>1634</v>
      </c>
    </row>
    <row r="4591" spans="1:13" x14ac:dyDescent="0.25">
      <c r="A4591">
        <v>5816</v>
      </c>
      <c r="B4591" t="s">
        <v>1480</v>
      </c>
      <c r="C4591" t="s">
        <v>12168</v>
      </c>
      <c r="D4591" t="s">
        <v>1643</v>
      </c>
      <c r="E4591" t="s">
        <v>3494</v>
      </c>
      <c r="F4591" t="s">
        <v>6159</v>
      </c>
      <c r="G4591" t="s">
        <v>1708</v>
      </c>
      <c r="H4591">
        <v>6025453000</v>
      </c>
      <c r="I4591">
        <v>3005</v>
      </c>
      <c r="K4591" t="s">
        <v>12173</v>
      </c>
      <c r="L4591" t="s">
        <v>1647</v>
      </c>
      <c r="M4591" t="s">
        <v>1634</v>
      </c>
    </row>
    <row r="4592" spans="1:13" x14ac:dyDescent="0.25">
      <c r="A4592">
        <v>5817</v>
      </c>
      <c r="B4592" t="s">
        <v>1538</v>
      </c>
      <c r="C4592" t="s">
        <v>12174</v>
      </c>
      <c r="D4592" t="s">
        <v>1643</v>
      </c>
      <c r="E4592" t="s">
        <v>3494</v>
      </c>
      <c r="F4592" t="s">
        <v>12175</v>
      </c>
      <c r="G4592" t="s">
        <v>12176</v>
      </c>
      <c r="H4592">
        <v>5205453300</v>
      </c>
      <c r="I4592">
        <v>3305</v>
      </c>
      <c r="J4592">
        <v>5205453316</v>
      </c>
      <c r="K4592" t="s">
        <v>12177</v>
      </c>
      <c r="L4592" t="s">
        <v>1647</v>
      </c>
      <c r="M4592" t="s">
        <v>1634</v>
      </c>
    </row>
    <row r="4593" spans="1:13" x14ac:dyDescent="0.25">
      <c r="A4593">
        <v>5818</v>
      </c>
      <c r="B4593" t="s">
        <v>816</v>
      </c>
      <c r="C4593" t="s">
        <v>12178</v>
      </c>
      <c r="D4593" t="s">
        <v>1643</v>
      </c>
      <c r="E4593" t="s">
        <v>3494</v>
      </c>
      <c r="F4593" t="s">
        <v>5752</v>
      </c>
      <c r="G4593" t="s">
        <v>12179</v>
      </c>
      <c r="H4593">
        <v>5205453200</v>
      </c>
      <c r="J4593">
        <v>5205453216</v>
      </c>
      <c r="K4593" t="s">
        <v>12180</v>
      </c>
      <c r="M4593" t="s">
        <v>1634</v>
      </c>
    </row>
    <row r="4594" spans="1:13" x14ac:dyDescent="0.25">
      <c r="A4594">
        <v>5818</v>
      </c>
      <c r="B4594" t="s">
        <v>816</v>
      </c>
      <c r="C4594" t="s">
        <v>12178</v>
      </c>
      <c r="D4594" t="s">
        <v>1643</v>
      </c>
      <c r="E4594" t="s">
        <v>3494</v>
      </c>
      <c r="F4594" t="s">
        <v>2217</v>
      </c>
      <c r="G4594" t="s">
        <v>12181</v>
      </c>
      <c r="H4594">
        <v>5205453205</v>
      </c>
      <c r="J4594">
        <v>5205453216</v>
      </c>
      <c r="K4594" t="s">
        <v>12182</v>
      </c>
      <c r="L4594" t="s">
        <v>1647</v>
      </c>
      <c r="M4594" t="s">
        <v>1634</v>
      </c>
    </row>
    <row r="4595" spans="1:13" x14ac:dyDescent="0.25">
      <c r="A4595">
        <v>5820</v>
      </c>
      <c r="B4595" t="s">
        <v>12183</v>
      </c>
      <c r="C4595" t="s">
        <v>12184</v>
      </c>
      <c r="D4595" t="s">
        <v>1643</v>
      </c>
      <c r="E4595" t="s">
        <v>3494</v>
      </c>
      <c r="F4595" t="s">
        <v>9529</v>
      </c>
      <c r="G4595" t="s">
        <v>2417</v>
      </c>
      <c r="H4595">
        <v>5205453500</v>
      </c>
      <c r="I4595">
        <v>3566</v>
      </c>
      <c r="J4595">
        <v>5205453516</v>
      </c>
      <c r="K4595" t="s">
        <v>12185</v>
      </c>
      <c r="L4595" t="s">
        <v>12186</v>
      </c>
      <c r="M4595" t="s">
        <v>1634</v>
      </c>
    </row>
    <row r="4596" spans="1:13" x14ac:dyDescent="0.25">
      <c r="A4596">
        <v>5821</v>
      </c>
      <c r="B4596" t="s">
        <v>12187</v>
      </c>
      <c r="C4596" t="s">
        <v>12188</v>
      </c>
      <c r="D4596" t="s">
        <v>1643</v>
      </c>
      <c r="E4596" t="s">
        <v>3494</v>
      </c>
      <c r="F4596" t="s">
        <v>2217</v>
      </c>
      <c r="G4596" t="s">
        <v>12181</v>
      </c>
      <c r="H4596">
        <v>5205453805</v>
      </c>
      <c r="J4596">
        <v>5205453816</v>
      </c>
      <c r="K4596" t="s">
        <v>12189</v>
      </c>
      <c r="L4596" t="s">
        <v>1647</v>
      </c>
      <c r="M4596" t="s">
        <v>1634</v>
      </c>
    </row>
    <row r="4597" spans="1:13" x14ac:dyDescent="0.25">
      <c r="A4597">
        <v>5821</v>
      </c>
      <c r="B4597" t="s">
        <v>12187</v>
      </c>
      <c r="C4597" t="s">
        <v>12188</v>
      </c>
      <c r="D4597" t="s">
        <v>1643</v>
      </c>
      <c r="E4597" t="s">
        <v>3494</v>
      </c>
      <c r="F4597" t="s">
        <v>6078</v>
      </c>
      <c r="G4597" t="s">
        <v>12190</v>
      </c>
      <c r="H4597">
        <v>5205453800</v>
      </c>
      <c r="I4597">
        <v>3805</v>
      </c>
      <c r="J4597">
        <v>5205453816</v>
      </c>
      <c r="K4597" t="s">
        <v>12191</v>
      </c>
      <c r="L4597" t="s">
        <v>1647</v>
      </c>
      <c r="M4597" t="s">
        <v>1634</v>
      </c>
    </row>
    <row r="4598" spans="1:13" x14ac:dyDescent="0.25">
      <c r="A4598">
        <v>89584</v>
      </c>
      <c r="B4598" t="s">
        <v>12192</v>
      </c>
      <c r="C4598" t="s">
        <v>12193</v>
      </c>
      <c r="D4598" t="s">
        <v>1643</v>
      </c>
      <c r="E4598" t="s">
        <v>3494</v>
      </c>
      <c r="F4598" t="s">
        <v>12194</v>
      </c>
      <c r="G4598" t="s">
        <v>12195</v>
      </c>
      <c r="H4598">
        <v>5205453900</v>
      </c>
      <c r="I4598">
        <v>3905</v>
      </c>
      <c r="J4598">
        <v>5205453916</v>
      </c>
      <c r="K4598" t="s">
        <v>12196</v>
      </c>
      <c r="L4598" t="s">
        <v>1647</v>
      </c>
      <c r="M4598" t="s">
        <v>1634</v>
      </c>
    </row>
    <row r="4599" spans="1:13" x14ac:dyDescent="0.25">
      <c r="A4599">
        <v>89584</v>
      </c>
      <c r="B4599" t="s">
        <v>12192</v>
      </c>
      <c r="C4599" t="s">
        <v>12193</v>
      </c>
      <c r="D4599" t="s">
        <v>1643</v>
      </c>
      <c r="E4599" t="s">
        <v>3494</v>
      </c>
      <c r="F4599" t="s">
        <v>12197</v>
      </c>
      <c r="G4599" t="s">
        <v>12198</v>
      </c>
      <c r="H4599">
        <v>5205453900</v>
      </c>
      <c r="K4599" t="s">
        <v>12199</v>
      </c>
      <c r="M4599" t="s">
        <v>1634</v>
      </c>
    </row>
    <row r="4600" spans="1:13" x14ac:dyDescent="0.25">
      <c r="A4600">
        <v>89584</v>
      </c>
      <c r="B4600" t="s">
        <v>12192</v>
      </c>
      <c r="C4600" t="s">
        <v>12193</v>
      </c>
      <c r="D4600" t="s">
        <v>1643</v>
      </c>
      <c r="E4600" t="s">
        <v>3494</v>
      </c>
      <c r="F4600" t="s">
        <v>2411</v>
      </c>
      <c r="G4600" t="s">
        <v>12200</v>
      </c>
      <c r="K4600" t="s">
        <v>12201</v>
      </c>
      <c r="M4600" t="s">
        <v>1634</v>
      </c>
    </row>
    <row r="4601" spans="1:13" x14ac:dyDescent="0.25">
      <c r="A4601">
        <v>89584</v>
      </c>
      <c r="B4601" t="s">
        <v>12192</v>
      </c>
      <c r="C4601" t="s">
        <v>12193</v>
      </c>
      <c r="D4601" t="s">
        <v>1643</v>
      </c>
      <c r="E4601" t="s">
        <v>3494</v>
      </c>
      <c r="F4601" t="s">
        <v>4396</v>
      </c>
      <c r="G4601" t="s">
        <v>3278</v>
      </c>
      <c r="H4601">
        <v>5205452043</v>
      </c>
      <c r="J4601">
        <v>5205452115</v>
      </c>
      <c r="K4601" t="s">
        <v>12202</v>
      </c>
      <c r="L4601" t="s">
        <v>12203</v>
      </c>
      <c r="M4601" t="s">
        <v>1640</v>
      </c>
    </row>
    <row r="4602" spans="1:13" x14ac:dyDescent="0.25">
      <c r="A4602">
        <v>5822</v>
      </c>
      <c r="B4602" t="s">
        <v>12204</v>
      </c>
      <c r="C4602" t="s">
        <v>12205</v>
      </c>
      <c r="D4602" t="s">
        <v>1643</v>
      </c>
      <c r="E4602" t="s">
        <v>3494</v>
      </c>
      <c r="F4602" t="s">
        <v>9634</v>
      </c>
      <c r="G4602" t="s">
        <v>12206</v>
      </c>
      <c r="H4602">
        <v>5205453700</v>
      </c>
      <c r="I4602">
        <v>3716</v>
      </c>
      <c r="J4602">
        <v>5205453716</v>
      </c>
      <c r="K4602" t="s">
        <v>12207</v>
      </c>
      <c r="L4602" t="s">
        <v>1721</v>
      </c>
      <c r="M4602" t="s">
        <v>1634</v>
      </c>
    </row>
    <row r="4603" spans="1:13" x14ac:dyDescent="0.25">
      <c r="A4603">
        <v>5823</v>
      </c>
      <c r="B4603" t="s">
        <v>805</v>
      </c>
      <c r="C4603" t="s">
        <v>12208</v>
      </c>
      <c r="D4603" t="s">
        <v>1643</v>
      </c>
      <c r="E4603" t="s">
        <v>3494</v>
      </c>
      <c r="F4603" t="s">
        <v>1732</v>
      </c>
      <c r="G4603" t="s">
        <v>12209</v>
      </c>
      <c r="H4603">
        <v>5205454800</v>
      </c>
      <c r="I4603">
        <v>4816</v>
      </c>
      <c r="J4603">
        <v>5205454816</v>
      </c>
      <c r="K4603" t="s">
        <v>12210</v>
      </c>
      <c r="L4603" t="s">
        <v>1647</v>
      </c>
      <c r="M4603" t="s">
        <v>1634</v>
      </c>
    </row>
    <row r="4604" spans="1:13" x14ac:dyDescent="0.25">
      <c r="A4604">
        <v>5823</v>
      </c>
      <c r="B4604" t="s">
        <v>805</v>
      </c>
      <c r="C4604" t="s">
        <v>12208</v>
      </c>
      <c r="D4604" t="s">
        <v>1643</v>
      </c>
      <c r="E4604" t="s">
        <v>3494</v>
      </c>
      <c r="F4604" t="s">
        <v>1775</v>
      </c>
      <c r="G4604" t="s">
        <v>12211</v>
      </c>
      <c r="K4604" t="s">
        <v>12212</v>
      </c>
      <c r="L4604" t="s">
        <v>1738</v>
      </c>
      <c r="M4604" t="s">
        <v>1640</v>
      </c>
    </row>
    <row r="4605" spans="1:13" x14ac:dyDescent="0.25">
      <c r="A4605">
        <v>5824</v>
      </c>
      <c r="B4605" t="s">
        <v>1430</v>
      </c>
      <c r="C4605" t="s">
        <v>12213</v>
      </c>
      <c r="D4605" t="s">
        <v>1643</v>
      </c>
      <c r="E4605" t="s">
        <v>3494</v>
      </c>
      <c r="F4605" t="s">
        <v>12214</v>
      </c>
      <c r="G4605" t="s">
        <v>4213</v>
      </c>
      <c r="H4605">
        <v>5205454601</v>
      </c>
      <c r="L4605" t="s">
        <v>1647</v>
      </c>
      <c r="M4605" t="s">
        <v>1634</v>
      </c>
    </row>
    <row r="4606" spans="1:13" x14ac:dyDescent="0.25">
      <c r="A4606">
        <v>5824</v>
      </c>
      <c r="B4606" t="s">
        <v>1430</v>
      </c>
      <c r="C4606" t="s">
        <v>12213</v>
      </c>
      <c r="D4606" t="s">
        <v>1643</v>
      </c>
      <c r="E4606" t="s">
        <v>3494</v>
      </c>
      <c r="F4606" t="s">
        <v>12215</v>
      </c>
      <c r="G4606" t="s">
        <v>12216</v>
      </c>
      <c r="H4606">
        <v>5205454605</v>
      </c>
      <c r="J4606">
        <v>5205454616</v>
      </c>
      <c r="K4606" t="s">
        <v>12217</v>
      </c>
      <c r="L4606" t="s">
        <v>1647</v>
      </c>
      <c r="M4606" t="s">
        <v>1634</v>
      </c>
    </row>
    <row r="4607" spans="1:13" x14ac:dyDescent="0.25">
      <c r="A4607">
        <v>5824</v>
      </c>
      <c r="B4607" t="s">
        <v>1430</v>
      </c>
      <c r="C4607" t="s">
        <v>12213</v>
      </c>
      <c r="D4607" t="s">
        <v>1643</v>
      </c>
      <c r="E4607" t="s">
        <v>3494</v>
      </c>
      <c r="F4607" t="s">
        <v>1787</v>
      </c>
      <c r="G4607" t="s">
        <v>12218</v>
      </c>
      <c r="H4607">
        <v>5205454600</v>
      </c>
      <c r="I4607">
        <v>4605</v>
      </c>
      <c r="J4607">
        <v>5205454616</v>
      </c>
      <c r="K4607" t="s">
        <v>12219</v>
      </c>
      <c r="L4607" t="s">
        <v>1647</v>
      </c>
      <c r="M4607" t="s">
        <v>1634</v>
      </c>
    </row>
    <row r="4608" spans="1:13" x14ac:dyDescent="0.25">
      <c r="A4608">
        <v>87532</v>
      </c>
      <c r="B4608" t="s">
        <v>12220</v>
      </c>
      <c r="C4608" t="s">
        <v>12221</v>
      </c>
      <c r="D4608" t="s">
        <v>1643</v>
      </c>
      <c r="E4608" t="s">
        <v>3494</v>
      </c>
      <c r="F4608" t="s">
        <v>1820</v>
      </c>
      <c r="G4608" t="s">
        <v>5671</v>
      </c>
      <c r="H4608">
        <v>5205454900</v>
      </c>
      <c r="I4608">
        <v>4905</v>
      </c>
      <c r="J4608">
        <v>5205454916</v>
      </c>
      <c r="K4608" t="s">
        <v>12222</v>
      </c>
      <c r="L4608" t="s">
        <v>1647</v>
      </c>
      <c r="M4608" t="s">
        <v>1634</v>
      </c>
    </row>
    <row r="4609" spans="1:13" x14ac:dyDescent="0.25">
      <c r="A4609">
        <v>5825</v>
      </c>
      <c r="B4609" t="s">
        <v>810</v>
      </c>
      <c r="C4609" t="s">
        <v>12223</v>
      </c>
      <c r="D4609" t="s">
        <v>1643</v>
      </c>
      <c r="E4609" t="s">
        <v>3494</v>
      </c>
      <c r="F4609" t="s">
        <v>2997</v>
      </c>
      <c r="G4609" t="s">
        <v>6505</v>
      </c>
      <c r="H4609">
        <v>5205453600</v>
      </c>
      <c r="J4609">
        <v>5205453616</v>
      </c>
      <c r="K4609" t="s">
        <v>12224</v>
      </c>
      <c r="M4609" t="s">
        <v>1634</v>
      </c>
    </row>
    <row r="4610" spans="1:13" x14ac:dyDescent="0.25">
      <c r="A4610">
        <v>5826</v>
      </c>
      <c r="B4610" t="s">
        <v>1010</v>
      </c>
      <c r="C4610" t="s">
        <v>12225</v>
      </c>
      <c r="D4610" t="s">
        <v>1643</v>
      </c>
      <c r="E4610" t="s">
        <v>3494</v>
      </c>
      <c r="F4610" t="s">
        <v>2704</v>
      </c>
      <c r="G4610" t="s">
        <v>12226</v>
      </c>
      <c r="K4610" t="s">
        <v>12227</v>
      </c>
      <c r="M4610" t="s">
        <v>1634</v>
      </c>
    </row>
    <row r="4611" spans="1:13" x14ac:dyDescent="0.25">
      <c r="A4611">
        <v>5826</v>
      </c>
      <c r="B4611" t="s">
        <v>1010</v>
      </c>
      <c r="C4611" t="s">
        <v>12225</v>
      </c>
      <c r="D4611" t="s">
        <v>1643</v>
      </c>
      <c r="E4611" t="s">
        <v>3494</v>
      </c>
      <c r="F4611" t="s">
        <v>6260</v>
      </c>
      <c r="G4611" t="s">
        <v>12140</v>
      </c>
      <c r="H4611">
        <v>5205455100</v>
      </c>
      <c r="I4611">
        <v>5705</v>
      </c>
      <c r="J4611">
        <v>5205455116</v>
      </c>
      <c r="K4611" t="s">
        <v>12228</v>
      </c>
      <c r="L4611" t="s">
        <v>12229</v>
      </c>
      <c r="M4611" t="s">
        <v>1634</v>
      </c>
    </row>
    <row r="4612" spans="1:13" x14ac:dyDescent="0.25">
      <c r="A4612">
        <v>5827</v>
      </c>
      <c r="B4612" t="s">
        <v>999</v>
      </c>
      <c r="C4612" t="s">
        <v>12230</v>
      </c>
      <c r="D4612" t="s">
        <v>1643</v>
      </c>
      <c r="E4612" t="s">
        <v>3494</v>
      </c>
      <c r="F4612" t="s">
        <v>7265</v>
      </c>
      <c r="G4612" t="s">
        <v>12231</v>
      </c>
      <c r="H4612">
        <v>5205455300</v>
      </c>
      <c r="J4612">
        <v>5205455316</v>
      </c>
      <c r="K4612" t="s">
        <v>12232</v>
      </c>
      <c r="M4612" t="s">
        <v>1634</v>
      </c>
    </row>
    <row r="4613" spans="1:13" x14ac:dyDescent="0.25">
      <c r="A4613">
        <v>5827</v>
      </c>
      <c r="B4613" t="s">
        <v>999</v>
      </c>
      <c r="C4613" t="s">
        <v>12230</v>
      </c>
      <c r="D4613" t="s">
        <v>1643</v>
      </c>
      <c r="E4613" t="s">
        <v>3494</v>
      </c>
      <c r="F4613" t="s">
        <v>1955</v>
      </c>
      <c r="G4613" t="s">
        <v>12233</v>
      </c>
      <c r="H4613">
        <v>5205455305</v>
      </c>
      <c r="J4613">
        <v>5205455316</v>
      </c>
      <c r="K4613" t="s">
        <v>12234</v>
      </c>
      <c r="L4613" t="s">
        <v>1647</v>
      </c>
      <c r="M4613" t="s">
        <v>1634</v>
      </c>
    </row>
    <row r="4614" spans="1:13" x14ac:dyDescent="0.25">
      <c r="A4614">
        <v>5827</v>
      </c>
      <c r="B4614" t="s">
        <v>999</v>
      </c>
      <c r="C4614" t="s">
        <v>12230</v>
      </c>
      <c r="D4614" t="s">
        <v>1643</v>
      </c>
      <c r="E4614" t="s">
        <v>3494</v>
      </c>
      <c r="F4614" t="s">
        <v>6345</v>
      </c>
      <c r="G4614" t="s">
        <v>5279</v>
      </c>
      <c r="H4614">
        <v>5205455300</v>
      </c>
      <c r="I4614">
        <v>5305</v>
      </c>
      <c r="J4614">
        <v>5205455487</v>
      </c>
      <c r="K4614" t="s">
        <v>12235</v>
      </c>
      <c r="L4614" t="s">
        <v>12236</v>
      </c>
      <c r="M4614" t="s">
        <v>1634</v>
      </c>
    </row>
    <row r="4615" spans="1:13" x14ac:dyDescent="0.25">
      <c r="A4615">
        <v>5827</v>
      </c>
      <c r="B4615" t="s">
        <v>999</v>
      </c>
      <c r="C4615" t="s">
        <v>12230</v>
      </c>
      <c r="D4615" t="s">
        <v>1643</v>
      </c>
      <c r="E4615" t="s">
        <v>3494</v>
      </c>
      <c r="F4615" t="s">
        <v>1775</v>
      </c>
      <c r="G4615" t="s">
        <v>12237</v>
      </c>
      <c r="H4615">
        <v>5205455301</v>
      </c>
      <c r="K4615" t="s">
        <v>12238</v>
      </c>
      <c r="L4615" t="s">
        <v>1721</v>
      </c>
      <c r="M4615" t="s">
        <v>1634</v>
      </c>
    </row>
    <row r="4616" spans="1:13" x14ac:dyDescent="0.25">
      <c r="A4616">
        <v>6288</v>
      </c>
      <c r="B4616" t="s">
        <v>12239</v>
      </c>
      <c r="C4616" t="s">
        <v>12240</v>
      </c>
      <c r="D4616" t="s">
        <v>1643</v>
      </c>
      <c r="E4616" t="s">
        <v>3494</v>
      </c>
      <c r="F4616" t="s">
        <v>1692</v>
      </c>
      <c r="G4616" t="s">
        <v>12241</v>
      </c>
      <c r="H4616">
        <v>5205452300</v>
      </c>
      <c r="J4616">
        <v>5205452316</v>
      </c>
      <c r="K4616" t="s">
        <v>12242</v>
      </c>
      <c r="M4616" t="s">
        <v>1634</v>
      </c>
    </row>
    <row r="4617" spans="1:13" x14ac:dyDescent="0.25">
      <c r="A4617">
        <v>6288</v>
      </c>
      <c r="B4617" t="s">
        <v>12239</v>
      </c>
      <c r="C4617" t="s">
        <v>12240</v>
      </c>
      <c r="D4617" t="s">
        <v>1643</v>
      </c>
      <c r="E4617" t="s">
        <v>3494</v>
      </c>
      <c r="F4617" t="s">
        <v>12243</v>
      </c>
      <c r="G4617" t="s">
        <v>12244</v>
      </c>
      <c r="H4617">
        <v>5205452300</v>
      </c>
      <c r="I4617">
        <v>2305</v>
      </c>
      <c r="J4617">
        <v>5205452231</v>
      </c>
      <c r="K4617" t="s">
        <v>12245</v>
      </c>
      <c r="L4617" t="s">
        <v>1647</v>
      </c>
      <c r="M4617" t="s">
        <v>1634</v>
      </c>
    </row>
    <row r="4618" spans="1:13" x14ac:dyDescent="0.25">
      <c r="A4618">
        <v>4408</v>
      </c>
      <c r="B4618" t="s">
        <v>12246</v>
      </c>
      <c r="C4618" t="s">
        <v>12247</v>
      </c>
      <c r="D4618" t="s">
        <v>1628</v>
      </c>
      <c r="E4618" t="s">
        <v>3494</v>
      </c>
      <c r="F4618" t="s">
        <v>12248</v>
      </c>
      <c r="G4618" t="s">
        <v>12249</v>
      </c>
      <c r="H4618">
        <v>5207495751</v>
      </c>
      <c r="I4618">
        <v>4208</v>
      </c>
      <c r="K4618" t="s">
        <v>12250</v>
      </c>
      <c r="L4618" t="s">
        <v>1746</v>
      </c>
      <c r="M4618" t="s">
        <v>1634</v>
      </c>
    </row>
    <row r="4619" spans="1:13" x14ac:dyDescent="0.25">
      <c r="A4619">
        <v>4408</v>
      </c>
      <c r="B4619" t="s">
        <v>12246</v>
      </c>
      <c r="C4619" t="s">
        <v>12247</v>
      </c>
      <c r="D4619" t="s">
        <v>1628</v>
      </c>
      <c r="E4619" t="s">
        <v>3494</v>
      </c>
      <c r="F4619" t="s">
        <v>1690</v>
      </c>
      <c r="G4619" t="s">
        <v>12251</v>
      </c>
      <c r="H4619">
        <v>5207495751</v>
      </c>
      <c r="I4619">
        <v>4101</v>
      </c>
      <c r="K4619" t="s">
        <v>12252</v>
      </c>
      <c r="L4619" t="s">
        <v>1668</v>
      </c>
      <c r="M4619" t="s">
        <v>1634</v>
      </c>
    </row>
    <row r="4620" spans="1:13" x14ac:dyDescent="0.25">
      <c r="A4620">
        <v>4408</v>
      </c>
      <c r="B4620" t="s">
        <v>12246</v>
      </c>
      <c r="C4620" t="s">
        <v>12247</v>
      </c>
      <c r="D4620" t="s">
        <v>1628</v>
      </c>
      <c r="E4620" t="s">
        <v>3494</v>
      </c>
      <c r="F4620" t="s">
        <v>9030</v>
      </c>
      <c r="G4620" t="s">
        <v>12253</v>
      </c>
      <c r="H4620">
        <v>5207495751</v>
      </c>
      <c r="K4620" t="s">
        <v>12254</v>
      </c>
      <c r="L4620" t="s">
        <v>1640</v>
      </c>
      <c r="M4620" t="s">
        <v>1640</v>
      </c>
    </row>
    <row r="4621" spans="1:13" x14ac:dyDescent="0.25">
      <c r="A4621">
        <v>5828</v>
      </c>
      <c r="B4621" t="s">
        <v>12255</v>
      </c>
      <c r="C4621" t="s">
        <v>12256</v>
      </c>
      <c r="D4621" t="s">
        <v>1643</v>
      </c>
      <c r="E4621" t="s">
        <v>3494</v>
      </c>
      <c r="F4621" t="s">
        <v>3870</v>
      </c>
      <c r="G4621" t="s">
        <v>1918</v>
      </c>
      <c r="H4621">
        <v>5207493838</v>
      </c>
      <c r="I4621">
        <v>5002</v>
      </c>
      <c r="J4621">
        <v>5208296250</v>
      </c>
      <c r="K4621" t="s">
        <v>12257</v>
      </c>
      <c r="L4621" t="s">
        <v>1647</v>
      </c>
      <c r="M4621" t="s">
        <v>1634</v>
      </c>
    </row>
    <row r="4622" spans="1:13" x14ac:dyDescent="0.25">
      <c r="A4622">
        <v>5829</v>
      </c>
      <c r="B4622" t="s">
        <v>12258</v>
      </c>
      <c r="C4622" t="s">
        <v>12259</v>
      </c>
      <c r="D4622" t="s">
        <v>1643</v>
      </c>
      <c r="E4622" t="s">
        <v>3494</v>
      </c>
    </row>
    <row r="4623" spans="1:13" x14ac:dyDescent="0.25">
      <c r="A4623">
        <v>5830</v>
      </c>
      <c r="B4623" t="s">
        <v>12260</v>
      </c>
      <c r="C4623" t="s">
        <v>12261</v>
      </c>
      <c r="D4623" t="s">
        <v>1643</v>
      </c>
      <c r="E4623" t="s">
        <v>3494</v>
      </c>
      <c r="F4623" t="s">
        <v>2455</v>
      </c>
      <c r="G4623" t="s">
        <v>2456</v>
      </c>
      <c r="H4623">
        <v>5207492235</v>
      </c>
      <c r="I4623">
        <v>2002</v>
      </c>
      <c r="J4623">
        <v>5207490338</v>
      </c>
      <c r="K4623" t="s">
        <v>12262</v>
      </c>
      <c r="L4623" t="s">
        <v>1647</v>
      </c>
      <c r="M4623" t="s">
        <v>1634</v>
      </c>
    </row>
    <row r="4624" spans="1:13" x14ac:dyDescent="0.25">
      <c r="A4624">
        <v>5830</v>
      </c>
      <c r="B4624" t="s">
        <v>12260</v>
      </c>
      <c r="C4624" t="s">
        <v>12261</v>
      </c>
      <c r="D4624" t="s">
        <v>1643</v>
      </c>
      <c r="E4624" t="s">
        <v>3494</v>
      </c>
      <c r="F4624" t="s">
        <v>2204</v>
      </c>
      <c r="G4624" t="s">
        <v>12263</v>
      </c>
      <c r="H4624">
        <v>5207492235</v>
      </c>
      <c r="K4624" t="s">
        <v>12264</v>
      </c>
      <c r="L4624" t="s">
        <v>1647</v>
      </c>
      <c r="M4624" t="s">
        <v>1634</v>
      </c>
    </row>
    <row r="4625" spans="1:13" x14ac:dyDescent="0.25">
      <c r="A4625">
        <v>87466</v>
      </c>
      <c r="B4625" t="s">
        <v>12265</v>
      </c>
      <c r="C4625" t="s">
        <v>12266</v>
      </c>
      <c r="D4625" t="s">
        <v>1643</v>
      </c>
      <c r="E4625" t="s">
        <v>3494</v>
      </c>
      <c r="F4625" t="s">
        <v>12267</v>
      </c>
      <c r="G4625" t="s">
        <v>12268</v>
      </c>
      <c r="H4625">
        <v>5207600801</v>
      </c>
      <c r="K4625" t="s">
        <v>12269</v>
      </c>
      <c r="L4625" t="s">
        <v>1647</v>
      </c>
      <c r="M4625" t="s">
        <v>1634</v>
      </c>
    </row>
    <row r="4626" spans="1:13" x14ac:dyDescent="0.25">
      <c r="A4626">
        <v>4409</v>
      </c>
      <c r="B4626" t="s">
        <v>12270</v>
      </c>
      <c r="C4626" t="s">
        <v>12271</v>
      </c>
      <c r="D4626" t="s">
        <v>1628</v>
      </c>
      <c r="E4626" t="s">
        <v>3494</v>
      </c>
      <c r="F4626" t="s">
        <v>1820</v>
      </c>
      <c r="G4626" t="s">
        <v>12272</v>
      </c>
      <c r="H4626">
        <v>5203875618</v>
      </c>
      <c r="K4626" t="s">
        <v>12273</v>
      </c>
      <c r="L4626" t="s">
        <v>1668</v>
      </c>
      <c r="M4626" t="s">
        <v>1634</v>
      </c>
    </row>
    <row r="4627" spans="1:13" x14ac:dyDescent="0.25">
      <c r="A4627">
        <v>4409</v>
      </c>
      <c r="B4627" t="s">
        <v>12270</v>
      </c>
      <c r="C4627" t="s">
        <v>12271</v>
      </c>
      <c r="D4627" t="s">
        <v>1628</v>
      </c>
      <c r="E4627" t="s">
        <v>3494</v>
      </c>
      <c r="F4627" t="s">
        <v>3024</v>
      </c>
      <c r="G4627" t="s">
        <v>3911</v>
      </c>
      <c r="K4627" t="s">
        <v>12274</v>
      </c>
      <c r="M4627" t="s">
        <v>1634</v>
      </c>
    </row>
    <row r="4628" spans="1:13" x14ac:dyDescent="0.25">
      <c r="A4628">
        <v>4409</v>
      </c>
      <c r="B4628" t="s">
        <v>12270</v>
      </c>
      <c r="C4628" t="s">
        <v>12271</v>
      </c>
      <c r="D4628" t="s">
        <v>1628</v>
      </c>
      <c r="E4628" t="s">
        <v>3494</v>
      </c>
      <c r="F4628" t="s">
        <v>10793</v>
      </c>
      <c r="G4628" t="s">
        <v>2488</v>
      </c>
      <c r="H4628">
        <v>5203875618</v>
      </c>
      <c r="K4628" t="s">
        <v>12275</v>
      </c>
      <c r="L4628" t="s">
        <v>12276</v>
      </c>
      <c r="M4628" t="s">
        <v>1634</v>
      </c>
    </row>
    <row r="4629" spans="1:13" x14ac:dyDescent="0.25">
      <c r="A4629">
        <v>4409</v>
      </c>
      <c r="B4629" t="s">
        <v>12270</v>
      </c>
      <c r="C4629" t="s">
        <v>12271</v>
      </c>
      <c r="D4629" t="s">
        <v>1628</v>
      </c>
      <c r="E4629" t="s">
        <v>3494</v>
      </c>
      <c r="F4629" t="s">
        <v>12277</v>
      </c>
      <c r="G4629" t="s">
        <v>12278</v>
      </c>
      <c r="K4629" t="s">
        <v>12279</v>
      </c>
      <c r="L4629" t="s">
        <v>12276</v>
      </c>
      <c r="M4629" t="s">
        <v>1634</v>
      </c>
    </row>
    <row r="4630" spans="1:13" x14ac:dyDescent="0.25">
      <c r="A4630">
        <v>4409</v>
      </c>
      <c r="B4630" t="s">
        <v>12270</v>
      </c>
      <c r="C4630" t="s">
        <v>12271</v>
      </c>
      <c r="D4630" t="s">
        <v>1628</v>
      </c>
      <c r="E4630" t="s">
        <v>3494</v>
      </c>
      <c r="F4630" t="s">
        <v>6903</v>
      </c>
      <c r="G4630" t="s">
        <v>1846</v>
      </c>
      <c r="H4630">
        <v>5203875618</v>
      </c>
      <c r="K4630" t="s">
        <v>12280</v>
      </c>
      <c r="M4630" t="s">
        <v>1634</v>
      </c>
    </row>
    <row r="4631" spans="1:13" x14ac:dyDescent="0.25">
      <c r="A4631">
        <v>4409</v>
      </c>
      <c r="B4631" t="s">
        <v>12270</v>
      </c>
      <c r="C4631" t="s">
        <v>12271</v>
      </c>
      <c r="D4631" t="s">
        <v>1628</v>
      </c>
      <c r="E4631" t="s">
        <v>3494</v>
      </c>
      <c r="F4631" t="s">
        <v>2965</v>
      </c>
      <c r="G4631" t="s">
        <v>6319</v>
      </c>
      <c r="H4631">
        <v>5203875618</v>
      </c>
      <c r="J4631">
        <v>5203876545</v>
      </c>
      <c r="K4631" t="s">
        <v>12281</v>
      </c>
      <c r="L4631" t="s">
        <v>2358</v>
      </c>
      <c r="M4631" t="s">
        <v>1640</v>
      </c>
    </row>
    <row r="4632" spans="1:13" x14ac:dyDescent="0.25">
      <c r="A4632">
        <v>4409</v>
      </c>
      <c r="B4632" t="s">
        <v>12270</v>
      </c>
      <c r="C4632" t="s">
        <v>12271</v>
      </c>
      <c r="D4632" t="s">
        <v>1628</v>
      </c>
      <c r="E4632" t="s">
        <v>3494</v>
      </c>
      <c r="F4632" t="s">
        <v>10793</v>
      </c>
      <c r="G4632" t="s">
        <v>2488</v>
      </c>
      <c r="H4632">
        <v>5203875618</v>
      </c>
      <c r="K4632" t="s">
        <v>12275</v>
      </c>
      <c r="L4632" t="s">
        <v>12276</v>
      </c>
      <c r="M4632" t="s">
        <v>1640</v>
      </c>
    </row>
    <row r="4633" spans="1:13" x14ac:dyDescent="0.25">
      <c r="A4633">
        <v>4409</v>
      </c>
      <c r="B4633" t="s">
        <v>12270</v>
      </c>
      <c r="C4633" t="s">
        <v>12271</v>
      </c>
      <c r="D4633" t="s">
        <v>1628</v>
      </c>
      <c r="E4633" t="s">
        <v>3494</v>
      </c>
      <c r="F4633" t="s">
        <v>12277</v>
      </c>
      <c r="G4633" t="s">
        <v>12278</v>
      </c>
      <c r="K4633" t="s">
        <v>12279</v>
      </c>
      <c r="L4633" t="s">
        <v>12276</v>
      </c>
      <c r="M4633" t="s">
        <v>1640</v>
      </c>
    </row>
    <row r="4634" spans="1:13" x14ac:dyDescent="0.25">
      <c r="A4634">
        <v>4409</v>
      </c>
      <c r="B4634" t="s">
        <v>12270</v>
      </c>
      <c r="C4634" t="s">
        <v>12271</v>
      </c>
      <c r="D4634" t="s">
        <v>1628</v>
      </c>
      <c r="E4634" t="s">
        <v>3494</v>
      </c>
      <c r="F4634" t="s">
        <v>6903</v>
      </c>
      <c r="G4634" t="s">
        <v>1846</v>
      </c>
      <c r="H4634">
        <v>5203875618</v>
      </c>
      <c r="K4634" t="s">
        <v>12280</v>
      </c>
      <c r="M4634" t="s">
        <v>1640</v>
      </c>
    </row>
    <row r="4635" spans="1:13" x14ac:dyDescent="0.25">
      <c r="A4635">
        <v>5831</v>
      </c>
      <c r="B4635" t="s">
        <v>12282</v>
      </c>
      <c r="C4635" t="s">
        <v>12283</v>
      </c>
      <c r="D4635" t="s">
        <v>1643</v>
      </c>
      <c r="E4635" t="s">
        <v>3494</v>
      </c>
      <c r="F4635" t="s">
        <v>3193</v>
      </c>
      <c r="G4635" t="s">
        <v>12284</v>
      </c>
      <c r="H4635">
        <v>5203877601</v>
      </c>
      <c r="J4635">
        <v>5203877603</v>
      </c>
      <c r="K4635" t="s">
        <v>12285</v>
      </c>
      <c r="L4635" t="s">
        <v>1647</v>
      </c>
      <c r="M4635" t="s">
        <v>1634</v>
      </c>
    </row>
    <row r="4636" spans="1:13" x14ac:dyDescent="0.25">
      <c r="A4636">
        <v>5831</v>
      </c>
      <c r="B4636" t="s">
        <v>12282</v>
      </c>
      <c r="C4636" t="s">
        <v>12283</v>
      </c>
      <c r="D4636" t="s">
        <v>1643</v>
      </c>
      <c r="E4636" t="s">
        <v>3494</v>
      </c>
      <c r="F4636" t="s">
        <v>10793</v>
      </c>
      <c r="G4636" t="s">
        <v>2488</v>
      </c>
      <c r="H4636">
        <v>5203875619</v>
      </c>
      <c r="K4636" t="s">
        <v>12275</v>
      </c>
      <c r="L4636" t="s">
        <v>12286</v>
      </c>
      <c r="M4636" t="s">
        <v>1634</v>
      </c>
    </row>
    <row r="4637" spans="1:13" x14ac:dyDescent="0.25">
      <c r="A4637">
        <v>5831</v>
      </c>
      <c r="B4637" t="s">
        <v>12282</v>
      </c>
      <c r="C4637" t="s">
        <v>12283</v>
      </c>
      <c r="D4637" t="s">
        <v>1643</v>
      </c>
      <c r="E4637" t="s">
        <v>3494</v>
      </c>
      <c r="F4637" t="s">
        <v>1820</v>
      </c>
      <c r="G4637" t="s">
        <v>12272</v>
      </c>
      <c r="H4637">
        <v>5203875618</v>
      </c>
      <c r="K4637" t="s">
        <v>12273</v>
      </c>
      <c r="L4637" t="s">
        <v>1668</v>
      </c>
      <c r="M4637" t="s">
        <v>1634</v>
      </c>
    </row>
    <row r="4638" spans="1:13" x14ac:dyDescent="0.25">
      <c r="A4638">
        <v>5831</v>
      </c>
      <c r="B4638" t="s">
        <v>12282</v>
      </c>
      <c r="C4638" t="s">
        <v>12283</v>
      </c>
      <c r="D4638" t="s">
        <v>1643</v>
      </c>
      <c r="E4638" t="s">
        <v>3494</v>
      </c>
      <c r="F4638" t="s">
        <v>1723</v>
      </c>
      <c r="G4638" t="s">
        <v>6319</v>
      </c>
      <c r="H4638">
        <v>5203875618</v>
      </c>
      <c r="K4638" t="s">
        <v>12281</v>
      </c>
      <c r="M4638" t="s">
        <v>1640</v>
      </c>
    </row>
    <row r="4639" spans="1:13" x14ac:dyDescent="0.25">
      <c r="A4639">
        <v>6292</v>
      </c>
      <c r="B4639" t="s">
        <v>12287</v>
      </c>
      <c r="C4639" t="s">
        <v>12288</v>
      </c>
      <c r="D4639" t="s">
        <v>1643</v>
      </c>
      <c r="E4639" t="s">
        <v>3494</v>
      </c>
      <c r="F4639" t="s">
        <v>5679</v>
      </c>
      <c r="G4639" t="s">
        <v>12289</v>
      </c>
      <c r="H4639">
        <v>5203877602</v>
      </c>
      <c r="K4639" t="s">
        <v>12290</v>
      </c>
      <c r="L4639" t="s">
        <v>1647</v>
      </c>
      <c r="M4639" t="s">
        <v>1634</v>
      </c>
    </row>
    <row r="4640" spans="1:13" x14ac:dyDescent="0.25">
      <c r="A4640">
        <v>6292</v>
      </c>
      <c r="B4640" t="s">
        <v>12287</v>
      </c>
      <c r="C4640" t="s">
        <v>12288</v>
      </c>
      <c r="D4640" t="s">
        <v>1643</v>
      </c>
      <c r="E4640" t="s">
        <v>3494</v>
      </c>
      <c r="F4640" t="s">
        <v>2965</v>
      </c>
      <c r="G4640" t="s">
        <v>6319</v>
      </c>
      <c r="H4640">
        <v>5203875619</v>
      </c>
      <c r="K4640" t="s">
        <v>12281</v>
      </c>
      <c r="M4640" t="s">
        <v>1640</v>
      </c>
    </row>
    <row r="4641" spans="1:13" x14ac:dyDescent="0.25">
      <c r="A4641">
        <v>4410</v>
      </c>
      <c r="B4641" t="s">
        <v>12291</v>
      </c>
      <c r="C4641" t="s">
        <v>12292</v>
      </c>
      <c r="D4641" t="s">
        <v>1628</v>
      </c>
      <c r="E4641" t="s">
        <v>3494</v>
      </c>
      <c r="F4641" t="s">
        <v>2053</v>
      </c>
      <c r="G4641" t="s">
        <v>12293</v>
      </c>
      <c r="H4641">
        <v>5202097536</v>
      </c>
      <c r="J4641">
        <v>5202097570</v>
      </c>
      <c r="K4641" t="s">
        <v>12294</v>
      </c>
      <c r="L4641" t="s">
        <v>1668</v>
      </c>
      <c r="M4641" t="s">
        <v>1634</v>
      </c>
    </row>
    <row r="4642" spans="1:13" x14ac:dyDescent="0.25">
      <c r="A4642">
        <v>4410</v>
      </c>
      <c r="B4642" t="s">
        <v>12291</v>
      </c>
      <c r="C4642" t="s">
        <v>12292</v>
      </c>
      <c r="D4642" t="s">
        <v>1628</v>
      </c>
      <c r="E4642" t="s">
        <v>3494</v>
      </c>
      <c r="F4642" t="s">
        <v>6233</v>
      </c>
      <c r="G4642" t="s">
        <v>12295</v>
      </c>
      <c r="H4642">
        <v>5202097540</v>
      </c>
      <c r="K4642" t="s">
        <v>12296</v>
      </c>
      <c r="L4642" t="s">
        <v>3157</v>
      </c>
      <c r="M4642" t="s">
        <v>1634</v>
      </c>
    </row>
    <row r="4643" spans="1:13" x14ac:dyDescent="0.25">
      <c r="A4643">
        <v>4410</v>
      </c>
      <c r="B4643" t="s">
        <v>12291</v>
      </c>
      <c r="C4643" t="s">
        <v>12292</v>
      </c>
      <c r="D4643" t="s">
        <v>1628</v>
      </c>
      <c r="E4643" t="s">
        <v>3494</v>
      </c>
      <c r="F4643" t="s">
        <v>2269</v>
      </c>
      <c r="G4643" t="s">
        <v>8509</v>
      </c>
      <c r="L4643" t="s">
        <v>12297</v>
      </c>
      <c r="M4643" t="s">
        <v>1634</v>
      </c>
    </row>
    <row r="4644" spans="1:13" x14ac:dyDescent="0.25">
      <c r="A4644">
        <v>4410</v>
      </c>
      <c r="B4644" t="s">
        <v>12291</v>
      </c>
      <c r="C4644" t="s">
        <v>12292</v>
      </c>
      <c r="D4644" t="s">
        <v>1628</v>
      </c>
      <c r="E4644" t="s">
        <v>3494</v>
      </c>
      <c r="F4644" t="s">
        <v>1931</v>
      </c>
      <c r="G4644" t="s">
        <v>1840</v>
      </c>
      <c r="H4644">
        <v>5202097528</v>
      </c>
      <c r="K4644" t="s">
        <v>12298</v>
      </c>
      <c r="L4644" t="s">
        <v>2358</v>
      </c>
      <c r="M4644" t="s">
        <v>1640</v>
      </c>
    </row>
    <row r="4645" spans="1:13" x14ac:dyDescent="0.25">
      <c r="A4645">
        <v>4410</v>
      </c>
      <c r="B4645" t="s">
        <v>12291</v>
      </c>
      <c r="C4645" t="s">
        <v>12292</v>
      </c>
      <c r="D4645" t="s">
        <v>1628</v>
      </c>
      <c r="E4645" t="s">
        <v>3494</v>
      </c>
      <c r="F4645" t="s">
        <v>2587</v>
      </c>
      <c r="G4645" t="s">
        <v>12299</v>
      </c>
      <c r="H4645">
        <v>5202097526</v>
      </c>
      <c r="I4645">
        <v>7521</v>
      </c>
      <c r="K4645" t="s">
        <v>12300</v>
      </c>
      <c r="L4645" t="s">
        <v>2358</v>
      </c>
      <c r="M4645" t="s">
        <v>1640</v>
      </c>
    </row>
    <row r="4646" spans="1:13" x14ac:dyDescent="0.25">
      <c r="A4646">
        <v>4410</v>
      </c>
      <c r="B4646" t="s">
        <v>12291</v>
      </c>
      <c r="C4646" t="s">
        <v>12292</v>
      </c>
      <c r="D4646" t="s">
        <v>1628</v>
      </c>
      <c r="E4646" t="s">
        <v>3494</v>
      </c>
      <c r="F4646" t="s">
        <v>8943</v>
      </c>
      <c r="G4646" t="s">
        <v>12301</v>
      </c>
      <c r="K4646" t="s">
        <v>12302</v>
      </c>
      <c r="M4646" t="s">
        <v>1640</v>
      </c>
    </row>
    <row r="4647" spans="1:13" x14ac:dyDescent="0.25">
      <c r="A4647">
        <v>4410</v>
      </c>
      <c r="B4647" t="s">
        <v>12291</v>
      </c>
      <c r="C4647" t="s">
        <v>12292</v>
      </c>
      <c r="D4647" t="s">
        <v>1628</v>
      </c>
      <c r="E4647" t="s">
        <v>3494</v>
      </c>
      <c r="F4647" t="s">
        <v>12303</v>
      </c>
      <c r="G4647" t="s">
        <v>12304</v>
      </c>
      <c r="H4647">
        <v>5202097512</v>
      </c>
      <c r="K4647" t="s">
        <v>12305</v>
      </c>
      <c r="L4647" t="s">
        <v>1765</v>
      </c>
      <c r="M4647" t="s">
        <v>1765</v>
      </c>
    </row>
    <row r="4648" spans="1:13" x14ac:dyDescent="0.25">
      <c r="A4648">
        <v>5832</v>
      </c>
      <c r="B4648" t="s">
        <v>12306</v>
      </c>
      <c r="C4648" t="s">
        <v>12307</v>
      </c>
      <c r="D4648" t="s">
        <v>1643</v>
      </c>
      <c r="E4648" t="s">
        <v>3494</v>
      </c>
      <c r="F4648" t="s">
        <v>1652</v>
      </c>
      <c r="G4648" t="s">
        <v>5151</v>
      </c>
      <c r="L4648" t="s">
        <v>1647</v>
      </c>
      <c r="M4648" t="s">
        <v>1634</v>
      </c>
    </row>
    <row r="4649" spans="1:13" x14ac:dyDescent="0.25">
      <c r="A4649">
        <v>5832</v>
      </c>
      <c r="B4649" t="s">
        <v>12306</v>
      </c>
      <c r="C4649" t="s">
        <v>12307</v>
      </c>
      <c r="D4649" t="s">
        <v>1643</v>
      </c>
      <c r="E4649" t="s">
        <v>3494</v>
      </c>
      <c r="F4649" t="s">
        <v>2335</v>
      </c>
      <c r="G4649" t="s">
        <v>12308</v>
      </c>
      <c r="H4649">
        <v>5202092903</v>
      </c>
      <c r="K4649" t="s">
        <v>12309</v>
      </c>
      <c r="L4649" t="s">
        <v>1647</v>
      </c>
      <c r="M4649" t="s">
        <v>1634</v>
      </c>
    </row>
    <row r="4650" spans="1:13" x14ac:dyDescent="0.25">
      <c r="A4650">
        <v>5833</v>
      </c>
      <c r="B4650" t="s">
        <v>12310</v>
      </c>
      <c r="C4650" t="s">
        <v>12311</v>
      </c>
      <c r="D4650" t="s">
        <v>1643</v>
      </c>
      <c r="E4650" t="s">
        <v>3494</v>
      </c>
      <c r="F4650" t="s">
        <v>1872</v>
      </c>
      <c r="G4650" t="s">
        <v>5510</v>
      </c>
      <c r="H4650">
        <v>5205775320</v>
      </c>
      <c r="J4650">
        <v>5205775039</v>
      </c>
      <c r="K4650" t="s">
        <v>12312</v>
      </c>
      <c r="L4650" t="s">
        <v>1647</v>
      </c>
      <c r="M4650" t="s">
        <v>1634</v>
      </c>
    </row>
    <row r="4651" spans="1:13" x14ac:dyDescent="0.25">
      <c r="A4651">
        <v>5834</v>
      </c>
      <c r="B4651" t="s">
        <v>12313</v>
      </c>
      <c r="C4651" t="s">
        <v>12314</v>
      </c>
      <c r="D4651" t="s">
        <v>1643</v>
      </c>
      <c r="E4651" t="s">
        <v>3494</v>
      </c>
      <c r="F4651" t="s">
        <v>1726</v>
      </c>
      <c r="G4651" t="s">
        <v>12315</v>
      </c>
      <c r="H4651">
        <v>5202098203</v>
      </c>
      <c r="J4651">
        <v>5202098200</v>
      </c>
      <c r="K4651" t="s">
        <v>12316</v>
      </c>
      <c r="L4651" t="s">
        <v>1647</v>
      </c>
      <c r="M4651" t="s">
        <v>1634</v>
      </c>
    </row>
    <row r="4652" spans="1:13" x14ac:dyDescent="0.25">
      <c r="A4652">
        <v>5835</v>
      </c>
      <c r="B4652" t="s">
        <v>12317</v>
      </c>
      <c r="C4652" t="s">
        <v>12318</v>
      </c>
      <c r="D4652" t="s">
        <v>1643</v>
      </c>
      <c r="E4652" t="s">
        <v>3494</v>
      </c>
      <c r="F4652" t="s">
        <v>1820</v>
      </c>
      <c r="G4652" t="s">
        <v>12319</v>
      </c>
      <c r="H4652">
        <v>5202097703</v>
      </c>
      <c r="K4652" t="s">
        <v>12320</v>
      </c>
      <c r="L4652" t="s">
        <v>1647</v>
      </c>
      <c r="M4652" t="s">
        <v>1634</v>
      </c>
    </row>
    <row r="4653" spans="1:13" x14ac:dyDescent="0.25">
      <c r="A4653">
        <v>5836</v>
      </c>
      <c r="B4653" t="s">
        <v>12321</v>
      </c>
      <c r="C4653" t="s">
        <v>12322</v>
      </c>
      <c r="D4653" t="s">
        <v>1643</v>
      </c>
      <c r="E4653" t="s">
        <v>3494</v>
      </c>
      <c r="F4653" t="s">
        <v>4121</v>
      </c>
      <c r="G4653" t="s">
        <v>12323</v>
      </c>
      <c r="L4653" t="s">
        <v>1647</v>
      </c>
      <c r="M4653" t="s">
        <v>1634</v>
      </c>
    </row>
    <row r="4654" spans="1:13" x14ac:dyDescent="0.25">
      <c r="A4654">
        <v>5837</v>
      </c>
      <c r="B4654" t="s">
        <v>12324</v>
      </c>
      <c r="C4654" t="s">
        <v>12325</v>
      </c>
      <c r="D4654" t="s">
        <v>1643</v>
      </c>
      <c r="E4654" t="s">
        <v>3494</v>
      </c>
      <c r="F4654" t="s">
        <v>2053</v>
      </c>
      <c r="G4654" t="s">
        <v>12326</v>
      </c>
      <c r="H4654">
        <v>5202098100</v>
      </c>
      <c r="K4654" t="s">
        <v>12327</v>
      </c>
      <c r="L4654" t="s">
        <v>1647</v>
      </c>
      <c r="M4654" t="s">
        <v>1634</v>
      </c>
    </row>
    <row r="4655" spans="1:13" x14ac:dyDescent="0.25">
      <c r="A4655">
        <v>5838</v>
      </c>
      <c r="B4655" t="s">
        <v>12328</v>
      </c>
      <c r="C4655" t="s">
        <v>12329</v>
      </c>
      <c r="D4655" t="s">
        <v>1643</v>
      </c>
      <c r="E4655" t="s">
        <v>3494</v>
      </c>
      <c r="F4655" t="s">
        <v>4121</v>
      </c>
      <c r="G4655" t="s">
        <v>12323</v>
      </c>
      <c r="L4655" t="s">
        <v>1647</v>
      </c>
      <c r="M4655" t="s">
        <v>1634</v>
      </c>
    </row>
    <row r="4656" spans="1:13" x14ac:dyDescent="0.25">
      <c r="A4656">
        <v>5839</v>
      </c>
      <c r="B4656" t="s">
        <v>12330</v>
      </c>
      <c r="C4656" t="s">
        <v>12331</v>
      </c>
      <c r="D4656" t="s">
        <v>1643</v>
      </c>
      <c r="E4656" t="s">
        <v>3494</v>
      </c>
      <c r="F4656" t="s">
        <v>2189</v>
      </c>
      <c r="G4656" t="s">
        <v>12332</v>
      </c>
      <c r="H4656">
        <v>5202098303</v>
      </c>
      <c r="J4656">
        <v>5202098520</v>
      </c>
      <c r="K4656" t="s">
        <v>12333</v>
      </c>
      <c r="L4656" t="s">
        <v>1647</v>
      </c>
      <c r="M4656" t="s">
        <v>1634</v>
      </c>
    </row>
    <row r="4657" spans="1:13" x14ac:dyDescent="0.25">
      <c r="A4657">
        <v>5839</v>
      </c>
      <c r="B4657" t="s">
        <v>12330</v>
      </c>
      <c r="C4657" t="s">
        <v>12331</v>
      </c>
      <c r="D4657" t="s">
        <v>1643</v>
      </c>
      <c r="E4657" t="s">
        <v>3494</v>
      </c>
      <c r="F4657" t="s">
        <v>1935</v>
      </c>
      <c r="G4657" t="s">
        <v>9655</v>
      </c>
      <c r="H4657">
        <v>5202098373</v>
      </c>
      <c r="J4657">
        <v>5202098522</v>
      </c>
      <c r="K4657" t="s">
        <v>12334</v>
      </c>
      <c r="L4657" t="s">
        <v>1738</v>
      </c>
      <c r="M4657" t="s">
        <v>1640</v>
      </c>
    </row>
    <row r="4658" spans="1:13" x14ac:dyDescent="0.25">
      <c r="A4658">
        <v>4413</v>
      </c>
      <c r="B4658" t="s">
        <v>12335</v>
      </c>
      <c r="C4658" t="s">
        <v>12336</v>
      </c>
      <c r="D4658" t="s">
        <v>1628</v>
      </c>
      <c r="E4658" t="s">
        <v>3494</v>
      </c>
      <c r="F4658" t="s">
        <v>12337</v>
      </c>
      <c r="G4658" t="s">
        <v>10202</v>
      </c>
      <c r="H4658">
        <v>5208792004</v>
      </c>
      <c r="J4658">
        <v>5207622001</v>
      </c>
      <c r="K4658" t="s">
        <v>12338</v>
      </c>
      <c r="L4658" t="s">
        <v>1668</v>
      </c>
      <c r="M4658" t="s">
        <v>1634</v>
      </c>
    </row>
    <row r="4659" spans="1:13" x14ac:dyDescent="0.25">
      <c r="A4659">
        <v>4413</v>
      </c>
      <c r="B4659" t="s">
        <v>12335</v>
      </c>
      <c r="C4659" t="s">
        <v>12336</v>
      </c>
      <c r="D4659" t="s">
        <v>1628</v>
      </c>
      <c r="E4659" t="s">
        <v>3494</v>
      </c>
      <c r="F4659" t="s">
        <v>12339</v>
      </c>
      <c r="G4659" t="s">
        <v>5151</v>
      </c>
      <c r="H4659">
        <v>5208793952</v>
      </c>
      <c r="K4659" t="s">
        <v>12340</v>
      </c>
      <c r="L4659" t="s">
        <v>5727</v>
      </c>
      <c r="M4659" t="s">
        <v>1634</v>
      </c>
    </row>
    <row r="4660" spans="1:13" x14ac:dyDescent="0.25">
      <c r="A4660">
        <v>4413</v>
      </c>
      <c r="B4660" t="s">
        <v>12335</v>
      </c>
      <c r="C4660" t="s">
        <v>12336</v>
      </c>
      <c r="D4660" t="s">
        <v>1628</v>
      </c>
      <c r="E4660" t="s">
        <v>3494</v>
      </c>
      <c r="F4660" t="s">
        <v>2587</v>
      </c>
      <c r="G4660" t="s">
        <v>3266</v>
      </c>
      <c r="K4660" t="s">
        <v>12341</v>
      </c>
      <c r="L4660" t="s">
        <v>12342</v>
      </c>
      <c r="M4660" t="s">
        <v>1640</v>
      </c>
    </row>
    <row r="4661" spans="1:13" x14ac:dyDescent="0.25">
      <c r="A4661">
        <v>4413</v>
      </c>
      <c r="B4661" t="s">
        <v>12335</v>
      </c>
      <c r="C4661" t="s">
        <v>12336</v>
      </c>
      <c r="D4661" t="s">
        <v>1628</v>
      </c>
      <c r="E4661" t="s">
        <v>3494</v>
      </c>
      <c r="F4661" t="s">
        <v>2376</v>
      </c>
      <c r="G4661" t="s">
        <v>2377</v>
      </c>
      <c r="K4661" t="s">
        <v>12343</v>
      </c>
      <c r="L4661" t="s">
        <v>2358</v>
      </c>
      <c r="M4661" t="s">
        <v>1640</v>
      </c>
    </row>
    <row r="4662" spans="1:13" x14ac:dyDescent="0.25">
      <c r="A4662">
        <v>4413</v>
      </c>
      <c r="B4662" t="s">
        <v>12335</v>
      </c>
      <c r="C4662" t="s">
        <v>12336</v>
      </c>
      <c r="D4662" t="s">
        <v>1628</v>
      </c>
      <c r="E4662" t="s">
        <v>3494</v>
      </c>
      <c r="F4662" t="s">
        <v>1682</v>
      </c>
      <c r="G4662" t="s">
        <v>12344</v>
      </c>
      <c r="H4662">
        <v>5208792089</v>
      </c>
      <c r="J4662">
        <v>5208793901</v>
      </c>
      <c r="K4662" t="s">
        <v>12345</v>
      </c>
      <c r="L4662" t="s">
        <v>12346</v>
      </c>
      <c r="M4662" t="s">
        <v>1765</v>
      </c>
    </row>
    <row r="4663" spans="1:13" x14ac:dyDescent="0.25">
      <c r="A4663">
        <v>4413</v>
      </c>
      <c r="B4663" t="s">
        <v>12335</v>
      </c>
      <c r="C4663" t="s">
        <v>12336</v>
      </c>
      <c r="D4663" t="s">
        <v>1628</v>
      </c>
      <c r="E4663" t="s">
        <v>3494</v>
      </c>
      <c r="F4663" t="s">
        <v>12347</v>
      </c>
      <c r="G4663" t="s">
        <v>11223</v>
      </c>
      <c r="K4663" t="s">
        <v>12348</v>
      </c>
      <c r="L4663" t="s">
        <v>1765</v>
      </c>
      <c r="M4663" t="s">
        <v>1765</v>
      </c>
    </row>
    <row r="4664" spans="1:13" x14ac:dyDescent="0.25">
      <c r="A4664">
        <v>5850</v>
      </c>
      <c r="B4664" t="s">
        <v>12349</v>
      </c>
      <c r="C4664" t="s">
        <v>12350</v>
      </c>
      <c r="D4664" t="s">
        <v>1643</v>
      </c>
      <c r="E4664" t="s">
        <v>3494</v>
      </c>
      <c r="F4664" t="s">
        <v>3673</v>
      </c>
      <c r="G4664" t="s">
        <v>3407</v>
      </c>
      <c r="H4664">
        <v>5207622400</v>
      </c>
      <c r="J4664">
        <v>5207625840</v>
      </c>
      <c r="K4664" t="s">
        <v>12351</v>
      </c>
      <c r="M4664" t="s">
        <v>1634</v>
      </c>
    </row>
    <row r="4665" spans="1:13" x14ac:dyDescent="0.25">
      <c r="A4665">
        <v>5851</v>
      </c>
      <c r="B4665" t="s">
        <v>5308</v>
      </c>
      <c r="C4665" t="s">
        <v>12352</v>
      </c>
      <c r="D4665" t="s">
        <v>1643</v>
      </c>
      <c r="E4665" t="s">
        <v>3494</v>
      </c>
      <c r="F4665" t="s">
        <v>2330</v>
      </c>
      <c r="G4665" t="s">
        <v>12353</v>
      </c>
      <c r="H4665">
        <v>5208792304</v>
      </c>
      <c r="K4665" t="s">
        <v>12354</v>
      </c>
      <c r="M4665" t="s">
        <v>1634</v>
      </c>
    </row>
    <row r="4666" spans="1:13" x14ac:dyDescent="0.25">
      <c r="A4666">
        <v>79719</v>
      </c>
      <c r="B4666" t="s">
        <v>1453</v>
      </c>
      <c r="C4666" t="s">
        <v>12355</v>
      </c>
      <c r="D4666" t="s">
        <v>1643</v>
      </c>
      <c r="E4666" t="s">
        <v>3494</v>
      </c>
      <c r="F4666" t="s">
        <v>6288</v>
      </c>
      <c r="G4666" t="s">
        <v>12356</v>
      </c>
      <c r="H4666">
        <v>5208792606</v>
      </c>
      <c r="J4666">
        <v>5208792601</v>
      </c>
      <c r="K4666" t="s">
        <v>12357</v>
      </c>
      <c r="L4666" t="s">
        <v>1647</v>
      </c>
      <c r="M4666" t="s">
        <v>1634</v>
      </c>
    </row>
    <row r="4667" spans="1:13" x14ac:dyDescent="0.25">
      <c r="A4667">
        <v>79720</v>
      </c>
      <c r="B4667" t="s">
        <v>5474</v>
      </c>
      <c r="C4667" t="s">
        <v>12358</v>
      </c>
      <c r="D4667" t="s">
        <v>1643</v>
      </c>
      <c r="E4667" t="s">
        <v>3494</v>
      </c>
      <c r="F4667" t="s">
        <v>1848</v>
      </c>
      <c r="G4667" t="s">
        <v>12359</v>
      </c>
      <c r="H4667">
        <v>5208792715</v>
      </c>
      <c r="K4667" t="s">
        <v>12360</v>
      </c>
      <c r="L4667" t="s">
        <v>1738</v>
      </c>
      <c r="M4667" t="s">
        <v>1634</v>
      </c>
    </row>
    <row r="4668" spans="1:13" x14ac:dyDescent="0.25">
      <c r="A4668">
        <v>80871</v>
      </c>
      <c r="B4668" t="s">
        <v>12361</v>
      </c>
      <c r="C4668" t="s">
        <v>12362</v>
      </c>
      <c r="D4668" t="s">
        <v>1643</v>
      </c>
      <c r="E4668" t="s">
        <v>3494</v>
      </c>
      <c r="F4668" t="s">
        <v>1832</v>
      </c>
      <c r="G4668" t="s">
        <v>12363</v>
      </c>
      <c r="H4668">
        <v>5207622504</v>
      </c>
      <c r="J4668">
        <v>5207629031</v>
      </c>
      <c r="K4668" t="s">
        <v>12364</v>
      </c>
      <c r="L4668" t="s">
        <v>1647</v>
      </c>
      <c r="M4668" t="s">
        <v>1634</v>
      </c>
    </row>
    <row r="4669" spans="1:13" x14ac:dyDescent="0.25">
      <c r="A4669">
        <v>87470</v>
      </c>
      <c r="B4669" t="s">
        <v>12365</v>
      </c>
      <c r="C4669" t="s">
        <v>12366</v>
      </c>
      <c r="D4669" t="s">
        <v>1643</v>
      </c>
      <c r="E4669" t="s">
        <v>3494</v>
      </c>
      <c r="F4669" t="s">
        <v>4473</v>
      </c>
      <c r="G4669" t="s">
        <v>12367</v>
      </c>
      <c r="H4669">
        <v>5207623500</v>
      </c>
      <c r="J4669">
        <v>5207623501</v>
      </c>
      <c r="K4669" t="s">
        <v>12368</v>
      </c>
      <c r="L4669" t="s">
        <v>1647</v>
      </c>
      <c r="M4669" t="s">
        <v>1634</v>
      </c>
    </row>
    <row r="4670" spans="1:13" x14ac:dyDescent="0.25">
      <c r="A4670">
        <v>89575</v>
      </c>
      <c r="B4670" t="s">
        <v>12369</v>
      </c>
      <c r="C4670" t="s">
        <v>12370</v>
      </c>
      <c r="D4670" t="s">
        <v>1643</v>
      </c>
      <c r="E4670" t="s">
        <v>3494</v>
      </c>
      <c r="F4670" t="s">
        <v>1779</v>
      </c>
      <c r="G4670" t="s">
        <v>12371</v>
      </c>
      <c r="H4670">
        <v>5208793604</v>
      </c>
      <c r="L4670" t="s">
        <v>1647</v>
      </c>
      <c r="M4670" t="s">
        <v>1634</v>
      </c>
    </row>
    <row r="4671" spans="1:13" x14ac:dyDescent="0.25">
      <c r="A4671">
        <v>89749</v>
      </c>
      <c r="B4671" t="s">
        <v>12372</v>
      </c>
      <c r="C4671" t="s">
        <v>12373</v>
      </c>
      <c r="D4671" t="s">
        <v>1643</v>
      </c>
      <c r="E4671" t="s">
        <v>3494</v>
      </c>
    </row>
    <row r="4672" spans="1:13" x14ac:dyDescent="0.25">
      <c r="A4672">
        <v>90156</v>
      </c>
      <c r="B4672" t="s">
        <v>12374</v>
      </c>
      <c r="C4672" t="s">
        <v>12375</v>
      </c>
      <c r="D4672" t="s">
        <v>1643</v>
      </c>
      <c r="E4672" t="s">
        <v>3494</v>
      </c>
    </row>
    <row r="4673" spans="1:13" x14ac:dyDescent="0.25">
      <c r="A4673">
        <v>92376</v>
      </c>
      <c r="B4673" t="s">
        <v>12376</v>
      </c>
      <c r="C4673" t="s">
        <v>12377</v>
      </c>
      <c r="D4673" t="s">
        <v>1643</v>
      </c>
      <c r="E4673" t="s">
        <v>3494</v>
      </c>
      <c r="F4673" t="s">
        <v>12347</v>
      </c>
      <c r="G4673" t="s">
        <v>11223</v>
      </c>
      <c r="K4673" t="s">
        <v>12348</v>
      </c>
      <c r="M4673" t="s">
        <v>1634</v>
      </c>
    </row>
    <row r="4674" spans="1:13" x14ac:dyDescent="0.25">
      <c r="A4674">
        <v>92376</v>
      </c>
      <c r="B4674" t="s">
        <v>12376</v>
      </c>
      <c r="C4674" t="s">
        <v>12377</v>
      </c>
      <c r="D4674" t="s">
        <v>1643</v>
      </c>
      <c r="E4674" t="s">
        <v>3494</v>
      </c>
      <c r="F4674" t="s">
        <v>3178</v>
      </c>
      <c r="G4674" t="s">
        <v>2262</v>
      </c>
      <c r="H4674">
        <v>5208793400</v>
      </c>
      <c r="K4674" t="s">
        <v>12378</v>
      </c>
      <c r="L4674" t="s">
        <v>1647</v>
      </c>
      <c r="M4674" t="s">
        <v>1634</v>
      </c>
    </row>
    <row r="4675" spans="1:13" x14ac:dyDescent="0.25">
      <c r="A4675">
        <v>92376</v>
      </c>
      <c r="B4675" t="s">
        <v>12376</v>
      </c>
      <c r="C4675" t="s">
        <v>12377</v>
      </c>
      <c r="D4675" t="s">
        <v>1643</v>
      </c>
      <c r="E4675" t="s">
        <v>3494</v>
      </c>
      <c r="F4675" t="s">
        <v>7051</v>
      </c>
      <c r="G4675" t="s">
        <v>8535</v>
      </c>
      <c r="H4675">
        <v>5208792021</v>
      </c>
      <c r="K4675" t="s">
        <v>12379</v>
      </c>
      <c r="M4675" t="s">
        <v>1640</v>
      </c>
    </row>
    <row r="4676" spans="1:13" x14ac:dyDescent="0.25">
      <c r="A4676">
        <v>93000</v>
      </c>
      <c r="B4676" t="s">
        <v>12380</v>
      </c>
      <c r="C4676" t="s">
        <v>12381</v>
      </c>
      <c r="D4676" t="s">
        <v>1643</v>
      </c>
      <c r="E4676" t="s">
        <v>3494</v>
      </c>
      <c r="F4676" t="s">
        <v>3692</v>
      </c>
      <c r="G4676" t="s">
        <v>12382</v>
      </c>
      <c r="H4676">
        <v>5208793700</v>
      </c>
      <c r="K4676" t="s">
        <v>12383</v>
      </c>
      <c r="L4676" t="s">
        <v>1647</v>
      </c>
      <c r="M4676" t="s">
        <v>1634</v>
      </c>
    </row>
    <row r="4677" spans="1:13" x14ac:dyDescent="0.25">
      <c r="A4677">
        <v>78835</v>
      </c>
      <c r="B4677" t="s">
        <v>12384</v>
      </c>
      <c r="C4677" t="s">
        <v>12385</v>
      </c>
      <c r="D4677" t="s">
        <v>1643</v>
      </c>
      <c r="E4677" t="s">
        <v>3494</v>
      </c>
      <c r="F4677" t="s">
        <v>2094</v>
      </c>
      <c r="G4677" t="s">
        <v>4004</v>
      </c>
      <c r="H4677">
        <v>5207313466</v>
      </c>
      <c r="J4677">
        <v>5207313477</v>
      </c>
      <c r="K4677" t="s">
        <v>12386</v>
      </c>
      <c r="M4677" t="s">
        <v>1634</v>
      </c>
    </row>
    <row r="4678" spans="1:13" x14ac:dyDescent="0.25">
      <c r="A4678">
        <v>91168</v>
      </c>
      <c r="B4678" t="s">
        <v>6048</v>
      </c>
      <c r="C4678" t="s">
        <v>12387</v>
      </c>
      <c r="D4678" t="s">
        <v>1643</v>
      </c>
      <c r="E4678" t="s">
        <v>3494</v>
      </c>
    </row>
    <row r="4679" spans="1:13" x14ac:dyDescent="0.25">
      <c r="A4679">
        <v>91169</v>
      </c>
      <c r="B4679" t="s">
        <v>1436</v>
      </c>
      <c r="C4679" t="s">
        <v>12388</v>
      </c>
      <c r="D4679" t="s">
        <v>1643</v>
      </c>
      <c r="E4679" t="s">
        <v>3494</v>
      </c>
      <c r="F4679" t="s">
        <v>1787</v>
      </c>
      <c r="G4679" t="s">
        <v>12389</v>
      </c>
      <c r="H4679">
        <v>5208792040</v>
      </c>
      <c r="K4679" t="s">
        <v>12390</v>
      </c>
      <c r="L4679" t="s">
        <v>1640</v>
      </c>
      <c r="M4679" t="s">
        <v>1640</v>
      </c>
    </row>
    <row r="4680" spans="1:13" x14ac:dyDescent="0.25">
      <c r="A4680">
        <v>1000281</v>
      </c>
      <c r="B4680" t="s">
        <v>12391</v>
      </c>
      <c r="C4680" t="s">
        <v>12392</v>
      </c>
      <c r="D4680" t="s">
        <v>1643</v>
      </c>
      <c r="E4680" t="s">
        <v>3494</v>
      </c>
    </row>
    <row r="4681" spans="1:13" x14ac:dyDescent="0.25">
      <c r="A4681">
        <v>79721</v>
      </c>
      <c r="B4681" t="s">
        <v>12393</v>
      </c>
      <c r="C4681" t="s">
        <v>12394</v>
      </c>
      <c r="D4681" t="s">
        <v>1643</v>
      </c>
      <c r="E4681" t="s">
        <v>3494</v>
      </c>
      <c r="F4681" t="s">
        <v>5091</v>
      </c>
      <c r="G4681" t="s">
        <v>1751</v>
      </c>
      <c r="H4681">
        <v>5207622804</v>
      </c>
      <c r="J4681">
        <v>5207622801</v>
      </c>
      <c r="K4681" t="s">
        <v>12395</v>
      </c>
      <c r="L4681" t="s">
        <v>1647</v>
      </c>
      <c r="M4681" t="s">
        <v>1634</v>
      </c>
    </row>
    <row r="4682" spans="1:13" x14ac:dyDescent="0.25">
      <c r="A4682">
        <v>79721</v>
      </c>
      <c r="B4682" t="s">
        <v>12393</v>
      </c>
      <c r="C4682" t="s">
        <v>12394</v>
      </c>
      <c r="D4682" t="s">
        <v>1643</v>
      </c>
      <c r="E4682" t="s">
        <v>3494</v>
      </c>
      <c r="F4682" t="s">
        <v>1750</v>
      </c>
      <c r="G4682" t="s">
        <v>12396</v>
      </c>
      <c r="K4682" t="s">
        <v>12397</v>
      </c>
      <c r="L4682" t="s">
        <v>12398</v>
      </c>
      <c r="M4682" t="s">
        <v>1634</v>
      </c>
    </row>
    <row r="4683" spans="1:13" x14ac:dyDescent="0.25">
      <c r="A4683">
        <v>84665</v>
      </c>
      <c r="B4683" t="s">
        <v>12399</v>
      </c>
      <c r="C4683" t="s">
        <v>12400</v>
      </c>
      <c r="D4683" t="s">
        <v>1643</v>
      </c>
      <c r="E4683" t="s">
        <v>3494</v>
      </c>
      <c r="F4683" t="s">
        <v>2381</v>
      </c>
      <c r="G4683" t="s">
        <v>12401</v>
      </c>
      <c r="H4683">
        <v>5207622882</v>
      </c>
      <c r="J4683">
        <v>5207622881</v>
      </c>
      <c r="K4683" t="s">
        <v>12402</v>
      </c>
      <c r="M4683" t="s">
        <v>1634</v>
      </c>
    </row>
    <row r="4684" spans="1:13" x14ac:dyDescent="0.25">
      <c r="A4684">
        <v>84665</v>
      </c>
      <c r="B4684" t="s">
        <v>12399</v>
      </c>
      <c r="C4684" t="s">
        <v>12400</v>
      </c>
      <c r="D4684" t="s">
        <v>1643</v>
      </c>
      <c r="E4684" t="s">
        <v>3494</v>
      </c>
      <c r="F4684" t="s">
        <v>3842</v>
      </c>
      <c r="G4684" t="s">
        <v>2846</v>
      </c>
      <c r="K4684" t="s">
        <v>12403</v>
      </c>
      <c r="L4684" t="s">
        <v>9277</v>
      </c>
      <c r="M4684" t="s">
        <v>1634</v>
      </c>
    </row>
    <row r="4685" spans="1:13" x14ac:dyDescent="0.25">
      <c r="A4685">
        <v>87875</v>
      </c>
      <c r="B4685" t="s">
        <v>12404</v>
      </c>
      <c r="C4685" t="s">
        <v>12405</v>
      </c>
      <c r="D4685" t="s">
        <v>1643</v>
      </c>
      <c r="E4685" t="s">
        <v>3494</v>
      </c>
      <c r="F4685" t="s">
        <v>2814</v>
      </c>
      <c r="G4685" t="s">
        <v>12406</v>
      </c>
      <c r="H4685">
        <v>5208793004</v>
      </c>
      <c r="K4685" t="s">
        <v>12407</v>
      </c>
      <c r="L4685" t="s">
        <v>1647</v>
      </c>
      <c r="M4685" t="s">
        <v>1634</v>
      </c>
    </row>
    <row r="4686" spans="1:13" x14ac:dyDescent="0.25">
      <c r="A4686">
        <v>91292</v>
      </c>
      <c r="B4686" t="s">
        <v>12408</v>
      </c>
      <c r="C4686" t="s">
        <v>12409</v>
      </c>
      <c r="D4686" t="s">
        <v>1643</v>
      </c>
      <c r="E4686" t="s">
        <v>3494</v>
      </c>
      <c r="F4686" t="s">
        <v>1787</v>
      </c>
      <c r="G4686" t="s">
        <v>12389</v>
      </c>
      <c r="H4686">
        <v>5208792040</v>
      </c>
      <c r="J4686">
        <v>5208793901</v>
      </c>
      <c r="K4686" t="s">
        <v>12410</v>
      </c>
      <c r="L4686" t="s">
        <v>1640</v>
      </c>
      <c r="M4686" t="s">
        <v>1640</v>
      </c>
    </row>
    <row r="4687" spans="1:13" x14ac:dyDescent="0.25">
      <c r="A4687">
        <v>91292</v>
      </c>
      <c r="B4687" t="s">
        <v>12408</v>
      </c>
      <c r="C4687" t="s">
        <v>12409</v>
      </c>
      <c r="D4687" t="s">
        <v>1643</v>
      </c>
      <c r="E4687" t="s">
        <v>3494</v>
      </c>
      <c r="F4687" t="s">
        <v>12347</v>
      </c>
      <c r="G4687" t="s">
        <v>11223</v>
      </c>
      <c r="J4687">
        <v>5208793901</v>
      </c>
      <c r="K4687" t="s">
        <v>12348</v>
      </c>
      <c r="L4687" t="s">
        <v>1765</v>
      </c>
      <c r="M4687" t="s">
        <v>1765</v>
      </c>
    </row>
    <row r="4688" spans="1:13" x14ac:dyDescent="0.25">
      <c r="A4688">
        <v>10855</v>
      </c>
      <c r="B4688" t="s">
        <v>12411</v>
      </c>
      <c r="C4688" t="s">
        <v>12412</v>
      </c>
      <c r="D4688" t="s">
        <v>1643</v>
      </c>
      <c r="E4688" t="s">
        <v>3494</v>
      </c>
      <c r="F4688" t="s">
        <v>1787</v>
      </c>
      <c r="G4688" t="s">
        <v>12389</v>
      </c>
      <c r="H4688">
        <v>5208792040</v>
      </c>
      <c r="K4688" t="s">
        <v>12390</v>
      </c>
      <c r="L4688" t="s">
        <v>4663</v>
      </c>
      <c r="M4688" t="s">
        <v>1640</v>
      </c>
    </row>
    <row r="4689" spans="1:13" x14ac:dyDescent="0.25">
      <c r="A4689">
        <v>1000597</v>
      </c>
      <c r="B4689" t="s">
        <v>12413</v>
      </c>
      <c r="C4689" t="s">
        <v>12414</v>
      </c>
      <c r="D4689" t="s">
        <v>1643</v>
      </c>
      <c r="E4689" t="s">
        <v>3494</v>
      </c>
    </row>
    <row r="4690" spans="1:13" x14ac:dyDescent="0.25">
      <c r="A4690">
        <v>90845</v>
      </c>
      <c r="B4690" t="s">
        <v>12415</v>
      </c>
      <c r="C4690" t="s">
        <v>12416</v>
      </c>
      <c r="D4690" t="s">
        <v>1643</v>
      </c>
      <c r="E4690" t="s">
        <v>3494</v>
      </c>
      <c r="F4690" t="s">
        <v>1787</v>
      </c>
      <c r="G4690" t="s">
        <v>3985</v>
      </c>
      <c r="H4690">
        <v>5208791313</v>
      </c>
      <c r="J4690">
        <v>5208791901</v>
      </c>
      <c r="K4690" t="s">
        <v>12417</v>
      </c>
      <c r="L4690" t="s">
        <v>3124</v>
      </c>
      <c r="M4690" t="s">
        <v>1634</v>
      </c>
    </row>
    <row r="4691" spans="1:13" x14ac:dyDescent="0.25">
      <c r="A4691">
        <v>90845</v>
      </c>
      <c r="B4691" t="s">
        <v>12415</v>
      </c>
      <c r="C4691" t="s">
        <v>12416</v>
      </c>
      <c r="D4691" t="s">
        <v>1643</v>
      </c>
      <c r="E4691" t="s">
        <v>3494</v>
      </c>
      <c r="F4691" t="s">
        <v>12337</v>
      </c>
      <c r="G4691" t="s">
        <v>10202</v>
      </c>
      <c r="H4691">
        <v>5208792004</v>
      </c>
      <c r="J4691">
        <v>5208791901</v>
      </c>
      <c r="K4691" t="s">
        <v>12338</v>
      </c>
      <c r="L4691" t="s">
        <v>1668</v>
      </c>
      <c r="M4691" t="s">
        <v>1634</v>
      </c>
    </row>
    <row r="4692" spans="1:13" x14ac:dyDescent="0.25">
      <c r="A4692">
        <v>4411</v>
      </c>
      <c r="B4692" t="s">
        <v>332</v>
      </c>
      <c r="C4692" t="s">
        <v>12418</v>
      </c>
      <c r="D4692" t="s">
        <v>1628</v>
      </c>
      <c r="E4692" t="s">
        <v>3494</v>
      </c>
      <c r="F4692" t="s">
        <v>1690</v>
      </c>
      <c r="G4692" t="s">
        <v>9985</v>
      </c>
      <c r="I4692">
        <v>1058</v>
      </c>
      <c r="J4692">
        <v>5206254609</v>
      </c>
      <c r="K4692" t="s">
        <v>12419</v>
      </c>
      <c r="L4692" t="s">
        <v>6504</v>
      </c>
      <c r="M4692" t="s">
        <v>1634</v>
      </c>
    </row>
    <row r="4693" spans="1:13" x14ac:dyDescent="0.25">
      <c r="A4693">
        <v>4411</v>
      </c>
      <c r="B4693" t="s">
        <v>332</v>
      </c>
      <c r="C4693" t="s">
        <v>12418</v>
      </c>
      <c r="D4693" t="s">
        <v>1628</v>
      </c>
      <c r="E4693" t="s">
        <v>3494</v>
      </c>
      <c r="F4693" t="s">
        <v>10349</v>
      </c>
      <c r="G4693" t="s">
        <v>12420</v>
      </c>
      <c r="I4693">
        <v>1013</v>
      </c>
      <c r="J4693">
        <v>5206254609</v>
      </c>
      <c r="K4693" t="s">
        <v>12421</v>
      </c>
      <c r="L4693" t="s">
        <v>1640</v>
      </c>
      <c r="M4693" t="s">
        <v>1640</v>
      </c>
    </row>
    <row r="4694" spans="1:13" x14ac:dyDescent="0.25">
      <c r="A4694">
        <v>4411</v>
      </c>
      <c r="B4694" t="s">
        <v>332</v>
      </c>
      <c r="C4694" t="s">
        <v>12418</v>
      </c>
      <c r="D4694" t="s">
        <v>1628</v>
      </c>
      <c r="E4694" t="s">
        <v>3494</v>
      </c>
      <c r="F4694" t="s">
        <v>2156</v>
      </c>
      <c r="G4694" t="s">
        <v>12422</v>
      </c>
      <c r="H4694">
        <v>5206253502</v>
      </c>
      <c r="I4694">
        <v>1512</v>
      </c>
      <c r="K4694" t="s">
        <v>12423</v>
      </c>
      <c r="L4694" t="s">
        <v>5429</v>
      </c>
      <c r="M4694" t="s">
        <v>1765</v>
      </c>
    </row>
    <row r="4695" spans="1:13" x14ac:dyDescent="0.25">
      <c r="A4695">
        <v>4411</v>
      </c>
      <c r="B4695" t="s">
        <v>332</v>
      </c>
      <c r="C4695" t="s">
        <v>12418</v>
      </c>
      <c r="D4695" t="s">
        <v>1628</v>
      </c>
      <c r="E4695" t="s">
        <v>3494</v>
      </c>
      <c r="F4695" t="s">
        <v>1690</v>
      </c>
      <c r="G4695" t="s">
        <v>12424</v>
      </c>
      <c r="K4695" t="s">
        <v>12425</v>
      </c>
      <c r="L4695" t="s">
        <v>12426</v>
      </c>
      <c r="M4695" t="s">
        <v>1765</v>
      </c>
    </row>
    <row r="4696" spans="1:13" x14ac:dyDescent="0.25">
      <c r="A4696">
        <v>5840</v>
      </c>
      <c r="B4696" t="s">
        <v>12427</v>
      </c>
      <c r="C4696" t="s">
        <v>12428</v>
      </c>
      <c r="D4696" t="s">
        <v>1643</v>
      </c>
      <c r="E4696" t="s">
        <v>3494</v>
      </c>
      <c r="F4696" t="s">
        <v>2351</v>
      </c>
      <c r="G4696" t="s">
        <v>2705</v>
      </c>
      <c r="H4696">
        <v>6026253502</v>
      </c>
      <c r="I4696">
        <v>1104</v>
      </c>
      <c r="K4696" t="s">
        <v>12429</v>
      </c>
      <c r="L4696" t="s">
        <v>1647</v>
      </c>
      <c r="M4696" t="s">
        <v>1634</v>
      </c>
    </row>
    <row r="4697" spans="1:13" x14ac:dyDescent="0.25">
      <c r="A4697">
        <v>5840</v>
      </c>
      <c r="B4697" t="s">
        <v>12427</v>
      </c>
      <c r="C4697" t="s">
        <v>12428</v>
      </c>
      <c r="D4697" t="s">
        <v>1643</v>
      </c>
      <c r="E4697" t="s">
        <v>3494</v>
      </c>
      <c r="F4697" t="s">
        <v>3551</v>
      </c>
      <c r="G4697" t="s">
        <v>12430</v>
      </c>
      <c r="H4697">
        <v>5206253502</v>
      </c>
      <c r="I4697">
        <v>1100</v>
      </c>
      <c r="K4697" t="s">
        <v>12431</v>
      </c>
      <c r="M4697" t="s">
        <v>1634</v>
      </c>
    </row>
    <row r="4698" spans="1:13" x14ac:dyDescent="0.25">
      <c r="A4698">
        <v>5841</v>
      </c>
      <c r="B4698" t="s">
        <v>769</v>
      </c>
      <c r="C4698" t="s">
        <v>12432</v>
      </c>
      <c r="D4698" t="s">
        <v>1643</v>
      </c>
      <c r="E4698" t="s">
        <v>3494</v>
      </c>
      <c r="F4698" t="s">
        <v>12433</v>
      </c>
      <c r="G4698" t="s">
        <v>12434</v>
      </c>
      <c r="H4698">
        <v>5006253502</v>
      </c>
      <c r="I4698">
        <v>1301</v>
      </c>
      <c r="K4698" t="s">
        <v>12435</v>
      </c>
      <c r="L4698" t="s">
        <v>1721</v>
      </c>
      <c r="M4698" t="s">
        <v>1634</v>
      </c>
    </row>
    <row r="4699" spans="1:13" x14ac:dyDescent="0.25">
      <c r="A4699">
        <v>5842</v>
      </c>
      <c r="B4699" t="s">
        <v>12436</v>
      </c>
      <c r="C4699" t="s">
        <v>12437</v>
      </c>
      <c r="D4699" t="s">
        <v>1643</v>
      </c>
      <c r="E4699" t="s">
        <v>3494</v>
      </c>
      <c r="F4699" t="s">
        <v>2876</v>
      </c>
      <c r="G4699" t="s">
        <v>12438</v>
      </c>
      <c r="H4699">
        <v>5206253520</v>
      </c>
      <c r="I4699">
        <v>1402</v>
      </c>
      <c r="J4699">
        <v>5203937043</v>
      </c>
      <c r="K4699" t="s">
        <v>12439</v>
      </c>
      <c r="L4699" t="s">
        <v>1647</v>
      </c>
      <c r="M4699" t="s">
        <v>1634</v>
      </c>
    </row>
    <row r="4700" spans="1:13" x14ac:dyDescent="0.25">
      <c r="A4700">
        <v>91338</v>
      </c>
      <c r="B4700" t="s">
        <v>12440</v>
      </c>
      <c r="C4700" t="s">
        <v>12441</v>
      </c>
      <c r="D4700" t="s">
        <v>1643</v>
      </c>
      <c r="E4700" t="s">
        <v>3494</v>
      </c>
      <c r="F4700" t="s">
        <v>12433</v>
      </c>
      <c r="G4700" t="s">
        <v>12434</v>
      </c>
      <c r="H4700">
        <v>5206253502</v>
      </c>
      <c r="I4700">
        <v>1904</v>
      </c>
      <c r="K4700" t="s">
        <v>12435</v>
      </c>
      <c r="L4700" t="s">
        <v>1647</v>
      </c>
      <c r="M4700" t="s">
        <v>1634</v>
      </c>
    </row>
    <row r="4701" spans="1:13" x14ac:dyDescent="0.25">
      <c r="A4701">
        <v>79014</v>
      </c>
      <c r="B4701" t="s">
        <v>12442</v>
      </c>
      <c r="C4701" t="s">
        <v>12443</v>
      </c>
      <c r="D4701" t="s">
        <v>1643</v>
      </c>
      <c r="E4701" t="s">
        <v>3494</v>
      </c>
      <c r="F4701" t="s">
        <v>1690</v>
      </c>
      <c r="G4701" t="s">
        <v>9985</v>
      </c>
      <c r="I4701">
        <v>1058</v>
      </c>
      <c r="J4701">
        <v>5206254609</v>
      </c>
      <c r="K4701" t="s">
        <v>12419</v>
      </c>
      <c r="L4701" t="s">
        <v>6504</v>
      </c>
      <c r="M4701" t="s">
        <v>1634</v>
      </c>
    </row>
    <row r="4702" spans="1:13" x14ac:dyDescent="0.25">
      <c r="A4702">
        <v>79014</v>
      </c>
      <c r="B4702" t="s">
        <v>12442</v>
      </c>
      <c r="C4702" t="s">
        <v>12443</v>
      </c>
      <c r="D4702" t="s">
        <v>1643</v>
      </c>
      <c r="E4702" t="s">
        <v>3494</v>
      </c>
      <c r="F4702" t="s">
        <v>3456</v>
      </c>
      <c r="G4702" t="s">
        <v>12444</v>
      </c>
      <c r="H4702">
        <v>5206253502</v>
      </c>
      <c r="I4702">
        <v>1213</v>
      </c>
      <c r="K4702" t="s">
        <v>12445</v>
      </c>
      <c r="L4702" t="s">
        <v>1647</v>
      </c>
      <c r="M4702" t="s">
        <v>1634</v>
      </c>
    </row>
    <row r="4703" spans="1:13" x14ac:dyDescent="0.25">
      <c r="A4703">
        <v>88387</v>
      </c>
      <c r="B4703" t="s">
        <v>12446</v>
      </c>
      <c r="C4703" t="s">
        <v>12447</v>
      </c>
      <c r="D4703" t="s">
        <v>1643</v>
      </c>
      <c r="E4703" t="s">
        <v>3494</v>
      </c>
      <c r="F4703" t="s">
        <v>1787</v>
      </c>
      <c r="G4703" t="s">
        <v>12448</v>
      </c>
      <c r="H4703">
        <v>5206253502</v>
      </c>
      <c r="I4703">
        <v>1035</v>
      </c>
      <c r="K4703" t="s">
        <v>12449</v>
      </c>
      <c r="L4703" t="s">
        <v>1647</v>
      </c>
      <c r="M4703" t="s">
        <v>1634</v>
      </c>
    </row>
    <row r="4704" spans="1:13" x14ac:dyDescent="0.25">
      <c r="A4704">
        <v>948236</v>
      </c>
      <c r="B4704" t="s">
        <v>12450</v>
      </c>
      <c r="C4704" t="s">
        <v>12451</v>
      </c>
      <c r="D4704" t="s">
        <v>1643</v>
      </c>
      <c r="E4704" t="s">
        <v>1273</v>
      </c>
      <c r="F4704" t="s">
        <v>10349</v>
      </c>
      <c r="G4704" t="s">
        <v>12420</v>
      </c>
      <c r="K4704" t="s">
        <v>12421</v>
      </c>
      <c r="M4704" t="s">
        <v>1640</v>
      </c>
    </row>
    <row r="4705" spans="1:13" x14ac:dyDescent="0.25">
      <c r="A4705">
        <v>5843</v>
      </c>
      <c r="B4705" t="s">
        <v>12452</v>
      </c>
      <c r="C4705" t="s">
        <v>12453</v>
      </c>
      <c r="D4705" t="s">
        <v>1643</v>
      </c>
      <c r="E4705" t="s">
        <v>3494</v>
      </c>
      <c r="F4705" t="s">
        <v>3629</v>
      </c>
      <c r="G4705" t="s">
        <v>1840</v>
      </c>
      <c r="H4705">
        <v>5206253502</v>
      </c>
      <c r="I4705">
        <v>1511</v>
      </c>
      <c r="K4705" t="s">
        <v>12454</v>
      </c>
      <c r="L4705" t="s">
        <v>1647</v>
      </c>
      <c r="M4705" t="s">
        <v>1634</v>
      </c>
    </row>
    <row r="4706" spans="1:13" x14ac:dyDescent="0.25">
      <c r="A4706">
        <v>90824</v>
      </c>
      <c r="B4706" t="s">
        <v>12455</v>
      </c>
      <c r="C4706" t="s">
        <v>12456</v>
      </c>
      <c r="D4706" t="s">
        <v>1643</v>
      </c>
      <c r="E4706" t="s">
        <v>3494</v>
      </c>
      <c r="F4706" t="s">
        <v>2471</v>
      </c>
      <c r="G4706" t="s">
        <v>5151</v>
      </c>
      <c r="H4706">
        <v>5206253502</v>
      </c>
      <c r="K4706" t="s">
        <v>12457</v>
      </c>
      <c r="L4706" t="s">
        <v>1647</v>
      </c>
      <c r="M4706" t="s">
        <v>1634</v>
      </c>
    </row>
    <row r="4707" spans="1:13" x14ac:dyDescent="0.25">
      <c r="A4707">
        <v>4412</v>
      </c>
      <c r="B4707" t="s">
        <v>380</v>
      </c>
      <c r="C4707" t="s">
        <v>12458</v>
      </c>
      <c r="D4707" t="s">
        <v>1628</v>
      </c>
      <c r="E4707" t="s">
        <v>3494</v>
      </c>
      <c r="F4707" t="s">
        <v>12459</v>
      </c>
      <c r="G4707" t="s">
        <v>6913</v>
      </c>
      <c r="H4707">
        <v>5203836746</v>
      </c>
      <c r="J4707">
        <v>5203835441</v>
      </c>
      <c r="K4707" t="s">
        <v>12460</v>
      </c>
      <c r="L4707" t="s">
        <v>1633</v>
      </c>
      <c r="M4707" t="s">
        <v>1634</v>
      </c>
    </row>
    <row r="4708" spans="1:13" x14ac:dyDescent="0.25">
      <c r="A4708">
        <v>4412</v>
      </c>
      <c r="B4708" t="s">
        <v>380</v>
      </c>
      <c r="C4708" t="s">
        <v>12458</v>
      </c>
      <c r="D4708" t="s">
        <v>1628</v>
      </c>
      <c r="E4708" t="s">
        <v>3494</v>
      </c>
      <c r="F4708" t="s">
        <v>1779</v>
      </c>
      <c r="G4708" t="s">
        <v>2600</v>
      </c>
      <c r="H4708">
        <v>5207191200</v>
      </c>
      <c r="K4708" t="s">
        <v>12461</v>
      </c>
      <c r="L4708" t="s">
        <v>12462</v>
      </c>
      <c r="M4708" t="s">
        <v>1634</v>
      </c>
    </row>
    <row r="4709" spans="1:13" x14ac:dyDescent="0.25">
      <c r="A4709">
        <v>4412</v>
      </c>
      <c r="B4709" t="s">
        <v>380</v>
      </c>
      <c r="C4709" t="s">
        <v>12458</v>
      </c>
      <c r="D4709" t="s">
        <v>1628</v>
      </c>
      <c r="E4709" t="s">
        <v>3494</v>
      </c>
      <c r="F4709" t="s">
        <v>12463</v>
      </c>
      <c r="G4709" t="s">
        <v>11548</v>
      </c>
      <c r="H4709">
        <v>5207191200</v>
      </c>
      <c r="K4709" t="s">
        <v>12464</v>
      </c>
      <c r="L4709" t="s">
        <v>1640</v>
      </c>
      <c r="M4709" t="s">
        <v>1640</v>
      </c>
    </row>
    <row r="4710" spans="1:13" x14ac:dyDescent="0.25">
      <c r="A4710">
        <v>5844</v>
      </c>
      <c r="B4710" t="s">
        <v>385</v>
      </c>
      <c r="C4710" t="s">
        <v>12465</v>
      </c>
      <c r="D4710" t="s">
        <v>1643</v>
      </c>
      <c r="E4710" t="s">
        <v>3494</v>
      </c>
      <c r="F4710" t="s">
        <v>12459</v>
      </c>
      <c r="G4710" t="s">
        <v>6913</v>
      </c>
      <c r="H4710">
        <v>5203836750</v>
      </c>
      <c r="J4710">
        <v>5203835970</v>
      </c>
      <c r="K4710" t="s">
        <v>12466</v>
      </c>
      <c r="L4710" t="s">
        <v>1647</v>
      </c>
      <c r="M4710" t="s">
        <v>1634</v>
      </c>
    </row>
    <row r="4711" spans="1:13" x14ac:dyDescent="0.25">
      <c r="A4711">
        <v>5844</v>
      </c>
      <c r="B4711" t="s">
        <v>385</v>
      </c>
      <c r="C4711" t="s">
        <v>12465</v>
      </c>
      <c r="D4711" t="s">
        <v>1643</v>
      </c>
      <c r="E4711" t="s">
        <v>3494</v>
      </c>
      <c r="F4711" t="s">
        <v>4617</v>
      </c>
      <c r="G4711" t="s">
        <v>12467</v>
      </c>
      <c r="L4711" t="s">
        <v>1647</v>
      </c>
      <c r="M4711" t="s">
        <v>1634</v>
      </c>
    </row>
    <row r="4712" spans="1:13" x14ac:dyDescent="0.25">
      <c r="A4712">
        <v>5846</v>
      </c>
      <c r="B4712" t="s">
        <v>381</v>
      </c>
      <c r="C4712" t="s">
        <v>12468</v>
      </c>
      <c r="D4712" t="s">
        <v>1643</v>
      </c>
      <c r="E4712" t="s">
        <v>3494</v>
      </c>
      <c r="F4712" t="s">
        <v>6362</v>
      </c>
      <c r="G4712" t="s">
        <v>5983</v>
      </c>
      <c r="K4712" t="s">
        <v>12469</v>
      </c>
      <c r="L4712" t="s">
        <v>1647</v>
      </c>
      <c r="M4712" t="s">
        <v>1634</v>
      </c>
    </row>
    <row r="4713" spans="1:13" x14ac:dyDescent="0.25">
      <c r="A4713">
        <v>90821</v>
      </c>
      <c r="B4713" t="s">
        <v>12470</v>
      </c>
      <c r="C4713" t="s">
        <v>12471</v>
      </c>
      <c r="D4713" t="s">
        <v>1643</v>
      </c>
      <c r="E4713" t="s">
        <v>3494</v>
      </c>
      <c r="F4713" t="s">
        <v>9156</v>
      </c>
      <c r="G4713" t="s">
        <v>12472</v>
      </c>
      <c r="K4713" t="s">
        <v>12473</v>
      </c>
      <c r="L4713" t="s">
        <v>1647</v>
      </c>
      <c r="M4713" t="s">
        <v>1634</v>
      </c>
    </row>
    <row r="4714" spans="1:13" x14ac:dyDescent="0.25">
      <c r="A4714">
        <v>948673</v>
      </c>
      <c r="B4714" t="s">
        <v>490</v>
      </c>
      <c r="C4714" t="s">
        <v>12474</v>
      </c>
      <c r="D4714" t="s">
        <v>1643</v>
      </c>
      <c r="E4714" t="s">
        <v>3494</v>
      </c>
      <c r="F4714" t="s">
        <v>12459</v>
      </c>
      <c r="G4714" t="s">
        <v>6913</v>
      </c>
      <c r="H4714">
        <v>5203836746</v>
      </c>
      <c r="K4714" t="s">
        <v>12460</v>
      </c>
      <c r="L4714" t="s">
        <v>2584</v>
      </c>
      <c r="M4714" t="s">
        <v>1634</v>
      </c>
    </row>
    <row r="4715" spans="1:13" x14ac:dyDescent="0.25">
      <c r="A4715">
        <v>5847</v>
      </c>
      <c r="B4715" t="s">
        <v>879</v>
      </c>
      <c r="C4715" t="s">
        <v>12475</v>
      </c>
      <c r="D4715" t="s">
        <v>1643</v>
      </c>
      <c r="E4715" t="s">
        <v>3494</v>
      </c>
    </row>
    <row r="4716" spans="1:13" x14ac:dyDescent="0.25">
      <c r="A4716">
        <v>90822</v>
      </c>
      <c r="B4716" t="s">
        <v>874</v>
      </c>
      <c r="C4716" t="s">
        <v>12476</v>
      </c>
      <c r="D4716" t="s">
        <v>1643</v>
      </c>
      <c r="E4716" t="s">
        <v>3494</v>
      </c>
      <c r="F4716" t="s">
        <v>9156</v>
      </c>
      <c r="G4716" t="s">
        <v>12472</v>
      </c>
      <c r="K4716" t="s">
        <v>12473</v>
      </c>
      <c r="L4716" t="s">
        <v>1647</v>
      </c>
      <c r="M4716" t="s">
        <v>1634</v>
      </c>
    </row>
    <row r="4717" spans="1:13" x14ac:dyDescent="0.25">
      <c r="A4717">
        <v>4414</v>
      </c>
      <c r="B4717" t="s">
        <v>12477</v>
      </c>
      <c r="C4717" t="s">
        <v>12478</v>
      </c>
      <c r="D4717" t="s">
        <v>1628</v>
      </c>
      <c r="E4717" t="s">
        <v>3494</v>
      </c>
      <c r="F4717" t="s">
        <v>8338</v>
      </c>
      <c r="G4717" t="s">
        <v>2927</v>
      </c>
      <c r="H4717">
        <v>5207248451</v>
      </c>
      <c r="K4717" t="s">
        <v>12479</v>
      </c>
      <c r="L4717" t="s">
        <v>3153</v>
      </c>
      <c r="M4717" t="s">
        <v>1634</v>
      </c>
    </row>
    <row r="4718" spans="1:13" x14ac:dyDescent="0.25">
      <c r="A4718">
        <v>4414</v>
      </c>
      <c r="B4718" t="s">
        <v>12477</v>
      </c>
      <c r="C4718" t="s">
        <v>12478</v>
      </c>
      <c r="D4718" t="s">
        <v>1628</v>
      </c>
      <c r="E4718" t="s">
        <v>3494</v>
      </c>
      <c r="F4718" t="s">
        <v>11581</v>
      </c>
      <c r="G4718" t="s">
        <v>11582</v>
      </c>
      <c r="K4718" t="s">
        <v>12480</v>
      </c>
      <c r="L4718" t="s">
        <v>12481</v>
      </c>
      <c r="M4718" t="s">
        <v>1634</v>
      </c>
    </row>
    <row r="4719" spans="1:13" x14ac:dyDescent="0.25">
      <c r="A4719">
        <v>4414</v>
      </c>
      <c r="B4719" t="s">
        <v>12477</v>
      </c>
      <c r="C4719" t="s">
        <v>12478</v>
      </c>
      <c r="D4719" t="s">
        <v>1628</v>
      </c>
      <c r="E4719" t="s">
        <v>3494</v>
      </c>
      <c r="F4719" t="s">
        <v>11584</v>
      </c>
      <c r="G4719" t="s">
        <v>11585</v>
      </c>
      <c r="H4719">
        <v>5207248997</v>
      </c>
      <c r="K4719" t="s">
        <v>11586</v>
      </c>
      <c r="L4719" t="s">
        <v>12482</v>
      </c>
      <c r="M4719" t="s">
        <v>1634</v>
      </c>
    </row>
    <row r="4720" spans="1:13" x14ac:dyDescent="0.25">
      <c r="A4720">
        <v>4414</v>
      </c>
      <c r="B4720" t="s">
        <v>12477</v>
      </c>
      <c r="C4720" t="s">
        <v>12478</v>
      </c>
      <c r="D4720" t="s">
        <v>1628</v>
      </c>
      <c r="E4720" t="s">
        <v>3494</v>
      </c>
      <c r="F4720" t="s">
        <v>1775</v>
      </c>
      <c r="G4720" t="s">
        <v>12483</v>
      </c>
      <c r="H4720">
        <v>5207248993</v>
      </c>
      <c r="K4720" t="s">
        <v>12484</v>
      </c>
      <c r="L4720" t="s">
        <v>2368</v>
      </c>
      <c r="M4720" t="s">
        <v>1640</v>
      </c>
    </row>
    <row r="4721" spans="1:13" x14ac:dyDescent="0.25">
      <c r="A4721">
        <v>4414</v>
      </c>
      <c r="B4721" t="s">
        <v>12477</v>
      </c>
      <c r="C4721" t="s">
        <v>12478</v>
      </c>
      <c r="D4721" t="s">
        <v>1628</v>
      </c>
      <c r="E4721" t="s">
        <v>3494</v>
      </c>
      <c r="F4721" t="s">
        <v>1635</v>
      </c>
      <c r="G4721" t="s">
        <v>12485</v>
      </c>
      <c r="H4721">
        <v>5208234243</v>
      </c>
      <c r="K4721" t="s">
        <v>12486</v>
      </c>
      <c r="L4721" t="s">
        <v>2446</v>
      </c>
      <c r="M4721" t="s">
        <v>1765</v>
      </c>
    </row>
    <row r="4722" spans="1:13" x14ac:dyDescent="0.25">
      <c r="A4722">
        <v>4414</v>
      </c>
      <c r="B4722" t="s">
        <v>12477</v>
      </c>
      <c r="C4722" t="s">
        <v>12478</v>
      </c>
      <c r="D4722" t="s">
        <v>1628</v>
      </c>
      <c r="E4722" t="s">
        <v>3494</v>
      </c>
      <c r="F4722" t="s">
        <v>11584</v>
      </c>
      <c r="G4722" t="s">
        <v>11585</v>
      </c>
      <c r="H4722">
        <v>5207248997</v>
      </c>
      <c r="K4722" t="s">
        <v>11586</v>
      </c>
      <c r="L4722" t="s">
        <v>12482</v>
      </c>
      <c r="M4722" t="s">
        <v>1765</v>
      </c>
    </row>
    <row r="4723" spans="1:13" x14ac:dyDescent="0.25">
      <c r="A4723">
        <v>5853</v>
      </c>
      <c r="B4723" t="s">
        <v>12487</v>
      </c>
      <c r="C4723" t="s">
        <v>12488</v>
      </c>
      <c r="D4723" t="s">
        <v>1643</v>
      </c>
      <c r="E4723" t="s">
        <v>3494</v>
      </c>
      <c r="F4723" t="s">
        <v>3013</v>
      </c>
      <c r="G4723" t="s">
        <v>12489</v>
      </c>
      <c r="K4723" t="s">
        <v>12490</v>
      </c>
      <c r="L4723" t="s">
        <v>5764</v>
      </c>
      <c r="M4723" t="s">
        <v>1634</v>
      </c>
    </row>
    <row r="4724" spans="1:13" x14ac:dyDescent="0.25">
      <c r="A4724">
        <v>5853</v>
      </c>
      <c r="B4724" t="s">
        <v>12487</v>
      </c>
      <c r="C4724" t="s">
        <v>12488</v>
      </c>
      <c r="D4724" t="s">
        <v>1643</v>
      </c>
      <c r="E4724" t="s">
        <v>3494</v>
      </c>
      <c r="F4724" t="s">
        <v>12491</v>
      </c>
      <c r="G4724" t="s">
        <v>7314</v>
      </c>
      <c r="K4724" t="s">
        <v>12492</v>
      </c>
      <c r="M4724" t="s">
        <v>1640</v>
      </c>
    </row>
    <row r="4725" spans="1:13" x14ac:dyDescent="0.25">
      <c r="A4725">
        <v>4415</v>
      </c>
      <c r="B4725" t="s">
        <v>12493</v>
      </c>
      <c r="C4725" t="s">
        <v>12494</v>
      </c>
      <c r="D4725" t="s">
        <v>1628</v>
      </c>
      <c r="E4725" t="s">
        <v>3494</v>
      </c>
      <c r="F4725" t="s">
        <v>8338</v>
      </c>
      <c r="G4725" t="s">
        <v>2927</v>
      </c>
      <c r="H4725">
        <v>5207248451</v>
      </c>
      <c r="J4725">
        <v>5207249308</v>
      </c>
      <c r="K4725" t="s">
        <v>12479</v>
      </c>
      <c r="L4725" t="s">
        <v>3153</v>
      </c>
      <c r="M4725" t="s">
        <v>1634</v>
      </c>
    </row>
    <row r="4726" spans="1:13" x14ac:dyDescent="0.25">
      <c r="A4726">
        <v>4415</v>
      </c>
      <c r="B4726" t="s">
        <v>12493</v>
      </c>
      <c r="C4726" t="s">
        <v>12494</v>
      </c>
      <c r="D4726" t="s">
        <v>1628</v>
      </c>
      <c r="E4726" t="s">
        <v>3494</v>
      </c>
      <c r="F4726" t="s">
        <v>1775</v>
      </c>
      <c r="G4726" t="s">
        <v>12483</v>
      </c>
      <c r="H4726">
        <v>5207248993</v>
      </c>
      <c r="K4726" t="s">
        <v>12495</v>
      </c>
      <c r="M4726" t="s">
        <v>1634</v>
      </c>
    </row>
    <row r="4727" spans="1:13" x14ac:dyDescent="0.25">
      <c r="A4727">
        <v>4415</v>
      </c>
      <c r="B4727" t="s">
        <v>12493</v>
      </c>
      <c r="C4727" t="s">
        <v>12494</v>
      </c>
      <c r="D4727" t="s">
        <v>1628</v>
      </c>
      <c r="E4727" t="s">
        <v>3494</v>
      </c>
      <c r="F4727" t="s">
        <v>11584</v>
      </c>
      <c r="G4727" t="s">
        <v>11585</v>
      </c>
      <c r="H4727">
        <v>5207248997</v>
      </c>
      <c r="K4727" t="s">
        <v>12496</v>
      </c>
      <c r="L4727" t="s">
        <v>12497</v>
      </c>
      <c r="M4727" t="s">
        <v>1634</v>
      </c>
    </row>
    <row r="4728" spans="1:13" x14ac:dyDescent="0.25">
      <c r="A4728">
        <v>4415</v>
      </c>
      <c r="B4728" t="s">
        <v>12493</v>
      </c>
      <c r="C4728" t="s">
        <v>12494</v>
      </c>
      <c r="D4728" t="s">
        <v>1628</v>
      </c>
      <c r="E4728" t="s">
        <v>3494</v>
      </c>
      <c r="F4728" t="s">
        <v>1775</v>
      </c>
      <c r="G4728" t="s">
        <v>12483</v>
      </c>
      <c r="H4728">
        <v>5207248993</v>
      </c>
      <c r="K4728" t="s">
        <v>12495</v>
      </c>
      <c r="M4728" t="s">
        <v>1640</v>
      </c>
    </row>
    <row r="4729" spans="1:13" x14ac:dyDescent="0.25">
      <c r="A4729">
        <v>4416</v>
      </c>
      <c r="B4729" t="s">
        <v>12498</v>
      </c>
      <c r="C4729" t="s">
        <v>12499</v>
      </c>
      <c r="D4729" t="s">
        <v>1628</v>
      </c>
      <c r="E4729" t="s">
        <v>3494</v>
      </c>
      <c r="F4729" t="s">
        <v>12215</v>
      </c>
      <c r="G4729" t="s">
        <v>12216</v>
      </c>
      <c r="H4729">
        <v>5206254581</v>
      </c>
      <c r="I4729">
        <v>7305</v>
      </c>
      <c r="K4729" t="s">
        <v>12500</v>
      </c>
      <c r="L4729" t="s">
        <v>1668</v>
      </c>
      <c r="M4729" t="s">
        <v>1634</v>
      </c>
    </row>
    <row r="4730" spans="1:13" x14ac:dyDescent="0.25">
      <c r="A4730">
        <v>4416</v>
      </c>
      <c r="B4730" t="s">
        <v>12498</v>
      </c>
      <c r="C4730" t="s">
        <v>12499</v>
      </c>
      <c r="D4730" t="s">
        <v>1628</v>
      </c>
      <c r="E4730" t="s">
        <v>3494</v>
      </c>
      <c r="F4730" t="s">
        <v>3870</v>
      </c>
      <c r="G4730" t="s">
        <v>11305</v>
      </c>
      <c r="H4730">
        <v>5206254581</v>
      </c>
      <c r="K4730" t="s">
        <v>12501</v>
      </c>
      <c r="M4730" t="s">
        <v>1634</v>
      </c>
    </row>
    <row r="4731" spans="1:13" x14ac:dyDescent="0.25">
      <c r="A4731">
        <v>4416</v>
      </c>
      <c r="B4731" t="s">
        <v>12498</v>
      </c>
      <c r="C4731" t="s">
        <v>12499</v>
      </c>
      <c r="D4731" t="s">
        <v>1628</v>
      </c>
      <c r="E4731" t="s">
        <v>3494</v>
      </c>
      <c r="F4731" t="s">
        <v>6780</v>
      </c>
      <c r="G4731" t="s">
        <v>11062</v>
      </c>
      <c r="H4731">
        <v>5206254581</v>
      </c>
      <c r="K4731" t="s">
        <v>12502</v>
      </c>
      <c r="L4731" t="s">
        <v>1640</v>
      </c>
      <c r="M4731" t="s">
        <v>1640</v>
      </c>
    </row>
    <row r="4732" spans="1:13" x14ac:dyDescent="0.25">
      <c r="A4732">
        <v>4416</v>
      </c>
      <c r="B4732" t="s">
        <v>12498</v>
      </c>
      <c r="C4732" t="s">
        <v>12499</v>
      </c>
      <c r="D4732" t="s">
        <v>1628</v>
      </c>
      <c r="E4732" t="s">
        <v>3494</v>
      </c>
      <c r="F4732" t="s">
        <v>3870</v>
      </c>
      <c r="G4732" t="s">
        <v>11305</v>
      </c>
      <c r="H4732">
        <v>5206254581</v>
      </c>
      <c r="K4732" t="s">
        <v>12501</v>
      </c>
      <c r="M4732" t="s">
        <v>1640</v>
      </c>
    </row>
    <row r="4733" spans="1:13" x14ac:dyDescent="0.25">
      <c r="A4733">
        <v>4416</v>
      </c>
      <c r="B4733" t="s">
        <v>12498</v>
      </c>
      <c r="C4733" t="s">
        <v>12499</v>
      </c>
      <c r="D4733" t="s">
        <v>1628</v>
      </c>
      <c r="E4733" t="s">
        <v>3494</v>
      </c>
      <c r="F4733" t="s">
        <v>6702</v>
      </c>
      <c r="G4733" t="s">
        <v>12503</v>
      </c>
      <c r="K4733" t="s">
        <v>12504</v>
      </c>
      <c r="M4733" t="s">
        <v>1765</v>
      </c>
    </row>
    <row r="4734" spans="1:13" x14ac:dyDescent="0.25">
      <c r="A4734">
        <v>5855</v>
      </c>
      <c r="B4734" t="s">
        <v>12505</v>
      </c>
      <c r="C4734" t="s">
        <v>12506</v>
      </c>
      <c r="D4734" t="s">
        <v>1643</v>
      </c>
      <c r="E4734" t="s">
        <v>3494</v>
      </c>
    </row>
    <row r="4735" spans="1:13" x14ac:dyDescent="0.25">
      <c r="A4735">
        <v>1001189</v>
      </c>
      <c r="B4735" t="s">
        <v>12507</v>
      </c>
      <c r="C4735" t="s">
        <v>12508</v>
      </c>
      <c r="D4735" t="s">
        <v>1643</v>
      </c>
      <c r="E4735" t="s">
        <v>3494</v>
      </c>
    </row>
    <row r="4736" spans="1:13" x14ac:dyDescent="0.25">
      <c r="A4736">
        <v>4417</v>
      </c>
      <c r="B4736" t="s">
        <v>12509</v>
      </c>
      <c r="C4736" t="s">
        <v>12510</v>
      </c>
      <c r="D4736" t="s">
        <v>1628</v>
      </c>
      <c r="E4736" t="s">
        <v>3494</v>
      </c>
      <c r="F4736" t="s">
        <v>8338</v>
      </c>
      <c r="G4736" t="s">
        <v>2927</v>
      </c>
      <c r="H4736">
        <v>5207248451</v>
      </c>
      <c r="K4736" t="s">
        <v>12479</v>
      </c>
      <c r="L4736" t="s">
        <v>3153</v>
      </c>
      <c r="M4736" t="s">
        <v>1634</v>
      </c>
    </row>
    <row r="4737" spans="1:13" x14ac:dyDescent="0.25">
      <c r="A4737">
        <v>4417</v>
      </c>
      <c r="B4737" t="s">
        <v>12509</v>
      </c>
      <c r="C4737" t="s">
        <v>12510</v>
      </c>
      <c r="D4737" t="s">
        <v>1628</v>
      </c>
      <c r="E4737" t="s">
        <v>3494</v>
      </c>
      <c r="F4737" t="s">
        <v>1775</v>
      </c>
      <c r="G4737" t="s">
        <v>12483</v>
      </c>
      <c r="H4737">
        <v>5207248993</v>
      </c>
      <c r="K4737" t="s">
        <v>12495</v>
      </c>
      <c r="L4737" t="s">
        <v>2368</v>
      </c>
      <c r="M4737" t="s">
        <v>1634</v>
      </c>
    </row>
    <row r="4738" spans="1:13" x14ac:dyDescent="0.25">
      <c r="A4738">
        <v>4417</v>
      </c>
      <c r="B4738" t="s">
        <v>12509</v>
      </c>
      <c r="C4738" t="s">
        <v>12510</v>
      </c>
      <c r="D4738" t="s">
        <v>1628</v>
      </c>
      <c r="E4738" t="s">
        <v>3494</v>
      </c>
      <c r="F4738" t="s">
        <v>11584</v>
      </c>
      <c r="G4738" t="s">
        <v>11585</v>
      </c>
      <c r="H4738">
        <v>5207248999</v>
      </c>
      <c r="K4738" t="s">
        <v>12496</v>
      </c>
      <c r="L4738" t="s">
        <v>12497</v>
      </c>
      <c r="M4738" t="s">
        <v>1634</v>
      </c>
    </row>
    <row r="4739" spans="1:13" x14ac:dyDescent="0.25">
      <c r="A4739">
        <v>4418</v>
      </c>
      <c r="B4739" t="s">
        <v>761</v>
      </c>
      <c r="C4739" t="s">
        <v>12511</v>
      </c>
      <c r="D4739" t="s">
        <v>1628</v>
      </c>
      <c r="E4739" t="s">
        <v>3494</v>
      </c>
      <c r="F4739" t="s">
        <v>1707</v>
      </c>
      <c r="G4739" t="s">
        <v>12512</v>
      </c>
      <c r="H4739">
        <v>5208221484</v>
      </c>
      <c r="J4739">
        <v>5208221798</v>
      </c>
      <c r="K4739" t="s">
        <v>12513</v>
      </c>
      <c r="L4739" t="s">
        <v>1668</v>
      </c>
      <c r="M4739" t="s">
        <v>1634</v>
      </c>
    </row>
    <row r="4740" spans="1:13" x14ac:dyDescent="0.25">
      <c r="A4740">
        <v>84336</v>
      </c>
      <c r="B4740" t="s">
        <v>762</v>
      </c>
      <c r="C4740" t="s">
        <v>12514</v>
      </c>
      <c r="D4740" t="s">
        <v>1643</v>
      </c>
      <c r="E4740" t="s">
        <v>3494</v>
      </c>
      <c r="F4740" t="s">
        <v>12515</v>
      </c>
      <c r="G4740" t="s">
        <v>3674</v>
      </c>
      <c r="H4740">
        <v>5208229418</v>
      </c>
      <c r="J4740">
        <v>5208229428</v>
      </c>
      <c r="M4740" t="s">
        <v>1634</v>
      </c>
    </row>
    <row r="4741" spans="1:13" x14ac:dyDescent="0.25">
      <c r="A4741">
        <v>84336</v>
      </c>
      <c r="B4741" t="s">
        <v>762</v>
      </c>
      <c r="C4741" t="s">
        <v>12514</v>
      </c>
      <c r="D4741" t="s">
        <v>1643</v>
      </c>
      <c r="E4741" t="s">
        <v>3494</v>
      </c>
      <c r="F4741" t="s">
        <v>2479</v>
      </c>
      <c r="G4741" t="s">
        <v>2969</v>
      </c>
      <c r="H4741">
        <v>5208229418</v>
      </c>
      <c r="K4741" t="s">
        <v>12516</v>
      </c>
      <c r="L4741" t="s">
        <v>1647</v>
      </c>
      <c r="M4741" t="s">
        <v>1634</v>
      </c>
    </row>
    <row r="4742" spans="1:13" x14ac:dyDescent="0.25">
      <c r="A4742">
        <v>5859</v>
      </c>
      <c r="B4742" t="s">
        <v>1535</v>
      </c>
      <c r="C4742" t="s">
        <v>12517</v>
      </c>
      <c r="D4742" t="s">
        <v>1643</v>
      </c>
      <c r="E4742" t="s">
        <v>3494</v>
      </c>
      <c r="F4742" t="s">
        <v>1787</v>
      </c>
      <c r="G4742" t="s">
        <v>12371</v>
      </c>
      <c r="H4742">
        <v>5208229343</v>
      </c>
      <c r="J4742">
        <v>5208225801</v>
      </c>
      <c r="K4742" t="s">
        <v>12518</v>
      </c>
      <c r="M4742" t="s">
        <v>1634</v>
      </c>
    </row>
    <row r="4743" spans="1:13" x14ac:dyDescent="0.25">
      <c r="A4743">
        <v>5859</v>
      </c>
      <c r="B4743" t="s">
        <v>1535</v>
      </c>
      <c r="C4743" t="s">
        <v>12517</v>
      </c>
      <c r="D4743" t="s">
        <v>1643</v>
      </c>
      <c r="E4743" t="s">
        <v>3494</v>
      </c>
      <c r="F4743" t="s">
        <v>3798</v>
      </c>
      <c r="G4743" t="s">
        <v>9253</v>
      </c>
      <c r="L4743" t="s">
        <v>1647</v>
      </c>
      <c r="M4743" t="s">
        <v>1634</v>
      </c>
    </row>
    <row r="4744" spans="1:13" x14ac:dyDescent="0.25">
      <c r="A4744">
        <v>5859</v>
      </c>
      <c r="B4744" t="s">
        <v>1535</v>
      </c>
      <c r="C4744" t="s">
        <v>12517</v>
      </c>
      <c r="D4744" t="s">
        <v>1643</v>
      </c>
      <c r="E4744" t="s">
        <v>3494</v>
      </c>
      <c r="F4744" t="s">
        <v>3778</v>
      </c>
      <c r="G4744" t="s">
        <v>12519</v>
      </c>
      <c r="H4744">
        <v>5208229343</v>
      </c>
      <c r="K4744" t="s">
        <v>12520</v>
      </c>
      <c r="L4744" t="s">
        <v>1647</v>
      </c>
      <c r="M4744" t="s">
        <v>1634</v>
      </c>
    </row>
    <row r="4745" spans="1:13" x14ac:dyDescent="0.25">
      <c r="A4745">
        <v>5859</v>
      </c>
      <c r="B4745" t="s">
        <v>1535</v>
      </c>
      <c r="C4745" t="s">
        <v>12517</v>
      </c>
      <c r="D4745" t="s">
        <v>1643</v>
      </c>
      <c r="E4745" t="s">
        <v>3494</v>
      </c>
      <c r="F4745" t="s">
        <v>2408</v>
      </c>
      <c r="G4745" t="s">
        <v>12521</v>
      </c>
      <c r="H4745">
        <v>5208229201</v>
      </c>
      <c r="J4745">
        <v>5208229201</v>
      </c>
      <c r="K4745" t="s">
        <v>12522</v>
      </c>
      <c r="M4745" t="s">
        <v>1640</v>
      </c>
    </row>
    <row r="4746" spans="1:13" x14ac:dyDescent="0.25">
      <c r="A4746">
        <v>89380</v>
      </c>
      <c r="B4746" t="s">
        <v>12523</v>
      </c>
      <c r="C4746" t="s">
        <v>12524</v>
      </c>
      <c r="D4746" t="s">
        <v>1628</v>
      </c>
      <c r="E4746" t="s">
        <v>3494</v>
      </c>
      <c r="F4746" t="s">
        <v>2261</v>
      </c>
      <c r="G4746" t="s">
        <v>12525</v>
      </c>
      <c r="H4746">
        <v>5203525833</v>
      </c>
      <c r="J4746">
        <v>5203525842</v>
      </c>
      <c r="K4746" t="s">
        <v>12526</v>
      </c>
      <c r="L4746" t="s">
        <v>1668</v>
      </c>
      <c r="M4746" t="s">
        <v>1634</v>
      </c>
    </row>
    <row r="4747" spans="1:13" x14ac:dyDescent="0.25">
      <c r="A4747">
        <v>89380</v>
      </c>
      <c r="B4747" t="s">
        <v>12523</v>
      </c>
      <c r="C4747" t="s">
        <v>12524</v>
      </c>
      <c r="D4747" t="s">
        <v>1628</v>
      </c>
      <c r="E4747" t="s">
        <v>3494</v>
      </c>
      <c r="F4747" t="s">
        <v>4581</v>
      </c>
      <c r="G4747" t="s">
        <v>12527</v>
      </c>
      <c r="H4747">
        <v>5204296821</v>
      </c>
      <c r="K4747" t="s">
        <v>12528</v>
      </c>
      <c r="L4747" t="s">
        <v>12529</v>
      </c>
      <c r="M4747" t="s">
        <v>1634</v>
      </c>
    </row>
    <row r="4748" spans="1:13" x14ac:dyDescent="0.25">
      <c r="A4748">
        <v>89380</v>
      </c>
      <c r="B4748" t="s">
        <v>12523</v>
      </c>
      <c r="C4748" t="s">
        <v>12524</v>
      </c>
      <c r="D4748" t="s">
        <v>1628</v>
      </c>
      <c r="E4748" t="s">
        <v>3494</v>
      </c>
      <c r="F4748" t="s">
        <v>2351</v>
      </c>
      <c r="G4748" t="s">
        <v>3489</v>
      </c>
      <c r="H4748">
        <v>5203525833</v>
      </c>
      <c r="J4748">
        <v>5203525842</v>
      </c>
      <c r="K4748" t="s">
        <v>12530</v>
      </c>
      <c r="L4748" t="s">
        <v>12531</v>
      </c>
      <c r="M4748" t="s">
        <v>1640</v>
      </c>
    </row>
    <row r="4749" spans="1:13" x14ac:dyDescent="0.25">
      <c r="A4749">
        <v>89677</v>
      </c>
      <c r="B4749" t="s">
        <v>12532</v>
      </c>
      <c r="C4749" t="s">
        <v>12533</v>
      </c>
      <c r="D4749" t="s">
        <v>1643</v>
      </c>
      <c r="E4749" t="s">
        <v>3494</v>
      </c>
      <c r="F4749" t="s">
        <v>7669</v>
      </c>
      <c r="G4749" t="s">
        <v>12534</v>
      </c>
      <c r="H4749">
        <v>5207454588</v>
      </c>
      <c r="J4749">
        <v>5203823479</v>
      </c>
      <c r="M4749" t="s">
        <v>1634</v>
      </c>
    </row>
    <row r="4750" spans="1:13" x14ac:dyDescent="0.25">
      <c r="A4750">
        <v>89677</v>
      </c>
      <c r="B4750" t="s">
        <v>12532</v>
      </c>
      <c r="C4750" t="s">
        <v>12533</v>
      </c>
      <c r="D4750" t="s">
        <v>1643</v>
      </c>
      <c r="E4750" t="s">
        <v>3494</v>
      </c>
      <c r="F4750" t="s">
        <v>2607</v>
      </c>
      <c r="G4750" t="s">
        <v>3412</v>
      </c>
      <c r="H4750">
        <v>5207454588</v>
      </c>
      <c r="J4750">
        <v>5203823479</v>
      </c>
      <c r="K4750" t="s">
        <v>12535</v>
      </c>
      <c r="M4750" t="s">
        <v>1765</v>
      </c>
    </row>
    <row r="4751" spans="1:13" x14ac:dyDescent="0.25">
      <c r="A4751">
        <v>89678</v>
      </c>
      <c r="B4751" t="s">
        <v>12536</v>
      </c>
      <c r="C4751" t="s">
        <v>12537</v>
      </c>
      <c r="D4751" t="s">
        <v>1643</v>
      </c>
      <c r="E4751" t="s">
        <v>3494</v>
      </c>
      <c r="F4751" t="s">
        <v>7669</v>
      </c>
      <c r="G4751" t="s">
        <v>12534</v>
      </c>
      <c r="H4751">
        <v>5207454588</v>
      </c>
      <c r="J4751">
        <v>5203823479</v>
      </c>
      <c r="M4751" t="s">
        <v>1634</v>
      </c>
    </row>
    <row r="4752" spans="1:13" x14ac:dyDescent="0.25">
      <c r="A4752">
        <v>89678</v>
      </c>
      <c r="B4752" t="s">
        <v>12536</v>
      </c>
      <c r="C4752" t="s">
        <v>12537</v>
      </c>
      <c r="D4752" t="s">
        <v>1643</v>
      </c>
      <c r="E4752" t="s">
        <v>3494</v>
      </c>
      <c r="F4752" t="s">
        <v>2607</v>
      </c>
      <c r="G4752" t="s">
        <v>3412</v>
      </c>
      <c r="H4752">
        <v>5207454588</v>
      </c>
      <c r="J4752">
        <v>5203823479</v>
      </c>
      <c r="K4752" t="s">
        <v>12535</v>
      </c>
      <c r="M4752" t="s">
        <v>1765</v>
      </c>
    </row>
    <row r="4753" spans="1:13" x14ac:dyDescent="0.25">
      <c r="A4753">
        <v>89679</v>
      </c>
      <c r="B4753" t="s">
        <v>12538</v>
      </c>
      <c r="C4753" t="s">
        <v>12539</v>
      </c>
      <c r="D4753" t="s">
        <v>1643</v>
      </c>
      <c r="E4753" t="s">
        <v>3494</v>
      </c>
      <c r="F4753" t="s">
        <v>7669</v>
      </c>
      <c r="G4753" t="s">
        <v>12534</v>
      </c>
      <c r="H4753">
        <v>5207454588</v>
      </c>
      <c r="J4753">
        <v>5203823479</v>
      </c>
      <c r="M4753" t="s">
        <v>1634</v>
      </c>
    </row>
    <row r="4754" spans="1:13" x14ac:dyDescent="0.25">
      <c r="A4754">
        <v>89679</v>
      </c>
      <c r="B4754" t="s">
        <v>12538</v>
      </c>
      <c r="C4754" t="s">
        <v>12539</v>
      </c>
      <c r="D4754" t="s">
        <v>1643</v>
      </c>
      <c r="E4754" t="s">
        <v>3494</v>
      </c>
      <c r="F4754" t="s">
        <v>2607</v>
      </c>
      <c r="G4754" t="s">
        <v>3412</v>
      </c>
      <c r="H4754">
        <v>5207454588</v>
      </c>
      <c r="J4754">
        <v>5203823479</v>
      </c>
      <c r="K4754" t="s">
        <v>12535</v>
      </c>
      <c r="M4754" t="s">
        <v>1765</v>
      </c>
    </row>
    <row r="4755" spans="1:13" x14ac:dyDescent="0.25">
      <c r="A4755">
        <v>89680</v>
      </c>
      <c r="B4755" t="s">
        <v>12540</v>
      </c>
      <c r="C4755" t="s">
        <v>12541</v>
      </c>
      <c r="D4755" t="s">
        <v>1643</v>
      </c>
      <c r="E4755" t="s">
        <v>3494</v>
      </c>
      <c r="F4755" t="s">
        <v>7669</v>
      </c>
      <c r="G4755" t="s">
        <v>12534</v>
      </c>
      <c r="H4755">
        <v>5207454588</v>
      </c>
      <c r="J4755">
        <v>5203823479</v>
      </c>
      <c r="M4755" t="s">
        <v>1634</v>
      </c>
    </row>
    <row r="4756" spans="1:13" x14ac:dyDescent="0.25">
      <c r="A4756">
        <v>89680</v>
      </c>
      <c r="B4756" t="s">
        <v>12540</v>
      </c>
      <c r="C4756" t="s">
        <v>12541</v>
      </c>
      <c r="D4756" t="s">
        <v>1643</v>
      </c>
      <c r="E4756" t="s">
        <v>3494</v>
      </c>
      <c r="F4756" t="s">
        <v>2607</v>
      </c>
      <c r="G4756" t="s">
        <v>3412</v>
      </c>
      <c r="H4756">
        <v>5207454588</v>
      </c>
      <c r="J4756">
        <v>5203823479</v>
      </c>
      <c r="K4756" t="s">
        <v>12535</v>
      </c>
      <c r="M4756" t="s">
        <v>1765</v>
      </c>
    </row>
    <row r="4757" spans="1:13" x14ac:dyDescent="0.25">
      <c r="A4757">
        <v>89681</v>
      </c>
      <c r="B4757" t="s">
        <v>12542</v>
      </c>
      <c r="C4757" t="s">
        <v>12543</v>
      </c>
      <c r="D4757" t="s">
        <v>1643</v>
      </c>
      <c r="E4757" t="s">
        <v>3494</v>
      </c>
      <c r="F4757" t="s">
        <v>7669</v>
      </c>
      <c r="G4757" t="s">
        <v>12534</v>
      </c>
      <c r="H4757">
        <v>5207454588</v>
      </c>
      <c r="J4757">
        <v>5203823479</v>
      </c>
      <c r="M4757" t="s">
        <v>1634</v>
      </c>
    </row>
    <row r="4758" spans="1:13" x14ac:dyDescent="0.25">
      <c r="A4758">
        <v>89681</v>
      </c>
      <c r="B4758" t="s">
        <v>12542</v>
      </c>
      <c r="C4758" t="s">
        <v>12543</v>
      </c>
      <c r="D4758" t="s">
        <v>1643</v>
      </c>
      <c r="E4758" t="s">
        <v>3494</v>
      </c>
      <c r="F4758" t="s">
        <v>2607</v>
      </c>
      <c r="G4758" t="s">
        <v>3412</v>
      </c>
      <c r="H4758">
        <v>5207454588</v>
      </c>
      <c r="J4758">
        <v>5203823479</v>
      </c>
      <c r="K4758" t="s">
        <v>12535</v>
      </c>
      <c r="M4758" t="s">
        <v>1765</v>
      </c>
    </row>
    <row r="4759" spans="1:13" x14ac:dyDescent="0.25">
      <c r="A4759">
        <v>89682</v>
      </c>
      <c r="B4759" t="s">
        <v>12544</v>
      </c>
      <c r="C4759" t="s">
        <v>12545</v>
      </c>
      <c r="D4759" t="s">
        <v>1643</v>
      </c>
      <c r="E4759" t="s">
        <v>3494</v>
      </c>
      <c r="F4759" t="s">
        <v>7669</v>
      </c>
      <c r="G4759" t="s">
        <v>12534</v>
      </c>
      <c r="H4759">
        <v>5207454588</v>
      </c>
      <c r="J4759">
        <v>5203823479</v>
      </c>
      <c r="M4759" t="s">
        <v>1634</v>
      </c>
    </row>
    <row r="4760" spans="1:13" x14ac:dyDescent="0.25">
      <c r="A4760">
        <v>89682</v>
      </c>
      <c r="B4760" t="s">
        <v>12544</v>
      </c>
      <c r="C4760" t="s">
        <v>12545</v>
      </c>
      <c r="D4760" t="s">
        <v>1643</v>
      </c>
      <c r="E4760" t="s">
        <v>3494</v>
      </c>
      <c r="F4760" t="s">
        <v>2607</v>
      </c>
      <c r="G4760" t="s">
        <v>3412</v>
      </c>
      <c r="H4760">
        <v>5207454588</v>
      </c>
      <c r="J4760">
        <v>5203823479</v>
      </c>
      <c r="K4760" t="s">
        <v>12535</v>
      </c>
      <c r="M4760" t="s">
        <v>1765</v>
      </c>
    </row>
    <row r="4761" spans="1:13" x14ac:dyDescent="0.25">
      <c r="A4761">
        <v>89683</v>
      </c>
      <c r="B4761" t="s">
        <v>12546</v>
      </c>
      <c r="C4761" t="s">
        <v>12547</v>
      </c>
      <c r="D4761" t="s">
        <v>1643</v>
      </c>
      <c r="E4761" t="s">
        <v>3494</v>
      </c>
      <c r="F4761" t="s">
        <v>7669</v>
      </c>
      <c r="G4761" t="s">
        <v>12534</v>
      </c>
      <c r="H4761">
        <v>5207454588</v>
      </c>
      <c r="J4761">
        <v>5203823479</v>
      </c>
      <c r="M4761" t="s">
        <v>1634</v>
      </c>
    </row>
    <row r="4762" spans="1:13" x14ac:dyDescent="0.25">
      <c r="A4762">
        <v>89683</v>
      </c>
      <c r="B4762" t="s">
        <v>12546</v>
      </c>
      <c r="C4762" t="s">
        <v>12547</v>
      </c>
      <c r="D4762" t="s">
        <v>1643</v>
      </c>
      <c r="E4762" t="s">
        <v>3494</v>
      </c>
      <c r="F4762" t="s">
        <v>2607</v>
      </c>
      <c r="G4762" t="s">
        <v>3412</v>
      </c>
      <c r="H4762">
        <v>5207454588</v>
      </c>
      <c r="J4762">
        <v>5203823479</v>
      </c>
      <c r="K4762" t="s">
        <v>12535</v>
      </c>
      <c r="M4762" t="s">
        <v>1765</v>
      </c>
    </row>
    <row r="4763" spans="1:13" x14ac:dyDescent="0.25">
      <c r="A4763">
        <v>89684</v>
      </c>
      <c r="B4763" t="s">
        <v>12548</v>
      </c>
      <c r="C4763" t="s">
        <v>12549</v>
      </c>
      <c r="D4763" t="s">
        <v>1643</v>
      </c>
      <c r="E4763" t="s">
        <v>3494</v>
      </c>
      <c r="F4763" t="s">
        <v>7669</v>
      </c>
      <c r="G4763" t="s">
        <v>12534</v>
      </c>
      <c r="H4763">
        <v>5207454588</v>
      </c>
      <c r="J4763">
        <v>5203823479</v>
      </c>
      <c r="M4763" t="s">
        <v>1634</v>
      </c>
    </row>
    <row r="4764" spans="1:13" x14ac:dyDescent="0.25">
      <c r="A4764">
        <v>89684</v>
      </c>
      <c r="B4764" t="s">
        <v>12548</v>
      </c>
      <c r="C4764" t="s">
        <v>12549</v>
      </c>
      <c r="D4764" t="s">
        <v>1643</v>
      </c>
      <c r="E4764" t="s">
        <v>3494</v>
      </c>
      <c r="F4764" t="s">
        <v>2607</v>
      </c>
      <c r="G4764" t="s">
        <v>3412</v>
      </c>
      <c r="H4764">
        <v>5207454588</v>
      </c>
      <c r="J4764">
        <v>5203823479</v>
      </c>
      <c r="K4764" t="s">
        <v>12535</v>
      </c>
      <c r="M4764" t="s">
        <v>1765</v>
      </c>
    </row>
    <row r="4765" spans="1:13" x14ac:dyDescent="0.25">
      <c r="A4765">
        <v>89685</v>
      </c>
      <c r="B4765" t="s">
        <v>12550</v>
      </c>
      <c r="C4765" t="s">
        <v>12551</v>
      </c>
      <c r="D4765" t="s">
        <v>1643</v>
      </c>
      <c r="E4765" t="s">
        <v>3494</v>
      </c>
      <c r="F4765" t="s">
        <v>7669</v>
      </c>
      <c r="G4765" t="s">
        <v>12534</v>
      </c>
      <c r="H4765">
        <v>5207454588</v>
      </c>
      <c r="J4765">
        <v>5203823479</v>
      </c>
      <c r="M4765" t="s">
        <v>1634</v>
      </c>
    </row>
    <row r="4766" spans="1:13" x14ac:dyDescent="0.25">
      <c r="A4766">
        <v>89685</v>
      </c>
      <c r="B4766" t="s">
        <v>12550</v>
      </c>
      <c r="C4766" t="s">
        <v>12551</v>
      </c>
      <c r="D4766" t="s">
        <v>1643</v>
      </c>
      <c r="E4766" t="s">
        <v>3494</v>
      </c>
      <c r="F4766" t="s">
        <v>2607</v>
      </c>
      <c r="G4766" t="s">
        <v>3412</v>
      </c>
      <c r="H4766">
        <v>5207454588</v>
      </c>
      <c r="J4766">
        <v>5203823479</v>
      </c>
      <c r="K4766" t="s">
        <v>12535</v>
      </c>
      <c r="M4766" t="s">
        <v>1765</v>
      </c>
    </row>
    <row r="4767" spans="1:13" x14ac:dyDescent="0.25">
      <c r="A4767">
        <v>89686</v>
      </c>
      <c r="B4767" t="s">
        <v>12552</v>
      </c>
      <c r="C4767" t="s">
        <v>12553</v>
      </c>
      <c r="D4767" t="s">
        <v>1643</v>
      </c>
      <c r="E4767" t="s">
        <v>3494</v>
      </c>
      <c r="F4767" t="s">
        <v>7669</v>
      </c>
      <c r="G4767" t="s">
        <v>12534</v>
      </c>
      <c r="H4767">
        <v>5207454588</v>
      </c>
      <c r="J4767">
        <v>5203823479</v>
      </c>
      <c r="M4767" t="s">
        <v>1634</v>
      </c>
    </row>
    <row r="4768" spans="1:13" x14ac:dyDescent="0.25">
      <c r="A4768">
        <v>89686</v>
      </c>
      <c r="B4768" t="s">
        <v>12552</v>
      </c>
      <c r="C4768" t="s">
        <v>12553</v>
      </c>
      <c r="D4768" t="s">
        <v>1643</v>
      </c>
      <c r="E4768" t="s">
        <v>3494</v>
      </c>
      <c r="F4768" t="s">
        <v>2607</v>
      </c>
      <c r="G4768" t="s">
        <v>3412</v>
      </c>
      <c r="H4768">
        <v>5207454588</v>
      </c>
      <c r="J4768">
        <v>5203823479</v>
      </c>
      <c r="K4768" t="s">
        <v>12535</v>
      </c>
      <c r="M4768" t="s">
        <v>1765</v>
      </c>
    </row>
    <row r="4769" spans="1:13" x14ac:dyDescent="0.25">
      <c r="A4769">
        <v>89687</v>
      </c>
      <c r="B4769" t="s">
        <v>12554</v>
      </c>
      <c r="C4769" t="s">
        <v>12555</v>
      </c>
      <c r="D4769" t="s">
        <v>1643</v>
      </c>
      <c r="E4769" t="s">
        <v>3494</v>
      </c>
      <c r="F4769" t="s">
        <v>7669</v>
      </c>
      <c r="G4769" t="s">
        <v>12534</v>
      </c>
      <c r="H4769">
        <v>5207454588</v>
      </c>
      <c r="J4769">
        <v>5203823479</v>
      </c>
      <c r="M4769" t="s">
        <v>1634</v>
      </c>
    </row>
    <row r="4770" spans="1:13" x14ac:dyDescent="0.25">
      <c r="A4770">
        <v>89687</v>
      </c>
      <c r="B4770" t="s">
        <v>12554</v>
      </c>
      <c r="C4770" t="s">
        <v>12555</v>
      </c>
      <c r="D4770" t="s">
        <v>1643</v>
      </c>
      <c r="E4770" t="s">
        <v>3494</v>
      </c>
      <c r="F4770" t="s">
        <v>2607</v>
      </c>
      <c r="G4770" t="s">
        <v>3412</v>
      </c>
      <c r="H4770">
        <v>5207454588</v>
      </c>
      <c r="J4770">
        <v>5203823479</v>
      </c>
      <c r="K4770" t="s">
        <v>12535</v>
      </c>
      <c r="M4770" t="s">
        <v>1765</v>
      </c>
    </row>
    <row r="4771" spans="1:13" x14ac:dyDescent="0.25">
      <c r="A4771">
        <v>89688</v>
      </c>
      <c r="B4771" t="s">
        <v>12556</v>
      </c>
      <c r="C4771" t="s">
        <v>12557</v>
      </c>
      <c r="D4771" t="s">
        <v>1643</v>
      </c>
      <c r="E4771" t="s">
        <v>3494</v>
      </c>
      <c r="F4771" t="s">
        <v>7669</v>
      </c>
      <c r="G4771" t="s">
        <v>12534</v>
      </c>
      <c r="H4771">
        <v>5207454588</v>
      </c>
      <c r="J4771">
        <v>5203823479</v>
      </c>
      <c r="M4771" t="s">
        <v>1634</v>
      </c>
    </row>
    <row r="4772" spans="1:13" x14ac:dyDescent="0.25">
      <c r="A4772">
        <v>89688</v>
      </c>
      <c r="B4772" t="s">
        <v>12556</v>
      </c>
      <c r="C4772" t="s">
        <v>12557</v>
      </c>
      <c r="D4772" t="s">
        <v>1643</v>
      </c>
      <c r="E4772" t="s">
        <v>3494</v>
      </c>
      <c r="F4772" t="s">
        <v>2607</v>
      </c>
      <c r="G4772" t="s">
        <v>3412</v>
      </c>
      <c r="H4772">
        <v>5207454588</v>
      </c>
      <c r="J4772">
        <v>5203823479</v>
      </c>
      <c r="K4772" t="s">
        <v>12535</v>
      </c>
      <c r="M4772" t="s">
        <v>1765</v>
      </c>
    </row>
    <row r="4773" spans="1:13" x14ac:dyDescent="0.25">
      <c r="A4773">
        <v>89689</v>
      </c>
      <c r="B4773" t="s">
        <v>12558</v>
      </c>
      <c r="C4773" t="s">
        <v>12559</v>
      </c>
      <c r="D4773" t="s">
        <v>1643</v>
      </c>
      <c r="E4773" t="s">
        <v>3494</v>
      </c>
      <c r="F4773" t="s">
        <v>7669</v>
      </c>
      <c r="G4773" t="s">
        <v>12534</v>
      </c>
      <c r="H4773">
        <v>5207454588</v>
      </c>
      <c r="J4773">
        <v>5203823479</v>
      </c>
      <c r="M4773" t="s">
        <v>1634</v>
      </c>
    </row>
    <row r="4774" spans="1:13" x14ac:dyDescent="0.25">
      <c r="A4774">
        <v>89689</v>
      </c>
      <c r="B4774" t="s">
        <v>12558</v>
      </c>
      <c r="C4774" t="s">
        <v>12559</v>
      </c>
      <c r="D4774" t="s">
        <v>1643</v>
      </c>
      <c r="E4774" t="s">
        <v>3494</v>
      </c>
      <c r="F4774" t="s">
        <v>2607</v>
      </c>
      <c r="G4774" t="s">
        <v>3412</v>
      </c>
      <c r="H4774">
        <v>5207454588</v>
      </c>
      <c r="J4774">
        <v>5203823479</v>
      </c>
      <c r="K4774" t="s">
        <v>12535</v>
      </c>
      <c r="M4774" t="s">
        <v>1765</v>
      </c>
    </row>
    <row r="4775" spans="1:13" x14ac:dyDescent="0.25">
      <c r="A4775">
        <v>89690</v>
      </c>
      <c r="B4775" t="s">
        <v>12560</v>
      </c>
      <c r="C4775" t="s">
        <v>12561</v>
      </c>
      <c r="D4775" t="s">
        <v>1643</v>
      </c>
      <c r="E4775" t="s">
        <v>3494</v>
      </c>
      <c r="F4775" t="s">
        <v>7669</v>
      </c>
      <c r="G4775" t="s">
        <v>12534</v>
      </c>
      <c r="H4775">
        <v>5207454588</v>
      </c>
      <c r="J4775">
        <v>5203823479</v>
      </c>
      <c r="M4775" t="s">
        <v>1634</v>
      </c>
    </row>
    <row r="4776" spans="1:13" x14ac:dyDescent="0.25">
      <c r="A4776">
        <v>89690</v>
      </c>
      <c r="B4776" t="s">
        <v>12560</v>
      </c>
      <c r="C4776" t="s">
        <v>12561</v>
      </c>
      <c r="D4776" t="s">
        <v>1643</v>
      </c>
      <c r="E4776" t="s">
        <v>3494</v>
      </c>
      <c r="F4776" t="s">
        <v>2607</v>
      </c>
      <c r="G4776" t="s">
        <v>3412</v>
      </c>
      <c r="H4776">
        <v>5207454588</v>
      </c>
      <c r="J4776">
        <v>5203823479</v>
      </c>
      <c r="K4776" t="s">
        <v>12535</v>
      </c>
      <c r="M4776" t="s">
        <v>1765</v>
      </c>
    </row>
    <row r="4777" spans="1:13" x14ac:dyDescent="0.25">
      <c r="A4777">
        <v>89691</v>
      </c>
      <c r="B4777" t="s">
        <v>12562</v>
      </c>
      <c r="C4777" t="s">
        <v>12563</v>
      </c>
      <c r="D4777" t="s">
        <v>1643</v>
      </c>
      <c r="E4777" t="s">
        <v>3494</v>
      </c>
      <c r="F4777" t="s">
        <v>7669</v>
      </c>
      <c r="G4777" t="s">
        <v>12534</v>
      </c>
      <c r="H4777">
        <v>5207454588</v>
      </c>
      <c r="J4777">
        <v>5203823479</v>
      </c>
      <c r="M4777" t="s">
        <v>1634</v>
      </c>
    </row>
    <row r="4778" spans="1:13" x14ac:dyDescent="0.25">
      <c r="A4778">
        <v>89691</v>
      </c>
      <c r="B4778" t="s">
        <v>12562</v>
      </c>
      <c r="C4778" t="s">
        <v>12563</v>
      </c>
      <c r="D4778" t="s">
        <v>1643</v>
      </c>
      <c r="E4778" t="s">
        <v>3494</v>
      </c>
      <c r="F4778" t="s">
        <v>2607</v>
      </c>
      <c r="G4778" t="s">
        <v>3412</v>
      </c>
      <c r="H4778">
        <v>5207454588</v>
      </c>
      <c r="J4778">
        <v>5203823479</v>
      </c>
      <c r="K4778" t="s">
        <v>12535</v>
      </c>
      <c r="M4778" t="s">
        <v>1765</v>
      </c>
    </row>
    <row r="4779" spans="1:13" x14ac:dyDescent="0.25">
      <c r="A4779">
        <v>89692</v>
      </c>
      <c r="B4779" t="s">
        <v>12564</v>
      </c>
      <c r="C4779" t="s">
        <v>12565</v>
      </c>
      <c r="D4779" t="s">
        <v>1643</v>
      </c>
      <c r="E4779" t="s">
        <v>3494</v>
      </c>
      <c r="F4779" t="s">
        <v>7669</v>
      </c>
      <c r="G4779" t="s">
        <v>12534</v>
      </c>
      <c r="H4779">
        <v>5207454588</v>
      </c>
      <c r="J4779">
        <v>5203823479</v>
      </c>
      <c r="M4779" t="s">
        <v>1634</v>
      </c>
    </row>
    <row r="4780" spans="1:13" x14ac:dyDescent="0.25">
      <c r="A4780">
        <v>89692</v>
      </c>
      <c r="B4780" t="s">
        <v>12564</v>
      </c>
      <c r="C4780" t="s">
        <v>12565</v>
      </c>
      <c r="D4780" t="s">
        <v>1643</v>
      </c>
      <c r="E4780" t="s">
        <v>3494</v>
      </c>
      <c r="F4780" t="s">
        <v>2607</v>
      </c>
      <c r="G4780" t="s">
        <v>3412</v>
      </c>
      <c r="H4780">
        <v>5207454588</v>
      </c>
      <c r="J4780">
        <v>5203823479</v>
      </c>
      <c r="K4780" t="s">
        <v>12535</v>
      </c>
      <c r="M4780" t="s">
        <v>1765</v>
      </c>
    </row>
    <row r="4781" spans="1:13" x14ac:dyDescent="0.25">
      <c r="A4781">
        <v>91239</v>
      </c>
      <c r="B4781" t="s">
        <v>12566</v>
      </c>
      <c r="C4781" t="s">
        <v>12567</v>
      </c>
      <c r="D4781" t="s">
        <v>1643</v>
      </c>
      <c r="E4781" t="s">
        <v>3494</v>
      </c>
      <c r="F4781" t="s">
        <v>2351</v>
      </c>
      <c r="G4781" t="s">
        <v>3489</v>
      </c>
      <c r="K4781" t="s">
        <v>12530</v>
      </c>
      <c r="M4781" t="s">
        <v>1640</v>
      </c>
    </row>
    <row r="4782" spans="1:13" x14ac:dyDescent="0.25">
      <c r="A4782">
        <v>89696</v>
      </c>
      <c r="B4782" t="s">
        <v>12568</v>
      </c>
      <c r="C4782" t="s">
        <v>12569</v>
      </c>
      <c r="D4782" t="s">
        <v>1643</v>
      </c>
      <c r="E4782" t="s">
        <v>3494</v>
      </c>
      <c r="F4782" t="s">
        <v>7669</v>
      </c>
      <c r="G4782" t="s">
        <v>12534</v>
      </c>
      <c r="H4782">
        <v>5207454588</v>
      </c>
      <c r="J4782">
        <v>5203823479</v>
      </c>
      <c r="M4782" t="s">
        <v>1634</v>
      </c>
    </row>
    <row r="4783" spans="1:13" x14ac:dyDescent="0.25">
      <c r="A4783">
        <v>89696</v>
      </c>
      <c r="B4783" t="s">
        <v>12568</v>
      </c>
      <c r="C4783" t="s">
        <v>12569</v>
      </c>
      <c r="D4783" t="s">
        <v>1643</v>
      </c>
      <c r="E4783" t="s">
        <v>3494</v>
      </c>
      <c r="F4783" t="s">
        <v>2607</v>
      </c>
      <c r="G4783" t="s">
        <v>3412</v>
      </c>
      <c r="H4783">
        <v>5207454588</v>
      </c>
      <c r="J4783">
        <v>5203823479</v>
      </c>
      <c r="K4783" t="s">
        <v>12535</v>
      </c>
      <c r="M4783" t="s">
        <v>1765</v>
      </c>
    </row>
    <row r="4784" spans="1:13" x14ac:dyDescent="0.25">
      <c r="A4784">
        <v>89697</v>
      </c>
      <c r="B4784" t="s">
        <v>12570</v>
      </c>
      <c r="C4784" t="s">
        <v>12571</v>
      </c>
      <c r="D4784" t="s">
        <v>1643</v>
      </c>
      <c r="E4784" t="s">
        <v>3494</v>
      </c>
      <c r="F4784" t="s">
        <v>7669</v>
      </c>
      <c r="G4784" t="s">
        <v>12534</v>
      </c>
      <c r="H4784">
        <v>5207454588</v>
      </c>
      <c r="J4784">
        <v>5203823479</v>
      </c>
      <c r="M4784" t="s">
        <v>1634</v>
      </c>
    </row>
    <row r="4785" spans="1:13" x14ac:dyDescent="0.25">
      <c r="A4785">
        <v>89697</v>
      </c>
      <c r="B4785" t="s">
        <v>12570</v>
      </c>
      <c r="C4785" t="s">
        <v>12571</v>
      </c>
      <c r="D4785" t="s">
        <v>1643</v>
      </c>
      <c r="E4785" t="s">
        <v>3494</v>
      </c>
      <c r="F4785" t="s">
        <v>2607</v>
      </c>
      <c r="G4785" t="s">
        <v>3412</v>
      </c>
      <c r="H4785">
        <v>5207454588</v>
      </c>
      <c r="J4785">
        <v>5203823479</v>
      </c>
      <c r="K4785" t="s">
        <v>12535</v>
      </c>
      <c r="M4785" t="s">
        <v>1765</v>
      </c>
    </row>
    <row r="4786" spans="1:13" x14ac:dyDescent="0.25">
      <c r="A4786">
        <v>89698</v>
      </c>
      <c r="B4786" t="s">
        <v>12572</v>
      </c>
      <c r="C4786" t="s">
        <v>12573</v>
      </c>
      <c r="D4786" t="s">
        <v>1643</v>
      </c>
      <c r="E4786" t="s">
        <v>3494</v>
      </c>
      <c r="F4786" t="s">
        <v>7669</v>
      </c>
      <c r="G4786" t="s">
        <v>12534</v>
      </c>
      <c r="H4786">
        <v>5207454588</v>
      </c>
      <c r="J4786">
        <v>5203823479</v>
      </c>
      <c r="M4786" t="s">
        <v>1634</v>
      </c>
    </row>
    <row r="4787" spans="1:13" x14ac:dyDescent="0.25">
      <c r="A4787">
        <v>89698</v>
      </c>
      <c r="B4787" t="s">
        <v>12572</v>
      </c>
      <c r="C4787" t="s">
        <v>12573</v>
      </c>
      <c r="D4787" t="s">
        <v>1643</v>
      </c>
      <c r="E4787" t="s">
        <v>3494</v>
      </c>
      <c r="F4787" t="s">
        <v>2607</v>
      </c>
      <c r="G4787" t="s">
        <v>3412</v>
      </c>
      <c r="H4787">
        <v>5207454588</v>
      </c>
      <c r="J4787">
        <v>5203823479</v>
      </c>
      <c r="K4787" t="s">
        <v>12535</v>
      </c>
      <c r="M4787" t="s">
        <v>1765</v>
      </c>
    </row>
    <row r="4788" spans="1:13" x14ac:dyDescent="0.25">
      <c r="A4788">
        <v>91798</v>
      </c>
      <c r="B4788" t="s">
        <v>12574</v>
      </c>
      <c r="C4788" t="s">
        <v>12575</v>
      </c>
      <c r="D4788" t="s">
        <v>1643</v>
      </c>
      <c r="E4788" t="s">
        <v>7934</v>
      </c>
    </row>
    <row r="4789" spans="1:13" x14ac:dyDescent="0.25">
      <c r="A4789">
        <v>91799</v>
      </c>
      <c r="B4789" t="s">
        <v>12576</v>
      </c>
      <c r="C4789" t="s">
        <v>12577</v>
      </c>
      <c r="D4789" t="s">
        <v>1643</v>
      </c>
      <c r="E4789" t="s">
        <v>3494</v>
      </c>
    </row>
    <row r="4790" spans="1:13" x14ac:dyDescent="0.25">
      <c r="A4790">
        <v>91800</v>
      </c>
      <c r="B4790" t="s">
        <v>12578</v>
      </c>
      <c r="C4790" t="s">
        <v>12579</v>
      </c>
      <c r="D4790" t="s">
        <v>1643</v>
      </c>
      <c r="E4790" t="s">
        <v>3494</v>
      </c>
    </row>
    <row r="4791" spans="1:13" x14ac:dyDescent="0.25">
      <c r="A4791">
        <v>418414</v>
      </c>
      <c r="B4791" t="s">
        <v>12580</v>
      </c>
      <c r="C4791" t="s">
        <v>12581</v>
      </c>
      <c r="D4791" t="s">
        <v>1643</v>
      </c>
      <c r="E4791" t="s">
        <v>1273</v>
      </c>
    </row>
    <row r="4792" spans="1:13" x14ac:dyDescent="0.25">
      <c r="A4792">
        <v>425163</v>
      </c>
      <c r="B4792" t="s">
        <v>12523</v>
      </c>
      <c r="C4792" t="s">
        <v>12582</v>
      </c>
      <c r="D4792" t="s">
        <v>1643</v>
      </c>
      <c r="E4792" t="s">
        <v>3494</v>
      </c>
    </row>
    <row r="4793" spans="1:13" x14ac:dyDescent="0.25">
      <c r="A4793">
        <v>89702</v>
      </c>
      <c r="B4793" t="s">
        <v>12583</v>
      </c>
      <c r="C4793" t="s">
        <v>12584</v>
      </c>
      <c r="D4793" t="s">
        <v>1643</v>
      </c>
      <c r="E4793" t="s">
        <v>3494</v>
      </c>
      <c r="F4793" t="s">
        <v>7669</v>
      </c>
      <c r="G4793" t="s">
        <v>12534</v>
      </c>
      <c r="H4793">
        <v>5207454588</v>
      </c>
      <c r="J4793">
        <v>5203823479</v>
      </c>
      <c r="M4793" t="s">
        <v>1634</v>
      </c>
    </row>
    <row r="4794" spans="1:13" x14ac:dyDescent="0.25">
      <c r="A4794">
        <v>89702</v>
      </c>
      <c r="B4794" t="s">
        <v>12583</v>
      </c>
      <c r="C4794" t="s">
        <v>12584</v>
      </c>
      <c r="D4794" t="s">
        <v>1643</v>
      </c>
      <c r="E4794" t="s">
        <v>3494</v>
      </c>
      <c r="F4794" t="s">
        <v>2607</v>
      </c>
      <c r="G4794" t="s">
        <v>3412</v>
      </c>
      <c r="H4794">
        <v>5207454588</v>
      </c>
      <c r="J4794">
        <v>5203823479</v>
      </c>
      <c r="K4794" t="s">
        <v>12535</v>
      </c>
      <c r="M4794" t="s">
        <v>1765</v>
      </c>
    </row>
    <row r="4795" spans="1:13" x14ac:dyDescent="0.25">
      <c r="A4795">
        <v>90313</v>
      </c>
      <c r="B4795" t="s">
        <v>12585</v>
      </c>
      <c r="C4795" t="s">
        <v>12586</v>
      </c>
      <c r="D4795" t="s">
        <v>1643</v>
      </c>
      <c r="E4795" t="s">
        <v>3494</v>
      </c>
    </row>
    <row r="4796" spans="1:13" x14ac:dyDescent="0.25">
      <c r="A4796">
        <v>897707</v>
      </c>
      <c r="B4796" t="s">
        <v>12587</v>
      </c>
      <c r="C4796" t="s">
        <v>12588</v>
      </c>
      <c r="D4796" t="s">
        <v>1643</v>
      </c>
      <c r="E4796" t="s">
        <v>1273</v>
      </c>
      <c r="F4796" t="s">
        <v>2376</v>
      </c>
      <c r="G4796" t="s">
        <v>12589</v>
      </c>
      <c r="K4796" t="s">
        <v>12590</v>
      </c>
      <c r="M4796" t="s">
        <v>1634</v>
      </c>
    </row>
    <row r="4797" spans="1:13" x14ac:dyDescent="0.25">
      <c r="A4797">
        <v>519524</v>
      </c>
      <c r="B4797" t="s">
        <v>12591</v>
      </c>
      <c r="C4797" t="s">
        <v>12592</v>
      </c>
      <c r="D4797" t="s">
        <v>1643</v>
      </c>
      <c r="E4797" t="s">
        <v>12593</v>
      </c>
      <c r="F4797" t="s">
        <v>2376</v>
      </c>
      <c r="G4797" t="s">
        <v>12589</v>
      </c>
      <c r="K4797" t="s">
        <v>12590</v>
      </c>
      <c r="M4797" t="s">
        <v>1634</v>
      </c>
    </row>
    <row r="4798" spans="1:13" x14ac:dyDescent="0.25">
      <c r="A4798">
        <v>721972</v>
      </c>
      <c r="B4798" t="s">
        <v>12594</v>
      </c>
      <c r="C4798" t="s">
        <v>12595</v>
      </c>
      <c r="D4798" t="s">
        <v>1643</v>
      </c>
      <c r="E4798" t="s">
        <v>12593</v>
      </c>
      <c r="F4798" t="s">
        <v>2376</v>
      </c>
      <c r="G4798" t="s">
        <v>12589</v>
      </c>
      <c r="K4798" t="s">
        <v>12590</v>
      </c>
      <c r="M4798" t="s">
        <v>1634</v>
      </c>
    </row>
    <row r="4799" spans="1:13" x14ac:dyDescent="0.25">
      <c r="A4799">
        <v>89703</v>
      </c>
      <c r="B4799" t="s">
        <v>12596</v>
      </c>
      <c r="C4799" t="s">
        <v>12597</v>
      </c>
      <c r="D4799" t="s">
        <v>1643</v>
      </c>
      <c r="E4799" t="s">
        <v>3494</v>
      </c>
      <c r="F4799" t="s">
        <v>7669</v>
      </c>
      <c r="G4799" t="s">
        <v>12534</v>
      </c>
      <c r="H4799">
        <v>5207454588</v>
      </c>
      <c r="J4799">
        <v>5203823479</v>
      </c>
      <c r="M4799" t="s">
        <v>1634</v>
      </c>
    </row>
    <row r="4800" spans="1:13" x14ac:dyDescent="0.25">
      <c r="A4800">
        <v>89703</v>
      </c>
      <c r="B4800" t="s">
        <v>12596</v>
      </c>
      <c r="C4800" t="s">
        <v>12597</v>
      </c>
      <c r="D4800" t="s">
        <v>1643</v>
      </c>
      <c r="E4800" t="s">
        <v>3494</v>
      </c>
      <c r="F4800" t="s">
        <v>2607</v>
      </c>
      <c r="G4800" t="s">
        <v>3412</v>
      </c>
      <c r="H4800">
        <v>5207454588</v>
      </c>
      <c r="J4800">
        <v>5203823479</v>
      </c>
      <c r="K4800" t="s">
        <v>12535</v>
      </c>
      <c r="M4800" t="s">
        <v>1765</v>
      </c>
    </row>
    <row r="4801" spans="1:13" x14ac:dyDescent="0.25">
      <c r="A4801">
        <v>314100</v>
      </c>
      <c r="B4801" t="s">
        <v>12598</v>
      </c>
      <c r="C4801" t="s">
        <v>12599</v>
      </c>
      <c r="D4801" t="s">
        <v>1643</v>
      </c>
      <c r="E4801" t="s">
        <v>3494</v>
      </c>
      <c r="F4801" t="s">
        <v>2351</v>
      </c>
      <c r="G4801" t="s">
        <v>3489</v>
      </c>
      <c r="K4801" t="s">
        <v>12530</v>
      </c>
      <c r="M4801" t="s">
        <v>1640</v>
      </c>
    </row>
    <row r="4802" spans="1:13" x14ac:dyDescent="0.25">
      <c r="A4802">
        <v>90908</v>
      </c>
      <c r="B4802" t="s">
        <v>12600</v>
      </c>
      <c r="C4802" t="s">
        <v>12601</v>
      </c>
      <c r="D4802" t="s">
        <v>1643</v>
      </c>
      <c r="E4802" t="s">
        <v>3494</v>
      </c>
    </row>
    <row r="4803" spans="1:13" x14ac:dyDescent="0.25">
      <c r="A4803">
        <v>90314</v>
      </c>
      <c r="B4803" t="s">
        <v>12602</v>
      </c>
      <c r="C4803" t="s">
        <v>12603</v>
      </c>
      <c r="D4803" t="s">
        <v>1643</v>
      </c>
      <c r="E4803" t="s">
        <v>3494</v>
      </c>
    </row>
    <row r="4804" spans="1:13" x14ac:dyDescent="0.25">
      <c r="A4804">
        <v>90904</v>
      </c>
      <c r="B4804" t="s">
        <v>12604</v>
      </c>
      <c r="C4804" t="s">
        <v>12605</v>
      </c>
      <c r="D4804" t="s">
        <v>1643</v>
      </c>
      <c r="E4804" t="s">
        <v>3494</v>
      </c>
      <c r="F4804" t="s">
        <v>1761</v>
      </c>
      <c r="G4804" t="s">
        <v>12606</v>
      </c>
      <c r="H4804">
        <v>5202091835</v>
      </c>
      <c r="K4804" t="s">
        <v>12607</v>
      </c>
      <c r="L4804" t="s">
        <v>12426</v>
      </c>
      <c r="M4804" t="s">
        <v>1634</v>
      </c>
    </row>
    <row r="4805" spans="1:13" x14ac:dyDescent="0.25">
      <c r="A4805">
        <v>90904</v>
      </c>
      <c r="B4805" t="s">
        <v>12604</v>
      </c>
      <c r="C4805" t="s">
        <v>12605</v>
      </c>
      <c r="D4805" t="s">
        <v>1643</v>
      </c>
      <c r="E4805" t="s">
        <v>3494</v>
      </c>
      <c r="F4805" t="s">
        <v>2351</v>
      </c>
      <c r="G4805" t="s">
        <v>3489</v>
      </c>
      <c r="K4805" t="s">
        <v>12530</v>
      </c>
      <c r="L4805" t="s">
        <v>1640</v>
      </c>
      <c r="M4805" t="s">
        <v>1640</v>
      </c>
    </row>
    <row r="4806" spans="1:13" x14ac:dyDescent="0.25">
      <c r="A4806">
        <v>90905</v>
      </c>
      <c r="B4806" t="s">
        <v>12608</v>
      </c>
      <c r="C4806" t="s">
        <v>12609</v>
      </c>
      <c r="D4806" t="s">
        <v>1643</v>
      </c>
      <c r="E4806" t="s">
        <v>3494</v>
      </c>
      <c r="F4806" t="s">
        <v>1761</v>
      </c>
      <c r="G4806" t="s">
        <v>12610</v>
      </c>
      <c r="H4806">
        <v>5202091835</v>
      </c>
      <c r="J4806">
        <v>5203525842</v>
      </c>
      <c r="K4806" t="s">
        <v>12611</v>
      </c>
      <c r="L4806" t="s">
        <v>12426</v>
      </c>
      <c r="M4806" t="s">
        <v>1634</v>
      </c>
    </row>
    <row r="4807" spans="1:13" x14ac:dyDescent="0.25">
      <c r="A4807">
        <v>90905</v>
      </c>
      <c r="B4807" t="s">
        <v>12608</v>
      </c>
      <c r="C4807" t="s">
        <v>12609</v>
      </c>
      <c r="D4807" t="s">
        <v>1643</v>
      </c>
      <c r="E4807" t="s">
        <v>3494</v>
      </c>
      <c r="F4807" t="s">
        <v>2351</v>
      </c>
      <c r="G4807" t="s">
        <v>3489</v>
      </c>
      <c r="K4807" t="s">
        <v>12530</v>
      </c>
      <c r="L4807" t="s">
        <v>1640</v>
      </c>
      <c r="M4807" t="s">
        <v>1640</v>
      </c>
    </row>
    <row r="4808" spans="1:13" x14ac:dyDescent="0.25">
      <c r="A4808">
        <v>90909</v>
      </c>
      <c r="B4808" t="s">
        <v>12612</v>
      </c>
      <c r="C4808" t="s">
        <v>12613</v>
      </c>
      <c r="D4808" t="s">
        <v>1643</v>
      </c>
      <c r="E4808" t="s">
        <v>3494</v>
      </c>
    </row>
    <row r="4809" spans="1:13" x14ac:dyDescent="0.25">
      <c r="A4809">
        <v>90910</v>
      </c>
      <c r="B4809" t="s">
        <v>12614</v>
      </c>
      <c r="C4809" t="s">
        <v>12615</v>
      </c>
      <c r="D4809" t="s">
        <v>1643</v>
      </c>
      <c r="E4809" t="s">
        <v>3494</v>
      </c>
      <c r="F4809" t="s">
        <v>2351</v>
      </c>
      <c r="G4809" t="s">
        <v>3489</v>
      </c>
      <c r="K4809" t="s">
        <v>12530</v>
      </c>
      <c r="M4809" t="s">
        <v>1640</v>
      </c>
    </row>
    <row r="4810" spans="1:13" x14ac:dyDescent="0.25">
      <c r="A4810">
        <v>89695</v>
      </c>
      <c r="B4810" t="s">
        <v>12616</v>
      </c>
      <c r="C4810" t="s">
        <v>12617</v>
      </c>
      <c r="D4810" t="s">
        <v>1643</v>
      </c>
      <c r="E4810" t="s">
        <v>3494</v>
      </c>
      <c r="F4810" t="s">
        <v>7669</v>
      </c>
      <c r="G4810" t="s">
        <v>12534</v>
      </c>
      <c r="H4810">
        <v>5207454588</v>
      </c>
      <c r="J4810">
        <v>5203823479</v>
      </c>
      <c r="M4810" t="s">
        <v>1634</v>
      </c>
    </row>
    <row r="4811" spans="1:13" x14ac:dyDescent="0.25">
      <c r="A4811">
        <v>89695</v>
      </c>
      <c r="B4811" t="s">
        <v>12616</v>
      </c>
      <c r="C4811" t="s">
        <v>12617</v>
      </c>
      <c r="D4811" t="s">
        <v>1643</v>
      </c>
      <c r="E4811" t="s">
        <v>3494</v>
      </c>
      <c r="F4811" t="s">
        <v>2607</v>
      </c>
      <c r="G4811" t="s">
        <v>3412</v>
      </c>
      <c r="H4811">
        <v>5207454588</v>
      </c>
      <c r="J4811">
        <v>5203823479</v>
      </c>
      <c r="K4811" t="s">
        <v>12535</v>
      </c>
      <c r="M4811" t="s">
        <v>1765</v>
      </c>
    </row>
    <row r="4812" spans="1:13" x14ac:dyDescent="0.25">
      <c r="A4812">
        <v>90312</v>
      </c>
      <c r="B4812" t="s">
        <v>12618</v>
      </c>
      <c r="C4812" t="s">
        <v>12619</v>
      </c>
      <c r="D4812" t="s">
        <v>1643</v>
      </c>
      <c r="E4812" t="s">
        <v>3494</v>
      </c>
    </row>
    <row r="4813" spans="1:13" x14ac:dyDescent="0.25">
      <c r="A4813">
        <v>89708</v>
      </c>
      <c r="B4813" t="s">
        <v>12620</v>
      </c>
      <c r="C4813" t="s">
        <v>12621</v>
      </c>
      <c r="D4813" t="s">
        <v>1643</v>
      </c>
      <c r="E4813" t="s">
        <v>3494</v>
      </c>
      <c r="F4813" t="s">
        <v>7669</v>
      </c>
      <c r="G4813" t="s">
        <v>12534</v>
      </c>
      <c r="H4813">
        <v>5207454588</v>
      </c>
      <c r="J4813">
        <v>5203823479</v>
      </c>
      <c r="M4813" t="s">
        <v>1634</v>
      </c>
    </row>
    <row r="4814" spans="1:13" x14ac:dyDescent="0.25">
      <c r="A4814">
        <v>89708</v>
      </c>
      <c r="B4814" t="s">
        <v>12620</v>
      </c>
      <c r="C4814" t="s">
        <v>12621</v>
      </c>
      <c r="D4814" t="s">
        <v>1643</v>
      </c>
      <c r="E4814" t="s">
        <v>3494</v>
      </c>
      <c r="F4814" t="s">
        <v>2607</v>
      </c>
      <c r="G4814" t="s">
        <v>3412</v>
      </c>
      <c r="H4814">
        <v>5207454588</v>
      </c>
      <c r="J4814">
        <v>5203823479</v>
      </c>
      <c r="K4814" t="s">
        <v>12535</v>
      </c>
      <c r="M4814" t="s">
        <v>1765</v>
      </c>
    </row>
    <row r="4815" spans="1:13" x14ac:dyDescent="0.25">
      <c r="A4815">
        <v>90864</v>
      </c>
      <c r="B4815" t="s">
        <v>12622</v>
      </c>
      <c r="C4815" t="s">
        <v>12623</v>
      </c>
      <c r="D4815" t="s">
        <v>1643</v>
      </c>
      <c r="E4815" t="s">
        <v>3494</v>
      </c>
      <c r="F4815" t="s">
        <v>1761</v>
      </c>
      <c r="G4815" t="s">
        <v>12606</v>
      </c>
      <c r="H4815">
        <v>5203525833</v>
      </c>
      <c r="K4815" t="s">
        <v>12607</v>
      </c>
      <c r="M4815" t="s">
        <v>1634</v>
      </c>
    </row>
    <row r="4816" spans="1:13" x14ac:dyDescent="0.25">
      <c r="A4816">
        <v>90864</v>
      </c>
      <c r="B4816" t="s">
        <v>12622</v>
      </c>
      <c r="C4816" t="s">
        <v>12623</v>
      </c>
      <c r="D4816" t="s">
        <v>1643</v>
      </c>
      <c r="E4816" t="s">
        <v>3494</v>
      </c>
      <c r="F4816" t="s">
        <v>2351</v>
      </c>
      <c r="G4816" t="s">
        <v>3489</v>
      </c>
      <c r="H4816">
        <v>5203525833</v>
      </c>
      <c r="J4816">
        <v>5203525842</v>
      </c>
      <c r="K4816" t="s">
        <v>12624</v>
      </c>
      <c r="M4816" t="s">
        <v>1640</v>
      </c>
    </row>
    <row r="4817" spans="1:13" x14ac:dyDescent="0.25">
      <c r="A4817">
        <v>89693</v>
      </c>
      <c r="B4817" t="s">
        <v>12625</v>
      </c>
      <c r="C4817" t="s">
        <v>12626</v>
      </c>
      <c r="D4817" t="s">
        <v>1643</v>
      </c>
      <c r="E4817" t="s">
        <v>3494</v>
      </c>
      <c r="F4817" t="s">
        <v>7669</v>
      </c>
      <c r="G4817" t="s">
        <v>12534</v>
      </c>
      <c r="H4817">
        <v>5207454588</v>
      </c>
      <c r="J4817">
        <v>5203823479</v>
      </c>
      <c r="M4817" t="s">
        <v>1634</v>
      </c>
    </row>
    <row r="4818" spans="1:13" x14ac:dyDescent="0.25">
      <c r="A4818">
        <v>89693</v>
      </c>
      <c r="B4818" t="s">
        <v>12625</v>
      </c>
      <c r="C4818" t="s">
        <v>12626</v>
      </c>
      <c r="D4818" t="s">
        <v>1643</v>
      </c>
      <c r="E4818" t="s">
        <v>3494</v>
      </c>
      <c r="F4818" t="s">
        <v>2607</v>
      </c>
      <c r="G4818" t="s">
        <v>3412</v>
      </c>
      <c r="H4818">
        <v>5207454588</v>
      </c>
      <c r="J4818">
        <v>5203823479</v>
      </c>
      <c r="K4818" t="s">
        <v>12535</v>
      </c>
      <c r="M4818" t="s">
        <v>1765</v>
      </c>
    </row>
    <row r="4819" spans="1:13" x14ac:dyDescent="0.25">
      <c r="A4819">
        <v>89694</v>
      </c>
      <c r="B4819" t="s">
        <v>12627</v>
      </c>
      <c r="C4819" t="s">
        <v>12628</v>
      </c>
      <c r="D4819" t="s">
        <v>1643</v>
      </c>
      <c r="E4819" t="s">
        <v>3494</v>
      </c>
      <c r="F4819" t="s">
        <v>7669</v>
      </c>
      <c r="G4819" t="s">
        <v>12534</v>
      </c>
      <c r="H4819">
        <v>5207454588</v>
      </c>
      <c r="J4819">
        <v>5203823479</v>
      </c>
      <c r="M4819" t="s">
        <v>1634</v>
      </c>
    </row>
    <row r="4820" spans="1:13" x14ac:dyDescent="0.25">
      <c r="A4820">
        <v>89694</v>
      </c>
      <c r="B4820" t="s">
        <v>12627</v>
      </c>
      <c r="C4820" t="s">
        <v>12628</v>
      </c>
      <c r="D4820" t="s">
        <v>1643</v>
      </c>
      <c r="E4820" t="s">
        <v>3494</v>
      </c>
      <c r="F4820" t="s">
        <v>2607</v>
      </c>
      <c r="G4820" t="s">
        <v>3412</v>
      </c>
      <c r="H4820">
        <v>5207454588</v>
      </c>
      <c r="J4820">
        <v>5203823479</v>
      </c>
      <c r="K4820" t="s">
        <v>12535</v>
      </c>
      <c r="M4820" t="s">
        <v>1765</v>
      </c>
    </row>
    <row r="4821" spans="1:13" x14ac:dyDescent="0.25">
      <c r="A4821">
        <v>89707</v>
      </c>
      <c r="B4821" t="s">
        <v>12629</v>
      </c>
      <c r="C4821" t="s">
        <v>12630</v>
      </c>
      <c r="D4821" t="s">
        <v>1643</v>
      </c>
      <c r="E4821" t="s">
        <v>3494</v>
      </c>
      <c r="F4821" t="s">
        <v>7669</v>
      </c>
      <c r="G4821" t="s">
        <v>12534</v>
      </c>
      <c r="H4821">
        <v>5207454588</v>
      </c>
      <c r="J4821">
        <v>5203823479</v>
      </c>
      <c r="M4821" t="s">
        <v>1634</v>
      </c>
    </row>
    <row r="4822" spans="1:13" x14ac:dyDescent="0.25">
      <c r="A4822">
        <v>89707</v>
      </c>
      <c r="B4822" t="s">
        <v>12629</v>
      </c>
      <c r="C4822" t="s">
        <v>12630</v>
      </c>
      <c r="D4822" t="s">
        <v>1643</v>
      </c>
      <c r="E4822" t="s">
        <v>3494</v>
      </c>
      <c r="F4822" t="s">
        <v>2607</v>
      </c>
      <c r="G4822" t="s">
        <v>3412</v>
      </c>
      <c r="H4822">
        <v>5207454588</v>
      </c>
      <c r="J4822">
        <v>5203823479</v>
      </c>
      <c r="K4822" t="s">
        <v>12535</v>
      </c>
      <c r="M4822" t="s">
        <v>1765</v>
      </c>
    </row>
    <row r="4823" spans="1:13" x14ac:dyDescent="0.25">
      <c r="A4823">
        <v>89709</v>
      </c>
      <c r="B4823" t="s">
        <v>12631</v>
      </c>
      <c r="C4823" t="s">
        <v>12632</v>
      </c>
      <c r="D4823" t="s">
        <v>1643</v>
      </c>
      <c r="E4823" t="s">
        <v>3494</v>
      </c>
      <c r="F4823" t="s">
        <v>7669</v>
      </c>
      <c r="G4823" t="s">
        <v>12534</v>
      </c>
      <c r="H4823">
        <v>5207454588</v>
      </c>
      <c r="J4823">
        <v>5203823479</v>
      </c>
      <c r="M4823" t="s">
        <v>1634</v>
      </c>
    </row>
    <row r="4824" spans="1:13" x14ac:dyDescent="0.25">
      <c r="A4824">
        <v>89709</v>
      </c>
      <c r="B4824" t="s">
        <v>12631</v>
      </c>
      <c r="C4824" t="s">
        <v>12632</v>
      </c>
      <c r="D4824" t="s">
        <v>1643</v>
      </c>
      <c r="E4824" t="s">
        <v>3494</v>
      </c>
      <c r="F4824" t="s">
        <v>2607</v>
      </c>
      <c r="G4824" t="s">
        <v>3412</v>
      </c>
      <c r="H4824">
        <v>5207454588</v>
      </c>
      <c r="J4824">
        <v>5203823479</v>
      </c>
      <c r="K4824" t="s">
        <v>12535</v>
      </c>
      <c r="M4824" t="s">
        <v>1765</v>
      </c>
    </row>
    <row r="4825" spans="1:13" x14ac:dyDescent="0.25">
      <c r="A4825">
        <v>1001191</v>
      </c>
      <c r="B4825" t="s">
        <v>12633</v>
      </c>
      <c r="C4825" t="s">
        <v>12634</v>
      </c>
      <c r="D4825" t="s">
        <v>1643</v>
      </c>
      <c r="E4825" t="s">
        <v>3494</v>
      </c>
    </row>
    <row r="4826" spans="1:13" x14ac:dyDescent="0.25">
      <c r="A4826">
        <v>89704</v>
      </c>
      <c r="B4826" t="s">
        <v>12635</v>
      </c>
      <c r="C4826" t="s">
        <v>12636</v>
      </c>
      <c r="D4826" t="s">
        <v>1643</v>
      </c>
      <c r="E4826" t="s">
        <v>3494</v>
      </c>
      <c r="F4826" t="s">
        <v>7669</v>
      </c>
      <c r="G4826" t="s">
        <v>12534</v>
      </c>
      <c r="H4826">
        <v>5207454588</v>
      </c>
      <c r="J4826">
        <v>5203823479</v>
      </c>
      <c r="M4826" t="s">
        <v>1634</v>
      </c>
    </row>
    <row r="4827" spans="1:13" x14ac:dyDescent="0.25">
      <c r="A4827">
        <v>89704</v>
      </c>
      <c r="B4827" t="s">
        <v>12635</v>
      </c>
      <c r="C4827" t="s">
        <v>12636</v>
      </c>
      <c r="D4827" t="s">
        <v>1643</v>
      </c>
      <c r="E4827" t="s">
        <v>3494</v>
      </c>
      <c r="F4827" t="s">
        <v>2607</v>
      </c>
      <c r="G4827" t="s">
        <v>3412</v>
      </c>
      <c r="H4827">
        <v>5207454588</v>
      </c>
      <c r="J4827">
        <v>5203823479</v>
      </c>
      <c r="K4827" t="s">
        <v>12535</v>
      </c>
      <c r="M4827" t="s">
        <v>1765</v>
      </c>
    </row>
    <row r="4828" spans="1:13" x14ac:dyDescent="0.25">
      <c r="A4828">
        <v>89705</v>
      </c>
      <c r="B4828" t="s">
        <v>12637</v>
      </c>
      <c r="C4828" t="s">
        <v>12638</v>
      </c>
      <c r="D4828" t="s">
        <v>1643</v>
      </c>
      <c r="E4828" t="s">
        <v>3494</v>
      </c>
      <c r="F4828" t="s">
        <v>7669</v>
      </c>
      <c r="G4828" t="s">
        <v>12534</v>
      </c>
      <c r="H4828">
        <v>5207454588</v>
      </c>
      <c r="J4828">
        <v>5203823479</v>
      </c>
      <c r="M4828" t="s">
        <v>1634</v>
      </c>
    </row>
    <row r="4829" spans="1:13" x14ac:dyDescent="0.25">
      <c r="A4829">
        <v>89705</v>
      </c>
      <c r="B4829" t="s">
        <v>12637</v>
      </c>
      <c r="C4829" t="s">
        <v>12638</v>
      </c>
      <c r="D4829" t="s">
        <v>1643</v>
      </c>
      <c r="E4829" t="s">
        <v>3494</v>
      </c>
      <c r="F4829" t="s">
        <v>2607</v>
      </c>
      <c r="G4829" t="s">
        <v>3412</v>
      </c>
      <c r="H4829">
        <v>5207454588</v>
      </c>
      <c r="J4829">
        <v>5203823479</v>
      </c>
      <c r="K4829" t="s">
        <v>12535</v>
      </c>
      <c r="M4829" t="s">
        <v>1765</v>
      </c>
    </row>
    <row r="4830" spans="1:13" x14ac:dyDescent="0.25">
      <c r="A4830">
        <v>89706</v>
      </c>
      <c r="B4830" t="s">
        <v>12639</v>
      </c>
      <c r="C4830" t="s">
        <v>12640</v>
      </c>
      <c r="D4830" t="s">
        <v>1643</v>
      </c>
      <c r="E4830" t="s">
        <v>3494</v>
      </c>
      <c r="F4830" t="s">
        <v>7669</v>
      </c>
      <c r="G4830" t="s">
        <v>12534</v>
      </c>
      <c r="H4830">
        <v>5207454588</v>
      </c>
      <c r="J4830">
        <v>5203823479</v>
      </c>
      <c r="M4830" t="s">
        <v>1634</v>
      </c>
    </row>
    <row r="4831" spans="1:13" x14ac:dyDescent="0.25">
      <c r="A4831">
        <v>89706</v>
      </c>
      <c r="B4831" t="s">
        <v>12639</v>
      </c>
      <c r="C4831" t="s">
        <v>12640</v>
      </c>
      <c r="D4831" t="s">
        <v>1643</v>
      </c>
      <c r="E4831" t="s">
        <v>3494</v>
      </c>
      <c r="F4831" t="s">
        <v>2607</v>
      </c>
      <c r="G4831" t="s">
        <v>3412</v>
      </c>
      <c r="H4831">
        <v>5207454588</v>
      </c>
      <c r="J4831">
        <v>5203823479</v>
      </c>
      <c r="K4831" t="s">
        <v>12535</v>
      </c>
      <c r="M4831" t="s">
        <v>1765</v>
      </c>
    </row>
    <row r="4832" spans="1:13" x14ac:dyDescent="0.25">
      <c r="A4832">
        <v>89699</v>
      </c>
      <c r="B4832" t="s">
        <v>12641</v>
      </c>
      <c r="C4832" t="s">
        <v>12642</v>
      </c>
      <c r="D4832" t="s">
        <v>1643</v>
      </c>
      <c r="E4832" t="s">
        <v>3494</v>
      </c>
      <c r="F4832" t="s">
        <v>7669</v>
      </c>
      <c r="G4832" t="s">
        <v>12534</v>
      </c>
      <c r="H4832">
        <v>5207454588</v>
      </c>
      <c r="J4832">
        <v>5203823479</v>
      </c>
      <c r="M4832" t="s">
        <v>1634</v>
      </c>
    </row>
    <row r="4833" spans="1:13" x14ac:dyDescent="0.25">
      <c r="A4833">
        <v>89699</v>
      </c>
      <c r="B4833" t="s">
        <v>12641</v>
      </c>
      <c r="C4833" t="s">
        <v>12642</v>
      </c>
      <c r="D4833" t="s">
        <v>1643</v>
      </c>
      <c r="E4833" t="s">
        <v>3494</v>
      </c>
      <c r="F4833" t="s">
        <v>2607</v>
      </c>
      <c r="G4833" t="s">
        <v>3412</v>
      </c>
      <c r="H4833">
        <v>5207454588</v>
      </c>
      <c r="J4833">
        <v>5203823479</v>
      </c>
      <c r="K4833" t="s">
        <v>12535</v>
      </c>
      <c r="M4833" t="s">
        <v>1765</v>
      </c>
    </row>
    <row r="4834" spans="1:13" x14ac:dyDescent="0.25">
      <c r="A4834">
        <v>89700</v>
      </c>
      <c r="B4834" t="s">
        <v>12643</v>
      </c>
      <c r="C4834" t="s">
        <v>12644</v>
      </c>
      <c r="D4834" t="s">
        <v>1643</v>
      </c>
      <c r="E4834" t="s">
        <v>3494</v>
      </c>
      <c r="F4834" t="s">
        <v>7669</v>
      </c>
      <c r="G4834" t="s">
        <v>12534</v>
      </c>
      <c r="H4834">
        <v>5207454588</v>
      </c>
      <c r="J4834">
        <v>5203823479</v>
      </c>
      <c r="M4834" t="s">
        <v>1634</v>
      </c>
    </row>
    <row r="4835" spans="1:13" x14ac:dyDescent="0.25">
      <c r="A4835">
        <v>89700</v>
      </c>
      <c r="B4835" t="s">
        <v>12643</v>
      </c>
      <c r="C4835" t="s">
        <v>12644</v>
      </c>
      <c r="D4835" t="s">
        <v>1643</v>
      </c>
      <c r="E4835" t="s">
        <v>3494</v>
      </c>
      <c r="F4835" t="s">
        <v>2607</v>
      </c>
      <c r="G4835" t="s">
        <v>3412</v>
      </c>
      <c r="H4835">
        <v>5207454588</v>
      </c>
      <c r="J4835">
        <v>5203823479</v>
      </c>
      <c r="K4835" t="s">
        <v>12535</v>
      </c>
      <c r="M4835" t="s">
        <v>1765</v>
      </c>
    </row>
    <row r="4836" spans="1:13" x14ac:dyDescent="0.25">
      <c r="A4836">
        <v>1001190</v>
      </c>
      <c r="B4836" t="s">
        <v>12645</v>
      </c>
      <c r="C4836" t="s">
        <v>12646</v>
      </c>
      <c r="D4836" t="s">
        <v>1643</v>
      </c>
      <c r="E4836" t="s">
        <v>3494</v>
      </c>
    </row>
    <row r="4837" spans="1:13" x14ac:dyDescent="0.25">
      <c r="A4837">
        <v>89701</v>
      </c>
      <c r="B4837" t="s">
        <v>12647</v>
      </c>
      <c r="C4837" t="s">
        <v>12648</v>
      </c>
      <c r="D4837" t="s">
        <v>1643</v>
      </c>
      <c r="E4837" t="s">
        <v>3494</v>
      </c>
      <c r="F4837" t="s">
        <v>7669</v>
      </c>
      <c r="G4837" t="s">
        <v>12534</v>
      </c>
      <c r="H4837">
        <v>5207454588</v>
      </c>
      <c r="J4837">
        <v>5203823479</v>
      </c>
      <c r="M4837" t="s">
        <v>1634</v>
      </c>
    </row>
    <row r="4838" spans="1:13" x14ac:dyDescent="0.25">
      <c r="A4838">
        <v>89701</v>
      </c>
      <c r="B4838" t="s">
        <v>12647</v>
      </c>
      <c r="C4838" t="s">
        <v>12648</v>
      </c>
      <c r="D4838" t="s">
        <v>1643</v>
      </c>
      <c r="E4838" t="s">
        <v>3494</v>
      </c>
      <c r="F4838" t="s">
        <v>2607</v>
      </c>
      <c r="G4838" t="s">
        <v>3412</v>
      </c>
      <c r="H4838">
        <v>5207454588</v>
      </c>
      <c r="J4838">
        <v>5203823479</v>
      </c>
      <c r="K4838" t="s">
        <v>12535</v>
      </c>
      <c r="M4838" t="s">
        <v>1765</v>
      </c>
    </row>
    <row r="4839" spans="1:13" x14ac:dyDescent="0.25">
      <c r="A4839">
        <v>91182</v>
      </c>
      <c r="B4839" t="s">
        <v>12649</v>
      </c>
      <c r="C4839" t="s">
        <v>12650</v>
      </c>
      <c r="D4839" t="s">
        <v>1643</v>
      </c>
      <c r="E4839" t="s">
        <v>3494</v>
      </c>
      <c r="F4839" t="s">
        <v>2351</v>
      </c>
      <c r="G4839" t="s">
        <v>3489</v>
      </c>
      <c r="M4839" t="s">
        <v>1634</v>
      </c>
    </row>
    <row r="4840" spans="1:13" x14ac:dyDescent="0.25">
      <c r="A4840">
        <v>91182</v>
      </c>
      <c r="B4840" t="s">
        <v>12649</v>
      </c>
      <c r="C4840" t="s">
        <v>12650</v>
      </c>
      <c r="D4840" t="s">
        <v>1643</v>
      </c>
      <c r="E4840" t="s">
        <v>3494</v>
      </c>
      <c r="F4840" t="s">
        <v>1761</v>
      </c>
      <c r="G4840" t="s">
        <v>12606</v>
      </c>
      <c r="H4840">
        <v>5203525833</v>
      </c>
      <c r="L4840" t="s">
        <v>12426</v>
      </c>
      <c r="M4840" t="s">
        <v>1634</v>
      </c>
    </row>
    <row r="4841" spans="1:13" x14ac:dyDescent="0.25">
      <c r="A4841">
        <v>91182</v>
      </c>
      <c r="B4841" t="s">
        <v>12649</v>
      </c>
      <c r="C4841" t="s">
        <v>12650</v>
      </c>
      <c r="D4841" t="s">
        <v>1643</v>
      </c>
      <c r="E4841" t="s">
        <v>3494</v>
      </c>
      <c r="F4841" t="s">
        <v>2351</v>
      </c>
      <c r="G4841" t="s">
        <v>3489</v>
      </c>
      <c r="M4841" t="s">
        <v>1640</v>
      </c>
    </row>
    <row r="4842" spans="1:13" x14ac:dyDescent="0.25">
      <c r="A4842">
        <v>91992</v>
      </c>
      <c r="B4842" t="s">
        <v>1464</v>
      </c>
      <c r="C4842" t="s">
        <v>12651</v>
      </c>
      <c r="D4842" t="s">
        <v>2596</v>
      </c>
      <c r="E4842" t="s">
        <v>3494</v>
      </c>
      <c r="F4842" t="s">
        <v>1692</v>
      </c>
      <c r="G4842" t="s">
        <v>12652</v>
      </c>
      <c r="H4842">
        <v>5205469296</v>
      </c>
      <c r="J4842">
        <v>5208870034</v>
      </c>
      <c r="K4842" t="s">
        <v>12653</v>
      </c>
      <c r="M4842" t="s">
        <v>1634</v>
      </c>
    </row>
    <row r="4843" spans="1:13" x14ac:dyDescent="0.25">
      <c r="A4843">
        <v>92497</v>
      </c>
      <c r="B4843" t="s">
        <v>1465</v>
      </c>
      <c r="C4843" t="s">
        <v>12654</v>
      </c>
      <c r="D4843" t="s">
        <v>2605</v>
      </c>
      <c r="E4843" t="s">
        <v>3494</v>
      </c>
    </row>
    <row r="4844" spans="1:13" x14ac:dyDescent="0.25">
      <c r="A4844">
        <v>92318</v>
      </c>
      <c r="B4844" t="s">
        <v>3049</v>
      </c>
      <c r="C4844" t="s">
        <v>12655</v>
      </c>
      <c r="D4844" t="s">
        <v>2596</v>
      </c>
      <c r="E4844" t="s">
        <v>3494</v>
      </c>
      <c r="F4844" t="s">
        <v>3051</v>
      </c>
      <c r="G4844" t="s">
        <v>3052</v>
      </c>
      <c r="J4844">
        <v>5206196006</v>
      </c>
      <c r="K4844" t="s">
        <v>8191</v>
      </c>
      <c r="L4844" t="s">
        <v>8636</v>
      </c>
      <c r="M4844" t="s">
        <v>1634</v>
      </c>
    </row>
    <row r="4845" spans="1:13" x14ac:dyDescent="0.25">
      <c r="A4845">
        <v>92318</v>
      </c>
      <c r="B4845" t="s">
        <v>3049</v>
      </c>
      <c r="C4845" t="s">
        <v>12655</v>
      </c>
      <c r="D4845" t="s">
        <v>2596</v>
      </c>
      <c r="E4845" t="s">
        <v>3494</v>
      </c>
      <c r="F4845" t="s">
        <v>3057</v>
      </c>
      <c r="G4845" t="s">
        <v>2969</v>
      </c>
      <c r="H4845">
        <v>4802892088</v>
      </c>
      <c r="K4845" t="s">
        <v>3058</v>
      </c>
      <c r="L4845" t="s">
        <v>8269</v>
      </c>
      <c r="M4845" t="s">
        <v>1634</v>
      </c>
    </row>
    <row r="4846" spans="1:13" x14ac:dyDescent="0.25">
      <c r="A4846">
        <v>92318</v>
      </c>
      <c r="B4846" t="s">
        <v>3049</v>
      </c>
      <c r="C4846" t="s">
        <v>12655</v>
      </c>
      <c r="D4846" t="s">
        <v>2596</v>
      </c>
      <c r="E4846" t="s">
        <v>3494</v>
      </c>
      <c r="F4846" t="s">
        <v>1848</v>
      </c>
      <c r="G4846" t="s">
        <v>3060</v>
      </c>
      <c r="K4846" t="s">
        <v>3061</v>
      </c>
      <c r="L4846" t="s">
        <v>3062</v>
      </c>
      <c r="M4846" t="s">
        <v>1634</v>
      </c>
    </row>
    <row r="4847" spans="1:13" x14ac:dyDescent="0.25">
      <c r="A4847">
        <v>92318</v>
      </c>
      <c r="B4847" t="s">
        <v>3049</v>
      </c>
      <c r="C4847" t="s">
        <v>12655</v>
      </c>
      <c r="D4847" t="s">
        <v>2596</v>
      </c>
      <c r="E4847" t="s">
        <v>3494</v>
      </c>
      <c r="F4847" t="s">
        <v>2261</v>
      </c>
      <c r="G4847" t="s">
        <v>3063</v>
      </c>
      <c r="K4847" t="s">
        <v>3064</v>
      </c>
      <c r="L4847" t="s">
        <v>3065</v>
      </c>
      <c r="M4847" t="s">
        <v>1634</v>
      </c>
    </row>
    <row r="4848" spans="1:13" x14ac:dyDescent="0.25">
      <c r="A4848">
        <v>92319</v>
      </c>
      <c r="B4848" t="s">
        <v>12656</v>
      </c>
      <c r="C4848" t="s">
        <v>12657</v>
      </c>
      <c r="D4848" t="s">
        <v>2605</v>
      </c>
      <c r="E4848" t="s">
        <v>3494</v>
      </c>
    </row>
    <row r="4849" spans="1:13" x14ac:dyDescent="0.25">
      <c r="A4849">
        <v>91137</v>
      </c>
      <c r="B4849" t="s">
        <v>12658</v>
      </c>
      <c r="C4849" t="s">
        <v>12659</v>
      </c>
      <c r="D4849" t="s">
        <v>2596</v>
      </c>
      <c r="E4849" t="s">
        <v>3494</v>
      </c>
      <c r="F4849" t="s">
        <v>2204</v>
      </c>
      <c r="G4849" t="s">
        <v>8232</v>
      </c>
      <c r="M4849" t="s">
        <v>1634</v>
      </c>
    </row>
    <row r="4850" spans="1:13" x14ac:dyDescent="0.25">
      <c r="A4850">
        <v>91137</v>
      </c>
      <c r="B4850" t="s">
        <v>12658</v>
      </c>
      <c r="C4850" t="s">
        <v>12659</v>
      </c>
      <c r="D4850" t="s">
        <v>2596</v>
      </c>
      <c r="E4850" t="s">
        <v>3494</v>
      </c>
      <c r="F4850" t="s">
        <v>4162</v>
      </c>
      <c r="G4850" t="s">
        <v>3775</v>
      </c>
      <c r="M4850" t="s">
        <v>1634</v>
      </c>
    </row>
    <row r="4851" spans="1:13" x14ac:dyDescent="0.25">
      <c r="A4851">
        <v>91137</v>
      </c>
      <c r="B4851" t="s">
        <v>12658</v>
      </c>
      <c r="C4851" t="s">
        <v>12659</v>
      </c>
      <c r="D4851" t="s">
        <v>2596</v>
      </c>
      <c r="E4851" t="s">
        <v>3494</v>
      </c>
      <c r="F4851" t="s">
        <v>2896</v>
      </c>
      <c r="G4851" t="s">
        <v>8112</v>
      </c>
      <c r="K4851" t="s">
        <v>8113</v>
      </c>
      <c r="M4851" t="s">
        <v>1634</v>
      </c>
    </row>
    <row r="4852" spans="1:13" x14ac:dyDescent="0.25">
      <c r="A4852">
        <v>91138</v>
      </c>
      <c r="B4852" t="s">
        <v>12658</v>
      </c>
      <c r="C4852" t="s">
        <v>12660</v>
      </c>
      <c r="D4852" t="s">
        <v>2605</v>
      </c>
      <c r="E4852" t="s">
        <v>3494</v>
      </c>
      <c r="F4852" t="s">
        <v>12661</v>
      </c>
      <c r="G4852" t="s">
        <v>12662</v>
      </c>
      <c r="H4852">
        <v>4802795438</v>
      </c>
      <c r="K4852" t="s">
        <v>12663</v>
      </c>
      <c r="M4852" t="s">
        <v>1634</v>
      </c>
    </row>
    <row r="4853" spans="1:13" x14ac:dyDescent="0.25">
      <c r="A4853">
        <v>89871</v>
      </c>
      <c r="B4853" t="s">
        <v>12664</v>
      </c>
      <c r="C4853" t="s">
        <v>12665</v>
      </c>
      <c r="D4853" t="s">
        <v>2596</v>
      </c>
      <c r="E4853" t="s">
        <v>3494</v>
      </c>
    </row>
    <row r="4854" spans="1:13" x14ac:dyDescent="0.25">
      <c r="A4854">
        <v>89872</v>
      </c>
      <c r="B4854" t="s">
        <v>12666</v>
      </c>
      <c r="C4854" t="s">
        <v>12667</v>
      </c>
      <c r="D4854" t="s">
        <v>2605</v>
      </c>
      <c r="E4854" t="s">
        <v>3494</v>
      </c>
      <c r="F4854" t="s">
        <v>12668</v>
      </c>
      <c r="G4854" t="s">
        <v>12669</v>
      </c>
      <c r="K4854" t="s">
        <v>12670</v>
      </c>
      <c r="L4854" t="s">
        <v>3124</v>
      </c>
      <c r="M4854" t="s">
        <v>1634</v>
      </c>
    </row>
    <row r="4855" spans="1:13" x14ac:dyDescent="0.25">
      <c r="A4855">
        <v>89872</v>
      </c>
      <c r="B4855" t="s">
        <v>12666</v>
      </c>
      <c r="C4855" t="s">
        <v>12667</v>
      </c>
      <c r="D4855" t="s">
        <v>2605</v>
      </c>
      <c r="E4855" t="s">
        <v>3494</v>
      </c>
      <c r="F4855" t="s">
        <v>1931</v>
      </c>
      <c r="G4855" t="s">
        <v>12671</v>
      </c>
      <c r="H4855">
        <v>5203829210</v>
      </c>
      <c r="J4855">
        <v>5203825888</v>
      </c>
      <c r="K4855" t="s">
        <v>12672</v>
      </c>
      <c r="L4855" t="s">
        <v>12673</v>
      </c>
      <c r="M4855" t="s">
        <v>1634</v>
      </c>
    </row>
    <row r="4856" spans="1:13" x14ac:dyDescent="0.25">
      <c r="A4856">
        <v>89872</v>
      </c>
      <c r="B4856" t="s">
        <v>12666</v>
      </c>
      <c r="C4856" t="s">
        <v>12667</v>
      </c>
      <c r="D4856" t="s">
        <v>2605</v>
      </c>
      <c r="E4856" t="s">
        <v>3494</v>
      </c>
      <c r="F4856" t="s">
        <v>1931</v>
      </c>
      <c r="G4856" t="s">
        <v>12671</v>
      </c>
      <c r="H4856">
        <v>5203829210</v>
      </c>
      <c r="J4856">
        <v>5203825888</v>
      </c>
      <c r="K4856" t="s">
        <v>12672</v>
      </c>
      <c r="L4856" t="s">
        <v>12673</v>
      </c>
      <c r="M4856" t="s">
        <v>1640</v>
      </c>
    </row>
    <row r="4857" spans="1:13" x14ac:dyDescent="0.25">
      <c r="A4857">
        <v>89872</v>
      </c>
      <c r="B4857" t="s">
        <v>12666</v>
      </c>
      <c r="C4857" t="s">
        <v>12667</v>
      </c>
      <c r="D4857" t="s">
        <v>2605</v>
      </c>
      <c r="E4857" t="s">
        <v>3494</v>
      </c>
      <c r="F4857" t="s">
        <v>1931</v>
      </c>
      <c r="G4857" t="s">
        <v>12671</v>
      </c>
      <c r="H4857">
        <v>5203829210</v>
      </c>
      <c r="J4857">
        <v>5203825888</v>
      </c>
      <c r="K4857" t="s">
        <v>12672</v>
      </c>
      <c r="L4857" t="s">
        <v>12673</v>
      </c>
      <c r="M4857" t="s">
        <v>1765</v>
      </c>
    </row>
    <row r="4858" spans="1:13" x14ac:dyDescent="0.25">
      <c r="A4858">
        <v>89914</v>
      </c>
      <c r="B4858" t="s">
        <v>12674</v>
      </c>
      <c r="C4858" t="s">
        <v>12675</v>
      </c>
      <c r="D4858" t="s">
        <v>2596</v>
      </c>
      <c r="E4858" t="s">
        <v>3494</v>
      </c>
      <c r="F4858" t="s">
        <v>9102</v>
      </c>
      <c r="G4858" t="s">
        <v>8925</v>
      </c>
      <c r="H4858">
        <v>4809405440</v>
      </c>
      <c r="K4858" t="s">
        <v>8926</v>
      </c>
      <c r="L4858" t="s">
        <v>1668</v>
      </c>
      <c r="M4858" t="s">
        <v>1634</v>
      </c>
    </row>
    <row r="4859" spans="1:13" x14ac:dyDescent="0.25">
      <c r="A4859">
        <v>89914</v>
      </c>
      <c r="B4859" t="s">
        <v>12674</v>
      </c>
      <c r="C4859" t="s">
        <v>12675</v>
      </c>
      <c r="D4859" t="s">
        <v>2596</v>
      </c>
      <c r="E4859" t="s">
        <v>3494</v>
      </c>
      <c r="F4859" t="s">
        <v>8913</v>
      </c>
      <c r="G4859" t="s">
        <v>8914</v>
      </c>
      <c r="H4859">
        <v>4809405458</v>
      </c>
      <c r="K4859" t="s">
        <v>8915</v>
      </c>
      <c r="L4859" t="s">
        <v>8916</v>
      </c>
      <c r="M4859" t="s">
        <v>1634</v>
      </c>
    </row>
    <row r="4860" spans="1:13" x14ac:dyDescent="0.25">
      <c r="A4860">
        <v>89914</v>
      </c>
      <c r="B4860" t="s">
        <v>12674</v>
      </c>
      <c r="C4860" t="s">
        <v>12675</v>
      </c>
      <c r="D4860" t="s">
        <v>2596</v>
      </c>
      <c r="E4860" t="s">
        <v>3494</v>
      </c>
      <c r="F4860" t="s">
        <v>4638</v>
      </c>
      <c r="G4860" t="s">
        <v>8917</v>
      </c>
      <c r="K4860" t="s">
        <v>8918</v>
      </c>
      <c r="L4860" t="s">
        <v>2368</v>
      </c>
      <c r="M4860" t="s">
        <v>1634</v>
      </c>
    </row>
    <row r="4861" spans="1:13" x14ac:dyDescent="0.25">
      <c r="A4861">
        <v>89914</v>
      </c>
      <c r="B4861" t="s">
        <v>12674</v>
      </c>
      <c r="C4861" t="s">
        <v>12675</v>
      </c>
      <c r="D4861" t="s">
        <v>2596</v>
      </c>
      <c r="E4861" t="s">
        <v>3494</v>
      </c>
      <c r="F4861" t="s">
        <v>5734</v>
      </c>
      <c r="G4861" t="s">
        <v>9103</v>
      </c>
      <c r="K4861" t="s">
        <v>9104</v>
      </c>
      <c r="L4861" t="s">
        <v>9105</v>
      </c>
      <c r="M4861" t="s">
        <v>1634</v>
      </c>
    </row>
    <row r="4862" spans="1:13" x14ac:dyDescent="0.25">
      <c r="A4862">
        <v>89914</v>
      </c>
      <c r="B4862" t="s">
        <v>12674</v>
      </c>
      <c r="C4862" t="s">
        <v>12675</v>
      </c>
      <c r="D4862" t="s">
        <v>2596</v>
      </c>
      <c r="E4862" t="s">
        <v>3494</v>
      </c>
      <c r="F4862" t="s">
        <v>12676</v>
      </c>
      <c r="G4862" t="s">
        <v>12677</v>
      </c>
      <c r="H4862">
        <v>4809405440</v>
      </c>
      <c r="K4862" t="s">
        <v>12678</v>
      </c>
      <c r="L4862" t="s">
        <v>2368</v>
      </c>
      <c r="M4862" t="s">
        <v>1640</v>
      </c>
    </row>
    <row r="4863" spans="1:13" x14ac:dyDescent="0.25">
      <c r="A4863">
        <v>80974</v>
      </c>
      <c r="B4863" t="s">
        <v>12679</v>
      </c>
      <c r="C4863" t="s">
        <v>12680</v>
      </c>
      <c r="D4863" t="s">
        <v>2605</v>
      </c>
      <c r="E4863" t="s">
        <v>1273</v>
      </c>
      <c r="F4863" t="s">
        <v>1723</v>
      </c>
      <c r="G4863" t="s">
        <v>12681</v>
      </c>
      <c r="K4863" t="s">
        <v>12682</v>
      </c>
      <c r="L4863" t="s">
        <v>1721</v>
      </c>
      <c r="M4863" t="s">
        <v>1634</v>
      </c>
    </row>
    <row r="4864" spans="1:13" x14ac:dyDescent="0.25">
      <c r="A4864">
        <v>80974</v>
      </c>
      <c r="B4864" t="s">
        <v>12679</v>
      </c>
      <c r="C4864" t="s">
        <v>12680</v>
      </c>
      <c r="D4864" t="s">
        <v>2605</v>
      </c>
      <c r="E4864" t="s">
        <v>1273</v>
      </c>
      <c r="F4864" t="s">
        <v>9102</v>
      </c>
      <c r="G4864" t="s">
        <v>8925</v>
      </c>
      <c r="H4864">
        <v>4809405440</v>
      </c>
      <c r="K4864" t="s">
        <v>8926</v>
      </c>
      <c r="L4864" t="s">
        <v>8309</v>
      </c>
      <c r="M4864" t="s">
        <v>1634</v>
      </c>
    </row>
    <row r="4865" spans="1:13" x14ac:dyDescent="0.25">
      <c r="A4865">
        <v>89915</v>
      </c>
      <c r="B4865" t="s">
        <v>12683</v>
      </c>
      <c r="C4865" t="s">
        <v>12684</v>
      </c>
      <c r="D4865" t="s">
        <v>2596</v>
      </c>
      <c r="E4865" t="s">
        <v>3494</v>
      </c>
      <c r="F4865" t="s">
        <v>9102</v>
      </c>
      <c r="G4865" t="s">
        <v>8925</v>
      </c>
      <c r="H4865">
        <v>4809405440</v>
      </c>
      <c r="I4865">
        <v>101</v>
      </c>
      <c r="J4865">
        <v>5206653420</v>
      </c>
      <c r="K4865" t="s">
        <v>8926</v>
      </c>
      <c r="L4865" t="s">
        <v>8309</v>
      </c>
      <c r="M4865" t="s">
        <v>1634</v>
      </c>
    </row>
    <row r="4866" spans="1:13" x14ac:dyDescent="0.25">
      <c r="A4866">
        <v>89915</v>
      </c>
      <c r="B4866" t="s">
        <v>12683</v>
      </c>
      <c r="C4866" t="s">
        <v>12684</v>
      </c>
      <c r="D4866" t="s">
        <v>2596</v>
      </c>
      <c r="E4866" t="s">
        <v>3494</v>
      </c>
      <c r="F4866" t="s">
        <v>4638</v>
      </c>
      <c r="G4866" t="s">
        <v>8917</v>
      </c>
      <c r="K4866" t="s">
        <v>8918</v>
      </c>
      <c r="L4866" t="s">
        <v>2368</v>
      </c>
      <c r="M4866" t="s">
        <v>1634</v>
      </c>
    </row>
    <row r="4867" spans="1:13" x14ac:dyDescent="0.25">
      <c r="A4867">
        <v>89916</v>
      </c>
      <c r="B4867" t="s">
        <v>12685</v>
      </c>
      <c r="C4867" t="s">
        <v>12686</v>
      </c>
      <c r="D4867" t="s">
        <v>2605</v>
      </c>
      <c r="E4867" t="s">
        <v>3494</v>
      </c>
      <c r="F4867" t="s">
        <v>12687</v>
      </c>
      <c r="G4867" t="s">
        <v>12688</v>
      </c>
      <c r="K4867" t="s">
        <v>12689</v>
      </c>
      <c r="L4867" t="s">
        <v>1647</v>
      </c>
      <c r="M4867" t="s">
        <v>1634</v>
      </c>
    </row>
    <row r="4868" spans="1:13" x14ac:dyDescent="0.25">
      <c r="A4868">
        <v>90284</v>
      </c>
      <c r="B4868" t="s">
        <v>12690</v>
      </c>
      <c r="C4868" t="s">
        <v>12691</v>
      </c>
      <c r="D4868" t="s">
        <v>2596</v>
      </c>
      <c r="E4868" t="s">
        <v>3494</v>
      </c>
      <c r="F4868" t="s">
        <v>9431</v>
      </c>
      <c r="G4868" t="s">
        <v>12692</v>
      </c>
      <c r="H4868">
        <v>5203005699</v>
      </c>
      <c r="K4868" t="s">
        <v>12693</v>
      </c>
      <c r="L4868" t="s">
        <v>1647</v>
      </c>
      <c r="M4868" t="s">
        <v>1634</v>
      </c>
    </row>
    <row r="4869" spans="1:13" x14ac:dyDescent="0.25">
      <c r="A4869">
        <v>90284</v>
      </c>
      <c r="B4869" t="s">
        <v>12690</v>
      </c>
      <c r="C4869" t="s">
        <v>12691</v>
      </c>
      <c r="D4869" t="s">
        <v>2596</v>
      </c>
      <c r="E4869" t="s">
        <v>3494</v>
      </c>
      <c r="F4869" t="s">
        <v>9102</v>
      </c>
      <c r="G4869" t="s">
        <v>8925</v>
      </c>
      <c r="H4869">
        <v>4809405440</v>
      </c>
      <c r="K4869" t="s">
        <v>8926</v>
      </c>
      <c r="L4869" t="s">
        <v>3620</v>
      </c>
      <c r="M4869" t="s">
        <v>1634</v>
      </c>
    </row>
    <row r="4870" spans="1:13" x14ac:dyDescent="0.25">
      <c r="A4870">
        <v>90284</v>
      </c>
      <c r="B4870" t="s">
        <v>12690</v>
      </c>
      <c r="C4870" t="s">
        <v>12691</v>
      </c>
      <c r="D4870" t="s">
        <v>2596</v>
      </c>
      <c r="E4870" t="s">
        <v>3494</v>
      </c>
      <c r="F4870" t="s">
        <v>4638</v>
      </c>
      <c r="G4870" t="s">
        <v>8917</v>
      </c>
      <c r="K4870" t="s">
        <v>8918</v>
      </c>
      <c r="L4870" t="s">
        <v>2368</v>
      </c>
      <c r="M4870" t="s">
        <v>1634</v>
      </c>
    </row>
    <row r="4871" spans="1:13" x14ac:dyDescent="0.25">
      <c r="A4871">
        <v>90284</v>
      </c>
      <c r="B4871" t="s">
        <v>12690</v>
      </c>
      <c r="C4871" t="s">
        <v>12691</v>
      </c>
      <c r="D4871" t="s">
        <v>2596</v>
      </c>
      <c r="E4871" t="s">
        <v>3494</v>
      </c>
      <c r="F4871" t="s">
        <v>12676</v>
      </c>
      <c r="G4871" t="s">
        <v>12677</v>
      </c>
      <c r="H4871">
        <v>4809405440</v>
      </c>
      <c r="K4871" t="s">
        <v>12678</v>
      </c>
      <c r="L4871" t="s">
        <v>2368</v>
      </c>
      <c r="M4871" t="s">
        <v>1640</v>
      </c>
    </row>
    <row r="4872" spans="1:13" x14ac:dyDescent="0.25">
      <c r="A4872">
        <v>90285</v>
      </c>
      <c r="B4872" t="s">
        <v>12694</v>
      </c>
      <c r="C4872" t="s">
        <v>12695</v>
      </c>
      <c r="D4872" t="s">
        <v>2605</v>
      </c>
      <c r="E4872" t="s">
        <v>3494</v>
      </c>
      <c r="F4872" t="s">
        <v>9431</v>
      </c>
      <c r="G4872" t="s">
        <v>12692</v>
      </c>
      <c r="H4872">
        <v>5203005699</v>
      </c>
      <c r="K4872" t="s">
        <v>12693</v>
      </c>
      <c r="L4872" t="s">
        <v>1647</v>
      </c>
      <c r="M4872" t="s">
        <v>1634</v>
      </c>
    </row>
    <row r="4873" spans="1:13" x14ac:dyDescent="0.25">
      <c r="A4873">
        <v>90331</v>
      </c>
      <c r="B4873" t="s">
        <v>12696</v>
      </c>
      <c r="C4873" t="s">
        <v>12697</v>
      </c>
      <c r="D4873" t="s">
        <v>2596</v>
      </c>
      <c r="E4873" t="s">
        <v>3494</v>
      </c>
      <c r="F4873" t="s">
        <v>2745</v>
      </c>
      <c r="G4873" t="s">
        <v>12698</v>
      </c>
      <c r="H4873">
        <v>5208077923</v>
      </c>
      <c r="K4873" t="s">
        <v>12699</v>
      </c>
      <c r="L4873" t="s">
        <v>1647</v>
      </c>
      <c r="M4873" t="s">
        <v>1634</v>
      </c>
    </row>
    <row r="4874" spans="1:13" x14ac:dyDescent="0.25">
      <c r="A4874">
        <v>90331</v>
      </c>
      <c r="B4874" t="s">
        <v>12696</v>
      </c>
      <c r="C4874" t="s">
        <v>12697</v>
      </c>
      <c r="D4874" t="s">
        <v>2596</v>
      </c>
      <c r="E4874" t="s">
        <v>3494</v>
      </c>
      <c r="F4874" t="s">
        <v>9161</v>
      </c>
      <c r="G4874" t="s">
        <v>12700</v>
      </c>
      <c r="H4874">
        <v>5208820018</v>
      </c>
      <c r="J4874">
        <v>5206240998</v>
      </c>
      <c r="K4874" t="s">
        <v>12701</v>
      </c>
      <c r="L4874" t="s">
        <v>12702</v>
      </c>
      <c r="M4874" t="s">
        <v>1634</v>
      </c>
    </row>
    <row r="4875" spans="1:13" x14ac:dyDescent="0.25">
      <c r="A4875">
        <v>90331</v>
      </c>
      <c r="B4875" t="s">
        <v>12696</v>
      </c>
      <c r="C4875" t="s">
        <v>12697</v>
      </c>
      <c r="D4875" t="s">
        <v>2596</v>
      </c>
      <c r="E4875" t="s">
        <v>3494</v>
      </c>
      <c r="F4875" t="s">
        <v>2411</v>
      </c>
      <c r="G4875" t="s">
        <v>2287</v>
      </c>
      <c r="K4875" t="s">
        <v>12703</v>
      </c>
      <c r="L4875" t="s">
        <v>1647</v>
      </c>
      <c r="M4875" t="s">
        <v>1634</v>
      </c>
    </row>
    <row r="4876" spans="1:13" x14ac:dyDescent="0.25">
      <c r="A4876">
        <v>90331</v>
      </c>
      <c r="B4876" t="s">
        <v>12696</v>
      </c>
      <c r="C4876" t="s">
        <v>12697</v>
      </c>
      <c r="D4876" t="s">
        <v>2596</v>
      </c>
      <c r="E4876" t="s">
        <v>3494</v>
      </c>
      <c r="F4876" t="s">
        <v>12704</v>
      </c>
      <c r="G4876" t="s">
        <v>12705</v>
      </c>
      <c r="K4876" t="s">
        <v>12706</v>
      </c>
      <c r="L4876" t="s">
        <v>1668</v>
      </c>
      <c r="M4876" t="s">
        <v>1634</v>
      </c>
    </row>
    <row r="4877" spans="1:13" x14ac:dyDescent="0.25">
      <c r="A4877">
        <v>90331</v>
      </c>
      <c r="B4877" t="s">
        <v>12696</v>
      </c>
      <c r="C4877" t="s">
        <v>12697</v>
      </c>
      <c r="D4877" t="s">
        <v>2596</v>
      </c>
      <c r="E4877" t="s">
        <v>3494</v>
      </c>
      <c r="F4877" t="s">
        <v>5940</v>
      </c>
      <c r="G4877" t="s">
        <v>5279</v>
      </c>
      <c r="K4877" t="s">
        <v>12707</v>
      </c>
      <c r="L4877" t="s">
        <v>1647</v>
      </c>
      <c r="M4877" t="s">
        <v>1634</v>
      </c>
    </row>
    <row r="4878" spans="1:13" x14ac:dyDescent="0.25">
      <c r="A4878">
        <v>90331</v>
      </c>
      <c r="B4878" t="s">
        <v>12696</v>
      </c>
      <c r="C4878" t="s">
        <v>12697</v>
      </c>
      <c r="D4878" t="s">
        <v>2596</v>
      </c>
      <c r="E4878" t="s">
        <v>3494</v>
      </c>
      <c r="F4878" t="s">
        <v>3720</v>
      </c>
      <c r="G4878" t="s">
        <v>2310</v>
      </c>
      <c r="H4878">
        <v>5208870045</v>
      </c>
      <c r="K4878" t="s">
        <v>12708</v>
      </c>
      <c r="L4878" t="s">
        <v>1647</v>
      </c>
      <c r="M4878" t="s">
        <v>1634</v>
      </c>
    </row>
    <row r="4879" spans="1:13" x14ac:dyDescent="0.25">
      <c r="A4879">
        <v>90331</v>
      </c>
      <c r="B4879" t="s">
        <v>12696</v>
      </c>
      <c r="C4879" t="s">
        <v>12697</v>
      </c>
      <c r="D4879" t="s">
        <v>2596</v>
      </c>
      <c r="E4879" t="s">
        <v>3494</v>
      </c>
      <c r="F4879" t="s">
        <v>12709</v>
      </c>
      <c r="G4879" t="s">
        <v>12710</v>
      </c>
      <c r="J4879">
        <v>5208077827</v>
      </c>
      <c r="K4879" t="s">
        <v>12711</v>
      </c>
      <c r="L4879" t="s">
        <v>12712</v>
      </c>
      <c r="M4879" t="s">
        <v>1640</v>
      </c>
    </row>
    <row r="4880" spans="1:13" x14ac:dyDescent="0.25">
      <c r="A4880">
        <v>90331</v>
      </c>
      <c r="B4880" t="s">
        <v>12696</v>
      </c>
      <c r="C4880" t="s">
        <v>12697</v>
      </c>
      <c r="D4880" t="s">
        <v>2596</v>
      </c>
      <c r="E4880" t="s">
        <v>3494</v>
      </c>
      <c r="F4880" t="s">
        <v>12713</v>
      </c>
      <c r="G4880" t="s">
        <v>12714</v>
      </c>
      <c r="K4880" t="s">
        <v>12715</v>
      </c>
      <c r="L4880" t="s">
        <v>12716</v>
      </c>
      <c r="M4880" t="s">
        <v>1640</v>
      </c>
    </row>
    <row r="4881" spans="1:13" x14ac:dyDescent="0.25">
      <c r="A4881">
        <v>90331</v>
      </c>
      <c r="B4881" t="s">
        <v>12696</v>
      </c>
      <c r="C4881" t="s">
        <v>12697</v>
      </c>
      <c r="D4881" t="s">
        <v>2596</v>
      </c>
      <c r="E4881" t="s">
        <v>3494</v>
      </c>
      <c r="F4881" t="s">
        <v>12709</v>
      </c>
      <c r="G4881" t="s">
        <v>12710</v>
      </c>
      <c r="J4881">
        <v>5208077827</v>
      </c>
      <c r="K4881" t="s">
        <v>12711</v>
      </c>
      <c r="L4881" t="s">
        <v>12712</v>
      </c>
      <c r="M4881" t="s">
        <v>1765</v>
      </c>
    </row>
    <row r="4882" spans="1:13" x14ac:dyDescent="0.25">
      <c r="A4882">
        <v>90331</v>
      </c>
      <c r="B4882" t="s">
        <v>12696</v>
      </c>
      <c r="C4882" t="s">
        <v>12697</v>
      </c>
      <c r="D4882" t="s">
        <v>2596</v>
      </c>
      <c r="E4882" t="s">
        <v>3494</v>
      </c>
      <c r="F4882" t="s">
        <v>12717</v>
      </c>
      <c r="G4882" t="s">
        <v>2127</v>
      </c>
      <c r="K4882" t="s">
        <v>12718</v>
      </c>
      <c r="L4882" t="s">
        <v>12719</v>
      </c>
      <c r="M4882" t="s">
        <v>1765</v>
      </c>
    </row>
    <row r="4883" spans="1:13" x14ac:dyDescent="0.25">
      <c r="A4883">
        <v>87412</v>
      </c>
      <c r="B4883" t="s">
        <v>12720</v>
      </c>
      <c r="C4883" t="s">
        <v>12721</v>
      </c>
      <c r="D4883" t="s">
        <v>2605</v>
      </c>
      <c r="E4883" t="s">
        <v>3494</v>
      </c>
    </row>
    <row r="4884" spans="1:13" x14ac:dyDescent="0.25">
      <c r="A4884">
        <v>90506</v>
      </c>
      <c r="B4884" t="s">
        <v>12722</v>
      </c>
      <c r="C4884" t="s">
        <v>12723</v>
      </c>
      <c r="D4884" t="s">
        <v>2596</v>
      </c>
      <c r="E4884" t="s">
        <v>3494</v>
      </c>
      <c r="F4884" t="s">
        <v>1787</v>
      </c>
      <c r="G4884" t="s">
        <v>12724</v>
      </c>
      <c r="K4884" t="s">
        <v>12725</v>
      </c>
      <c r="L4884" t="s">
        <v>3043</v>
      </c>
      <c r="M4884" t="s">
        <v>1634</v>
      </c>
    </row>
    <row r="4885" spans="1:13" x14ac:dyDescent="0.25">
      <c r="A4885">
        <v>90507</v>
      </c>
      <c r="B4885" t="s">
        <v>12726</v>
      </c>
      <c r="C4885" t="s">
        <v>12727</v>
      </c>
      <c r="D4885" t="s">
        <v>2605</v>
      </c>
      <c r="E4885" t="s">
        <v>3494</v>
      </c>
      <c r="F4885" t="s">
        <v>1787</v>
      </c>
      <c r="G4885" t="s">
        <v>12724</v>
      </c>
      <c r="H4885">
        <v>5204651415</v>
      </c>
      <c r="J4885">
        <v>5207603800</v>
      </c>
      <c r="K4885" t="s">
        <v>12728</v>
      </c>
      <c r="M4885" t="s">
        <v>1634</v>
      </c>
    </row>
    <row r="4886" spans="1:13" x14ac:dyDescent="0.25">
      <c r="A4886">
        <v>90536</v>
      </c>
      <c r="B4886" t="s">
        <v>969</v>
      </c>
      <c r="C4886" t="s">
        <v>12729</v>
      </c>
      <c r="D4886" t="s">
        <v>2596</v>
      </c>
      <c r="E4886" t="s">
        <v>3494</v>
      </c>
      <c r="F4886" t="s">
        <v>4911</v>
      </c>
      <c r="G4886" t="s">
        <v>12730</v>
      </c>
      <c r="H4886">
        <v>5202630261</v>
      </c>
      <c r="K4886" t="s">
        <v>12731</v>
      </c>
      <c r="L4886" t="s">
        <v>2584</v>
      </c>
      <c r="M4886" t="s">
        <v>1634</v>
      </c>
    </row>
    <row r="4887" spans="1:13" x14ac:dyDescent="0.25">
      <c r="A4887">
        <v>90536</v>
      </c>
      <c r="B4887" t="s">
        <v>969</v>
      </c>
      <c r="C4887" t="s">
        <v>12729</v>
      </c>
      <c r="D4887" t="s">
        <v>2596</v>
      </c>
      <c r="E4887" t="s">
        <v>3494</v>
      </c>
      <c r="F4887" t="s">
        <v>2381</v>
      </c>
      <c r="G4887" t="s">
        <v>3985</v>
      </c>
      <c r="H4887">
        <v>5207924139</v>
      </c>
      <c r="K4887" t="s">
        <v>12732</v>
      </c>
      <c r="L4887" t="s">
        <v>7701</v>
      </c>
      <c r="M4887" t="s">
        <v>1634</v>
      </c>
    </row>
    <row r="4888" spans="1:13" x14ac:dyDescent="0.25">
      <c r="A4888">
        <v>90536</v>
      </c>
      <c r="B4888" t="s">
        <v>969</v>
      </c>
      <c r="C4888" t="s">
        <v>12729</v>
      </c>
      <c r="D4888" t="s">
        <v>2596</v>
      </c>
      <c r="E4888" t="s">
        <v>3494</v>
      </c>
      <c r="F4888" t="s">
        <v>2023</v>
      </c>
      <c r="G4888" t="s">
        <v>2506</v>
      </c>
      <c r="H4888" t="s">
        <v>12733</v>
      </c>
      <c r="K4888" t="s">
        <v>12734</v>
      </c>
      <c r="L4888" t="s">
        <v>1640</v>
      </c>
      <c r="M4888" t="s">
        <v>1640</v>
      </c>
    </row>
    <row r="4889" spans="1:13" x14ac:dyDescent="0.25">
      <c r="A4889">
        <v>90536</v>
      </c>
      <c r="B4889" t="s">
        <v>969</v>
      </c>
      <c r="C4889" t="s">
        <v>12729</v>
      </c>
      <c r="D4889" t="s">
        <v>2596</v>
      </c>
      <c r="E4889" t="s">
        <v>3494</v>
      </c>
      <c r="F4889" t="s">
        <v>2610</v>
      </c>
      <c r="G4889" t="s">
        <v>8624</v>
      </c>
      <c r="H4889">
        <v>5207923293</v>
      </c>
      <c r="K4889" t="s">
        <v>12735</v>
      </c>
      <c r="M4889" t="s">
        <v>1640</v>
      </c>
    </row>
    <row r="4890" spans="1:13" x14ac:dyDescent="0.25">
      <c r="A4890">
        <v>90907</v>
      </c>
      <c r="B4890" t="s">
        <v>970</v>
      </c>
      <c r="C4890" t="s">
        <v>12736</v>
      </c>
      <c r="D4890" t="s">
        <v>2605</v>
      </c>
      <c r="E4890" t="s">
        <v>3494</v>
      </c>
      <c r="F4890" t="s">
        <v>1775</v>
      </c>
      <c r="G4890" t="s">
        <v>11818</v>
      </c>
      <c r="H4890">
        <v>6234988200</v>
      </c>
      <c r="K4890" t="s">
        <v>12737</v>
      </c>
      <c r="L4890" t="s">
        <v>1647</v>
      </c>
      <c r="M4890" t="s">
        <v>1634</v>
      </c>
    </row>
    <row r="4891" spans="1:13" x14ac:dyDescent="0.25">
      <c r="A4891">
        <v>90907</v>
      </c>
      <c r="B4891" t="s">
        <v>970</v>
      </c>
      <c r="C4891" t="s">
        <v>12736</v>
      </c>
      <c r="D4891" t="s">
        <v>2605</v>
      </c>
      <c r="E4891" t="s">
        <v>3494</v>
      </c>
      <c r="F4891" t="s">
        <v>2508</v>
      </c>
      <c r="G4891" t="s">
        <v>1298</v>
      </c>
      <c r="H4891" t="s">
        <v>2509</v>
      </c>
      <c r="K4891" t="s">
        <v>8529</v>
      </c>
      <c r="L4891" t="s">
        <v>12738</v>
      </c>
      <c r="M4891" t="s">
        <v>1634</v>
      </c>
    </row>
    <row r="4892" spans="1:13" x14ac:dyDescent="0.25">
      <c r="A4892">
        <v>90907</v>
      </c>
      <c r="B4892" t="s">
        <v>970</v>
      </c>
      <c r="C4892" t="s">
        <v>12736</v>
      </c>
      <c r="D4892" t="s">
        <v>2605</v>
      </c>
      <c r="E4892" t="s">
        <v>3494</v>
      </c>
      <c r="F4892" t="s">
        <v>12739</v>
      </c>
      <c r="G4892" t="s">
        <v>2745</v>
      </c>
      <c r="K4892" t="s">
        <v>12740</v>
      </c>
      <c r="L4892" t="s">
        <v>12741</v>
      </c>
      <c r="M4892" t="s">
        <v>1634</v>
      </c>
    </row>
    <row r="4893" spans="1:13" x14ac:dyDescent="0.25">
      <c r="A4893">
        <v>91238</v>
      </c>
      <c r="B4893" t="s">
        <v>12742</v>
      </c>
      <c r="C4893" t="s">
        <v>12743</v>
      </c>
      <c r="D4893" t="s">
        <v>2596</v>
      </c>
      <c r="E4893" t="s">
        <v>3494</v>
      </c>
      <c r="F4893" t="s">
        <v>12744</v>
      </c>
      <c r="G4893" t="s">
        <v>11483</v>
      </c>
      <c r="K4893" t="s">
        <v>12745</v>
      </c>
      <c r="L4893" t="s">
        <v>1647</v>
      </c>
      <c r="M4893" t="s">
        <v>1634</v>
      </c>
    </row>
    <row r="4894" spans="1:13" x14ac:dyDescent="0.25">
      <c r="A4894">
        <v>91238</v>
      </c>
      <c r="B4894" t="s">
        <v>12742</v>
      </c>
      <c r="C4894" t="s">
        <v>12743</v>
      </c>
      <c r="D4894" t="s">
        <v>2596</v>
      </c>
      <c r="E4894" t="s">
        <v>3494</v>
      </c>
      <c r="F4894" t="s">
        <v>1935</v>
      </c>
      <c r="G4894" t="s">
        <v>12746</v>
      </c>
      <c r="H4894">
        <v>5207449595</v>
      </c>
      <c r="I4894">
        <v>130</v>
      </c>
      <c r="K4894" t="s">
        <v>12747</v>
      </c>
      <c r="L4894" t="s">
        <v>3043</v>
      </c>
      <c r="M4894" t="s">
        <v>1640</v>
      </c>
    </row>
    <row r="4895" spans="1:13" x14ac:dyDescent="0.25">
      <c r="A4895">
        <v>91238</v>
      </c>
      <c r="B4895" t="s">
        <v>12742</v>
      </c>
      <c r="C4895" t="s">
        <v>12743</v>
      </c>
      <c r="D4895" t="s">
        <v>2596</v>
      </c>
      <c r="E4895" t="s">
        <v>3494</v>
      </c>
      <c r="F4895" t="s">
        <v>2033</v>
      </c>
      <c r="G4895" t="s">
        <v>12748</v>
      </c>
      <c r="H4895">
        <v>5207449595</v>
      </c>
      <c r="K4895" t="s">
        <v>12749</v>
      </c>
      <c r="L4895" t="s">
        <v>2535</v>
      </c>
      <c r="M4895" t="s">
        <v>1640</v>
      </c>
    </row>
    <row r="4896" spans="1:13" x14ac:dyDescent="0.25">
      <c r="A4896">
        <v>91238</v>
      </c>
      <c r="B4896" t="s">
        <v>12742</v>
      </c>
      <c r="C4896" t="s">
        <v>12743</v>
      </c>
      <c r="D4896" t="s">
        <v>2596</v>
      </c>
      <c r="E4896" t="s">
        <v>3494</v>
      </c>
      <c r="F4896" t="s">
        <v>1787</v>
      </c>
      <c r="G4896" t="s">
        <v>12750</v>
      </c>
      <c r="H4896">
        <v>5207449595</v>
      </c>
      <c r="K4896" t="s">
        <v>12751</v>
      </c>
      <c r="L4896" t="s">
        <v>1640</v>
      </c>
      <c r="M4896" t="s">
        <v>1640</v>
      </c>
    </row>
    <row r="4897" spans="1:13" x14ac:dyDescent="0.25">
      <c r="A4897">
        <v>91789</v>
      </c>
      <c r="B4897" t="s">
        <v>12752</v>
      </c>
      <c r="C4897" t="s">
        <v>12753</v>
      </c>
      <c r="D4897" t="s">
        <v>2605</v>
      </c>
      <c r="E4897" t="s">
        <v>3494</v>
      </c>
      <c r="F4897" t="s">
        <v>12744</v>
      </c>
      <c r="G4897" t="s">
        <v>11483</v>
      </c>
      <c r="K4897" t="s">
        <v>12745</v>
      </c>
      <c r="L4897" t="s">
        <v>1647</v>
      </c>
      <c r="M4897" t="s">
        <v>1634</v>
      </c>
    </row>
    <row r="4898" spans="1:13" x14ac:dyDescent="0.25">
      <c r="A4898">
        <v>91789</v>
      </c>
      <c r="B4898" t="s">
        <v>12752</v>
      </c>
      <c r="C4898" t="s">
        <v>12753</v>
      </c>
      <c r="D4898" t="s">
        <v>2605</v>
      </c>
      <c r="E4898" t="s">
        <v>3494</v>
      </c>
      <c r="F4898" t="s">
        <v>1723</v>
      </c>
      <c r="G4898" t="s">
        <v>12754</v>
      </c>
      <c r="H4898">
        <v>5207449595</v>
      </c>
      <c r="J4898">
        <v>5207442127</v>
      </c>
      <c r="K4898" t="s">
        <v>12755</v>
      </c>
      <c r="L4898" t="s">
        <v>2368</v>
      </c>
      <c r="M4898" t="s">
        <v>1640</v>
      </c>
    </row>
    <row r="4899" spans="1:13" x14ac:dyDescent="0.25">
      <c r="A4899">
        <v>1000050</v>
      </c>
      <c r="B4899" t="s">
        <v>12756</v>
      </c>
      <c r="C4899" t="s">
        <v>12757</v>
      </c>
      <c r="D4899" t="s">
        <v>2596</v>
      </c>
      <c r="E4899" t="s">
        <v>3494</v>
      </c>
      <c r="F4899" t="s">
        <v>2814</v>
      </c>
      <c r="G4899" t="s">
        <v>1279</v>
      </c>
      <c r="H4899">
        <v>5204410137</v>
      </c>
      <c r="K4899" t="s">
        <v>12758</v>
      </c>
      <c r="M4899" t="s">
        <v>1634</v>
      </c>
    </row>
    <row r="4900" spans="1:13" x14ac:dyDescent="0.25">
      <c r="A4900">
        <v>1000051</v>
      </c>
      <c r="B4900" t="s">
        <v>12759</v>
      </c>
      <c r="C4900" t="s">
        <v>12760</v>
      </c>
      <c r="D4900" t="s">
        <v>2605</v>
      </c>
      <c r="E4900" t="s">
        <v>3494</v>
      </c>
    </row>
    <row r="4901" spans="1:13" x14ac:dyDescent="0.25">
      <c r="A4901">
        <v>4420</v>
      </c>
      <c r="B4901" t="s">
        <v>996</v>
      </c>
      <c r="C4901" t="s">
        <v>12761</v>
      </c>
      <c r="D4901" t="s">
        <v>2596</v>
      </c>
      <c r="E4901" t="s">
        <v>3494</v>
      </c>
      <c r="F4901" t="s">
        <v>7224</v>
      </c>
      <c r="G4901" t="s">
        <v>12762</v>
      </c>
      <c r="H4901">
        <v>5207249014</v>
      </c>
      <c r="K4901" t="s">
        <v>12763</v>
      </c>
      <c r="L4901" t="s">
        <v>7171</v>
      </c>
      <c r="M4901" t="s">
        <v>1634</v>
      </c>
    </row>
    <row r="4902" spans="1:13" x14ac:dyDescent="0.25">
      <c r="A4902">
        <v>4420</v>
      </c>
      <c r="B4902" t="s">
        <v>996</v>
      </c>
      <c r="C4902" t="s">
        <v>12761</v>
      </c>
      <c r="D4902" t="s">
        <v>2596</v>
      </c>
      <c r="E4902" t="s">
        <v>3494</v>
      </c>
      <c r="F4902" t="s">
        <v>3570</v>
      </c>
      <c r="G4902" t="s">
        <v>2037</v>
      </c>
      <c r="K4902" t="s">
        <v>12764</v>
      </c>
      <c r="M4902" t="s">
        <v>1634</v>
      </c>
    </row>
    <row r="4903" spans="1:13" x14ac:dyDescent="0.25">
      <c r="A4903">
        <v>4420</v>
      </c>
      <c r="B4903" t="s">
        <v>996</v>
      </c>
      <c r="C4903" t="s">
        <v>12761</v>
      </c>
      <c r="D4903" t="s">
        <v>2596</v>
      </c>
      <c r="E4903" t="s">
        <v>3494</v>
      </c>
      <c r="F4903" t="s">
        <v>11545</v>
      </c>
      <c r="G4903" t="s">
        <v>11546</v>
      </c>
      <c r="H4903">
        <v>5207249745</v>
      </c>
      <c r="K4903" t="s">
        <v>12765</v>
      </c>
      <c r="M4903" t="s">
        <v>1634</v>
      </c>
    </row>
    <row r="4904" spans="1:13" x14ac:dyDescent="0.25">
      <c r="A4904">
        <v>4420</v>
      </c>
      <c r="B4904" t="s">
        <v>996</v>
      </c>
      <c r="C4904" t="s">
        <v>12761</v>
      </c>
      <c r="D4904" t="s">
        <v>2596</v>
      </c>
      <c r="E4904" t="s">
        <v>3494</v>
      </c>
      <c r="F4904" t="s">
        <v>6173</v>
      </c>
      <c r="G4904" t="s">
        <v>12766</v>
      </c>
      <c r="H4904">
        <v>5207249745</v>
      </c>
      <c r="K4904" t="s">
        <v>12767</v>
      </c>
      <c r="L4904" t="s">
        <v>12768</v>
      </c>
      <c r="M4904" t="s">
        <v>1765</v>
      </c>
    </row>
    <row r="4905" spans="1:13" x14ac:dyDescent="0.25">
      <c r="A4905">
        <v>6057</v>
      </c>
      <c r="B4905" t="s">
        <v>997</v>
      </c>
      <c r="C4905" t="s">
        <v>12769</v>
      </c>
      <c r="D4905" t="s">
        <v>2605</v>
      </c>
      <c r="E4905" t="s">
        <v>3494</v>
      </c>
      <c r="F4905" t="s">
        <v>7538</v>
      </c>
      <c r="G4905" t="s">
        <v>12770</v>
      </c>
      <c r="H4905">
        <v>5202431737</v>
      </c>
      <c r="J4905">
        <v>5209030753</v>
      </c>
      <c r="K4905" t="s">
        <v>12771</v>
      </c>
      <c r="L4905" t="s">
        <v>3124</v>
      </c>
      <c r="M4905" t="s">
        <v>1634</v>
      </c>
    </row>
    <row r="4906" spans="1:13" x14ac:dyDescent="0.25">
      <c r="A4906">
        <v>90997</v>
      </c>
      <c r="B4906" t="s">
        <v>12772</v>
      </c>
      <c r="C4906" t="s">
        <v>12773</v>
      </c>
      <c r="D4906" t="s">
        <v>2596</v>
      </c>
      <c r="E4906" t="s">
        <v>3494</v>
      </c>
      <c r="F4906" t="s">
        <v>2587</v>
      </c>
      <c r="G4906" t="s">
        <v>3356</v>
      </c>
      <c r="H4906">
        <v>5207974884</v>
      </c>
      <c r="I4906">
        <v>1107</v>
      </c>
      <c r="K4906" t="s">
        <v>12774</v>
      </c>
      <c r="M4906" t="s">
        <v>1634</v>
      </c>
    </row>
    <row r="4907" spans="1:13" x14ac:dyDescent="0.25">
      <c r="A4907">
        <v>90997</v>
      </c>
      <c r="B4907" t="s">
        <v>12772</v>
      </c>
      <c r="C4907" t="s">
        <v>12773</v>
      </c>
      <c r="D4907" t="s">
        <v>2596</v>
      </c>
      <c r="E4907" t="s">
        <v>3494</v>
      </c>
      <c r="F4907" t="s">
        <v>12775</v>
      </c>
      <c r="G4907" t="s">
        <v>12776</v>
      </c>
      <c r="J4907">
        <v>5207978868</v>
      </c>
      <c r="K4907" t="s">
        <v>12777</v>
      </c>
      <c r="L4907" t="s">
        <v>9094</v>
      </c>
      <c r="M4907" t="s">
        <v>1640</v>
      </c>
    </row>
    <row r="4908" spans="1:13" x14ac:dyDescent="0.25">
      <c r="A4908">
        <v>90997</v>
      </c>
      <c r="B4908" t="s">
        <v>12772</v>
      </c>
      <c r="C4908" t="s">
        <v>12773</v>
      </c>
      <c r="D4908" t="s">
        <v>2596</v>
      </c>
      <c r="E4908" t="s">
        <v>3494</v>
      </c>
      <c r="F4908" t="s">
        <v>1943</v>
      </c>
      <c r="G4908" t="s">
        <v>12778</v>
      </c>
      <c r="H4908">
        <v>5207974884</v>
      </c>
      <c r="K4908" t="s">
        <v>12779</v>
      </c>
      <c r="L4908" t="s">
        <v>12780</v>
      </c>
      <c r="M4908" t="s">
        <v>1640</v>
      </c>
    </row>
    <row r="4909" spans="1:13" x14ac:dyDescent="0.25">
      <c r="A4909">
        <v>90998</v>
      </c>
      <c r="B4909" t="s">
        <v>12781</v>
      </c>
      <c r="C4909" t="s">
        <v>12782</v>
      </c>
      <c r="D4909" t="s">
        <v>2605</v>
      </c>
      <c r="E4909" t="s">
        <v>3494</v>
      </c>
      <c r="F4909" t="s">
        <v>12775</v>
      </c>
      <c r="G4909" t="s">
        <v>12776</v>
      </c>
      <c r="J4909">
        <v>5207978868</v>
      </c>
      <c r="K4909" t="s">
        <v>12777</v>
      </c>
      <c r="L4909" t="s">
        <v>9094</v>
      </c>
      <c r="M4909" t="s">
        <v>1640</v>
      </c>
    </row>
    <row r="4910" spans="1:13" x14ac:dyDescent="0.25">
      <c r="A4910">
        <v>4421</v>
      </c>
      <c r="B4910" t="s">
        <v>12783</v>
      </c>
      <c r="C4910" t="s">
        <v>12784</v>
      </c>
      <c r="D4910" t="s">
        <v>2596</v>
      </c>
      <c r="E4910" t="s">
        <v>3494</v>
      </c>
      <c r="F4910" t="s">
        <v>1820</v>
      </c>
      <c r="G4910" t="s">
        <v>12785</v>
      </c>
      <c r="H4910">
        <v>5208811389</v>
      </c>
      <c r="J4910">
        <v>5208810852</v>
      </c>
      <c r="K4910" t="s">
        <v>12786</v>
      </c>
      <c r="L4910" t="s">
        <v>3124</v>
      </c>
      <c r="M4910" t="s">
        <v>1634</v>
      </c>
    </row>
    <row r="4911" spans="1:13" x14ac:dyDescent="0.25">
      <c r="A4911">
        <v>4421</v>
      </c>
      <c r="B4911" t="s">
        <v>12783</v>
      </c>
      <c r="C4911" t="s">
        <v>12784</v>
      </c>
      <c r="D4911" t="s">
        <v>2596</v>
      </c>
      <c r="E4911" t="s">
        <v>3494</v>
      </c>
      <c r="F4911" t="s">
        <v>2851</v>
      </c>
      <c r="G4911" t="s">
        <v>12787</v>
      </c>
      <c r="K4911" t="s">
        <v>12788</v>
      </c>
      <c r="L4911" t="s">
        <v>1647</v>
      </c>
      <c r="M4911" t="s">
        <v>1634</v>
      </c>
    </row>
    <row r="4912" spans="1:13" x14ac:dyDescent="0.25">
      <c r="A4912">
        <v>5860</v>
      </c>
      <c r="B4912" t="s">
        <v>12789</v>
      </c>
      <c r="C4912" t="s">
        <v>12790</v>
      </c>
      <c r="D4912" t="s">
        <v>2605</v>
      </c>
      <c r="E4912" t="s">
        <v>3494</v>
      </c>
      <c r="F4912" t="s">
        <v>2851</v>
      </c>
      <c r="G4912" t="s">
        <v>12787</v>
      </c>
      <c r="H4912">
        <v>5208811389</v>
      </c>
      <c r="K4912" t="s">
        <v>12788</v>
      </c>
      <c r="L4912" t="s">
        <v>1647</v>
      </c>
      <c r="M4912" t="s">
        <v>1634</v>
      </c>
    </row>
    <row r="4913" spans="1:13" x14ac:dyDescent="0.25">
      <c r="A4913">
        <v>80928</v>
      </c>
      <c r="B4913" t="s">
        <v>12791</v>
      </c>
      <c r="C4913" t="s">
        <v>12792</v>
      </c>
      <c r="D4913" t="s">
        <v>2605</v>
      </c>
      <c r="E4913" t="s">
        <v>3494</v>
      </c>
      <c r="F4913" t="s">
        <v>1997</v>
      </c>
      <c r="G4913" t="s">
        <v>12787</v>
      </c>
      <c r="K4913" t="s">
        <v>12788</v>
      </c>
      <c r="L4913" t="s">
        <v>1647</v>
      </c>
      <c r="M4913" t="s">
        <v>1634</v>
      </c>
    </row>
    <row r="4914" spans="1:13" x14ac:dyDescent="0.25">
      <c r="A4914">
        <v>4422</v>
      </c>
      <c r="B4914" t="s">
        <v>12793</v>
      </c>
      <c r="C4914" t="s">
        <v>12794</v>
      </c>
      <c r="D4914" t="s">
        <v>2596</v>
      </c>
      <c r="E4914" t="s">
        <v>3494</v>
      </c>
      <c r="F4914" t="s">
        <v>12795</v>
      </c>
      <c r="G4914" t="s">
        <v>12796</v>
      </c>
      <c r="H4914">
        <v>5206235843</v>
      </c>
      <c r="J4914">
        <v>5207919893</v>
      </c>
      <c r="K4914" t="s">
        <v>12797</v>
      </c>
      <c r="L4914" t="s">
        <v>3043</v>
      </c>
      <c r="M4914" t="s">
        <v>1634</v>
      </c>
    </row>
    <row r="4915" spans="1:13" x14ac:dyDescent="0.25">
      <c r="A4915">
        <v>4422</v>
      </c>
      <c r="B4915" t="s">
        <v>12793</v>
      </c>
      <c r="C4915" t="s">
        <v>12794</v>
      </c>
      <c r="D4915" t="s">
        <v>2596</v>
      </c>
      <c r="E4915" t="s">
        <v>3494</v>
      </c>
      <c r="F4915" t="s">
        <v>4495</v>
      </c>
      <c r="G4915" t="s">
        <v>12798</v>
      </c>
      <c r="H4915">
        <v>5206235843</v>
      </c>
      <c r="J4915">
        <v>5207919893</v>
      </c>
      <c r="K4915" t="s">
        <v>12799</v>
      </c>
      <c r="L4915" t="s">
        <v>2368</v>
      </c>
      <c r="M4915" t="s">
        <v>1640</v>
      </c>
    </row>
    <row r="4916" spans="1:13" x14ac:dyDescent="0.25">
      <c r="A4916">
        <v>4422</v>
      </c>
      <c r="B4916" t="s">
        <v>12793</v>
      </c>
      <c r="C4916" t="s">
        <v>12794</v>
      </c>
      <c r="D4916" t="s">
        <v>2596</v>
      </c>
      <c r="E4916" t="s">
        <v>3494</v>
      </c>
      <c r="F4916" t="s">
        <v>1630</v>
      </c>
      <c r="G4916" t="s">
        <v>12800</v>
      </c>
      <c r="H4916">
        <v>5206235843</v>
      </c>
      <c r="J4916">
        <v>5207919893</v>
      </c>
      <c r="K4916" t="s">
        <v>12801</v>
      </c>
      <c r="L4916" t="s">
        <v>4663</v>
      </c>
      <c r="M4916" t="s">
        <v>1640</v>
      </c>
    </row>
    <row r="4917" spans="1:13" x14ac:dyDescent="0.25">
      <c r="A4917">
        <v>5861</v>
      </c>
      <c r="B4917" t="s">
        <v>12802</v>
      </c>
      <c r="C4917" t="s">
        <v>12803</v>
      </c>
      <c r="D4917" t="s">
        <v>2605</v>
      </c>
      <c r="E4917" t="s">
        <v>3494</v>
      </c>
      <c r="F4917" t="s">
        <v>3003</v>
      </c>
      <c r="G4917" t="s">
        <v>12804</v>
      </c>
      <c r="K4917" t="s">
        <v>12805</v>
      </c>
      <c r="M4917" t="s">
        <v>1634</v>
      </c>
    </row>
    <row r="4918" spans="1:13" x14ac:dyDescent="0.25">
      <c r="A4918">
        <v>5861</v>
      </c>
      <c r="B4918" t="s">
        <v>12802</v>
      </c>
      <c r="C4918" t="s">
        <v>12803</v>
      </c>
      <c r="D4918" t="s">
        <v>2605</v>
      </c>
      <c r="E4918" t="s">
        <v>3494</v>
      </c>
      <c r="F4918" t="s">
        <v>1690</v>
      </c>
      <c r="G4918" t="s">
        <v>12806</v>
      </c>
      <c r="H4918">
        <v>5204954113</v>
      </c>
      <c r="J4918">
        <v>5206282820</v>
      </c>
      <c r="M4918" t="s">
        <v>1634</v>
      </c>
    </row>
    <row r="4919" spans="1:13" x14ac:dyDescent="0.25">
      <c r="A4919">
        <v>5861</v>
      </c>
      <c r="B4919" t="s">
        <v>12802</v>
      </c>
      <c r="C4919" t="s">
        <v>12803</v>
      </c>
      <c r="D4919" t="s">
        <v>2605</v>
      </c>
      <c r="E4919" t="s">
        <v>3494</v>
      </c>
      <c r="F4919" t="s">
        <v>12243</v>
      </c>
      <c r="G4919" t="s">
        <v>12244</v>
      </c>
      <c r="L4919" t="s">
        <v>1647</v>
      </c>
      <c r="M4919" t="s">
        <v>1634</v>
      </c>
    </row>
    <row r="4920" spans="1:13" x14ac:dyDescent="0.25">
      <c r="A4920">
        <v>90286</v>
      </c>
      <c r="B4920" t="s">
        <v>12807</v>
      </c>
      <c r="C4920" t="s">
        <v>12808</v>
      </c>
      <c r="D4920" t="s">
        <v>2605</v>
      </c>
      <c r="E4920" t="s">
        <v>3494</v>
      </c>
      <c r="F4920" t="s">
        <v>1690</v>
      </c>
      <c r="G4920" t="s">
        <v>12806</v>
      </c>
      <c r="H4920">
        <v>5206288316</v>
      </c>
      <c r="J4920">
        <v>5207919893</v>
      </c>
      <c r="K4920" t="s">
        <v>12809</v>
      </c>
      <c r="L4920" t="s">
        <v>1647</v>
      </c>
      <c r="M4920" t="s">
        <v>1634</v>
      </c>
    </row>
    <row r="4921" spans="1:13" x14ac:dyDescent="0.25">
      <c r="A4921">
        <v>78897</v>
      </c>
      <c r="B4921" t="s">
        <v>12810</v>
      </c>
      <c r="C4921" t="s">
        <v>12811</v>
      </c>
      <c r="D4921" t="s">
        <v>2596</v>
      </c>
      <c r="E4921" t="s">
        <v>3494</v>
      </c>
      <c r="F4921" t="s">
        <v>12812</v>
      </c>
      <c r="G4921" t="s">
        <v>3449</v>
      </c>
      <c r="H4921">
        <v>5207330096</v>
      </c>
      <c r="K4921" t="s">
        <v>12813</v>
      </c>
      <c r="L4921" t="s">
        <v>8508</v>
      </c>
      <c r="M4921" t="s">
        <v>1634</v>
      </c>
    </row>
    <row r="4922" spans="1:13" x14ac:dyDescent="0.25">
      <c r="A4922">
        <v>78897</v>
      </c>
      <c r="B4922" t="s">
        <v>12810</v>
      </c>
      <c r="C4922" t="s">
        <v>12811</v>
      </c>
      <c r="D4922" t="s">
        <v>2596</v>
      </c>
      <c r="E4922" t="s">
        <v>3494</v>
      </c>
      <c r="F4922" t="s">
        <v>2632</v>
      </c>
      <c r="G4922" t="s">
        <v>2506</v>
      </c>
      <c r="J4922">
        <v>5207330097</v>
      </c>
      <c r="K4922" t="s">
        <v>12814</v>
      </c>
      <c r="L4922" t="s">
        <v>1668</v>
      </c>
      <c r="M4922" t="s">
        <v>1634</v>
      </c>
    </row>
    <row r="4923" spans="1:13" x14ac:dyDescent="0.25">
      <c r="A4923">
        <v>78897</v>
      </c>
      <c r="B4923" t="s">
        <v>12810</v>
      </c>
      <c r="C4923" t="s">
        <v>12811</v>
      </c>
      <c r="D4923" t="s">
        <v>2596</v>
      </c>
      <c r="E4923" t="s">
        <v>3494</v>
      </c>
      <c r="F4923" t="s">
        <v>12815</v>
      </c>
      <c r="G4923" t="s">
        <v>12816</v>
      </c>
      <c r="H4923">
        <v>5207330096</v>
      </c>
      <c r="K4923" t="s">
        <v>12817</v>
      </c>
      <c r="L4923" t="s">
        <v>1640</v>
      </c>
      <c r="M4923" t="s">
        <v>1640</v>
      </c>
    </row>
    <row r="4924" spans="1:13" x14ac:dyDescent="0.25">
      <c r="A4924">
        <v>78897</v>
      </c>
      <c r="B4924" t="s">
        <v>12810</v>
      </c>
      <c r="C4924" t="s">
        <v>12811</v>
      </c>
      <c r="D4924" t="s">
        <v>2596</v>
      </c>
      <c r="E4924" t="s">
        <v>3494</v>
      </c>
      <c r="F4924" t="s">
        <v>12815</v>
      </c>
      <c r="G4924" t="s">
        <v>12816</v>
      </c>
      <c r="H4924">
        <v>5207330096</v>
      </c>
      <c r="K4924" t="s">
        <v>12817</v>
      </c>
      <c r="L4924" t="s">
        <v>1640</v>
      </c>
      <c r="M4924" t="s">
        <v>1765</v>
      </c>
    </row>
    <row r="4925" spans="1:13" x14ac:dyDescent="0.25">
      <c r="A4925">
        <v>79986</v>
      </c>
      <c r="B4925" t="s">
        <v>12818</v>
      </c>
      <c r="C4925" t="s">
        <v>12819</v>
      </c>
      <c r="D4925" t="s">
        <v>2605</v>
      </c>
      <c r="E4925" t="s">
        <v>3494</v>
      </c>
      <c r="F4925" t="s">
        <v>4162</v>
      </c>
      <c r="G4925" t="s">
        <v>12820</v>
      </c>
      <c r="K4925" t="s">
        <v>12821</v>
      </c>
      <c r="L4925" t="s">
        <v>1647</v>
      </c>
      <c r="M4925" t="s">
        <v>1634</v>
      </c>
    </row>
    <row r="4926" spans="1:13" x14ac:dyDescent="0.25">
      <c r="A4926">
        <v>81130</v>
      </c>
      <c r="B4926" t="s">
        <v>12822</v>
      </c>
      <c r="C4926" t="s">
        <v>12823</v>
      </c>
      <c r="D4926" t="s">
        <v>2605</v>
      </c>
      <c r="E4926" t="s">
        <v>3494</v>
      </c>
    </row>
    <row r="4927" spans="1:13" x14ac:dyDescent="0.25">
      <c r="A4927">
        <v>78898</v>
      </c>
      <c r="B4927" t="s">
        <v>12824</v>
      </c>
      <c r="C4927" t="s">
        <v>12825</v>
      </c>
      <c r="D4927" t="s">
        <v>2605</v>
      </c>
      <c r="E4927" t="s">
        <v>3494</v>
      </c>
      <c r="F4927" t="s">
        <v>2632</v>
      </c>
      <c r="G4927" t="s">
        <v>2506</v>
      </c>
      <c r="K4927" t="s">
        <v>12814</v>
      </c>
      <c r="L4927" t="s">
        <v>1668</v>
      </c>
      <c r="M4927" t="s">
        <v>1634</v>
      </c>
    </row>
    <row r="4928" spans="1:13" x14ac:dyDescent="0.25">
      <c r="A4928">
        <v>78898</v>
      </c>
      <c r="B4928" t="s">
        <v>12824</v>
      </c>
      <c r="C4928" t="s">
        <v>12825</v>
      </c>
      <c r="D4928" t="s">
        <v>2605</v>
      </c>
      <c r="E4928" t="s">
        <v>3494</v>
      </c>
      <c r="F4928" t="s">
        <v>12668</v>
      </c>
      <c r="G4928" t="s">
        <v>3449</v>
      </c>
      <c r="K4928" t="s">
        <v>12826</v>
      </c>
      <c r="L4928" t="s">
        <v>1668</v>
      </c>
      <c r="M4928" t="s">
        <v>1634</v>
      </c>
    </row>
    <row r="4929" spans="1:13" x14ac:dyDescent="0.25">
      <c r="A4929">
        <v>78898</v>
      </c>
      <c r="B4929" t="s">
        <v>12824</v>
      </c>
      <c r="C4929" t="s">
        <v>12825</v>
      </c>
      <c r="D4929" t="s">
        <v>2605</v>
      </c>
      <c r="E4929" t="s">
        <v>3494</v>
      </c>
      <c r="F4929" t="s">
        <v>12827</v>
      </c>
      <c r="G4929" t="s">
        <v>12828</v>
      </c>
      <c r="H4929">
        <v>5207330096</v>
      </c>
      <c r="K4929" t="s">
        <v>12829</v>
      </c>
      <c r="L4929" t="s">
        <v>1647</v>
      </c>
      <c r="M4929" t="s">
        <v>1634</v>
      </c>
    </row>
    <row r="4930" spans="1:13" x14ac:dyDescent="0.25">
      <c r="A4930">
        <v>79049</v>
      </c>
      <c r="B4930" t="s">
        <v>12830</v>
      </c>
      <c r="C4930" t="s">
        <v>12831</v>
      </c>
      <c r="D4930" t="s">
        <v>2596</v>
      </c>
      <c r="E4930" t="s">
        <v>3494</v>
      </c>
      <c r="F4930" t="s">
        <v>9102</v>
      </c>
      <c r="G4930" t="s">
        <v>8925</v>
      </c>
      <c r="H4930">
        <v>5206653400</v>
      </c>
      <c r="J4930">
        <v>5206653420</v>
      </c>
      <c r="K4930" t="s">
        <v>8926</v>
      </c>
      <c r="L4930" t="s">
        <v>12832</v>
      </c>
      <c r="M4930" t="s">
        <v>1634</v>
      </c>
    </row>
    <row r="4931" spans="1:13" x14ac:dyDescent="0.25">
      <c r="A4931">
        <v>79049</v>
      </c>
      <c r="B4931" t="s">
        <v>12830</v>
      </c>
      <c r="C4931" t="s">
        <v>12831</v>
      </c>
      <c r="D4931" t="s">
        <v>2596</v>
      </c>
      <c r="E4931" t="s">
        <v>3494</v>
      </c>
      <c r="F4931" t="s">
        <v>3673</v>
      </c>
      <c r="G4931" t="s">
        <v>12833</v>
      </c>
      <c r="H4931">
        <v>4809405440</v>
      </c>
      <c r="K4931" t="s">
        <v>12834</v>
      </c>
      <c r="L4931" t="s">
        <v>12835</v>
      </c>
      <c r="M4931" t="s">
        <v>1634</v>
      </c>
    </row>
    <row r="4932" spans="1:13" x14ac:dyDescent="0.25">
      <c r="A4932">
        <v>79049</v>
      </c>
      <c r="B4932" t="s">
        <v>12830</v>
      </c>
      <c r="C4932" t="s">
        <v>12831</v>
      </c>
      <c r="D4932" t="s">
        <v>2596</v>
      </c>
      <c r="E4932" t="s">
        <v>3494</v>
      </c>
      <c r="F4932" t="s">
        <v>5734</v>
      </c>
      <c r="G4932" t="s">
        <v>9103</v>
      </c>
      <c r="K4932" t="s">
        <v>9104</v>
      </c>
      <c r="L4932" t="s">
        <v>9105</v>
      </c>
      <c r="M4932" t="s">
        <v>1634</v>
      </c>
    </row>
    <row r="4933" spans="1:13" x14ac:dyDescent="0.25">
      <c r="A4933">
        <v>79049</v>
      </c>
      <c r="B4933" t="s">
        <v>12830</v>
      </c>
      <c r="C4933" t="s">
        <v>12831</v>
      </c>
      <c r="D4933" t="s">
        <v>2596</v>
      </c>
      <c r="E4933" t="s">
        <v>3494</v>
      </c>
      <c r="F4933" t="s">
        <v>4638</v>
      </c>
      <c r="G4933" t="s">
        <v>8917</v>
      </c>
      <c r="K4933" t="s">
        <v>8918</v>
      </c>
      <c r="L4933" t="s">
        <v>2368</v>
      </c>
      <c r="M4933" t="s">
        <v>1634</v>
      </c>
    </row>
    <row r="4934" spans="1:13" x14ac:dyDescent="0.25">
      <c r="A4934">
        <v>79049</v>
      </c>
      <c r="B4934" t="s">
        <v>12830</v>
      </c>
      <c r="C4934" t="s">
        <v>12831</v>
      </c>
      <c r="D4934" t="s">
        <v>2596</v>
      </c>
      <c r="E4934" t="s">
        <v>3494</v>
      </c>
      <c r="F4934" t="s">
        <v>8913</v>
      </c>
      <c r="G4934" t="s">
        <v>8914</v>
      </c>
      <c r="K4934" t="s">
        <v>8915</v>
      </c>
      <c r="M4934" t="s">
        <v>1634</v>
      </c>
    </row>
    <row r="4935" spans="1:13" x14ac:dyDescent="0.25">
      <c r="A4935">
        <v>79049</v>
      </c>
      <c r="B4935" t="s">
        <v>12830</v>
      </c>
      <c r="C4935" t="s">
        <v>12831</v>
      </c>
      <c r="D4935" t="s">
        <v>2596</v>
      </c>
      <c r="E4935" t="s">
        <v>3494</v>
      </c>
      <c r="F4935" t="s">
        <v>12836</v>
      </c>
      <c r="G4935" t="s">
        <v>12837</v>
      </c>
      <c r="H4935">
        <v>5209856952</v>
      </c>
      <c r="J4935">
        <v>5206653420</v>
      </c>
      <c r="K4935" t="s">
        <v>12838</v>
      </c>
      <c r="L4935" t="s">
        <v>12839</v>
      </c>
      <c r="M4935" t="s">
        <v>1640</v>
      </c>
    </row>
    <row r="4936" spans="1:13" x14ac:dyDescent="0.25">
      <c r="A4936">
        <v>79049</v>
      </c>
      <c r="B4936" t="s">
        <v>12830</v>
      </c>
      <c r="C4936" t="s">
        <v>12831</v>
      </c>
      <c r="D4936" t="s">
        <v>2596</v>
      </c>
      <c r="E4936" t="s">
        <v>3494</v>
      </c>
      <c r="F4936" t="s">
        <v>12840</v>
      </c>
      <c r="G4936" t="s">
        <v>3299</v>
      </c>
      <c r="H4936">
        <v>5206653400</v>
      </c>
      <c r="J4936">
        <v>5206653420</v>
      </c>
      <c r="K4936" t="s">
        <v>12841</v>
      </c>
      <c r="L4936" t="s">
        <v>12839</v>
      </c>
      <c r="M4936" t="s">
        <v>1640</v>
      </c>
    </row>
    <row r="4937" spans="1:13" x14ac:dyDescent="0.25">
      <c r="A4937">
        <v>79049</v>
      </c>
      <c r="B4937" t="s">
        <v>12830</v>
      </c>
      <c r="C4937" t="s">
        <v>12831</v>
      </c>
      <c r="D4937" t="s">
        <v>2596</v>
      </c>
      <c r="E4937" t="s">
        <v>3494</v>
      </c>
      <c r="F4937" t="s">
        <v>4638</v>
      </c>
      <c r="G4937" t="s">
        <v>8917</v>
      </c>
      <c r="K4937" t="s">
        <v>8918</v>
      </c>
      <c r="L4937" t="s">
        <v>2368</v>
      </c>
      <c r="M4937" t="s">
        <v>1640</v>
      </c>
    </row>
    <row r="4938" spans="1:13" x14ac:dyDescent="0.25">
      <c r="A4938">
        <v>79127</v>
      </c>
      <c r="B4938" t="s">
        <v>12842</v>
      </c>
      <c r="C4938" t="s">
        <v>12843</v>
      </c>
      <c r="D4938" t="s">
        <v>2605</v>
      </c>
      <c r="E4938" t="s">
        <v>3494</v>
      </c>
      <c r="F4938" t="s">
        <v>9102</v>
      </c>
      <c r="G4938" t="s">
        <v>8925</v>
      </c>
      <c r="H4938">
        <v>5206653400</v>
      </c>
      <c r="K4938" t="s">
        <v>8926</v>
      </c>
      <c r="L4938" t="s">
        <v>12844</v>
      </c>
      <c r="M4938" t="s">
        <v>1634</v>
      </c>
    </row>
    <row r="4939" spans="1:13" x14ac:dyDescent="0.25">
      <c r="A4939">
        <v>79127</v>
      </c>
      <c r="B4939" t="s">
        <v>12842</v>
      </c>
      <c r="C4939" t="s">
        <v>12843</v>
      </c>
      <c r="D4939" t="s">
        <v>2605</v>
      </c>
      <c r="E4939" t="s">
        <v>3494</v>
      </c>
      <c r="F4939" t="s">
        <v>12845</v>
      </c>
      <c r="G4939" t="s">
        <v>12846</v>
      </c>
      <c r="K4939" t="s">
        <v>12847</v>
      </c>
      <c r="L4939" t="s">
        <v>1647</v>
      </c>
      <c r="M4939" t="s">
        <v>1634</v>
      </c>
    </row>
    <row r="4940" spans="1:13" x14ac:dyDescent="0.25">
      <c r="A4940">
        <v>79127</v>
      </c>
      <c r="B4940" t="s">
        <v>12842</v>
      </c>
      <c r="C4940" t="s">
        <v>12843</v>
      </c>
      <c r="D4940" t="s">
        <v>2605</v>
      </c>
      <c r="E4940" t="s">
        <v>3494</v>
      </c>
      <c r="F4940" t="s">
        <v>12848</v>
      </c>
      <c r="G4940" t="s">
        <v>12849</v>
      </c>
      <c r="K4940" t="s">
        <v>12850</v>
      </c>
      <c r="L4940" t="s">
        <v>1647</v>
      </c>
      <c r="M4940" t="s">
        <v>1634</v>
      </c>
    </row>
    <row r="4941" spans="1:13" x14ac:dyDescent="0.25">
      <c r="A4941">
        <v>4426</v>
      </c>
      <c r="B4941" t="s">
        <v>12851</v>
      </c>
      <c r="C4941" t="s">
        <v>12852</v>
      </c>
      <c r="D4941" t="s">
        <v>2596</v>
      </c>
      <c r="E4941" t="s">
        <v>3494</v>
      </c>
    </row>
    <row r="4942" spans="1:13" x14ac:dyDescent="0.25">
      <c r="A4942">
        <v>5866</v>
      </c>
      <c r="B4942" t="s">
        <v>12853</v>
      </c>
      <c r="C4942" t="s">
        <v>12854</v>
      </c>
      <c r="D4942" t="s">
        <v>2605</v>
      </c>
      <c r="E4942" t="s">
        <v>3494</v>
      </c>
      <c r="F4942" t="s">
        <v>4468</v>
      </c>
      <c r="G4942" t="s">
        <v>12855</v>
      </c>
      <c r="H4942">
        <v>5207495518</v>
      </c>
      <c r="J4942">
        <v>5207496087</v>
      </c>
      <c r="K4942" t="s">
        <v>12856</v>
      </c>
      <c r="M4942" t="s">
        <v>1634</v>
      </c>
    </row>
    <row r="4943" spans="1:13" x14ac:dyDescent="0.25">
      <c r="A4943">
        <v>4428</v>
      </c>
      <c r="B4943" t="s">
        <v>12857</v>
      </c>
      <c r="C4943" t="s">
        <v>12858</v>
      </c>
      <c r="D4943" t="s">
        <v>2596</v>
      </c>
      <c r="E4943" t="s">
        <v>3494</v>
      </c>
      <c r="F4943" t="s">
        <v>1775</v>
      </c>
      <c r="G4943" t="s">
        <v>12859</v>
      </c>
      <c r="H4943">
        <v>5203198668</v>
      </c>
      <c r="J4943">
        <v>5208814096</v>
      </c>
      <c r="K4943" t="s">
        <v>12860</v>
      </c>
      <c r="L4943" t="s">
        <v>12861</v>
      </c>
      <c r="M4943" t="s">
        <v>1634</v>
      </c>
    </row>
    <row r="4944" spans="1:13" x14ac:dyDescent="0.25">
      <c r="A4944">
        <v>4428</v>
      </c>
      <c r="B4944" t="s">
        <v>12857</v>
      </c>
      <c r="C4944" t="s">
        <v>12858</v>
      </c>
      <c r="D4944" t="s">
        <v>2596</v>
      </c>
      <c r="E4944" t="s">
        <v>3494</v>
      </c>
      <c r="F4944" t="s">
        <v>12862</v>
      </c>
      <c r="G4944" t="s">
        <v>12859</v>
      </c>
      <c r="H4944">
        <v>5203198668</v>
      </c>
      <c r="K4944" t="s">
        <v>12860</v>
      </c>
      <c r="L4944" t="s">
        <v>4663</v>
      </c>
      <c r="M4944" t="s">
        <v>1634</v>
      </c>
    </row>
    <row r="4945" spans="1:13" x14ac:dyDescent="0.25">
      <c r="A4945">
        <v>4428</v>
      </c>
      <c r="B4945" t="s">
        <v>12857</v>
      </c>
      <c r="C4945" t="s">
        <v>12858</v>
      </c>
      <c r="D4945" t="s">
        <v>2596</v>
      </c>
      <c r="E4945" t="s">
        <v>3494</v>
      </c>
      <c r="F4945" t="s">
        <v>1775</v>
      </c>
      <c r="G4945" t="s">
        <v>12859</v>
      </c>
      <c r="H4945">
        <v>5203198668</v>
      </c>
      <c r="J4945">
        <v>5208814096</v>
      </c>
      <c r="K4945" t="s">
        <v>12860</v>
      </c>
      <c r="L4945" t="s">
        <v>12861</v>
      </c>
      <c r="M4945" t="s">
        <v>1765</v>
      </c>
    </row>
    <row r="4946" spans="1:13" x14ac:dyDescent="0.25">
      <c r="A4946">
        <v>6340</v>
      </c>
      <c r="B4946" t="s">
        <v>12863</v>
      </c>
      <c r="C4946" t="s">
        <v>12864</v>
      </c>
      <c r="D4946" t="s">
        <v>2605</v>
      </c>
      <c r="E4946" t="s">
        <v>3494</v>
      </c>
      <c r="F4946" t="s">
        <v>1775</v>
      </c>
      <c r="G4946" t="s">
        <v>12859</v>
      </c>
      <c r="H4946">
        <v>5203198668</v>
      </c>
      <c r="J4946">
        <v>5208814096</v>
      </c>
      <c r="K4946" t="s">
        <v>12860</v>
      </c>
      <c r="L4946" t="s">
        <v>1640</v>
      </c>
      <c r="M4946" t="s">
        <v>1634</v>
      </c>
    </row>
    <row r="4947" spans="1:13" x14ac:dyDescent="0.25">
      <c r="A4947">
        <v>5869</v>
      </c>
      <c r="B4947" t="s">
        <v>12863</v>
      </c>
      <c r="C4947" t="s">
        <v>12865</v>
      </c>
      <c r="D4947" t="s">
        <v>2605</v>
      </c>
      <c r="E4947" t="s">
        <v>3494</v>
      </c>
      <c r="F4947" t="s">
        <v>12862</v>
      </c>
      <c r="G4947" t="s">
        <v>12859</v>
      </c>
      <c r="H4947">
        <v>5206228668</v>
      </c>
      <c r="J4947">
        <v>5206222067</v>
      </c>
      <c r="K4947" t="s">
        <v>12860</v>
      </c>
      <c r="L4947" t="s">
        <v>4663</v>
      </c>
      <c r="M4947" t="s">
        <v>1634</v>
      </c>
    </row>
    <row r="4948" spans="1:13" x14ac:dyDescent="0.25">
      <c r="A4948">
        <v>5869</v>
      </c>
      <c r="B4948" t="s">
        <v>12863</v>
      </c>
      <c r="C4948" t="s">
        <v>12865</v>
      </c>
      <c r="D4948" t="s">
        <v>2605</v>
      </c>
      <c r="E4948" t="s">
        <v>3494</v>
      </c>
      <c r="F4948" t="s">
        <v>1925</v>
      </c>
      <c r="G4948" t="s">
        <v>12866</v>
      </c>
      <c r="M4948" t="s">
        <v>1634</v>
      </c>
    </row>
    <row r="4949" spans="1:13" x14ac:dyDescent="0.25">
      <c r="A4949">
        <v>5869</v>
      </c>
      <c r="B4949" t="s">
        <v>12863</v>
      </c>
      <c r="C4949" t="s">
        <v>12865</v>
      </c>
      <c r="D4949" t="s">
        <v>2605</v>
      </c>
      <c r="E4949" t="s">
        <v>3494</v>
      </c>
      <c r="F4949" t="s">
        <v>1775</v>
      </c>
      <c r="G4949" t="s">
        <v>12859</v>
      </c>
      <c r="H4949">
        <v>5203198668</v>
      </c>
      <c r="J4949">
        <v>5205775461</v>
      </c>
      <c r="K4949" t="s">
        <v>12860</v>
      </c>
      <c r="L4949" t="s">
        <v>1640</v>
      </c>
      <c r="M4949" t="s">
        <v>1640</v>
      </c>
    </row>
    <row r="4950" spans="1:13" x14ac:dyDescent="0.25">
      <c r="A4950">
        <v>79880</v>
      </c>
      <c r="B4950" t="s">
        <v>923</v>
      </c>
      <c r="C4950" t="s">
        <v>12867</v>
      </c>
      <c r="D4950" t="s">
        <v>2596</v>
      </c>
      <c r="E4950" t="s">
        <v>3494</v>
      </c>
      <c r="F4950" t="s">
        <v>1679</v>
      </c>
      <c r="G4950" t="s">
        <v>8241</v>
      </c>
      <c r="H4950">
        <v>6029532933</v>
      </c>
      <c r="K4950" t="s">
        <v>9078</v>
      </c>
      <c r="L4950" t="s">
        <v>8045</v>
      </c>
      <c r="M4950" t="s">
        <v>1634</v>
      </c>
    </row>
    <row r="4951" spans="1:13" x14ac:dyDescent="0.25">
      <c r="A4951">
        <v>79880</v>
      </c>
      <c r="B4951" t="s">
        <v>923</v>
      </c>
      <c r="C4951" t="s">
        <v>12867</v>
      </c>
      <c r="D4951" t="s">
        <v>2596</v>
      </c>
      <c r="E4951" t="s">
        <v>3494</v>
      </c>
      <c r="F4951" t="s">
        <v>9634</v>
      </c>
      <c r="G4951" t="s">
        <v>3680</v>
      </c>
      <c r="K4951" t="s">
        <v>9635</v>
      </c>
      <c r="M4951" t="s">
        <v>1634</v>
      </c>
    </row>
    <row r="4952" spans="1:13" x14ac:dyDescent="0.25">
      <c r="A4952">
        <v>79880</v>
      </c>
      <c r="B4952" t="s">
        <v>923</v>
      </c>
      <c r="C4952" t="s">
        <v>12867</v>
      </c>
      <c r="D4952" t="s">
        <v>2596</v>
      </c>
      <c r="E4952" t="s">
        <v>3494</v>
      </c>
      <c r="F4952" t="s">
        <v>1750</v>
      </c>
      <c r="G4952" t="s">
        <v>4537</v>
      </c>
      <c r="H4952">
        <v>6029532933</v>
      </c>
      <c r="K4952" t="s">
        <v>9071</v>
      </c>
      <c r="L4952" t="s">
        <v>1746</v>
      </c>
      <c r="M4952" t="s">
        <v>1634</v>
      </c>
    </row>
    <row r="4953" spans="1:13" x14ac:dyDescent="0.25">
      <c r="A4953">
        <v>79880</v>
      </c>
      <c r="B4953" t="s">
        <v>923</v>
      </c>
      <c r="C4953" t="s">
        <v>12867</v>
      </c>
      <c r="D4953" t="s">
        <v>2596</v>
      </c>
      <c r="E4953" t="s">
        <v>3494</v>
      </c>
      <c r="F4953" t="s">
        <v>3570</v>
      </c>
      <c r="G4953" t="s">
        <v>5188</v>
      </c>
      <c r="K4953" t="s">
        <v>9636</v>
      </c>
      <c r="L4953" t="s">
        <v>9637</v>
      </c>
      <c r="M4953" t="s">
        <v>1640</v>
      </c>
    </row>
    <row r="4954" spans="1:13" x14ac:dyDescent="0.25">
      <c r="A4954">
        <v>79880</v>
      </c>
      <c r="B4954" t="s">
        <v>923</v>
      </c>
      <c r="C4954" t="s">
        <v>12867</v>
      </c>
      <c r="D4954" t="s">
        <v>2596</v>
      </c>
      <c r="E4954" t="s">
        <v>3494</v>
      </c>
      <c r="F4954" t="s">
        <v>1848</v>
      </c>
      <c r="G4954" t="s">
        <v>2927</v>
      </c>
      <c r="K4954" t="s">
        <v>8243</v>
      </c>
      <c r="M4954" t="s">
        <v>1765</v>
      </c>
    </row>
    <row r="4955" spans="1:13" x14ac:dyDescent="0.25">
      <c r="A4955">
        <v>6350</v>
      </c>
      <c r="B4955" t="s">
        <v>924</v>
      </c>
      <c r="C4955" t="s">
        <v>12868</v>
      </c>
      <c r="D4955" t="s">
        <v>2605</v>
      </c>
      <c r="E4955" t="s">
        <v>3494</v>
      </c>
      <c r="F4955" t="s">
        <v>3570</v>
      </c>
      <c r="G4955" t="s">
        <v>5188</v>
      </c>
      <c r="K4955" t="s">
        <v>8727</v>
      </c>
      <c r="M4955" t="s">
        <v>1640</v>
      </c>
    </row>
    <row r="4956" spans="1:13" x14ac:dyDescent="0.25">
      <c r="A4956">
        <v>6350</v>
      </c>
      <c r="B4956" t="s">
        <v>924</v>
      </c>
      <c r="C4956" t="s">
        <v>12868</v>
      </c>
      <c r="D4956" t="s">
        <v>2605</v>
      </c>
      <c r="E4956" t="s">
        <v>3494</v>
      </c>
      <c r="F4956" t="s">
        <v>2053</v>
      </c>
      <c r="G4956" t="s">
        <v>6310</v>
      </c>
      <c r="K4956" t="s">
        <v>9120</v>
      </c>
      <c r="L4956" t="s">
        <v>8731</v>
      </c>
      <c r="M4956" t="s">
        <v>1765</v>
      </c>
    </row>
    <row r="4957" spans="1:13" x14ac:dyDescent="0.25">
      <c r="A4957">
        <v>79881</v>
      </c>
      <c r="B4957" t="s">
        <v>779</v>
      </c>
      <c r="C4957" t="s">
        <v>12869</v>
      </c>
      <c r="D4957" t="s">
        <v>2596</v>
      </c>
      <c r="E4957" t="s">
        <v>3494</v>
      </c>
      <c r="F4957" t="s">
        <v>3303</v>
      </c>
      <c r="G4957" t="s">
        <v>12870</v>
      </c>
      <c r="K4957" t="s">
        <v>12871</v>
      </c>
      <c r="L4957" t="s">
        <v>1668</v>
      </c>
      <c r="M4957" t="s">
        <v>1634</v>
      </c>
    </row>
    <row r="4958" spans="1:13" x14ac:dyDescent="0.25">
      <c r="A4958">
        <v>79899</v>
      </c>
      <c r="B4958" t="s">
        <v>780</v>
      </c>
      <c r="C4958" t="s">
        <v>12872</v>
      </c>
      <c r="D4958" t="s">
        <v>2605</v>
      </c>
      <c r="E4958" t="s">
        <v>3494</v>
      </c>
      <c r="F4958" t="s">
        <v>3303</v>
      </c>
      <c r="G4958" t="s">
        <v>12870</v>
      </c>
      <c r="J4958">
        <v>5206247999</v>
      </c>
      <c r="K4958" t="s">
        <v>12871</v>
      </c>
      <c r="M4958" t="s">
        <v>1634</v>
      </c>
    </row>
    <row r="4959" spans="1:13" x14ac:dyDescent="0.25">
      <c r="A4959">
        <v>79947</v>
      </c>
      <c r="B4959" t="s">
        <v>1440</v>
      </c>
      <c r="C4959" t="s">
        <v>12873</v>
      </c>
      <c r="D4959" t="s">
        <v>2596</v>
      </c>
      <c r="E4959" t="s">
        <v>3494</v>
      </c>
      <c r="F4959" t="s">
        <v>12874</v>
      </c>
      <c r="G4959" t="s">
        <v>10089</v>
      </c>
      <c r="H4959">
        <v>5205450575</v>
      </c>
      <c r="K4959" t="s">
        <v>10090</v>
      </c>
      <c r="L4959" t="s">
        <v>1668</v>
      </c>
      <c r="M4959" t="s">
        <v>1634</v>
      </c>
    </row>
    <row r="4960" spans="1:13" x14ac:dyDescent="0.25">
      <c r="A4960">
        <v>79947</v>
      </c>
      <c r="B4960" t="s">
        <v>1440</v>
      </c>
      <c r="C4960" t="s">
        <v>12873</v>
      </c>
      <c r="D4960" t="s">
        <v>2596</v>
      </c>
      <c r="E4960" t="s">
        <v>3494</v>
      </c>
      <c r="F4960" t="s">
        <v>3462</v>
      </c>
      <c r="G4960" t="s">
        <v>6742</v>
      </c>
      <c r="H4960">
        <v>5207337373</v>
      </c>
      <c r="K4960" t="s">
        <v>12875</v>
      </c>
      <c r="L4960" t="s">
        <v>12876</v>
      </c>
      <c r="M4960" t="s">
        <v>1634</v>
      </c>
    </row>
    <row r="4961" spans="1:13" x14ac:dyDescent="0.25">
      <c r="A4961">
        <v>79947</v>
      </c>
      <c r="B4961" t="s">
        <v>1440</v>
      </c>
      <c r="C4961" t="s">
        <v>12873</v>
      </c>
      <c r="D4961" t="s">
        <v>2596</v>
      </c>
      <c r="E4961" t="s">
        <v>3494</v>
      </c>
      <c r="F4961" t="s">
        <v>4283</v>
      </c>
      <c r="G4961" t="s">
        <v>3063</v>
      </c>
      <c r="K4961" t="s">
        <v>10080</v>
      </c>
      <c r="L4961" t="s">
        <v>1668</v>
      </c>
      <c r="M4961" t="s">
        <v>1634</v>
      </c>
    </row>
    <row r="4962" spans="1:13" x14ac:dyDescent="0.25">
      <c r="A4962">
        <v>79947</v>
      </c>
      <c r="B4962" t="s">
        <v>1440</v>
      </c>
      <c r="C4962" t="s">
        <v>12873</v>
      </c>
      <c r="D4962" t="s">
        <v>2596</v>
      </c>
      <c r="E4962" t="s">
        <v>3494</v>
      </c>
      <c r="F4962" t="s">
        <v>1679</v>
      </c>
      <c r="G4962" t="s">
        <v>10623</v>
      </c>
      <c r="K4962" t="s">
        <v>10624</v>
      </c>
      <c r="L4962" t="s">
        <v>1640</v>
      </c>
      <c r="M4962" t="s">
        <v>1640</v>
      </c>
    </row>
    <row r="4963" spans="1:13" x14ac:dyDescent="0.25">
      <c r="A4963">
        <v>79947</v>
      </c>
      <c r="B4963" t="s">
        <v>1440</v>
      </c>
      <c r="C4963" t="s">
        <v>12873</v>
      </c>
      <c r="D4963" t="s">
        <v>2596</v>
      </c>
      <c r="E4963" t="s">
        <v>3494</v>
      </c>
      <c r="F4963" t="s">
        <v>4283</v>
      </c>
      <c r="G4963" t="s">
        <v>3063</v>
      </c>
      <c r="K4963" t="s">
        <v>10080</v>
      </c>
      <c r="L4963" t="s">
        <v>1668</v>
      </c>
      <c r="M4963" t="s">
        <v>1640</v>
      </c>
    </row>
    <row r="4964" spans="1:13" x14ac:dyDescent="0.25">
      <c r="A4964">
        <v>79950</v>
      </c>
      <c r="B4964" t="s">
        <v>12877</v>
      </c>
      <c r="C4964" t="s">
        <v>12878</v>
      </c>
      <c r="D4964" t="s">
        <v>2605</v>
      </c>
      <c r="E4964" t="s">
        <v>3494</v>
      </c>
      <c r="F4964" t="s">
        <v>4283</v>
      </c>
      <c r="G4964" t="s">
        <v>3063</v>
      </c>
      <c r="J4964">
        <v>5202025835</v>
      </c>
      <c r="K4964" t="s">
        <v>10080</v>
      </c>
      <c r="L4964" t="s">
        <v>1668</v>
      </c>
      <c r="M4964" t="s">
        <v>1634</v>
      </c>
    </row>
    <row r="4965" spans="1:13" x14ac:dyDescent="0.25">
      <c r="A4965">
        <v>79950</v>
      </c>
      <c r="B4965" t="s">
        <v>12877</v>
      </c>
      <c r="C4965" t="s">
        <v>12878</v>
      </c>
      <c r="D4965" t="s">
        <v>2605</v>
      </c>
      <c r="E4965" t="s">
        <v>3494</v>
      </c>
      <c r="F4965" t="s">
        <v>12879</v>
      </c>
      <c r="G4965" t="s">
        <v>10623</v>
      </c>
      <c r="H4965">
        <v>5207214205</v>
      </c>
      <c r="J4965">
        <v>5207214263</v>
      </c>
      <c r="K4965" t="s">
        <v>12880</v>
      </c>
      <c r="L4965" t="s">
        <v>1738</v>
      </c>
      <c r="M4965" t="s">
        <v>1634</v>
      </c>
    </row>
    <row r="4966" spans="1:13" x14ac:dyDescent="0.25">
      <c r="A4966">
        <v>79950</v>
      </c>
      <c r="B4966" t="s">
        <v>12877</v>
      </c>
      <c r="C4966" t="s">
        <v>12878</v>
      </c>
      <c r="D4966" t="s">
        <v>2605</v>
      </c>
      <c r="E4966" t="s">
        <v>3494</v>
      </c>
      <c r="F4966" t="s">
        <v>12881</v>
      </c>
      <c r="G4966" t="s">
        <v>12882</v>
      </c>
      <c r="H4966">
        <v>5207214205</v>
      </c>
      <c r="K4966" t="s">
        <v>12883</v>
      </c>
      <c r="M4966" t="s">
        <v>1634</v>
      </c>
    </row>
    <row r="4967" spans="1:13" x14ac:dyDescent="0.25">
      <c r="A4967">
        <v>79950</v>
      </c>
      <c r="B4967" t="s">
        <v>12877</v>
      </c>
      <c r="C4967" t="s">
        <v>12878</v>
      </c>
      <c r="D4967" t="s">
        <v>2605</v>
      </c>
      <c r="E4967" t="s">
        <v>3494</v>
      </c>
      <c r="F4967" t="s">
        <v>4283</v>
      </c>
      <c r="G4967" t="s">
        <v>3063</v>
      </c>
      <c r="J4967">
        <v>5202025835</v>
      </c>
      <c r="K4967" t="s">
        <v>10080</v>
      </c>
      <c r="L4967" t="s">
        <v>1668</v>
      </c>
      <c r="M4967" t="s">
        <v>1640</v>
      </c>
    </row>
    <row r="4968" spans="1:13" x14ac:dyDescent="0.25">
      <c r="A4968">
        <v>81187</v>
      </c>
      <c r="B4968" t="s">
        <v>12884</v>
      </c>
      <c r="C4968" t="s">
        <v>12885</v>
      </c>
      <c r="D4968" t="s">
        <v>2605</v>
      </c>
      <c r="E4968" t="s">
        <v>3494</v>
      </c>
      <c r="F4968" t="s">
        <v>2814</v>
      </c>
      <c r="G4968" t="s">
        <v>12886</v>
      </c>
      <c r="K4968" t="s">
        <v>12887</v>
      </c>
      <c r="L4968" t="s">
        <v>1796</v>
      </c>
      <c r="M4968" t="s">
        <v>1634</v>
      </c>
    </row>
    <row r="4969" spans="1:13" x14ac:dyDescent="0.25">
      <c r="A4969">
        <v>91805</v>
      </c>
      <c r="B4969" t="s">
        <v>1441</v>
      </c>
      <c r="C4969" t="s">
        <v>12888</v>
      </c>
      <c r="D4969" t="s">
        <v>2605</v>
      </c>
      <c r="E4969" t="s">
        <v>3494</v>
      </c>
      <c r="F4969" t="s">
        <v>3303</v>
      </c>
      <c r="G4969" t="s">
        <v>12889</v>
      </c>
      <c r="K4969" t="s">
        <v>12890</v>
      </c>
      <c r="L4969" t="s">
        <v>1647</v>
      </c>
      <c r="M4969" t="s">
        <v>1634</v>
      </c>
    </row>
    <row r="4970" spans="1:13" x14ac:dyDescent="0.25">
      <c r="A4970">
        <v>91805</v>
      </c>
      <c r="B4970" t="s">
        <v>1441</v>
      </c>
      <c r="C4970" t="s">
        <v>12888</v>
      </c>
      <c r="D4970" t="s">
        <v>2605</v>
      </c>
      <c r="E4970" t="s">
        <v>3494</v>
      </c>
      <c r="F4970" t="s">
        <v>4283</v>
      </c>
      <c r="G4970" t="s">
        <v>3063</v>
      </c>
      <c r="K4970" t="s">
        <v>10080</v>
      </c>
      <c r="M4970" t="s">
        <v>1634</v>
      </c>
    </row>
    <row r="4971" spans="1:13" x14ac:dyDescent="0.25">
      <c r="A4971">
        <v>79959</v>
      </c>
      <c r="B4971" t="s">
        <v>12891</v>
      </c>
      <c r="C4971" t="s">
        <v>12892</v>
      </c>
      <c r="D4971" t="s">
        <v>2596</v>
      </c>
      <c r="E4971" t="s">
        <v>3494</v>
      </c>
      <c r="F4971" t="s">
        <v>4911</v>
      </c>
      <c r="G4971" t="s">
        <v>12730</v>
      </c>
      <c r="H4971">
        <v>5202630261</v>
      </c>
      <c r="K4971" t="s">
        <v>12731</v>
      </c>
      <c r="L4971" t="s">
        <v>1668</v>
      </c>
      <c r="M4971" t="s">
        <v>1634</v>
      </c>
    </row>
    <row r="4972" spans="1:13" x14ac:dyDescent="0.25">
      <c r="A4972">
        <v>79959</v>
      </c>
      <c r="B4972" t="s">
        <v>12891</v>
      </c>
      <c r="C4972" t="s">
        <v>12892</v>
      </c>
      <c r="D4972" t="s">
        <v>2596</v>
      </c>
      <c r="E4972" t="s">
        <v>3494</v>
      </c>
      <c r="F4972" t="s">
        <v>2023</v>
      </c>
      <c r="G4972" t="s">
        <v>2506</v>
      </c>
      <c r="H4972">
        <v>5209286908</v>
      </c>
      <c r="L4972" t="s">
        <v>1640</v>
      </c>
      <c r="M4972" t="s">
        <v>1640</v>
      </c>
    </row>
    <row r="4973" spans="1:13" x14ac:dyDescent="0.25">
      <c r="A4973">
        <v>79959</v>
      </c>
      <c r="B4973" t="s">
        <v>12891</v>
      </c>
      <c r="C4973" t="s">
        <v>12892</v>
      </c>
      <c r="D4973" t="s">
        <v>2596</v>
      </c>
      <c r="E4973" t="s">
        <v>3494</v>
      </c>
      <c r="F4973" t="s">
        <v>2610</v>
      </c>
      <c r="G4973" t="s">
        <v>12893</v>
      </c>
      <c r="H4973">
        <v>5207923293</v>
      </c>
      <c r="M4973" t="s">
        <v>1640</v>
      </c>
    </row>
    <row r="4974" spans="1:13" x14ac:dyDescent="0.25">
      <c r="A4974">
        <v>92994</v>
      </c>
      <c r="B4974" t="s">
        <v>12894</v>
      </c>
      <c r="C4974" t="s">
        <v>12895</v>
      </c>
      <c r="D4974" t="s">
        <v>2605</v>
      </c>
      <c r="E4974" t="s">
        <v>3494</v>
      </c>
      <c r="F4974" t="s">
        <v>12896</v>
      </c>
      <c r="G4974" t="s">
        <v>12897</v>
      </c>
      <c r="H4974">
        <v>5207912711</v>
      </c>
      <c r="K4974" t="s">
        <v>12898</v>
      </c>
      <c r="L4974" t="s">
        <v>1668</v>
      </c>
      <c r="M4974" t="s">
        <v>1634</v>
      </c>
    </row>
    <row r="4975" spans="1:13" x14ac:dyDescent="0.25">
      <c r="A4975">
        <v>79960</v>
      </c>
      <c r="B4975" t="s">
        <v>12899</v>
      </c>
      <c r="C4975" t="s">
        <v>12900</v>
      </c>
      <c r="D4975" t="s">
        <v>2605</v>
      </c>
      <c r="E4975" t="s">
        <v>3494</v>
      </c>
      <c r="F4975" t="s">
        <v>2085</v>
      </c>
      <c r="G4975" t="s">
        <v>12901</v>
      </c>
      <c r="H4975">
        <v>5209171445</v>
      </c>
      <c r="I4975" t="s">
        <v>1637</v>
      </c>
      <c r="J4975">
        <v>5203262527</v>
      </c>
      <c r="K4975" t="s">
        <v>12902</v>
      </c>
      <c r="L4975" t="s">
        <v>12903</v>
      </c>
      <c r="M4975" t="s">
        <v>1640</v>
      </c>
    </row>
    <row r="4976" spans="1:13" x14ac:dyDescent="0.25">
      <c r="A4976">
        <v>79960</v>
      </c>
      <c r="B4976" t="s">
        <v>12899</v>
      </c>
      <c r="C4976" t="s">
        <v>12900</v>
      </c>
      <c r="D4976" t="s">
        <v>2605</v>
      </c>
      <c r="E4976" t="s">
        <v>3494</v>
      </c>
      <c r="F4976" t="s">
        <v>12904</v>
      </c>
      <c r="G4976" t="s">
        <v>12905</v>
      </c>
      <c r="K4976" t="s">
        <v>12906</v>
      </c>
      <c r="M4976" t="s">
        <v>1640</v>
      </c>
    </row>
    <row r="4977" spans="1:13" x14ac:dyDescent="0.25">
      <c r="A4977">
        <v>79961</v>
      </c>
      <c r="B4977" t="s">
        <v>8467</v>
      </c>
      <c r="C4977" t="s">
        <v>12907</v>
      </c>
      <c r="D4977" t="s">
        <v>2596</v>
      </c>
      <c r="E4977" t="s">
        <v>3494</v>
      </c>
      <c r="F4977" t="s">
        <v>1750</v>
      </c>
      <c r="G4977" t="s">
        <v>8307</v>
      </c>
      <c r="H4977">
        <v>6028875392</v>
      </c>
      <c r="K4977" t="s">
        <v>12908</v>
      </c>
      <c r="L4977" t="s">
        <v>8309</v>
      </c>
      <c r="M4977" t="s">
        <v>1634</v>
      </c>
    </row>
    <row r="4978" spans="1:13" x14ac:dyDescent="0.25">
      <c r="A4978">
        <v>79961</v>
      </c>
      <c r="B4978" t="s">
        <v>8467</v>
      </c>
      <c r="C4978" t="s">
        <v>12907</v>
      </c>
      <c r="D4978" t="s">
        <v>2596</v>
      </c>
      <c r="E4978" t="s">
        <v>3494</v>
      </c>
      <c r="F4978" t="s">
        <v>2027</v>
      </c>
      <c r="G4978" t="s">
        <v>8310</v>
      </c>
      <c r="H4978">
        <v>5208875392</v>
      </c>
      <c r="I4978">
        <v>1004</v>
      </c>
      <c r="K4978" t="s">
        <v>8311</v>
      </c>
      <c r="L4978" t="s">
        <v>8309</v>
      </c>
      <c r="M4978" t="s">
        <v>1634</v>
      </c>
    </row>
    <row r="4979" spans="1:13" x14ac:dyDescent="0.25">
      <c r="A4979">
        <v>79961</v>
      </c>
      <c r="B4979" t="s">
        <v>8467</v>
      </c>
      <c r="C4979" t="s">
        <v>12907</v>
      </c>
      <c r="D4979" t="s">
        <v>2596</v>
      </c>
      <c r="E4979" t="s">
        <v>3494</v>
      </c>
      <c r="F4979" t="s">
        <v>2587</v>
      </c>
      <c r="G4979" t="s">
        <v>8317</v>
      </c>
      <c r="H4979">
        <v>5208875392</v>
      </c>
      <c r="I4979">
        <v>11039</v>
      </c>
      <c r="K4979" t="s">
        <v>8318</v>
      </c>
      <c r="L4979" t="s">
        <v>2696</v>
      </c>
      <c r="M4979" t="s">
        <v>1634</v>
      </c>
    </row>
    <row r="4980" spans="1:13" x14ac:dyDescent="0.25">
      <c r="A4980">
        <v>79961</v>
      </c>
      <c r="B4980" t="s">
        <v>8467</v>
      </c>
      <c r="C4980" t="s">
        <v>12907</v>
      </c>
      <c r="D4980" t="s">
        <v>2596</v>
      </c>
      <c r="E4980" t="s">
        <v>3494</v>
      </c>
      <c r="F4980" t="s">
        <v>6345</v>
      </c>
      <c r="G4980" t="s">
        <v>2162</v>
      </c>
      <c r="H4980">
        <v>5208875392</v>
      </c>
      <c r="K4980" t="s">
        <v>8474</v>
      </c>
      <c r="L4980" t="s">
        <v>1668</v>
      </c>
      <c r="M4980" t="s">
        <v>1634</v>
      </c>
    </row>
    <row r="4981" spans="1:13" x14ac:dyDescent="0.25">
      <c r="A4981">
        <v>79961</v>
      </c>
      <c r="B4981" t="s">
        <v>8467</v>
      </c>
      <c r="C4981" t="s">
        <v>12907</v>
      </c>
      <c r="D4981" t="s">
        <v>2596</v>
      </c>
      <c r="E4981" t="s">
        <v>3494</v>
      </c>
      <c r="F4981" t="s">
        <v>1931</v>
      </c>
      <c r="G4981" t="s">
        <v>12909</v>
      </c>
      <c r="H4981">
        <v>5202932676</v>
      </c>
      <c r="K4981" t="s">
        <v>12910</v>
      </c>
      <c r="L4981" t="s">
        <v>1647</v>
      </c>
      <c r="M4981" t="s">
        <v>1634</v>
      </c>
    </row>
    <row r="4982" spans="1:13" x14ac:dyDescent="0.25">
      <c r="A4982">
        <v>79094</v>
      </c>
      <c r="B4982" t="s">
        <v>12911</v>
      </c>
      <c r="C4982" t="s">
        <v>12912</v>
      </c>
      <c r="D4982" t="s">
        <v>2605</v>
      </c>
      <c r="E4982" t="s">
        <v>3494</v>
      </c>
      <c r="F4982" t="s">
        <v>12913</v>
      </c>
      <c r="G4982" t="s">
        <v>8307</v>
      </c>
      <c r="H4982">
        <v>5202932676</v>
      </c>
      <c r="J4982">
        <v>5208881732</v>
      </c>
      <c r="K4982" t="s">
        <v>12914</v>
      </c>
      <c r="L4982" t="s">
        <v>3124</v>
      </c>
      <c r="M4982" t="s">
        <v>1634</v>
      </c>
    </row>
    <row r="4983" spans="1:13" x14ac:dyDescent="0.25">
      <c r="A4983">
        <v>79094</v>
      </c>
      <c r="B4983" t="s">
        <v>12911</v>
      </c>
      <c r="C4983" t="s">
        <v>12912</v>
      </c>
      <c r="D4983" t="s">
        <v>2605</v>
      </c>
      <c r="E4983" t="s">
        <v>3494</v>
      </c>
      <c r="F4983" t="s">
        <v>3193</v>
      </c>
      <c r="G4983" t="s">
        <v>11062</v>
      </c>
      <c r="H4983">
        <v>5202932676</v>
      </c>
      <c r="M4983" t="s">
        <v>1640</v>
      </c>
    </row>
    <row r="4984" spans="1:13" x14ac:dyDescent="0.25">
      <c r="A4984">
        <v>79979</v>
      </c>
      <c r="B4984" t="s">
        <v>1427</v>
      </c>
      <c r="C4984" t="s">
        <v>12915</v>
      </c>
      <c r="D4984" t="s">
        <v>2596</v>
      </c>
      <c r="E4984" t="s">
        <v>3494</v>
      </c>
      <c r="F4984" t="s">
        <v>1779</v>
      </c>
      <c r="G4984" t="s">
        <v>2331</v>
      </c>
      <c r="H4984">
        <v>5207923255</v>
      </c>
      <c r="J4984">
        <v>5207923245</v>
      </c>
      <c r="K4984" t="s">
        <v>12916</v>
      </c>
      <c r="L4984" t="s">
        <v>12917</v>
      </c>
      <c r="M4984" t="s">
        <v>1634</v>
      </c>
    </row>
    <row r="4985" spans="1:13" x14ac:dyDescent="0.25">
      <c r="A4985">
        <v>79979</v>
      </c>
      <c r="B4985" t="s">
        <v>1427</v>
      </c>
      <c r="C4985" t="s">
        <v>12915</v>
      </c>
      <c r="D4985" t="s">
        <v>2596</v>
      </c>
      <c r="E4985" t="s">
        <v>3494</v>
      </c>
      <c r="F4985" t="s">
        <v>2053</v>
      </c>
      <c r="G4985" t="s">
        <v>7989</v>
      </c>
      <c r="H4985">
        <v>4806504924</v>
      </c>
      <c r="K4985" t="s">
        <v>12918</v>
      </c>
      <c r="M4985" t="s">
        <v>1640</v>
      </c>
    </row>
    <row r="4986" spans="1:13" x14ac:dyDescent="0.25">
      <c r="A4986">
        <v>79980</v>
      </c>
      <c r="B4986" t="s">
        <v>12919</v>
      </c>
      <c r="C4986" t="s">
        <v>12920</v>
      </c>
      <c r="D4986" t="s">
        <v>2605</v>
      </c>
      <c r="E4986" t="s">
        <v>3494</v>
      </c>
      <c r="F4986" t="s">
        <v>1779</v>
      </c>
      <c r="G4986" t="s">
        <v>2331</v>
      </c>
      <c r="H4986">
        <v>5207923255</v>
      </c>
      <c r="J4986">
        <v>5207923245</v>
      </c>
      <c r="K4986" t="s">
        <v>12921</v>
      </c>
      <c r="M4986" t="s">
        <v>1634</v>
      </c>
    </row>
    <row r="4987" spans="1:13" x14ac:dyDescent="0.25">
      <c r="A4987">
        <v>84297</v>
      </c>
      <c r="B4987" t="s">
        <v>12922</v>
      </c>
      <c r="C4987" t="s">
        <v>12923</v>
      </c>
      <c r="D4987" t="s">
        <v>2605</v>
      </c>
      <c r="E4987" t="s">
        <v>3494</v>
      </c>
      <c r="F4987" t="s">
        <v>1779</v>
      </c>
      <c r="G4987" t="s">
        <v>2331</v>
      </c>
      <c r="H4987">
        <v>5207923255</v>
      </c>
      <c r="J4987">
        <v>5207923245</v>
      </c>
      <c r="K4987" t="s">
        <v>12921</v>
      </c>
      <c r="M4987" t="s">
        <v>1634</v>
      </c>
    </row>
    <row r="4988" spans="1:13" x14ac:dyDescent="0.25">
      <c r="A4988">
        <v>90044</v>
      </c>
      <c r="B4988" t="s">
        <v>12924</v>
      </c>
      <c r="C4988" t="s">
        <v>12925</v>
      </c>
      <c r="D4988" t="s">
        <v>2605</v>
      </c>
      <c r="E4988" t="s">
        <v>3494</v>
      </c>
    </row>
    <row r="4989" spans="1:13" x14ac:dyDescent="0.25">
      <c r="A4989">
        <v>90045</v>
      </c>
      <c r="B4989" t="s">
        <v>1428</v>
      </c>
      <c r="C4989" t="s">
        <v>12926</v>
      </c>
      <c r="D4989" t="s">
        <v>2605</v>
      </c>
      <c r="E4989" t="s">
        <v>3494</v>
      </c>
    </row>
    <row r="4990" spans="1:13" x14ac:dyDescent="0.25">
      <c r="A4990">
        <v>81029</v>
      </c>
      <c r="B4990" t="s">
        <v>12927</v>
      </c>
      <c r="C4990" t="s">
        <v>12928</v>
      </c>
      <c r="D4990" t="s">
        <v>2596</v>
      </c>
      <c r="E4990" t="s">
        <v>3494</v>
      </c>
      <c r="F4990" t="s">
        <v>1943</v>
      </c>
      <c r="G4990" t="s">
        <v>12778</v>
      </c>
      <c r="H4990">
        <v>5207974884</v>
      </c>
      <c r="K4990" t="s">
        <v>12779</v>
      </c>
      <c r="L4990" t="s">
        <v>8309</v>
      </c>
      <c r="M4990" t="s">
        <v>1634</v>
      </c>
    </row>
    <row r="4991" spans="1:13" x14ac:dyDescent="0.25">
      <c r="A4991">
        <v>81029</v>
      </c>
      <c r="B4991" t="s">
        <v>12927</v>
      </c>
      <c r="C4991" t="s">
        <v>12928</v>
      </c>
      <c r="D4991" t="s">
        <v>2596</v>
      </c>
      <c r="E4991" t="s">
        <v>3494</v>
      </c>
      <c r="F4991" t="s">
        <v>2587</v>
      </c>
      <c r="G4991" t="s">
        <v>3356</v>
      </c>
      <c r="H4991">
        <v>5207974884</v>
      </c>
      <c r="I4991">
        <v>1107</v>
      </c>
      <c r="K4991" t="s">
        <v>12774</v>
      </c>
      <c r="M4991" t="s">
        <v>1634</v>
      </c>
    </row>
    <row r="4992" spans="1:13" x14ac:dyDescent="0.25">
      <c r="A4992">
        <v>81030</v>
      </c>
      <c r="B4992" t="s">
        <v>12929</v>
      </c>
      <c r="C4992" t="s">
        <v>12930</v>
      </c>
      <c r="D4992" t="s">
        <v>2605</v>
      </c>
      <c r="E4992" t="s">
        <v>3494</v>
      </c>
      <c r="F4992" t="s">
        <v>2587</v>
      </c>
      <c r="G4992" t="s">
        <v>3356</v>
      </c>
      <c r="H4992">
        <v>5205145112</v>
      </c>
      <c r="J4992">
        <v>5207978868</v>
      </c>
      <c r="K4992" t="s">
        <v>12931</v>
      </c>
      <c r="M4992" t="s">
        <v>1634</v>
      </c>
    </row>
    <row r="4993" spans="1:13" x14ac:dyDescent="0.25">
      <c r="A4993">
        <v>605648</v>
      </c>
      <c r="B4993" t="s">
        <v>12932</v>
      </c>
      <c r="C4993" t="s">
        <v>12933</v>
      </c>
      <c r="D4993" t="s">
        <v>2605</v>
      </c>
      <c r="E4993" t="s">
        <v>3494</v>
      </c>
      <c r="F4993" t="s">
        <v>1943</v>
      </c>
      <c r="G4993" t="s">
        <v>12778</v>
      </c>
      <c r="H4993">
        <v>5207974884</v>
      </c>
      <c r="K4993" t="s">
        <v>12779</v>
      </c>
      <c r="M4993" t="s">
        <v>1634</v>
      </c>
    </row>
    <row r="4994" spans="1:13" x14ac:dyDescent="0.25">
      <c r="A4994">
        <v>81123</v>
      </c>
      <c r="B4994" t="s">
        <v>12934</v>
      </c>
      <c r="C4994" t="s">
        <v>12935</v>
      </c>
      <c r="D4994" t="s">
        <v>2596</v>
      </c>
      <c r="E4994" t="s">
        <v>3494</v>
      </c>
    </row>
    <row r="4995" spans="1:13" x14ac:dyDescent="0.25">
      <c r="A4995">
        <v>87415</v>
      </c>
      <c r="B4995" t="s">
        <v>12936</v>
      </c>
      <c r="C4995" t="s">
        <v>12937</v>
      </c>
      <c r="D4995" t="s">
        <v>2605</v>
      </c>
      <c r="E4995" t="s">
        <v>3494</v>
      </c>
      <c r="F4995" t="s">
        <v>8849</v>
      </c>
      <c r="G4995" t="s">
        <v>12724</v>
      </c>
      <c r="J4995">
        <v>5207214472</v>
      </c>
      <c r="K4995" t="s">
        <v>12938</v>
      </c>
      <c r="M4995" t="s">
        <v>1634</v>
      </c>
    </row>
    <row r="4996" spans="1:13" x14ac:dyDescent="0.25">
      <c r="A4996">
        <v>85454</v>
      </c>
      <c r="B4996" t="s">
        <v>12939</v>
      </c>
      <c r="C4996" t="s">
        <v>12940</v>
      </c>
      <c r="D4996" t="s">
        <v>2596</v>
      </c>
      <c r="E4996" t="s">
        <v>3494</v>
      </c>
      <c r="F4996" t="s">
        <v>4273</v>
      </c>
      <c r="G4996" t="s">
        <v>12941</v>
      </c>
      <c r="H4996">
        <v>5208874003</v>
      </c>
      <c r="K4996" t="s">
        <v>12942</v>
      </c>
      <c r="L4996" t="s">
        <v>9474</v>
      </c>
      <c r="M4996" t="s">
        <v>1634</v>
      </c>
    </row>
    <row r="4997" spans="1:13" x14ac:dyDescent="0.25">
      <c r="A4997">
        <v>85454</v>
      </c>
      <c r="B4997" t="s">
        <v>12939</v>
      </c>
      <c r="C4997" t="s">
        <v>12940</v>
      </c>
      <c r="D4997" t="s">
        <v>2596</v>
      </c>
      <c r="E4997" t="s">
        <v>3494</v>
      </c>
      <c r="F4997" t="s">
        <v>3193</v>
      </c>
      <c r="G4997" t="s">
        <v>5147</v>
      </c>
      <c r="H4997">
        <v>5204088075</v>
      </c>
      <c r="J4997">
        <v>5202937020</v>
      </c>
      <c r="K4997" t="s">
        <v>12943</v>
      </c>
      <c r="L4997" t="s">
        <v>1640</v>
      </c>
      <c r="M4997" t="s">
        <v>1640</v>
      </c>
    </row>
    <row r="4998" spans="1:13" x14ac:dyDescent="0.25">
      <c r="A4998">
        <v>85454</v>
      </c>
      <c r="B4998" t="s">
        <v>12939</v>
      </c>
      <c r="C4998" t="s">
        <v>12940</v>
      </c>
      <c r="D4998" t="s">
        <v>2596</v>
      </c>
      <c r="E4998" t="s">
        <v>3494</v>
      </c>
      <c r="F4998" t="s">
        <v>4273</v>
      </c>
      <c r="G4998" t="s">
        <v>12941</v>
      </c>
      <c r="H4998">
        <v>5208874003</v>
      </c>
      <c r="K4998" t="s">
        <v>12942</v>
      </c>
      <c r="L4998" t="s">
        <v>9474</v>
      </c>
      <c r="M4998" t="s">
        <v>1640</v>
      </c>
    </row>
    <row r="4999" spans="1:13" x14ac:dyDescent="0.25">
      <c r="A4999">
        <v>85454</v>
      </c>
      <c r="B4999" t="s">
        <v>12939</v>
      </c>
      <c r="C4999" t="s">
        <v>12940</v>
      </c>
      <c r="D4999" t="s">
        <v>2596</v>
      </c>
      <c r="E4999" t="s">
        <v>3494</v>
      </c>
      <c r="F4999" t="s">
        <v>3193</v>
      </c>
      <c r="G4999" t="s">
        <v>5147</v>
      </c>
      <c r="H4999">
        <v>5204088075</v>
      </c>
      <c r="J4999">
        <v>5202937020</v>
      </c>
      <c r="K4999" t="s">
        <v>12943</v>
      </c>
      <c r="L4999" t="s">
        <v>1640</v>
      </c>
      <c r="M4999" t="s">
        <v>1765</v>
      </c>
    </row>
    <row r="5000" spans="1:13" x14ac:dyDescent="0.25">
      <c r="A5000">
        <v>85455</v>
      </c>
      <c r="B5000" t="s">
        <v>12944</v>
      </c>
      <c r="C5000" t="s">
        <v>12945</v>
      </c>
      <c r="D5000" t="s">
        <v>2605</v>
      </c>
      <c r="E5000" t="s">
        <v>3494</v>
      </c>
      <c r="F5000" t="s">
        <v>4273</v>
      </c>
      <c r="G5000" t="s">
        <v>12941</v>
      </c>
      <c r="L5000" t="s">
        <v>10362</v>
      </c>
      <c r="M5000" t="s">
        <v>1634</v>
      </c>
    </row>
    <row r="5001" spans="1:13" x14ac:dyDescent="0.25">
      <c r="A5001">
        <v>85448</v>
      </c>
      <c r="B5001" t="s">
        <v>12946</v>
      </c>
      <c r="C5001" t="s">
        <v>12947</v>
      </c>
      <c r="D5001" t="s">
        <v>2596</v>
      </c>
      <c r="E5001" t="s">
        <v>3494</v>
      </c>
      <c r="F5001" t="s">
        <v>1943</v>
      </c>
      <c r="G5001" t="s">
        <v>12948</v>
      </c>
      <c r="H5001">
        <v>3123107921</v>
      </c>
      <c r="K5001" t="s">
        <v>12949</v>
      </c>
      <c r="L5001" t="s">
        <v>3043</v>
      </c>
      <c r="M5001" t="s">
        <v>1634</v>
      </c>
    </row>
    <row r="5002" spans="1:13" x14ac:dyDescent="0.25">
      <c r="A5002">
        <v>85448</v>
      </c>
      <c r="B5002" t="s">
        <v>12946</v>
      </c>
      <c r="C5002" t="s">
        <v>12947</v>
      </c>
      <c r="D5002" t="s">
        <v>2596</v>
      </c>
      <c r="E5002" t="s">
        <v>3494</v>
      </c>
      <c r="F5002" t="s">
        <v>3345</v>
      </c>
      <c r="G5002" t="s">
        <v>10657</v>
      </c>
      <c r="K5002" t="s">
        <v>12950</v>
      </c>
      <c r="L5002" t="s">
        <v>2584</v>
      </c>
      <c r="M5002" t="s">
        <v>1634</v>
      </c>
    </row>
    <row r="5003" spans="1:13" x14ac:dyDescent="0.25">
      <c r="A5003">
        <v>85448</v>
      </c>
      <c r="B5003" t="s">
        <v>12946</v>
      </c>
      <c r="C5003" t="s">
        <v>12947</v>
      </c>
      <c r="D5003" t="s">
        <v>2596</v>
      </c>
      <c r="E5003" t="s">
        <v>3494</v>
      </c>
      <c r="F5003" t="s">
        <v>2261</v>
      </c>
      <c r="G5003" t="s">
        <v>1708</v>
      </c>
      <c r="H5003">
        <v>2092139681</v>
      </c>
      <c r="K5003" t="s">
        <v>12951</v>
      </c>
      <c r="M5003" t="s">
        <v>1634</v>
      </c>
    </row>
    <row r="5004" spans="1:13" x14ac:dyDescent="0.25">
      <c r="A5004">
        <v>85448</v>
      </c>
      <c r="B5004" t="s">
        <v>12946</v>
      </c>
      <c r="C5004" t="s">
        <v>12947</v>
      </c>
      <c r="D5004" t="s">
        <v>2596</v>
      </c>
      <c r="E5004" t="s">
        <v>3494</v>
      </c>
      <c r="F5004" t="s">
        <v>12952</v>
      </c>
      <c r="G5004" t="s">
        <v>12953</v>
      </c>
      <c r="H5004">
        <v>5206237223</v>
      </c>
      <c r="K5004" t="s">
        <v>12954</v>
      </c>
      <c r="L5004" t="s">
        <v>12955</v>
      </c>
      <c r="M5004" t="s">
        <v>1640</v>
      </c>
    </row>
    <row r="5005" spans="1:13" x14ac:dyDescent="0.25">
      <c r="A5005">
        <v>85448</v>
      </c>
      <c r="B5005" t="s">
        <v>12946</v>
      </c>
      <c r="C5005" t="s">
        <v>12947</v>
      </c>
      <c r="D5005" t="s">
        <v>2596</v>
      </c>
      <c r="E5005" t="s">
        <v>3494</v>
      </c>
      <c r="F5005" t="s">
        <v>3720</v>
      </c>
      <c r="G5005" t="s">
        <v>12956</v>
      </c>
      <c r="H5005">
        <v>5206237223</v>
      </c>
      <c r="I5005">
        <v>220</v>
      </c>
      <c r="K5005" t="s">
        <v>12957</v>
      </c>
      <c r="L5005" t="s">
        <v>8286</v>
      </c>
      <c r="M5005" t="s">
        <v>1640</v>
      </c>
    </row>
    <row r="5006" spans="1:13" x14ac:dyDescent="0.25">
      <c r="A5006">
        <v>85448</v>
      </c>
      <c r="B5006" t="s">
        <v>12946</v>
      </c>
      <c r="C5006" t="s">
        <v>12947</v>
      </c>
      <c r="D5006" t="s">
        <v>2596</v>
      </c>
      <c r="E5006" t="s">
        <v>3494</v>
      </c>
      <c r="F5006" t="s">
        <v>7224</v>
      </c>
      <c r="G5006" t="s">
        <v>12958</v>
      </c>
      <c r="K5006" t="s">
        <v>12959</v>
      </c>
      <c r="L5006" t="s">
        <v>2358</v>
      </c>
      <c r="M5006" t="s">
        <v>1640</v>
      </c>
    </row>
    <row r="5007" spans="1:13" x14ac:dyDescent="0.25">
      <c r="A5007">
        <v>87441</v>
      </c>
      <c r="B5007" t="s">
        <v>12960</v>
      </c>
      <c r="C5007" t="s">
        <v>12961</v>
      </c>
      <c r="D5007" t="s">
        <v>2605</v>
      </c>
      <c r="E5007" t="s">
        <v>3494</v>
      </c>
      <c r="F5007" t="s">
        <v>12962</v>
      </c>
      <c r="G5007" t="s">
        <v>4041</v>
      </c>
      <c r="H5007">
        <v>5206237223</v>
      </c>
      <c r="J5007">
        <v>5205470680</v>
      </c>
      <c r="K5007" t="s">
        <v>12963</v>
      </c>
      <c r="L5007" t="s">
        <v>3043</v>
      </c>
      <c r="M5007" t="s">
        <v>1634</v>
      </c>
    </row>
    <row r="5008" spans="1:13" x14ac:dyDescent="0.25">
      <c r="A5008">
        <v>87441</v>
      </c>
      <c r="B5008" t="s">
        <v>12960</v>
      </c>
      <c r="C5008" t="s">
        <v>12961</v>
      </c>
      <c r="D5008" t="s">
        <v>2605</v>
      </c>
      <c r="E5008" t="s">
        <v>3494</v>
      </c>
      <c r="F5008" t="s">
        <v>3345</v>
      </c>
      <c r="G5008" t="s">
        <v>10657</v>
      </c>
      <c r="H5008">
        <v>5206247552</v>
      </c>
      <c r="K5008" t="s">
        <v>12964</v>
      </c>
      <c r="L5008" t="s">
        <v>1647</v>
      </c>
      <c r="M5008" t="s">
        <v>1634</v>
      </c>
    </row>
    <row r="5009" spans="1:13" x14ac:dyDescent="0.25">
      <c r="A5009">
        <v>87441</v>
      </c>
      <c r="B5009" t="s">
        <v>12960</v>
      </c>
      <c r="C5009" t="s">
        <v>12961</v>
      </c>
      <c r="D5009" t="s">
        <v>2605</v>
      </c>
      <c r="E5009" t="s">
        <v>3494</v>
      </c>
      <c r="F5009" t="s">
        <v>3720</v>
      </c>
      <c r="G5009" t="s">
        <v>12956</v>
      </c>
      <c r="H5009">
        <v>5209931932</v>
      </c>
      <c r="K5009" t="s">
        <v>12957</v>
      </c>
      <c r="L5009" t="s">
        <v>1640</v>
      </c>
      <c r="M5009" t="s">
        <v>1640</v>
      </c>
    </row>
    <row r="5010" spans="1:13" x14ac:dyDescent="0.25">
      <c r="A5010">
        <v>92561</v>
      </c>
      <c r="B5010" t="s">
        <v>12965</v>
      </c>
      <c r="C5010" t="s">
        <v>12966</v>
      </c>
      <c r="D5010" t="s">
        <v>2605</v>
      </c>
      <c r="E5010" t="s">
        <v>3494</v>
      </c>
      <c r="F5010" t="s">
        <v>5482</v>
      </c>
      <c r="G5010" t="s">
        <v>12967</v>
      </c>
      <c r="H5010">
        <v>5203520057</v>
      </c>
      <c r="J5010">
        <v>5203520058</v>
      </c>
      <c r="K5010" t="s">
        <v>12968</v>
      </c>
      <c r="L5010" t="s">
        <v>1647</v>
      </c>
      <c r="M5010" t="s">
        <v>1634</v>
      </c>
    </row>
    <row r="5011" spans="1:13" x14ac:dyDescent="0.25">
      <c r="A5011">
        <v>92561</v>
      </c>
      <c r="B5011" t="s">
        <v>12965</v>
      </c>
      <c r="C5011" t="s">
        <v>12966</v>
      </c>
      <c r="D5011" t="s">
        <v>2605</v>
      </c>
      <c r="E5011" t="s">
        <v>3494</v>
      </c>
      <c r="F5011" t="s">
        <v>3720</v>
      </c>
      <c r="G5011" t="s">
        <v>12956</v>
      </c>
      <c r="H5011">
        <v>5209931932</v>
      </c>
      <c r="K5011" t="s">
        <v>12957</v>
      </c>
      <c r="L5011" t="s">
        <v>1640</v>
      </c>
      <c r="M5011" t="s">
        <v>1640</v>
      </c>
    </row>
    <row r="5012" spans="1:13" x14ac:dyDescent="0.25">
      <c r="A5012">
        <v>85451</v>
      </c>
      <c r="B5012" t="s">
        <v>12969</v>
      </c>
      <c r="C5012" t="s">
        <v>12970</v>
      </c>
      <c r="D5012" t="s">
        <v>2605</v>
      </c>
      <c r="E5012" t="s">
        <v>3494</v>
      </c>
      <c r="F5012" t="s">
        <v>1925</v>
      </c>
      <c r="G5012" t="s">
        <v>4041</v>
      </c>
      <c r="K5012" t="s">
        <v>12971</v>
      </c>
      <c r="M5012" t="s">
        <v>1634</v>
      </c>
    </row>
    <row r="5013" spans="1:13" x14ac:dyDescent="0.25">
      <c r="A5013">
        <v>85451</v>
      </c>
      <c r="B5013" t="s">
        <v>12969</v>
      </c>
      <c r="C5013" t="s">
        <v>12970</v>
      </c>
      <c r="D5013" t="s">
        <v>2605</v>
      </c>
      <c r="E5013" t="s">
        <v>3494</v>
      </c>
      <c r="F5013" t="s">
        <v>12952</v>
      </c>
      <c r="G5013" t="s">
        <v>12953</v>
      </c>
      <c r="H5013">
        <v>5206237223</v>
      </c>
      <c r="J5013">
        <v>5205470680</v>
      </c>
      <c r="K5013" t="s">
        <v>12954</v>
      </c>
      <c r="L5013" t="s">
        <v>1640</v>
      </c>
      <c r="M5013" t="s">
        <v>1640</v>
      </c>
    </row>
    <row r="5014" spans="1:13" x14ac:dyDescent="0.25">
      <c r="A5014">
        <v>85451</v>
      </c>
      <c r="B5014" t="s">
        <v>12969</v>
      </c>
      <c r="C5014" t="s">
        <v>12970</v>
      </c>
      <c r="D5014" t="s">
        <v>2605</v>
      </c>
      <c r="E5014" t="s">
        <v>3494</v>
      </c>
      <c r="F5014" t="s">
        <v>1787</v>
      </c>
      <c r="G5014" t="s">
        <v>12972</v>
      </c>
      <c r="H5014">
        <v>5206237223</v>
      </c>
      <c r="J5014">
        <v>5205470680</v>
      </c>
      <c r="K5014" t="s">
        <v>12973</v>
      </c>
      <c r="L5014" t="s">
        <v>3396</v>
      </c>
      <c r="M5014" t="s">
        <v>1765</v>
      </c>
    </row>
    <row r="5015" spans="1:13" x14ac:dyDescent="0.25">
      <c r="A5015">
        <v>6355</v>
      </c>
      <c r="B5015" t="s">
        <v>12974</v>
      </c>
      <c r="C5015" t="s">
        <v>12975</v>
      </c>
      <c r="D5015" t="s">
        <v>2596</v>
      </c>
      <c r="E5015" t="s">
        <v>3494</v>
      </c>
      <c r="F5015" t="s">
        <v>8391</v>
      </c>
      <c r="G5015" t="s">
        <v>12976</v>
      </c>
      <c r="H5015">
        <v>5203260976</v>
      </c>
      <c r="J5015">
        <v>5203267452</v>
      </c>
      <c r="K5015" t="s">
        <v>12977</v>
      </c>
      <c r="L5015" t="s">
        <v>12832</v>
      </c>
      <c r="M5015" t="s">
        <v>1634</v>
      </c>
    </row>
    <row r="5016" spans="1:13" x14ac:dyDescent="0.25">
      <c r="A5016">
        <v>6355</v>
      </c>
      <c r="B5016" t="s">
        <v>12974</v>
      </c>
      <c r="C5016" t="s">
        <v>12975</v>
      </c>
      <c r="D5016" t="s">
        <v>2596</v>
      </c>
      <c r="E5016" t="s">
        <v>3494</v>
      </c>
      <c r="F5016" t="s">
        <v>3456</v>
      </c>
      <c r="G5016" t="s">
        <v>12978</v>
      </c>
      <c r="H5016">
        <v>5202961100</v>
      </c>
      <c r="K5016" t="s">
        <v>12977</v>
      </c>
      <c r="L5016" t="s">
        <v>12979</v>
      </c>
      <c r="M5016" t="s">
        <v>1634</v>
      </c>
    </row>
    <row r="5017" spans="1:13" x14ac:dyDescent="0.25">
      <c r="A5017">
        <v>6355</v>
      </c>
      <c r="B5017" t="s">
        <v>12974</v>
      </c>
      <c r="C5017" t="s">
        <v>12975</v>
      </c>
      <c r="D5017" t="s">
        <v>2596</v>
      </c>
      <c r="E5017" t="s">
        <v>3494</v>
      </c>
      <c r="F5017" t="s">
        <v>10334</v>
      </c>
      <c r="G5017" t="s">
        <v>3534</v>
      </c>
      <c r="J5017">
        <v>5202961446</v>
      </c>
      <c r="K5017" t="s">
        <v>12980</v>
      </c>
      <c r="M5017" t="s">
        <v>1765</v>
      </c>
    </row>
    <row r="5018" spans="1:13" x14ac:dyDescent="0.25">
      <c r="A5018">
        <v>6063</v>
      </c>
      <c r="B5018" t="s">
        <v>12981</v>
      </c>
      <c r="C5018" t="s">
        <v>12982</v>
      </c>
      <c r="D5018" t="s">
        <v>2605</v>
      </c>
      <c r="E5018" t="s">
        <v>1273</v>
      </c>
      <c r="F5018" t="s">
        <v>10334</v>
      </c>
      <c r="G5018" t="s">
        <v>3534</v>
      </c>
      <c r="M5018" t="s">
        <v>1765</v>
      </c>
    </row>
    <row r="5019" spans="1:13" x14ac:dyDescent="0.25">
      <c r="A5019">
        <v>78904</v>
      </c>
      <c r="B5019" t="s">
        <v>12983</v>
      </c>
      <c r="C5019" t="s">
        <v>12984</v>
      </c>
      <c r="D5019" t="s">
        <v>2605</v>
      </c>
      <c r="E5019" t="s">
        <v>496</v>
      </c>
      <c r="F5019" t="s">
        <v>10334</v>
      </c>
      <c r="G5019" t="s">
        <v>3534</v>
      </c>
      <c r="K5019" t="s">
        <v>12980</v>
      </c>
      <c r="M5019" t="s">
        <v>1765</v>
      </c>
    </row>
    <row r="5020" spans="1:13" x14ac:dyDescent="0.25">
      <c r="A5020">
        <v>79296</v>
      </c>
      <c r="B5020" t="s">
        <v>12985</v>
      </c>
      <c r="C5020" t="s">
        <v>12986</v>
      </c>
      <c r="D5020" t="s">
        <v>2605</v>
      </c>
      <c r="E5020" t="s">
        <v>3494</v>
      </c>
      <c r="F5020" t="s">
        <v>10334</v>
      </c>
      <c r="G5020" t="s">
        <v>3534</v>
      </c>
      <c r="K5020" t="s">
        <v>12980</v>
      </c>
      <c r="M5020" t="s">
        <v>1765</v>
      </c>
    </row>
    <row r="5021" spans="1:13" x14ac:dyDescent="0.25">
      <c r="A5021">
        <v>91212</v>
      </c>
      <c r="B5021" t="s">
        <v>12987</v>
      </c>
      <c r="C5021" t="s">
        <v>12988</v>
      </c>
      <c r="D5021" t="s">
        <v>2605</v>
      </c>
      <c r="E5021" t="s">
        <v>496</v>
      </c>
      <c r="F5021" t="s">
        <v>10334</v>
      </c>
      <c r="G5021" t="s">
        <v>3534</v>
      </c>
      <c r="K5021" t="s">
        <v>12980</v>
      </c>
      <c r="M5021" t="s">
        <v>1765</v>
      </c>
    </row>
    <row r="5022" spans="1:13" x14ac:dyDescent="0.25">
      <c r="A5022">
        <v>6361</v>
      </c>
      <c r="B5022" t="s">
        <v>3049</v>
      </c>
      <c r="C5022" t="s">
        <v>12989</v>
      </c>
      <c r="D5022" t="s">
        <v>2596</v>
      </c>
      <c r="E5022" t="s">
        <v>3494</v>
      </c>
      <c r="F5022" t="s">
        <v>3057</v>
      </c>
      <c r="G5022" t="s">
        <v>2969</v>
      </c>
      <c r="H5022">
        <v>4802892088</v>
      </c>
      <c r="K5022" t="s">
        <v>3058</v>
      </c>
      <c r="M5022" t="s">
        <v>1634</v>
      </c>
    </row>
    <row r="5023" spans="1:13" x14ac:dyDescent="0.25">
      <c r="A5023">
        <v>6361</v>
      </c>
      <c r="B5023" t="s">
        <v>3049</v>
      </c>
      <c r="C5023" t="s">
        <v>12989</v>
      </c>
      <c r="D5023" t="s">
        <v>2596</v>
      </c>
      <c r="E5023" t="s">
        <v>3494</v>
      </c>
      <c r="F5023" t="s">
        <v>2261</v>
      </c>
      <c r="G5023" t="s">
        <v>3063</v>
      </c>
      <c r="K5023" t="s">
        <v>3064</v>
      </c>
      <c r="L5023" t="s">
        <v>3065</v>
      </c>
      <c r="M5023" t="s">
        <v>1634</v>
      </c>
    </row>
    <row r="5024" spans="1:13" x14ac:dyDescent="0.25">
      <c r="A5024">
        <v>6361</v>
      </c>
      <c r="B5024" t="s">
        <v>3049</v>
      </c>
      <c r="C5024" t="s">
        <v>12989</v>
      </c>
      <c r="D5024" t="s">
        <v>2596</v>
      </c>
      <c r="E5024" t="s">
        <v>3494</v>
      </c>
      <c r="F5024" t="s">
        <v>1848</v>
      </c>
      <c r="G5024" t="s">
        <v>3060</v>
      </c>
      <c r="K5024" t="s">
        <v>3061</v>
      </c>
      <c r="L5024" t="s">
        <v>3062</v>
      </c>
      <c r="M5024" t="s">
        <v>1634</v>
      </c>
    </row>
    <row r="5025" spans="1:13" x14ac:dyDescent="0.25">
      <c r="A5025">
        <v>6065</v>
      </c>
      <c r="B5025" t="s">
        <v>12990</v>
      </c>
      <c r="C5025" t="s">
        <v>12991</v>
      </c>
      <c r="D5025" t="s">
        <v>2605</v>
      </c>
      <c r="E5025" t="s">
        <v>3494</v>
      </c>
    </row>
    <row r="5026" spans="1:13" x14ac:dyDescent="0.25">
      <c r="A5026">
        <v>6369</v>
      </c>
      <c r="B5026" t="s">
        <v>12992</v>
      </c>
      <c r="C5026" t="s">
        <v>12993</v>
      </c>
      <c r="D5026" t="s">
        <v>2596</v>
      </c>
      <c r="E5026" t="s">
        <v>3494</v>
      </c>
      <c r="F5026" t="s">
        <v>2089</v>
      </c>
      <c r="G5026" t="s">
        <v>12994</v>
      </c>
      <c r="H5026">
        <v>5203039701</v>
      </c>
      <c r="K5026" t="s">
        <v>12995</v>
      </c>
      <c r="L5026" t="s">
        <v>12996</v>
      </c>
      <c r="M5026" t="s">
        <v>1634</v>
      </c>
    </row>
    <row r="5027" spans="1:13" x14ac:dyDescent="0.25">
      <c r="A5027">
        <v>6369</v>
      </c>
      <c r="B5027" t="s">
        <v>12992</v>
      </c>
      <c r="C5027" t="s">
        <v>12993</v>
      </c>
      <c r="D5027" t="s">
        <v>2596</v>
      </c>
      <c r="E5027" t="s">
        <v>3494</v>
      </c>
      <c r="F5027" t="s">
        <v>1723</v>
      </c>
      <c r="G5027" t="s">
        <v>12997</v>
      </c>
      <c r="H5027">
        <v>5208828826</v>
      </c>
      <c r="I5027">
        <v>216</v>
      </c>
      <c r="K5027" t="s">
        <v>12998</v>
      </c>
      <c r="L5027" t="s">
        <v>1647</v>
      </c>
      <c r="M5027" t="s">
        <v>1634</v>
      </c>
    </row>
    <row r="5028" spans="1:13" x14ac:dyDescent="0.25">
      <c r="A5028">
        <v>6369</v>
      </c>
      <c r="B5028" t="s">
        <v>12992</v>
      </c>
      <c r="C5028" t="s">
        <v>12993</v>
      </c>
      <c r="D5028" t="s">
        <v>2596</v>
      </c>
      <c r="E5028" t="s">
        <v>3494</v>
      </c>
      <c r="F5028" t="s">
        <v>4250</v>
      </c>
      <c r="G5028" t="s">
        <v>12999</v>
      </c>
      <c r="K5028" t="s">
        <v>13000</v>
      </c>
      <c r="L5028" t="s">
        <v>1640</v>
      </c>
      <c r="M5028" t="s">
        <v>1640</v>
      </c>
    </row>
    <row r="5029" spans="1:13" x14ac:dyDescent="0.25">
      <c r="A5029">
        <v>5872</v>
      </c>
      <c r="B5029" t="s">
        <v>1604</v>
      </c>
      <c r="C5029" t="s">
        <v>13001</v>
      </c>
      <c r="D5029" t="s">
        <v>2605</v>
      </c>
      <c r="E5029" t="s">
        <v>3494</v>
      </c>
      <c r="F5029" t="s">
        <v>1723</v>
      </c>
      <c r="G5029" t="s">
        <v>12997</v>
      </c>
      <c r="H5029">
        <v>5208828826</v>
      </c>
      <c r="J5029">
        <v>5208828651</v>
      </c>
      <c r="K5029" t="s">
        <v>12998</v>
      </c>
      <c r="M5029" t="s">
        <v>1634</v>
      </c>
    </row>
    <row r="5030" spans="1:13" x14ac:dyDescent="0.25">
      <c r="A5030">
        <v>88308</v>
      </c>
      <c r="B5030" t="s">
        <v>13002</v>
      </c>
      <c r="C5030" t="s">
        <v>13003</v>
      </c>
      <c r="D5030" t="s">
        <v>2596</v>
      </c>
      <c r="E5030" t="s">
        <v>3494</v>
      </c>
      <c r="F5030" t="s">
        <v>5231</v>
      </c>
      <c r="G5030" t="s">
        <v>5808</v>
      </c>
      <c r="H5030">
        <v>5204449343</v>
      </c>
      <c r="J5030">
        <v>5207455110</v>
      </c>
      <c r="K5030" t="s">
        <v>13004</v>
      </c>
      <c r="L5030" t="s">
        <v>13005</v>
      </c>
      <c r="M5030" t="s">
        <v>1634</v>
      </c>
    </row>
    <row r="5031" spans="1:13" x14ac:dyDescent="0.25">
      <c r="A5031">
        <v>88308</v>
      </c>
      <c r="B5031" t="s">
        <v>13002</v>
      </c>
      <c r="C5031" t="s">
        <v>13003</v>
      </c>
      <c r="D5031" t="s">
        <v>2596</v>
      </c>
      <c r="E5031" t="s">
        <v>3494</v>
      </c>
      <c r="F5031" t="s">
        <v>2156</v>
      </c>
      <c r="G5031" t="s">
        <v>13006</v>
      </c>
      <c r="H5031">
        <v>4802172989</v>
      </c>
      <c r="K5031" t="s">
        <v>13007</v>
      </c>
      <c r="L5031" t="s">
        <v>13008</v>
      </c>
      <c r="M5031" t="s">
        <v>1634</v>
      </c>
    </row>
    <row r="5032" spans="1:13" x14ac:dyDescent="0.25">
      <c r="A5032">
        <v>88309</v>
      </c>
      <c r="B5032" t="s">
        <v>13009</v>
      </c>
      <c r="C5032" t="s">
        <v>13010</v>
      </c>
      <c r="D5032" t="s">
        <v>2605</v>
      </c>
      <c r="E5032" t="s">
        <v>3494</v>
      </c>
    </row>
    <row r="5033" spans="1:13" x14ac:dyDescent="0.25">
      <c r="A5033">
        <v>90199</v>
      </c>
      <c r="B5033" t="s">
        <v>13011</v>
      </c>
      <c r="C5033" t="s">
        <v>13012</v>
      </c>
      <c r="D5033" t="s">
        <v>2596</v>
      </c>
      <c r="E5033" t="s">
        <v>3494</v>
      </c>
      <c r="F5033" t="s">
        <v>3093</v>
      </c>
      <c r="G5033" t="s">
        <v>13013</v>
      </c>
      <c r="H5033">
        <v>5207897731</v>
      </c>
      <c r="K5033" t="s">
        <v>13014</v>
      </c>
      <c r="L5033" t="s">
        <v>8770</v>
      </c>
      <c r="M5033" t="s">
        <v>1634</v>
      </c>
    </row>
    <row r="5034" spans="1:13" x14ac:dyDescent="0.25">
      <c r="A5034">
        <v>90199</v>
      </c>
      <c r="B5034" t="s">
        <v>13011</v>
      </c>
      <c r="C5034" t="s">
        <v>13012</v>
      </c>
      <c r="D5034" t="s">
        <v>2596</v>
      </c>
      <c r="E5034" t="s">
        <v>3494</v>
      </c>
      <c r="F5034" t="s">
        <v>3772</v>
      </c>
      <c r="G5034" t="s">
        <v>13013</v>
      </c>
      <c r="I5034">
        <v>302</v>
      </c>
      <c r="K5034" t="s">
        <v>13015</v>
      </c>
      <c r="L5034" t="s">
        <v>13016</v>
      </c>
      <c r="M5034" t="s">
        <v>1634</v>
      </c>
    </row>
    <row r="5035" spans="1:13" x14ac:dyDescent="0.25">
      <c r="A5035">
        <v>90200</v>
      </c>
      <c r="B5035" t="s">
        <v>13017</v>
      </c>
      <c r="C5035" t="s">
        <v>13018</v>
      </c>
      <c r="D5035" t="s">
        <v>2605</v>
      </c>
      <c r="E5035" t="s">
        <v>3494</v>
      </c>
      <c r="F5035" t="s">
        <v>3772</v>
      </c>
      <c r="G5035" t="s">
        <v>13013</v>
      </c>
      <c r="K5035" t="s">
        <v>13019</v>
      </c>
      <c r="L5035" t="s">
        <v>1647</v>
      </c>
      <c r="M5035" t="s">
        <v>1634</v>
      </c>
    </row>
    <row r="5036" spans="1:13" x14ac:dyDescent="0.25">
      <c r="A5036">
        <v>90770</v>
      </c>
      <c r="B5036" t="s">
        <v>13020</v>
      </c>
      <c r="C5036" t="s">
        <v>13021</v>
      </c>
      <c r="D5036" t="s">
        <v>2605</v>
      </c>
      <c r="E5036" t="s">
        <v>3494</v>
      </c>
      <c r="F5036" t="s">
        <v>13022</v>
      </c>
      <c r="G5036" t="s">
        <v>13023</v>
      </c>
      <c r="H5036">
        <v>5203252800</v>
      </c>
      <c r="L5036" t="s">
        <v>13024</v>
      </c>
      <c r="M5036" t="s">
        <v>1634</v>
      </c>
    </row>
    <row r="5037" spans="1:13" x14ac:dyDescent="0.25">
      <c r="A5037">
        <v>90876</v>
      </c>
      <c r="B5037" t="s">
        <v>1018</v>
      </c>
      <c r="C5037" t="s">
        <v>13025</v>
      </c>
      <c r="D5037" t="s">
        <v>2596</v>
      </c>
      <c r="E5037" t="s">
        <v>3494</v>
      </c>
      <c r="F5037" t="s">
        <v>13026</v>
      </c>
      <c r="G5037" t="s">
        <v>13027</v>
      </c>
      <c r="H5037">
        <v>5206152200</v>
      </c>
      <c r="K5037" t="s">
        <v>13028</v>
      </c>
      <c r="L5037" t="s">
        <v>13029</v>
      </c>
      <c r="M5037" t="s">
        <v>1634</v>
      </c>
    </row>
    <row r="5038" spans="1:13" x14ac:dyDescent="0.25">
      <c r="A5038">
        <v>90876</v>
      </c>
      <c r="B5038" t="s">
        <v>1018</v>
      </c>
      <c r="C5038" t="s">
        <v>13025</v>
      </c>
      <c r="D5038" t="s">
        <v>2596</v>
      </c>
      <c r="E5038" t="s">
        <v>3494</v>
      </c>
      <c r="F5038" t="s">
        <v>13030</v>
      </c>
      <c r="G5038" t="s">
        <v>13031</v>
      </c>
      <c r="K5038" t="s">
        <v>13032</v>
      </c>
      <c r="L5038" t="s">
        <v>12832</v>
      </c>
      <c r="M5038" t="s">
        <v>1634</v>
      </c>
    </row>
    <row r="5039" spans="1:13" x14ac:dyDescent="0.25">
      <c r="A5039">
        <v>90876</v>
      </c>
      <c r="B5039" t="s">
        <v>1018</v>
      </c>
      <c r="C5039" t="s">
        <v>13025</v>
      </c>
      <c r="D5039" t="s">
        <v>2596</v>
      </c>
      <c r="E5039" t="s">
        <v>3494</v>
      </c>
      <c r="F5039" t="s">
        <v>5662</v>
      </c>
      <c r="G5039" t="s">
        <v>2109</v>
      </c>
      <c r="H5039">
        <v>5206152200</v>
      </c>
      <c r="K5039" t="s">
        <v>13033</v>
      </c>
      <c r="M5039" t="s">
        <v>1634</v>
      </c>
    </row>
    <row r="5040" spans="1:13" x14ac:dyDescent="0.25">
      <c r="A5040">
        <v>91782</v>
      </c>
      <c r="B5040" t="s">
        <v>1019</v>
      </c>
      <c r="C5040" t="s">
        <v>13034</v>
      </c>
      <c r="D5040" t="s">
        <v>2605</v>
      </c>
      <c r="E5040" t="s">
        <v>3494</v>
      </c>
    </row>
    <row r="5041" spans="1:13" x14ac:dyDescent="0.25">
      <c r="A5041">
        <v>91309</v>
      </c>
      <c r="B5041" t="s">
        <v>3049</v>
      </c>
      <c r="C5041" t="s">
        <v>13035</v>
      </c>
      <c r="D5041" t="s">
        <v>2596</v>
      </c>
      <c r="E5041" t="s">
        <v>3494</v>
      </c>
      <c r="F5041" t="s">
        <v>1925</v>
      </c>
      <c r="G5041" t="s">
        <v>3072</v>
      </c>
      <c r="H5041">
        <v>5202196000</v>
      </c>
      <c r="J5041">
        <v>5202196006</v>
      </c>
      <c r="K5041" t="s">
        <v>3073</v>
      </c>
      <c r="L5041" t="s">
        <v>3074</v>
      </c>
      <c r="M5041" t="s">
        <v>1634</v>
      </c>
    </row>
    <row r="5042" spans="1:13" x14ac:dyDescent="0.25">
      <c r="A5042">
        <v>91309</v>
      </c>
      <c r="B5042" t="s">
        <v>3049</v>
      </c>
      <c r="C5042" t="s">
        <v>13035</v>
      </c>
      <c r="D5042" t="s">
        <v>2596</v>
      </c>
      <c r="E5042" t="s">
        <v>3494</v>
      </c>
      <c r="F5042" t="s">
        <v>6765</v>
      </c>
      <c r="G5042" t="s">
        <v>13036</v>
      </c>
      <c r="H5042">
        <v>5202070076</v>
      </c>
      <c r="J5042">
        <v>5202076606</v>
      </c>
      <c r="K5042" t="s">
        <v>13037</v>
      </c>
      <c r="L5042" t="s">
        <v>8942</v>
      </c>
      <c r="M5042" t="s">
        <v>1634</v>
      </c>
    </row>
    <row r="5043" spans="1:13" x14ac:dyDescent="0.25">
      <c r="A5043">
        <v>91309</v>
      </c>
      <c r="B5043" t="s">
        <v>3049</v>
      </c>
      <c r="C5043" t="s">
        <v>13035</v>
      </c>
      <c r="D5043" t="s">
        <v>2596</v>
      </c>
      <c r="E5043" t="s">
        <v>3494</v>
      </c>
      <c r="F5043" t="s">
        <v>9879</v>
      </c>
      <c r="G5043" t="s">
        <v>4179</v>
      </c>
      <c r="H5043">
        <v>4802892089</v>
      </c>
      <c r="K5043" t="s">
        <v>13038</v>
      </c>
      <c r="M5043" t="s">
        <v>1634</v>
      </c>
    </row>
    <row r="5044" spans="1:13" x14ac:dyDescent="0.25">
      <c r="A5044">
        <v>91309</v>
      </c>
      <c r="B5044" t="s">
        <v>3049</v>
      </c>
      <c r="C5044" t="s">
        <v>13035</v>
      </c>
      <c r="D5044" t="s">
        <v>2596</v>
      </c>
      <c r="E5044" t="s">
        <v>3494</v>
      </c>
      <c r="F5044" t="s">
        <v>3051</v>
      </c>
      <c r="G5044" t="s">
        <v>3052</v>
      </c>
      <c r="K5044" t="s">
        <v>3053</v>
      </c>
      <c r="M5044" t="s">
        <v>1634</v>
      </c>
    </row>
    <row r="5045" spans="1:13" x14ac:dyDescent="0.25">
      <c r="A5045">
        <v>91309</v>
      </c>
      <c r="B5045" t="s">
        <v>3049</v>
      </c>
      <c r="C5045" t="s">
        <v>13035</v>
      </c>
      <c r="D5045" t="s">
        <v>2596</v>
      </c>
      <c r="E5045" t="s">
        <v>3494</v>
      </c>
      <c r="F5045" t="s">
        <v>3057</v>
      </c>
      <c r="G5045" t="s">
        <v>2969</v>
      </c>
      <c r="H5045">
        <v>4802892088</v>
      </c>
      <c r="K5045" t="s">
        <v>3058</v>
      </c>
      <c r="L5045" t="s">
        <v>8269</v>
      </c>
      <c r="M5045" t="s">
        <v>1634</v>
      </c>
    </row>
    <row r="5046" spans="1:13" x14ac:dyDescent="0.25">
      <c r="A5046">
        <v>91309</v>
      </c>
      <c r="B5046" t="s">
        <v>3049</v>
      </c>
      <c r="C5046" t="s">
        <v>13035</v>
      </c>
      <c r="D5046" t="s">
        <v>2596</v>
      </c>
      <c r="E5046" t="s">
        <v>3494</v>
      </c>
      <c r="F5046" t="s">
        <v>2261</v>
      </c>
      <c r="G5046" t="s">
        <v>3063</v>
      </c>
      <c r="K5046" t="s">
        <v>3064</v>
      </c>
      <c r="L5046" t="s">
        <v>3065</v>
      </c>
      <c r="M5046" t="s">
        <v>1634</v>
      </c>
    </row>
    <row r="5047" spans="1:13" x14ac:dyDescent="0.25">
      <c r="A5047">
        <v>91309</v>
      </c>
      <c r="B5047" t="s">
        <v>3049</v>
      </c>
      <c r="C5047" t="s">
        <v>13035</v>
      </c>
      <c r="D5047" t="s">
        <v>2596</v>
      </c>
      <c r="E5047" t="s">
        <v>3494</v>
      </c>
      <c r="F5047" t="s">
        <v>1848</v>
      </c>
      <c r="G5047" t="s">
        <v>3060</v>
      </c>
      <c r="K5047" t="s">
        <v>3061</v>
      </c>
      <c r="L5047" t="s">
        <v>3062</v>
      </c>
      <c r="M5047" t="s">
        <v>1634</v>
      </c>
    </row>
    <row r="5048" spans="1:13" x14ac:dyDescent="0.25">
      <c r="A5048">
        <v>91766</v>
      </c>
      <c r="B5048" t="s">
        <v>13039</v>
      </c>
      <c r="C5048" t="s">
        <v>13040</v>
      </c>
      <c r="D5048" t="s">
        <v>2605</v>
      </c>
      <c r="E5048" t="s">
        <v>3494</v>
      </c>
    </row>
    <row r="5049" spans="1:13" x14ac:dyDescent="0.25">
      <c r="A5049">
        <v>92730</v>
      </c>
      <c r="B5049" t="s">
        <v>13041</v>
      </c>
      <c r="C5049" t="s">
        <v>13042</v>
      </c>
      <c r="D5049" t="s">
        <v>2596</v>
      </c>
      <c r="E5049" t="s">
        <v>3494</v>
      </c>
      <c r="F5049" t="s">
        <v>6342</v>
      </c>
      <c r="G5049" t="s">
        <v>13043</v>
      </c>
      <c r="H5049">
        <v>5204991474</v>
      </c>
      <c r="K5049" t="s">
        <v>13044</v>
      </c>
      <c r="L5049" t="s">
        <v>3031</v>
      </c>
      <c r="M5049" t="s">
        <v>1634</v>
      </c>
    </row>
    <row r="5050" spans="1:13" x14ac:dyDescent="0.25">
      <c r="A5050">
        <v>92730</v>
      </c>
      <c r="B5050" t="s">
        <v>13041</v>
      </c>
      <c r="C5050" t="s">
        <v>13042</v>
      </c>
      <c r="D5050" t="s">
        <v>2596</v>
      </c>
      <c r="E5050" t="s">
        <v>3494</v>
      </c>
      <c r="F5050" t="s">
        <v>2222</v>
      </c>
      <c r="G5050" t="s">
        <v>13045</v>
      </c>
      <c r="H5050">
        <v>5208865354</v>
      </c>
      <c r="K5050" t="s">
        <v>13046</v>
      </c>
      <c r="L5050" t="s">
        <v>13047</v>
      </c>
      <c r="M5050" t="s">
        <v>1634</v>
      </c>
    </row>
    <row r="5051" spans="1:13" x14ac:dyDescent="0.25">
      <c r="A5051">
        <v>92730</v>
      </c>
      <c r="B5051" t="s">
        <v>13041</v>
      </c>
      <c r="C5051" t="s">
        <v>13042</v>
      </c>
      <c r="D5051" t="s">
        <v>2596</v>
      </c>
      <c r="E5051" t="s">
        <v>3494</v>
      </c>
      <c r="F5051" t="s">
        <v>13048</v>
      </c>
      <c r="G5051" t="s">
        <v>13049</v>
      </c>
      <c r="H5051">
        <v>5204991839</v>
      </c>
      <c r="K5051" t="s">
        <v>13050</v>
      </c>
      <c r="L5051" t="s">
        <v>13051</v>
      </c>
      <c r="M5051" t="s">
        <v>1634</v>
      </c>
    </row>
    <row r="5052" spans="1:13" x14ac:dyDescent="0.25">
      <c r="A5052">
        <v>92730</v>
      </c>
      <c r="B5052" t="s">
        <v>13041</v>
      </c>
      <c r="C5052" t="s">
        <v>13042</v>
      </c>
      <c r="D5052" t="s">
        <v>2596</v>
      </c>
      <c r="E5052" t="s">
        <v>3494</v>
      </c>
      <c r="F5052" t="s">
        <v>1726</v>
      </c>
      <c r="G5052" t="s">
        <v>13052</v>
      </c>
      <c r="K5052" t="s">
        <v>13053</v>
      </c>
      <c r="L5052" t="s">
        <v>13054</v>
      </c>
      <c r="M5052" t="s">
        <v>1634</v>
      </c>
    </row>
    <row r="5053" spans="1:13" x14ac:dyDescent="0.25">
      <c r="A5053">
        <v>92730</v>
      </c>
      <c r="B5053" t="s">
        <v>13041</v>
      </c>
      <c r="C5053" t="s">
        <v>13042</v>
      </c>
      <c r="D5053" t="s">
        <v>2596</v>
      </c>
      <c r="E5053" t="s">
        <v>3494</v>
      </c>
      <c r="F5053" t="s">
        <v>3692</v>
      </c>
      <c r="G5053" t="s">
        <v>13055</v>
      </c>
      <c r="H5053">
        <v>5204285228</v>
      </c>
      <c r="K5053" t="s">
        <v>13056</v>
      </c>
      <c r="L5053" t="s">
        <v>1640</v>
      </c>
      <c r="M5053" t="s">
        <v>1640</v>
      </c>
    </row>
    <row r="5054" spans="1:13" x14ac:dyDescent="0.25">
      <c r="A5054">
        <v>92730</v>
      </c>
      <c r="B5054" t="s">
        <v>13041</v>
      </c>
      <c r="C5054" t="s">
        <v>13042</v>
      </c>
      <c r="D5054" t="s">
        <v>2596</v>
      </c>
      <c r="E5054" t="s">
        <v>3494</v>
      </c>
      <c r="F5054" t="s">
        <v>2321</v>
      </c>
      <c r="G5054" t="s">
        <v>13057</v>
      </c>
      <c r="H5054">
        <v>5204991847</v>
      </c>
      <c r="K5054" t="s">
        <v>13058</v>
      </c>
      <c r="L5054" t="s">
        <v>8045</v>
      </c>
      <c r="M5054" t="s">
        <v>1640</v>
      </c>
    </row>
    <row r="5055" spans="1:13" x14ac:dyDescent="0.25">
      <c r="A5055">
        <v>92730</v>
      </c>
      <c r="B5055" t="s">
        <v>13041</v>
      </c>
      <c r="C5055" t="s">
        <v>13042</v>
      </c>
      <c r="D5055" t="s">
        <v>2596</v>
      </c>
      <c r="E5055" t="s">
        <v>3494</v>
      </c>
      <c r="F5055" t="s">
        <v>3465</v>
      </c>
      <c r="G5055" t="s">
        <v>7812</v>
      </c>
      <c r="H5055">
        <v>5204991474</v>
      </c>
      <c r="K5055" t="s">
        <v>13059</v>
      </c>
      <c r="M5055" t="s">
        <v>1640</v>
      </c>
    </row>
    <row r="5056" spans="1:13" x14ac:dyDescent="0.25">
      <c r="A5056">
        <v>92731</v>
      </c>
      <c r="B5056" t="s">
        <v>13060</v>
      </c>
      <c r="C5056" t="s">
        <v>13061</v>
      </c>
      <c r="D5056" t="s">
        <v>2605</v>
      </c>
      <c r="E5056" t="s">
        <v>3494</v>
      </c>
      <c r="F5056" t="s">
        <v>2222</v>
      </c>
      <c r="G5056" t="s">
        <v>13045</v>
      </c>
      <c r="H5056">
        <v>5208865354</v>
      </c>
      <c r="K5056" t="s">
        <v>13062</v>
      </c>
      <c r="M5056" t="s">
        <v>1634</v>
      </c>
    </row>
    <row r="5057" spans="1:13" x14ac:dyDescent="0.25">
      <c r="A5057">
        <v>926143</v>
      </c>
      <c r="B5057" t="s">
        <v>13063</v>
      </c>
      <c r="C5057" t="s">
        <v>13064</v>
      </c>
      <c r="D5057" t="s">
        <v>2605</v>
      </c>
      <c r="E5057" t="s">
        <v>1273</v>
      </c>
      <c r="F5057" t="s">
        <v>2321</v>
      </c>
      <c r="G5057" t="s">
        <v>13065</v>
      </c>
      <c r="H5057">
        <v>5206938069</v>
      </c>
      <c r="K5057" t="s">
        <v>13066</v>
      </c>
      <c r="M5057" t="s">
        <v>1634</v>
      </c>
    </row>
    <row r="5058" spans="1:13" x14ac:dyDescent="0.25">
      <c r="A5058">
        <v>225365</v>
      </c>
      <c r="B5058" t="s">
        <v>13067</v>
      </c>
      <c r="C5058" t="s">
        <v>13068</v>
      </c>
      <c r="D5058" t="s">
        <v>2605</v>
      </c>
      <c r="E5058" t="s">
        <v>1273</v>
      </c>
      <c r="F5058" t="s">
        <v>2321</v>
      </c>
      <c r="G5058" t="s">
        <v>13057</v>
      </c>
      <c r="H5058" t="s">
        <v>13069</v>
      </c>
      <c r="K5058" t="s">
        <v>13058</v>
      </c>
      <c r="L5058" t="s">
        <v>4663</v>
      </c>
      <c r="M5058" t="s">
        <v>1634</v>
      </c>
    </row>
    <row r="5059" spans="1:13" x14ac:dyDescent="0.25">
      <c r="A5059">
        <v>271268</v>
      </c>
      <c r="B5059" t="s">
        <v>13070</v>
      </c>
      <c r="C5059" t="s">
        <v>13071</v>
      </c>
      <c r="D5059" t="s">
        <v>2605</v>
      </c>
      <c r="E5059" t="s">
        <v>1273</v>
      </c>
      <c r="F5059" t="s">
        <v>2321</v>
      </c>
      <c r="G5059" t="s">
        <v>13057</v>
      </c>
      <c r="H5059" t="s">
        <v>13069</v>
      </c>
      <c r="J5059">
        <v>5203951352</v>
      </c>
      <c r="K5059" t="s">
        <v>13058</v>
      </c>
      <c r="L5059" t="s">
        <v>4663</v>
      </c>
      <c r="M5059" t="s">
        <v>1634</v>
      </c>
    </row>
    <row r="5060" spans="1:13" x14ac:dyDescent="0.25">
      <c r="A5060">
        <v>734680</v>
      </c>
      <c r="B5060" t="s">
        <v>13072</v>
      </c>
      <c r="C5060" t="s">
        <v>13073</v>
      </c>
      <c r="D5060" t="s">
        <v>2605</v>
      </c>
      <c r="E5060" t="s">
        <v>1273</v>
      </c>
      <c r="F5060" t="s">
        <v>2321</v>
      </c>
      <c r="G5060" t="s">
        <v>13057</v>
      </c>
      <c r="H5060" t="s">
        <v>13069</v>
      </c>
      <c r="K5060" t="s">
        <v>13058</v>
      </c>
      <c r="L5060" t="s">
        <v>1640</v>
      </c>
      <c r="M5060" t="s">
        <v>1634</v>
      </c>
    </row>
    <row r="5061" spans="1:13" x14ac:dyDescent="0.25">
      <c r="A5061">
        <v>734680</v>
      </c>
      <c r="B5061" t="s">
        <v>13072</v>
      </c>
      <c r="C5061" t="s">
        <v>13073</v>
      </c>
      <c r="D5061" t="s">
        <v>2605</v>
      </c>
      <c r="E5061" t="s">
        <v>1273</v>
      </c>
      <c r="F5061" t="s">
        <v>2321</v>
      </c>
      <c r="G5061" t="s">
        <v>13057</v>
      </c>
      <c r="H5061" t="s">
        <v>13069</v>
      </c>
      <c r="K5061" t="s">
        <v>13058</v>
      </c>
      <c r="L5061" t="s">
        <v>1640</v>
      </c>
      <c r="M5061" t="s">
        <v>1640</v>
      </c>
    </row>
    <row r="5062" spans="1:13" x14ac:dyDescent="0.25">
      <c r="A5062">
        <v>573453</v>
      </c>
      <c r="B5062" t="s">
        <v>13074</v>
      </c>
      <c r="C5062" t="s">
        <v>13075</v>
      </c>
      <c r="D5062" t="s">
        <v>2605</v>
      </c>
      <c r="E5062" t="s">
        <v>1273</v>
      </c>
      <c r="F5062" t="s">
        <v>2321</v>
      </c>
      <c r="G5062" t="s">
        <v>13057</v>
      </c>
      <c r="H5062" t="s">
        <v>13069</v>
      </c>
      <c r="J5062">
        <v>5203951352</v>
      </c>
      <c r="K5062" t="s">
        <v>13058</v>
      </c>
      <c r="L5062" t="s">
        <v>1640</v>
      </c>
      <c r="M5062" t="s">
        <v>1634</v>
      </c>
    </row>
    <row r="5063" spans="1:13" x14ac:dyDescent="0.25">
      <c r="A5063">
        <v>573453</v>
      </c>
      <c r="B5063" t="s">
        <v>13074</v>
      </c>
      <c r="C5063" t="s">
        <v>13075</v>
      </c>
      <c r="D5063" t="s">
        <v>2605</v>
      </c>
      <c r="E5063" t="s">
        <v>1273</v>
      </c>
      <c r="F5063" t="s">
        <v>2321</v>
      </c>
      <c r="G5063" t="s">
        <v>13057</v>
      </c>
      <c r="H5063" t="s">
        <v>13069</v>
      </c>
      <c r="J5063">
        <v>5203951352</v>
      </c>
      <c r="K5063" t="s">
        <v>13058</v>
      </c>
      <c r="L5063" t="s">
        <v>1640</v>
      </c>
      <c r="M5063" t="s">
        <v>1640</v>
      </c>
    </row>
    <row r="5064" spans="1:13" x14ac:dyDescent="0.25">
      <c r="A5064">
        <v>1000267</v>
      </c>
      <c r="B5064" t="s">
        <v>13076</v>
      </c>
      <c r="C5064" t="s">
        <v>13077</v>
      </c>
      <c r="D5064" t="s">
        <v>2605</v>
      </c>
      <c r="E5064" t="s">
        <v>3494</v>
      </c>
    </row>
    <row r="5065" spans="1:13" x14ac:dyDescent="0.25">
      <c r="A5065">
        <v>4431</v>
      </c>
      <c r="B5065" t="s">
        <v>910</v>
      </c>
      <c r="C5065" t="s">
        <v>13078</v>
      </c>
      <c r="D5065" t="s">
        <v>2596</v>
      </c>
      <c r="E5065" t="s">
        <v>3494</v>
      </c>
      <c r="F5065" t="s">
        <v>6770</v>
      </c>
      <c r="G5065" t="s">
        <v>13079</v>
      </c>
      <c r="K5065" t="s">
        <v>13080</v>
      </c>
      <c r="L5065" t="s">
        <v>1668</v>
      </c>
      <c r="M5065" t="s">
        <v>1634</v>
      </c>
    </row>
    <row r="5066" spans="1:13" x14ac:dyDescent="0.25">
      <c r="A5066">
        <v>4431</v>
      </c>
      <c r="B5066" t="s">
        <v>910</v>
      </c>
      <c r="C5066" t="s">
        <v>13078</v>
      </c>
      <c r="D5066" t="s">
        <v>2596</v>
      </c>
      <c r="E5066" t="s">
        <v>3494</v>
      </c>
      <c r="F5066" t="s">
        <v>5596</v>
      </c>
      <c r="G5066" t="s">
        <v>12233</v>
      </c>
      <c r="H5066">
        <v>5207414394</v>
      </c>
      <c r="K5066" t="s">
        <v>13081</v>
      </c>
      <c r="M5066" t="s">
        <v>1640</v>
      </c>
    </row>
    <row r="5067" spans="1:13" x14ac:dyDescent="0.25">
      <c r="A5067">
        <v>4431</v>
      </c>
      <c r="B5067" t="s">
        <v>910</v>
      </c>
      <c r="C5067" t="s">
        <v>13078</v>
      </c>
      <c r="D5067" t="s">
        <v>2596</v>
      </c>
      <c r="E5067" t="s">
        <v>3494</v>
      </c>
      <c r="F5067" t="s">
        <v>1820</v>
      </c>
      <c r="G5067" t="s">
        <v>13082</v>
      </c>
      <c r="H5067">
        <v>5208064674</v>
      </c>
      <c r="J5067">
        <v>5207414369</v>
      </c>
      <c r="K5067" t="s">
        <v>13083</v>
      </c>
      <c r="L5067" t="s">
        <v>13084</v>
      </c>
      <c r="M5067" t="s">
        <v>1765</v>
      </c>
    </row>
    <row r="5068" spans="1:13" x14ac:dyDescent="0.25">
      <c r="A5068">
        <v>4431</v>
      </c>
      <c r="B5068" t="s">
        <v>910</v>
      </c>
      <c r="C5068" t="s">
        <v>13078</v>
      </c>
      <c r="D5068" t="s">
        <v>2596</v>
      </c>
      <c r="E5068" t="s">
        <v>3494</v>
      </c>
      <c r="F5068" t="s">
        <v>2876</v>
      </c>
      <c r="G5068" t="s">
        <v>2290</v>
      </c>
      <c r="H5068">
        <v>5207414365</v>
      </c>
      <c r="K5068" t="s">
        <v>13085</v>
      </c>
      <c r="L5068" t="s">
        <v>13086</v>
      </c>
      <c r="M5068" t="s">
        <v>1765</v>
      </c>
    </row>
    <row r="5069" spans="1:13" x14ac:dyDescent="0.25">
      <c r="A5069">
        <v>5873</v>
      </c>
      <c r="B5069" t="s">
        <v>1001</v>
      </c>
      <c r="C5069" t="s">
        <v>13087</v>
      </c>
      <c r="D5069" t="s">
        <v>2605</v>
      </c>
      <c r="E5069" t="s">
        <v>3494</v>
      </c>
      <c r="F5069" t="s">
        <v>13088</v>
      </c>
      <c r="G5069" t="s">
        <v>13089</v>
      </c>
      <c r="H5069">
        <v>5207414374</v>
      </c>
      <c r="J5069">
        <v>5207414369</v>
      </c>
      <c r="K5069" t="s">
        <v>13090</v>
      </c>
      <c r="L5069" t="s">
        <v>1640</v>
      </c>
      <c r="M5069" t="s">
        <v>1634</v>
      </c>
    </row>
    <row r="5070" spans="1:13" x14ac:dyDescent="0.25">
      <c r="A5070">
        <v>5873</v>
      </c>
      <c r="B5070" t="s">
        <v>1001</v>
      </c>
      <c r="C5070" t="s">
        <v>13087</v>
      </c>
      <c r="D5070" t="s">
        <v>2605</v>
      </c>
      <c r="E5070" t="s">
        <v>3494</v>
      </c>
      <c r="F5070" t="s">
        <v>6770</v>
      </c>
      <c r="G5070" t="s">
        <v>13079</v>
      </c>
      <c r="H5070">
        <v>5208366549</v>
      </c>
      <c r="K5070" t="s">
        <v>13080</v>
      </c>
      <c r="L5070" t="s">
        <v>1668</v>
      </c>
      <c r="M5070" t="s">
        <v>1634</v>
      </c>
    </row>
    <row r="5071" spans="1:13" x14ac:dyDescent="0.25">
      <c r="A5071">
        <v>5873</v>
      </c>
      <c r="B5071" t="s">
        <v>1001</v>
      </c>
      <c r="C5071" t="s">
        <v>13087</v>
      </c>
      <c r="D5071" t="s">
        <v>2605</v>
      </c>
      <c r="E5071" t="s">
        <v>3494</v>
      </c>
      <c r="F5071" t="s">
        <v>13088</v>
      </c>
      <c r="G5071" t="s">
        <v>13089</v>
      </c>
      <c r="H5071">
        <v>5207414374</v>
      </c>
      <c r="J5071">
        <v>5207414369</v>
      </c>
      <c r="K5071" t="s">
        <v>13090</v>
      </c>
      <c r="L5071" t="s">
        <v>1640</v>
      </c>
      <c r="M5071" t="s">
        <v>1640</v>
      </c>
    </row>
    <row r="5072" spans="1:13" x14ac:dyDescent="0.25">
      <c r="A5072">
        <v>5876</v>
      </c>
      <c r="B5072" t="s">
        <v>13091</v>
      </c>
      <c r="C5072" t="s">
        <v>13092</v>
      </c>
      <c r="D5072" t="s">
        <v>2605</v>
      </c>
      <c r="E5072" t="s">
        <v>7934</v>
      </c>
      <c r="F5072" t="s">
        <v>6770</v>
      </c>
      <c r="G5072" t="s">
        <v>13079</v>
      </c>
      <c r="H5072">
        <v>5208366549</v>
      </c>
      <c r="K5072" t="s">
        <v>13080</v>
      </c>
      <c r="L5072" t="s">
        <v>1668</v>
      </c>
      <c r="M5072" t="s">
        <v>1634</v>
      </c>
    </row>
    <row r="5073" spans="1:13" x14ac:dyDescent="0.25">
      <c r="A5073">
        <v>5876</v>
      </c>
      <c r="B5073" t="s">
        <v>13091</v>
      </c>
      <c r="C5073" t="s">
        <v>13092</v>
      </c>
      <c r="D5073" t="s">
        <v>2605</v>
      </c>
      <c r="E5073" t="s">
        <v>7934</v>
      </c>
      <c r="F5073" t="s">
        <v>2177</v>
      </c>
      <c r="G5073" t="s">
        <v>3346</v>
      </c>
      <c r="H5073">
        <v>5208366549</v>
      </c>
      <c r="L5073" t="s">
        <v>1647</v>
      </c>
      <c r="M5073" t="s">
        <v>1634</v>
      </c>
    </row>
    <row r="5074" spans="1:13" x14ac:dyDescent="0.25">
      <c r="A5074">
        <v>5876</v>
      </c>
      <c r="B5074" t="s">
        <v>13091</v>
      </c>
      <c r="C5074" t="s">
        <v>13092</v>
      </c>
      <c r="D5074" t="s">
        <v>2605</v>
      </c>
      <c r="E5074" t="s">
        <v>7934</v>
      </c>
      <c r="F5074" t="s">
        <v>5596</v>
      </c>
      <c r="G5074" t="s">
        <v>12233</v>
      </c>
      <c r="H5074">
        <v>5207414394</v>
      </c>
      <c r="M5074" t="s">
        <v>1640</v>
      </c>
    </row>
    <row r="5075" spans="1:13" x14ac:dyDescent="0.25">
      <c r="A5075">
        <v>5877</v>
      </c>
      <c r="B5075" t="s">
        <v>13093</v>
      </c>
      <c r="C5075" t="s">
        <v>13094</v>
      </c>
      <c r="D5075" t="s">
        <v>2605</v>
      </c>
      <c r="E5075" t="s">
        <v>2078</v>
      </c>
      <c r="F5075" t="s">
        <v>13088</v>
      </c>
      <c r="G5075" t="s">
        <v>13089</v>
      </c>
      <c r="H5075">
        <v>5207414374</v>
      </c>
      <c r="J5075">
        <v>5207414369</v>
      </c>
      <c r="K5075" t="s">
        <v>13090</v>
      </c>
      <c r="L5075" t="s">
        <v>1640</v>
      </c>
      <c r="M5075" t="s">
        <v>1634</v>
      </c>
    </row>
    <row r="5076" spans="1:13" x14ac:dyDescent="0.25">
      <c r="A5076">
        <v>5877</v>
      </c>
      <c r="B5076" t="s">
        <v>13093</v>
      </c>
      <c r="C5076" t="s">
        <v>13094</v>
      </c>
      <c r="D5076" t="s">
        <v>2605</v>
      </c>
      <c r="E5076" t="s">
        <v>2078</v>
      </c>
      <c r="F5076" t="s">
        <v>7265</v>
      </c>
      <c r="G5076" t="s">
        <v>13095</v>
      </c>
      <c r="K5076" t="s">
        <v>13096</v>
      </c>
      <c r="L5076" t="s">
        <v>1647</v>
      </c>
      <c r="M5076" t="s">
        <v>1634</v>
      </c>
    </row>
    <row r="5077" spans="1:13" x14ac:dyDescent="0.25">
      <c r="A5077">
        <v>5877</v>
      </c>
      <c r="B5077" t="s">
        <v>13093</v>
      </c>
      <c r="C5077" t="s">
        <v>13094</v>
      </c>
      <c r="D5077" t="s">
        <v>2605</v>
      </c>
      <c r="E5077" t="s">
        <v>2078</v>
      </c>
      <c r="F5077" t="s">
        <v>6770</v>
      </c>
      <c r="G5077" t="s">
        <v>13079</v>
      </c>
      <c r="K5077" t="s">
        <v>13080</v>
      </c>
      <c r="L5077" t="s">
        <v>1668</v>
      </c>
      <c r="M5077" t="s">
        <v>1634</v>
      </c>
    </row>
    <row r="5078" spans="1:13" x14ac:dyDescent="0.25">
      <c r="A5078">
        <v>5877</v>
      </c>
      <c r="B5078" t="s">
        <v>13093</v>
      </c>
      <c r="C5078" t="s">
        <v>13094</v>
      </c>
      <c r="D5078" t="s">
        <v>2605</v>
      </c>
      <c r="E5078" t="s">
        <v>2078</v>
      </c>
      <c r="F5078" t="s">
        <v>13088</v>
      </c>
      <c r="G5078" t="s">
        <v>13089</v>
      </c>
      <c r="H5078">
        <v>5207414374</v>
      </c>
      <c r="J5078">
        <v>5207414369</v>
      </c>
      <c r="K5078" t="s">
        <v>13090</v>
      </c>
      <c r="L5078" t="s">
        <v>1640</v>
      </c>
      <c r="M5078" t="s">
        <v>1640</v>
      </c>
    </row>
    <row r="5079" spans="1:13" x14ac:dyDescent="0.25">
      <c r="A5079">
        <v>5878</v>
      </c>
      <c r="B5079" t="s">
        <v>911</v>
      </c>
      <c r="C5079" t="s">
        <v>13097</v>
      </c>
      <c r="D5079" t="s">
        <v>2605</v>
      </c>
      <c r="E5079" t="s">
        <v>3494</v>
      </c>
      <c r="F5079" t="s">
        <v>6365</v>
      </c>
      <c r="G5079" t="s">
        <v>5847</v>
      </c>
      <c r="K5079" t="s">
        <v>13098</v>
      </c>
      <c r="L5079" t="s">
        <v>1647</v>
      </c>
      <c r="M5079" t="s">
        <v>1634</v>
      </c>
    </row>
    <row r="5080" spans="1:13" x14ac:dyDescent="0.25">
      <c r="A5080">
        <v>5878</v>
      </c>
      <c r="B5080" t="s">
        <v>911</v>
      </c>
      <c r="C5080" t="s">
        <v>13097</v>
      </c>
      <c r="D5080" t="s">
        <v>2605</v>
      </c>
      <c r="E5080" t="s">
        <v>3494</v>
      </c>
      <c r="F5080" t="s">
        <v>6770</v>
      </c>
      <c r="G5080" t="s">
        <v>13079</v>
      </c>
      <c r="H5080">
        <v>5208366549</v>
      </c>
      <c r="K5080" t="s">
        <v>13080</v>
      </c>
      <c r="L5080" t="s">
        <v>1668</v>
      </c>
      <c r="M5080" t="s">
        <v>1634</v>
      </c>
    </row>
    <row r="5081" spans="1:13" x14ac:dyDescent="0.25">
      <c r="A5081">
        <v>5878</v>
      </c>
      <c r="B5081" t="s">
        <v>911</v>
      </c>
      <c r="C5081" t="s">
        <v>13097</v>
      </c>
      <c r="D5081" t="s">
        <v>2605</v>
      </c>
      <c r="E5081" t="s">
        <v>3494</v>
      </c>
      <c r="F5081" t="s">
        <v>13099</v>
      </c>
      <c r="G5081" t="s">
        <v>13100</v>
      </c>
      <c r="H5081">
        <v>5207414374</v>
      </c>
      <c r="J5081">
        <v>5207414369</v>
      </c>
      <c r="K5081" t="s">
        <v>13090</v>
      </c>
      <c r="L5081" t="s">
        <v>1640</v>
      </c>
      <c r="M5081" t="s">
        <v>1640</v>
      </c>
    </row>
    <row r="5082" spans="1:13" x14ac:dyDescent="0.25">
      <c r="A5082">
        <v>5879</v>
      </c>
      <c r="B5082" t="s">
        <v>913</v>
      </c>
      <c r="C5082" t="s">
        <v>13101</v>
      </c>
      <c r="D5082" t="s">
        <v>2605</v>
      </c>
      <c r="E5082" t="s">
        <v>496</v>
      </c>
      <c r="F5082" t="s">
        <v>13088</v>
      </c>
      <c r="G5082" t="s">
        <v>13089</v>
      </c>
      <c r="H5082">
        <v>5207414374</v>
      </c>
      <c r="J5082">
        <v>5207414369</v>
      </c>
      <c r="K5082" t="s">
        <v>13090</v>
      </c>
      <c r="L5082" t="s">
        <v>1640</v>
      </c>
      <c r="M5082" t="s">
        <v>1634</v>
      </c>
    </row>
    <row r="5083" spans="1:13" x14ac:dyDescent="0.25">
      <c r="A5083">
        <v>5879</v>
      </c>
      <c r="B5083" t="s">
        <v>913</v>
      </c>
      <c r="C5083" t="s">
        <v>13101</v>
      </c>
      <c r="D5083" t="s">
        <v>2605</v>
      </c>
      <c r="E5083" t="s">
        <v>496</v>
      </c>
      <c r="F5083" t="s">
        <v>7538</v>
      </c>
      <c r="G5083" t="s">
        <v>2162</v>
      </c>
      <c r="K5083" t="s">
        <v>13102</v>
      </c>
      <c r="L5083" t="s">
        <v>1647</v>
      </c>
      <c r="M5083" t="s">
        <v>1634</v>
      </c>
    </row>
    <row r="5084" spans="1:13" x14ac:dyDescent="0.25">
      <c r="A5084">
        <v>5879</v>
      </c>
      <c r="B5084" t="s">
        <v>913</v>
      </c>
      <c r="C5084" t="s">
        <v>13101</v>
      </c>
      <c r="D5084" t="s">
        <v>2605</v>
      </c>
      <c r="E5084" t="s">
        <v>496</v>
      </c>
      <c r="F5084" t="s">
        <v>6770</v>
      </c>
      <c r="G5084" t="s">
        <v>13079</v>
      </c>
      <c r="H5084">
        <v>5208366549</v>
      </c>
      <c r="K5084" t="s">
        <v>13080</v>
      </c>
      <c r="L5084" t="s">
        <v>1668</v>
      </c>
      <c r="M5084" t="s">
        <v>1634</v>
      </c>
    </row>
    <row r="5085" spans="1:13" x14ac:dyDescent="0.25">
      <c r="A5085">
        <v>5879</v>
      </c>
      <c r="B5085" t="s">
        <v>913</v>
      </c>
      <c r="C5085" t="s">
        <v>13101</v>
      </c>
      <c r="D5085" t="s">
        <v>2605</v>
      </c>
      <c r="E5085" t="s">
        <v>496</v>
      </c>
      <c r="F5085" t="s">
        <v>13088</v>
      </c>
      <c r="G5085" t="s">
        <v>13089</v>
      </c>
      <c r="H5085">
        <v>5207414374</v>
      </c>
      <c r="J5085">
        <v>5207414369</v>
      </c>
      <c r="K5085" t="s">
        <v>13090</v>
      </c>
      <c r="L5085" t="s">
        <v>1640</v>
      </c>
      <c r="M5085" t="s">
        <v>1640</v>
      </c>
    </row>
    <row r="5086" spans="1:13" x14ac:dyDescent="0.25">
      <c r="A5086">
        <v>5880</v>
      </c>
      <c r="B5086" t="s">
        <v>13103</v>
      </c>
      <c r="C5086" t="s">
        <v>13104</v>
      </c>
      <c r="D5086" t="s">
        <v>2605</v>
      </c>
      <c r="E5086" t="s">
        <v>2078</v>
      </c>
      <c r="F5086" t="s">
        <v>13088</v>
      </c>
      <c r="G5086" t="s">
        <v>13089</v>
      </c>
      <c r="H5086">
        <v>5207414374</v>
      </c>
      <c r="J5086">
        <v>5207414369</v>
      </c>
      <c r="K5086" t="s">
        <v>13090</v>
      </c>
      <c r="L5086" t="s">
        <v>1640</v>
      </c>
      <c r="M5086" t="s">
        <v>1634</v>
      </c>
    </row>
    <row r="5087" spans="1:13" x14ac:dyDescent="0.25">
      <c r="A5087">
        <v>5880</v>
      </c>
      <c r="B5087" t="s">
        <v>13103</v>
      </c>
      <c r="C5087" t="s">
        <v>13104</v>
      </c>
      <c r="D5087" t="s">
        <v>2605</v>
      </c>
      <c r="E5087" t="s">
        <v>2078</v>
      </c>
      <c r="F5087" t="s">
        <v>2009</v>
      </c>
      <c r="G5087" t="s">
        <v>13105</v>
      </c>
      <c r="K5087" t="s">
        <v>13106</v>
      </c>
      <c r="L5087" t="s">
        <v>1647</v>
      </c>
      <c r="M5087" t="s">
        <v>1634</v>
      </c>
    </row>
    <row r="5088" spans="1:13" x14ac:dyDescent="0.25">
      <c r="A5088">
        <v>5880</v>
      </c>
      <c r="B5088" t="s">
        <v>13103</v>
      </c>
      <c r="C5088" t="s">
        <v>13104</v>
      </c>
      <c r="D5088" t="s">
        <v>2605</v>
      </c>
      <c r="E5088" t="s">
        <v>2078</v>
      </c>
      <c r="F5088" t="s">
        <v>13107</v>
      </c>
      <c r="G5088" t="s">
        <v>13108</v>
      </c>
      <c r="K5088" t="s">
        <v>13109</v>
      </c>
      <c r="L5088" t="s">
        <v>1647</v>
      </c>
      <c r="M5088" t="s">
        <v>1634</v>
      </c>
    </row>
    <row r="5089" spans="1:13" x14ac:dyDescent="0.25">
      <c r="A5089">
        <v>5880</v>
      </c>
      <c r="B5089" t="s">
        <v>13103</v>
      </c>
      <c r="C5089" t="s">
        <v>13104</v>
      </c>
      <c r="D5089" t="s">
        <v>2605</v>
      </c>
      <c r="E5089" t="s">
        <v>2078</v>
      </c>
      <c r="F5089" t="s">
        <v>6770</v>
      </c>
      <c r="G5089" t="s">
        <v>13079</v>
      </c>
      <c r="H5089">
        <v>5208366549</v>
      </c>
      <c r="K5089" t="s">
        <v>13080</v>
      </c>
      <c r="L5089" t="s">
        <v>1668</v>
      </c>
      <c r="M5089" t="s">
        <v>1634</v>
      </c>
    </row>
    <row r="5090" spans="1:13" x14ac:dyDescent="0.25">
      <c r="A5090">
        <v>5880</v>
      </c>
      <c r="B5090" t="s">
        <v>13103</v>
      </c>
      <c r="C5090" t="s">
        <v>13104</v>
      </c>
      <c r="D5090" t="s">
        <v>2605</v>
      </c>
      <c r="E5090" t="s">
        <v>2078</v>
      </c>
      <c r="F5090" t="s">
        <v>13088</v>
      </c>
      <c r="G5090" t="s">
        <v>13089</v>
      </c>
      <c r="H5090">
        <v>5207414374</v>
      </c>
      <c r="J5090">
        <v>5207414369</v>
      </c>
      <c r="K5090" t="s">
        <v>13090</v>
      </c>
      <c r="L5090" t="s">
        <v>1640</v>
      </c>
      <c r="M5090" t="s">
        <v>1640</v>
      </c>
    </row>
    <row r="5091" spans="1:13" x14ac:dyDescent="0.25">
      <c r="A5091">
        <v>6364</v>
      </c>
      <c r="B5091" t="s">
        <v>13110</v>
      </c>
      <c r="C5091" t="s">
        <v>13111</v>
      </c>
      <c r="D5091" t="s">
        <v>2596</v>
      </c>
      <c r="E5091" t="s">
        <v>3494</v>
      </c>
      <c r="F5091" t="s">
        <v>1707</v>
      </c>
      <c r="G5091" t="s">
        <v>1901</v>
      </c>
      <c r="J5091">
        <v>5203200668</v>
      </c>
      <c r="K5091" t="s">
        <v>13112</v>
      </c>
      <c r="L5091" t="s">
        <v>8045</v>
      </c>
      <c r="M5091" t="s">
        <v>1634</v>
      </c>
    </row>
    <row r="5092" spans="1:13" x14ac:dyDescent="0.25">
      <c r="A5092">
        <v>6364</v>
      </c>
      <c r="B5092" t="s">
        <v>13110</v>
      </c>
      <c r="C5092" t="s">
        <v>13111</v>
      </c>
      <c r="D5092" t="s">
        <v>2596</v>
      </c>
      <c r="E5092" t="s">
        <v>3494</v>
      </c>
      <c r="F5092" t="s">
        <v>13113</v>
      </c>
      <c r="G5092" t="s">
        <v>1702</v>
      </c>
      <c r="H5092">
        <v>5207433895</v>
      </c>
      <c r="K5092" t="s">
        <v>13114</v>
      </c>
      <c r="L5092" t="s">
        <v>7330</v>
      </c>
      <c r="M5092" t="s">
        <v>1634</v>
      </c>
    </row>
    <row r="5093" spans="1:13" x14ac:dyDescent="0.25">
      <c r="A5093">
        <v>6364</v>
      </c>
      <c r="B5093" t="s">
        <v>13110</v>
      </c>
      <c r="C5093" t="s">
        <v>13111</v>
      </c>
      <c r="D5093" t="s">
        <v>2596</v>
      </c>
      <c r="E5093" t="s">
        <v>3494</v>
      </c>
      <c r="F5093" t="s">
        <v>13113</v>
      </c>
      <c r="G5093" t="s">
        <v>1702</v>
      </c>
      <c r="H5093">
        <v>5207433895</v>
      </c>
      <c r="K5093" t="s">
        <v>13114</v>
      </c>
      <c r="L5093" t="s">
        <v>7330</v>
      </c>
      <c r="M5093" t="s">
        <v>1640</v>
      </c>
    </row>
    <row r="5094" spans="1:13" x14ac:dyDescent="0.25">
      <c r="A5094">
        <v>6364</v>
      </c>
      <c r="B5094" t="s">
        <v>13110</v>
      </c>
      <c r="C5094" t="s">
        <v>13111</v>
      </c>
      <c r="D5094" t="s">
        <v>2596</v>
      </c>
      <c r="E5094" t="s">
        <v>3494</v>
      </c>
      <c r="F5094" t="s">
        <v>13113</v>
      </c>
      <c r="G5094" t="s">
        <v>1702</v>
      </c>
      <c r="H5094">
        <v>5207433895</v>
      </c>
      <c r="K5094" t="s">
        <v>13114</v>
      </c>
      <c r="L5094" t="s">
        <v>7330</v>
      </c>
      <c r="M5094" t="s">
        <v>1765</v>
      </c>
    </row>
    <row r="5095" spans="1:13" x14ac:dyDescent="0.25">
      <c r="A5095">
        <v>6364</v>
      </c>
      <c r="B5095" t="s">
        <v>13110</v>
      </c>
      <c r="C5095" t="s">
        <v>13111</v>
      </c>
      <c r="D5095" t="s">
        <v>2596</v>
      </c>
      <c r="E5095" t="s">
        <v>3494</v>
      </c>
      <c r="F5095" t="s">
        <v>2099</v>
      </c>
      <c r="G5095" t="s">
        <v>8638</v>
      </c>
      <c r="K5095" t="s">
        <v>8639</v>
      </c>
      <c r="L5095" t="s">
        <v>1765</v>
      </c>
      <c r="M5095" t="s">
        <v>1765</v>
      </c>
    </row>
    <row r="5096" spans="1:13" x14ac:dyDescent="0.25">
      <c r="A5096">
        <v>5891</v>
      </c>
      <c r="B5096" t="s">
        <v>13115</v>
      </c>
      <c r="C5096" t="s">
        <v>13116</v>
      </c>
      <c r="D5096" t="s">
        <v>2605</v>
      </c>
      <c r="E5096" t="s">
        <v>3494</v>
      </c>
      <c r="F5096" t="s">
        <v>1707</v>
      </c>
      <c r="G5096" t="s">
        <v>1901</v>
      </c>
      <c r="J5096">
        <v>5207432417</v>
      </c>
      <c r="K5096" t="s">
        <v>13112</v>
      </c>
      <c r="M5096" t="s">
        <v>1634</v>
      </c>
    </row>
    <row r="5097" spans="1:13" x14ac:dyDescent="0.25">
      <c r="A5097">
        <v>5891</v>
      </c>
      <c r="B5097" t="s">
        <v>13115</v>
      </c>
      <c r="C5097" t="s">
        <v>13116</v>
      </c>
      <c r="D5097" t="s">
        <v>2605</v>
      </c>
      <c r="E5097" t="s">
        <v>3494</v>
      </c>
      <c r="F5097" t="s">
        <v>2099</v>
      </c>
      <c r="G5097" t="s">
        <v>8638</v>
      </c>
      <c r="J5097">
        <v>6029444533</v>
      </c>
      <c r="K5097" t="s">
        <v>8639</v>
      </c>
      <c r="L5097" t="s">
        <v>1765</v>
      </c>
      <c r="M5097" t="s">
        <v>1765</v>
      </c>
    </row>
    <row r="5098" spans="1:13" x14ac:dyDescent="0.25">
      <c r="A5098">
        <v>6374</v>
      </c>
      <c r="B5098" t="s">
        <v>1601</v>
      </c>
      <c r="C5098" t="s">
        <v>13117</v>
      </c>
      <c r="D5098" t="s">
        <v>2596</v>
      </c>
      <c r="E5098" t="s">
        <v>3494</v>
      </c>
      <c r="F5098" t="s">
        <v>2027</v>
      </c>
      <c r="G5098" t="s">
        <v>3454</v>
      </c>
      <c r="K5098" t="s">
        <v>13118</v>
      </c>
      <c r="L5098" t="s">
        <v>2596</v>
      </c>
      <c r="M5098" t="s">
        <v>1634</v>
      </c>
    </row>
    <row r="5099" spans="1:13" x14ac:dyDescent="0.25">
      <c r="A5099">
        <v>6374</v>
      </c>
      <c r="B5099" t="s">
        <v>1601</v>
      </c>
      <c r="C5099" t="s">
        <v>13117</v>
      </c>
      <c r="D5099" t="s">
        <v>2596</v>
      </c>
      <c r="E5099" t="s">
        <v>3494</v>
      </c>
      <c r="F5099" t="s">
        <v>2082</v>
      </c>
      <c r="G5099" t="s">
        <v>13119</v>
      </c>
      <c r="H5099">
        <v>5206224185</v>
      </c>
      <c r="J5099">
        <v>5206224755</v>
      </c>
      <c r="K5099" t="s">
        <v>13118</v>
      </c>
      <c r="L5099" t="s">
        <v>13120</v>
      </c>
      <c r="M5099" t="s">
        <v>1634</v>
      </c>
    </row>
    <row r="5100" spans="1:13" x14ac:dyDescent="0.25">
      <c r="A5100">
        <v>6374</v>
      </c>
      <c r="B5100" t="s">
        <v>1601</v>
      </c>
      <c r="C5100" t="s">
        <v>13117</v>
      </c>
      <c r="D5100" t="s">
        <v>2596</v>
      </c>
      <c r="E5100" t="s">
        <v>3494</v>
      </c>
      <c r="F5100" t="s">
        <v>5493</v>
      </c>
      <c r="G5100" t="s">
        <v>8709</v>
      </c>
      <c r="K5100" t="s">
        <v>13121</v>
      </c>
      <c r="L5100" t="s">
        <v>3043</v>
      </c>
      <c r="M5100" t="s">
        <v>1634</v>
      </c>
    </row>
    <row r="5101" spans="1:13" x14ac:dyDescent="0.25">
      <c r="A5101">
        <v>6374</v>
      </c>
      <c r="B5101" t="s">
        <v>1601</v>
      </c>
      <c r="C5101" t="s">
        <v>13117</v>
      </c>
      <c r="D5101" t="s">
        <v>2596</v>
      </c>
      <c r="E5101" t="s">
        <v>3494</v>
      </c>
      <c r="F5101" t="s">
        <v>3692</v>
      </c>
      <c r="G5101" t="s">
        <v>13122</v>
      </c>
      <c r="H5101">
        <v>5206224185</v>
      </c>
      <c r="K5101" t="s">
        <v>13123</v>
      </c>
      <c r="L5101" t="s">
        <v>13124</v>
      </c>
      <c r="M5101" t="s">
        <v>1765</v>
      </c>
    </row>
    <row r="5102" spans="1:13" x14ac:dyDescent="0.25">
      <c r="A5102">
        <v>5892</v>
      </c>
      <c r="B5102" t="s">
        <v>1601</v>
      </c>
      <c r="C5102" t="s">
        <v>13125</v>
      </c>
      <c r="D5102" t="s">
        <v>2605</v>
      </c>
      <c r="E5102" t="s">
        <v>3494</v>
      </c>
      <c r="F5102" t="s">
        <v>5493</v>
      </c>
      <c r="G5102" t="s">
        <v>8709</v>
      </c>
      <c r="H5102">
        <v>5206224185</v>
      </c>
      <c r="J5102">
        <v>5206224755</v>
      </c>
      <c r="K5102" t="s">
        <v>13118</v>
      </c>
      <c r="M5102" t="s">
        <v>1634</v>
      </c>
    </row>
    <row r="5103" spans="1:13" x14ac:dyDescent="0.25">
      <c r="A5103">
        <v>10879</v>
      </c>
      <c r="B5103" t="s">
        <v>13126</v>
      </c>
      <c r="C5103" t="s">
        <v>13127</v>
      </c>
      <c r="D5103" t="s">
        <v>2596</v>
      </c>
      <c r="E5103" t="s">
        <v>3494</v>
      </c>
      <c r="F5103" t="s">
        <v>1943</v>
      </c>
      <c r="G5103" t="s">
        <v>12778</v>
      </c>
      <c r="H5103">
        <v>5207974884</v>
      </c>
      <c r="J5103">
        <v>5207978868</v>
      </c>
      <c r="K5103" t="s">
        <v>12779</v>
      </c>
      <c r="L5103" t="s">
        <v>8309</v>
      </c>
      <c r="M5103" t="s">
        <v>1634</v>
      </c>
    </row>
    <row r="5104" spans="1:13" x14ac:dyDescent="0.25">
      <c r="A5104">
        <v>10879</v>
      </c>
      <c r="B5104" t="s">
        <v>13126</v>
      </c>
      <c r="C5104" t="s">
        <v>13127</v>
      </c>
      <c r="D5104" t="s">
        <v>2596</v>
      </c>
      <c r="E5104" t="s">
        <v>3494</v>
      </c>
      <c r="F5104" t="s">
        <v>5697</v>
      </c>
      <c r="G5104" t="s">
        <v>13128</v>
      </c>
      <c r="H5104">
        <v>5207974884</v>
      </c>
      <c r="K5104" t="s">
        <v>13129</v>
      </c>
      <c r="L5104" t="s">
        <v>7701</v>
      </c>
      <c r="M5104" t="s">
        <v>1640</v>
      </c>
    </row>
    <row r="5105" spans="1:13" x14ac:dyDescent="0.25">
      <c r="A5105">
        <v>10879</v>
      </c>
      <c r="B5105" t="s">
        <v>13126</v>
      </c>
      <c r="C5105" t="s">
        <v>13127</v>
      </c>
      <c r="D5105" t="s">
        <v>2596</v>
      </c>
      <c r="E5105" t="s">
        <v>3494</v>
      </c>
      <c r="F5105" t="s">
        <v>12775</v>
      </c>
      <c r="G5105" t="s">
        <v>12776</v>
      </c>
      <c r="K5105" t="s">
        <v>12777</v>
      </c>
      <c r="L5105" t="s">
        <v>7701</v>
      </c>
      <c r="M5105" t="s">
        <v>1640</v>
      </c>
    </row>
    <row r="5106" spans="1:13" x14ac:dyDescent="0.25">
      <c r="A5106">
        <v>10885</v>
      </c>
      <c r="B5106" t="s">
        <v>13130</v>
      </c>
      <c r="C5106" t="s">
        <v>13131</v>
      </c>
      <c r="D5106" t="s">
        <v>2605</v>
      </c>
      <c r="E5106" t="s">
        <v>3494</v>
      </c>
    </row>
    <row r="5107" spans="1:13" x14ac:dyDescent="0.25">
      <c r="A5107">
        <v>10974</v>
      </c>
      <c r="B5107" t="s">
        <v>13132</v>
      </c>
      <c r="C5107" t="s">
        <v>13133</v>
      </c>
      <c r="D5107" t="s">
        <v>2596</v>
      </c>
      <c r="E5107" t="s">
        <v>3494</v>
      </c>
      <c r="F5107" t="s">
        <v>4217</v>
      </c>
      <c r="G5107" t="s">
        <v>3590</v>
      </c>
      <c r="H5107">
        <v>5203992121</v>
      </c>
      <c r="J5107">
        <v>5203992123</v>
      </c>
      <c r="K5107" t="s">
        <v>13134</v>
      </c>
      <c r="L5107" t="s">
        <v>13135</v>
      </c>
      <c r="M5107" t="s">
        <v>1634</v>
      </c>
    </row>
    <row r="5108" spans="1:13" x14ac:dyDescent="0.25">
      <c r="A5108">
        <v>10974</v>
      </c>
      <c r="B5108" t="s">
        <v>13132</v>
      </c>
      <c r="C5108" t="s">
        <v>13133</v>
      </c>
      <c r="D5108" t="s">
        <v>2596</v>
      </c>
      <c r="E5108" t="s">
        <v>3494</v>
      </c>
      <c r="F5108" t="s">
        <v>2082</v>
      </c>
      <c r="G5108" t="s">
        <v>3590</v>
      </c>
      <c r="H5108">
        <v>5203992121</v>
      </c>
      <c r="J5108">
        <v>5203992123</v>
      </c>
      <c r="K5108" t="s">
        <v>13136</v>
      </c>
      <c r="L5108" t="s">
        <v>13137</v>
      </c>
      <c r="M5108" t="s">
        <v>1634</v>
      </c>
    </row>
    <row r="5109" spans="1:13" x14ac:dyDescent="0.25">
      <c r="A5109">
        <v>10974</v>
      </c>
      <c r="B5109" t="s">
        <v>13132</v>
      </c>
      <c r="C5109" t="s">
        <v>13133</v>
      </c>
      <c r="D5109" t="s">
        <v>2596</v>
      </c>
      <c r="E5109" t="s">
        <v>3494</v>
      </c>
      <c r="F5109" t="s">
        <v>2325</v>
      </c>
      <c r="G5109" t="s">
        <v>13138</v>
      </c>
      <c r="K5109" t="s">
        <v>13139</v>
      </c>
      <c r="L5109" t="s">
        <v>1647</v>
      </c>
      <c r="M5109" t="s">
        <v>1634</v>
      </c>
    </row>
    <row r="5110" spans="1:13" x14ac:dyDescent="0.25">
      <c r="A5110">
        <v>10974</v>
      </c>
      <c r="B5110" t="s">
        <v>13132</v>
      </c>
      <c r="C5110" t="s">
        <v>13133</v>
      </c>
      <c r="D5110" t="s">
        <v>2596</v>
      </c>
      <c r="E5110" t="s">
        <v>3494</v>
      </c>
      <c r="F5110" t="s">
        <v>2126</v>
      </c>
      <c r="G5110" t="s">
        <v>13140</v>
      </c>
      <c r="H5110">
        <v>5203992121</v>
      </c>
      <c r="J5110">
        <v>5203992123</v>
      </c>
      <c r="K5110" t="s">
        <v>13141</v>
      </c>
      <c r="L5110" t="s">
        <v>13142</v>
      </c>
      <c r="M5110" t="s">
        <v>1640</v>
      </c>
    </row>
    <row r="5111" spans="1:13" x14ac:dyDescent="0.25">
      <c r="A5111">
        <v>10974</v>
      </c>
      <c r="B5111" t="s">
        <v>13132</v>
      </c>
      <c r="C5111" t="s">
        <v>13133</v>
      </c>
      <c r="D5111" t="s">
        <v>2596</v>
      </c>
      <c r="E5111" t="s">
        <v>3494</v>
      </c>
      <c r="F5111" t="s">
        <v>12194</v>
      </c>
      <c r="G5111" t="s">
        <v>13143</v>
      </c>
      <c r="J5111">
        <v>5203992123</v>
      </c>
      <c r="K5111" t="s">
        <v>13144</v>
      </c>
      <c r="L5111" t="s">
        <v>13145</v>
      </c>
      <c r="M5111" t="s">
        <v>1765</v>
      </c>
    </row>
    <row r="5112" spans="1:13" x14ac:dyDescent="0.25">
      <c r="A5112">
        <v>78808</v>
      </c>
      <c r="B5112" t="s">
        <v>13132</v>
      </c>
      <c r="C5112" t="s">
        <v>13146</v>
      </c>
      <c r="D5112" t="s">
        <v>2605</v>
      </c>
      <c r="E5112" t="s">
        <v>3494</v>
      </c>
      <c r="F5112" t="s">
        <v>4217</v>
      </c>
      <c r="G5112" t="s">
        <v>3590</v>
      </c>
      <c r="H5112">
        <v>5203992121</v>
      </c>
      <c r="J5112">
        <v>5203992123</v>
      </c>
      <c r="K5112" t="s">
        <v>13134</v>
      </c>
      <c r="M5112" t="s">
        <v>1634</v>
      </c>
    </row>
    <row r="5113" spans="1:13" x14ac:dyDescent="0.25">
      <c r="A5113">
        <v>78808</v>
      </c>
      <c r="B5113" t="s">
        <v>13132</v>
      </c>
      <c r="C5113" t="s">
        <v>13146</v>
      </c>
      <c r="D5113" t="s">
        <v>2605</v>
      </c>
      <c r="E5113" t="s">
        <v>3494</v>
      </c>
      <c r="F5113" t="s">
        <v>2325</v>
      </c>
      <c r="G5113" t="s">
        <v>13138</v>
      </c>
      <c r="H5113">
        <v>5203992121</v>
      </c>
      <c r="J5113">
        <v>5203992121</v>
      </c>
      <c r="K5113" t="s">
        <v>13139</v>
      </c>
      <c r="L5113" t="s">
        <v>1647</v>
      </c>
      <c r="M5113" t="s">
        <v>1634</v>
      </c>
    </row>
    <row r="5114" spans="1:13" x14ac:dyDescent="0.25">
      <c r="A5114">
        <v>78808</v>
      </c>
      <c r="B5114" t="s">
        <v>13132</v>
      </c>
      <c r="C5114" t="s">
        <v>13146</v>
      </c>
      <c r="D5114" t="s">
        <v>2605</v>
      </c>
      <c r="E5114" t="s">
        <v>3494</v>
      </c>
      <c r="F5114" t="s">
        <v>2325</v>
      </c>
      <c r="G5114" t="s">
        <v>13138</v>
      </c>
      <c r="K5114" t="s">
        <v>13139</v>
      </c>
      <c r="M5114" t="s">
        <v>1640</v>
      </c>
    </row>
    <row r="5115" spans="1:13" x14ac:dyDescent="0.25">
      <c r="A5115">
        <v>79000</v>
      </c>
      <c r="B5115" t="s">
        <v>13147</v>
      </c>
      <c r="C5115" t="s">
        <v>13148</v>
      </c>
      <c r="D5115" t="s">
        <v>2596</v>
      </c>
      <c r="E5115" t="s">
        <v>3494</v>
      </c>
      <c r="F5115" t="s">
        <v>13149</v>
      </c>
      <c r="G5115" t="s">
        <v>13150</v>
      </c>
      <c r="H5115">
        <v>5203196113</v>
      </c>
      <c r="K5115" t="s">
        <v>13151</v>
      </c>
      <c r="L5115" t="s">
        <v>13152</v>
      </c>
      <c r="M5115" t="s">
        <v>1634</v>
      </c>
    </row>
    <row r="5116" spans="1:13" x14ac:dyDescent="0.25">
      <c r="A5116">
        <v>79000</v>
      </c>
      <c r="B5116" t="s">
        <v>13147</v>
      </c>
      <c r="C5116" t="s">
        <v>13148</v>
      </c>
      <c r="D5116" t="s">
        <v>2596</v>
      </c>
      <c r="E5116" t="s">
        <v>3494</v>
      </c>
      <c r="F5116" t="s">
        <v>13149</v>
      </c>
      <c r="G5116" t="s">
        <v>13150</v>
      </c>
      <c r="H5116">
        <v>5203196113</v>
      </c>
      <c r="K5116" t="s">
        <v>13151</v>
      </c>
      <c r="L5116" t="s">
        <v>13152</v>
      </c>
      <c r="M5116" t="s">
        <v>1640</v>
      </c>
    </row>
    <row r="5117" spans="1:13" x14ac:dyDescent="0.25">
      <c r="A5117">
        <v>79028</v>
      </c>
      <c r="B5117" t="s">
        <v>13153</v>
      </c>
      <c r="C5117" t="s">
        <v>13154</v>
      </c>
      <c r="D5117" t="s">
        <v>2605</v>
      </c>
      <c r="E5117" t="s">
        <v>3494</v>
      </c>
      <c r="F5117" t="s">
        <v>10429</v>
      </c>
      <c r="G5117" t="s">
        <v>13150</v>
      </c>
      <c r="H5117">
        <v>5203196113</v>
      </c>
      <c r="J5117">
        <v>5203196115</v>
      </c>
      <c r="K5117" t="s">
        <v>13155</v>
      </c>
      <c r="M5117" t="s">
        <v>1634</v>
      </c>
    </row>
    <row r="5118" spans="1:13" x14ac:dyDescent="0.25">
      <c r="A5118">
        <v>92518</v>
      </c>
      <c r="B5118" t="s">
        <v>13156</v>
      </c>
      <c r="C5118" t="s">
        <v>13157</v>
      </c>
      <c r="D5118" t="s">
        <v>2605</v>
      </c>
      <c r="E5118" t="s">
        <v>3494</v>
      </c>
      <c r="F5118" t="s">
        <v>13158</v>
      </c>
      <c r="G5118" t="s">
        <v>13159</v>
      </c>
      <c r="H5118">
        <v>6022646835</v>
      </c>
      <c r="J5118">
        <v>6022657631</v>
      </c>
      <c r="K5118" t="s">
        <v>13160</v>
      </c>
      <c r="L5118" t="s">
        <v>1640</v>
      </c>
      <c r="M5118" t="s">
        <v>1640</v>
      </c>
    </row>
    <row r="5119" spans="1:13" x14ac:dyDescent="0.25">
      <c r="A5119">
        <v>79073</v>
      </c>
      <c r="B5119" t="s">
        <v>13161</v>
      </c>
      <c r="C5119" t="s">
        <v>13162</v>
      </c>
      <c r="D5119" t="s">
        <v>2596</v>
      </c>
      <c r="E5119" t="s">
        <v>3494</v>
      </c>
      <c r="F5119" t="s">
        <v>2192</v>
      </c>
      <c r="G5119" t="s">
        <v>1691</v>
      </c>
      <c r="H5119">
        <v>5202960883</v>
      </c>
      <c r="J5119">
        <v>5202901521</v>
      </c>
      <c r="K5119" t="s">
        <v>13163</v>
      </c>
      <c r="L5119" t="s">
        <v>13164</v>
      </c>
      <c r="M5119" t="s">
        <v>1634</v>
      </c>
    </row>
    <row r="5120" spans="1:13" x14ac:dyDescent="0.25">
      <c r="A5120">
        <v>79073</v>
      </c>
      <c r="B5120" t="s">
        <v>13161</v>
      </c>
      <c r="C5120" t="s">
        <v>13162</v>
      </c>
      <c r="D5120" t="s">
        <v>2596</v>
      </c>
      <c r="E5120" t="s">
        <v>3494</v>
      </c>
      <c r="F5120" t="s">
        <v>5679</v>
      </c>
      <c r="G5120" t="s">
        <v>13165</v>
      </c>
      <c r="K5120" t="s">
        <v>13166</v>
      </c>
      <c r="M5120" t="s">
        <v>1634</v>
      </c>
    </row>
    <row r="5121" spans="1:13" x14ac:dyDescent="0.25">
      <c r="A5121">
        <v>79073</v>
      </c>
      <c r="B5121" t="s">
        <v>13161</v>
      </c>
      <c r="C5121" t="s">
        <v>13162</v>
      </c>
      <c r="D5121" t="s">
        <v>2596</v>
      </c>
      <c r="E5121" t="s">
        <v>3494</v>
      </c>
      <c r="F5121" t="s">
        <v>9323</v>
      </c>
      <c r="G5121" t="s">
        <v>12176</v>
      </c>
      <c r="H5121">
        <v>5202960883</v>
      </c>
      <c r="I5121">
        <v>1119</v>
      </c>
      <c r="K5121" t="s">
        <v>13167</v>
      </c>
      <c r="L5121" t="s">
        <v>13168</v>
      </c>
      <c r="M5121" t="s">
        <v>1634</v>
      </c>
    </row>
    <row r="5122" spans="1:13" x14ac:dyDescent="0.25">
      <c r="A5122">
        <v>79073</v>
      </c>
      <c r="B5122" t="s">
        <v>13161</v>
      </c>
      <c r="C5122" t="s">
        <v>13162</v>
      </c>
      <c r="D5122" t="s">
        <v>2596</v>
      </c>
      <c r="E5122" t="s">
        <v>3494</v>
      </c>
      <c r="F5122" t="s">
        <v>5679</v>
      </c>
      <c r="G5122" t="s">
        <v>13165</v>
      </c>
      <c r="K5122" t="s">
        <v>13166</v>
      </c>
      <c r="M5122" t="s">
        <v>1640</v>
      </c>
    </row>
    <row r="5123" spans="1:13" x14ac:dyDescent="0.25">
      <c r="A5123">
        <v>79073</v>
      </c>
      <c r="B5123" t="s">
        <v>13161</v>
      </c>
      <c r="C5123" t="s">
        <v>13162</v>
      </c>
      <c r="D5123" t="s">
        <v>2596</v>
      </c>
      <c r="E5123" t="s">
        <v>3494</v>
      </c>
      <c r="F5123" t="s">
        <v>9323</v>
      </c>
      <c r="G5123" t="s">
        <v>12176</v>
      </c>
      <c r="H5123">
        <v>5202960883</v>
      </c>
      <c r="I5123">
        <v>1119</v>
      </c>
      <c r="K5123" t="s">
        <v>13167</v>
      </c>
      <c r="L5123" t="s">
        <v>13168</v>
      </c>
      <c r="M5123" t="s">
        <v>1640</v>
      </c>
    </row>
    <row r="5124" spans="1:13" x14ac:dyDescent="0.25">
      <c r="A5124">
        <v>79073</v>
      </c>
      <c r="B5124" t="s">
        <v>13161</v>
      </c>
      <c r="C5124" t="s">
        <v>13162</v>
      </c>
      <c r="D5124" t="s">
        <v>2596</v>
      </c>
      <c r="E5124" t="s">
        <v>3494</v>
      </c>
      <c r="F5124" t="s">
        <v>8980</v>
      </c>
      <c r="G5124" t="s">
        <v>2571</v>
      </c>
      <c r="H5124">
        <v>5202960883</v>
      </c>
      <c r="K5124" t="s">
        <v>13169</v>
      </c>
      <c r="L5124" t="s">
        <v>5368</v>
      </c>
      <c r="M5124" t="s">
        <v>1765</v>
      </c>
    </row>
    <row r="5125" spans="1:13" x14ac:dyDescent="0.25">
      <c r="A5125">
        <v>79073</v>
      </c>
      <c r="B5125" t="s">
        <v>13161</v>
      </c>
      <c r="C5125" t="s">
        <v>13162</v>
      </c>
      <c r="D5125" t="s">
        <v>2596</v>
      </c>
      <c r="E5125" t="s">
        <v>3494</v>
      </c>
      <c r="F5125" t="s">
        <v>4858</v>
      </c>
      <c r="G5125" t="s">
        <v>12144</v>
      </c>
      <c r="H5125">
        <v>5202960883</v>
      </c>
      <c r="K5125" t="s">
        <v>13170</v>
      </c>
      <c r="L5125" t="s">
        <v>13171</v>
      </c>
      <c r="M5125" t="s">
        <v>1765</v>
      </c>
    </row>
    <row r="5126" spans="1:13" x14ac:dyDescent="0.25">
      <c r="A5126">
        <v>79073</v>
      </c>
      <c r="B5126" t="s">
        <v>13161</v>
      </c>
      <c r="C5126" t="s">
        <v>13162</v>
      </c>
      <c r="D5126" t="s">
        <v>2596</v>
      </c>
      <c r="E5126" t="s">
        <v>3494</v>
      </c>
      <c r="F5126" t="s">
        <v>9323</v>
      </c>
      <c r="G5126" t="s">
        <v>12176</v>
      </c>
      <c r="H5126">
        <v>5202960883</v>
      </c>
      <c r="I5126">
        <v>1119</v>
      </c>
      <c r="K5126" t="s">
        <v>13167</v>
      </c>
      <c r="L5126" t="s">
        <v>13168</v>
      </c>
      <c r="M5126" t="s">
        <v>1765</v>
      </c>
    </row>
    <row r="5127" spans="1:13" x14ac:dyDescent="0.25">
      <c r="A5127">
        <v>79103</v>
      </c>
      <c r="B5127" t="s">
        <v>13172</v>
      </c>
      <c r="C5127" t="s">
        <v>13173</v>
      </c>
      <c r="D5127" t="s">
        <v>2605</v>
      </c>
      <c r="E5127" t="s">
        <v>3494</v>
      </c>
      <c r="F5127" t="s">
        <v>2192</v>
      </c>
      <c r="G5127" t="s">
        <v>1691</v>
      </c>
      <c r="H5127">
        <v>5202960883</v>
      </c>
      <c r="J5127">
        <v>5202901521</v>
      </c>
      <c r="K5127" t="s">
        <v>13174</v>
      </c>
      <c r="L5127" t="s">
        <v>9277</v>
      </c>
      <c r="M5127" t="s">
        <v>1634</v>
      </c>
    </row>
    <row r="5128" spans="1:13" x14ac:dyDescent="0.25">
      <c r="A5128">
        <v>79103</v>
      </c>
      <c r="B5128" t="s">
        <v>13172</v>
      </c>
      <c r="C5128" t="s">
        <v>13173</v>
      </c>
      <c r="D5128" t="s">
        <v>2605</v>
      </c>
      <c r="E5128" t="s">
        <v>3494</v>
      </c>
      <c r="F5128" t="s">
        <v>9323</v>
      </c>
      <c r="G5128" t="s">
        <v>12176</v>
      </c>
      <c r="H5128">
        <v>5202960883</v>
      </c>
      <c r="K5128" t="s">
        <v>13167</v>
      </c>
      <c r="L5128" t="s">
        <v>9105</v>
      </c>
      <c r="M5128" t="s">
        <v>1765</v>
      </c>
    </row>
    <row r="5129" spans="1:13" x14ac:dyDescent="0.25">
      <c r="A5129">
        <v>79061</v>
      </c>
      <c r="B5129" t="s">
        <v>13175</v>
      </c>
      <c r="C5129" t="s">
        <v>13176</v>
      </c>
      <c r="D5129" t="s">
        <v>2596</v>
      </c>
      <c r="E5129" t="s">
        <v>3494</v>
      </c>
      <c r="F5129" t="s">
        <v>3158</v>
      </c>
      <c r="G5129" t="s">
        <v>13177</v>
      </c>
      <c r="J5129">
        <v>5209031318</v>
      </c>
      <c r="K5129" t="s">
        <v>13178</v>
      </c>
      <c r="L5129" t="s">
        <v>3124</v>
      </c>
      <c r="M5129" t="s">
        <v>1634</v>
      </c>
    </row>
    <row r="5130" spans="1:13" x14ac:dyDescent="0.25">
      <c r="A5130">
        <v>79115</v>
      </c>
      <c r="B5130" t="s">
        <v>13175</v>
      </c>
      <c r="C5130" t="s">
        <v>13179</v>
      </c>
      <c r="D5130" t="s">
        <v>2605</v>
      </c>
      <c r="E5130" t="s">
        <v>3494</v>
      </c>
      <c r="F5130" t="s">
        <v>3158</v>
      </c>
      <c r="G5130" t="s">
        <v>13177</v>
      </c>
      <c r="J5130">
        <v>5209031318</v>
      </c>
      <c r="K5130" t="s">
        <v>13178</v>
      </c>
      <c r="M5130" t="s">
        <v>1634</v>
      </c>
    </row>
    <row r="5131" spans="1:13" x14ac:dyDescent="0.25">
      <c r="A5131">
        <v>78858</v>
      </c>
      <c r="B5131" t="s">
        <v>13180</v>
      </c>
      <c r="C5131" t="s">
        <v>13181</v>
      </c>
      <c r="D5131" t="s">
        <v>2596</v>
      </c>
      <c r="E5131" t="s">
        <v>3494</v>
      </c>
      <c r="F5131" t="s">
        <v>13182</v>
      </c>
      <c r="G5131" t="s">
        <v>13183</v>
      </c>
      <c r="H5131">
        <v>5202936661</v>
      </c>
      <c r="J5131">
        <v>5204087366</v>
      </c>
      <c r="K5131" t="s">
        <v>13184</v>
      </c>
      <c r="L5131" t="s">
        <v>3124</v>
      </c>
      <c r="M5131" t="s">
        <v>1634</v>
      </c>
    </row>
    <row r="5132" spans="1:13" x14ac:dyDescent="0.25">
      <c r="A5132">
        <v>78858</v>
      </c>
      <c r="B5132" t="s">
        <v>13180</v>
      </c>
      <c r="C5132" t="s">
        <v>13181</v>
      </c>
      <c r="D5132" t="s">
        <v>2596</v>
      </c>
      <c r="E5132" t="s">
        <v>3494</v>
      </c>
      <c r="F5132" t="s">
        <v>2222</v>
      </c>
      <c r="G5132" t="s">
        <v>13185</v>
      </c>
      <c r="H5132">
        <v>5206284264</v>
      </c>
      <c r="I5132">
        <v>3</v>
      </c>
      <c r="K5132" t="s">
        <v>13186</v>
      </c>
      <c r="L5132" t="s">
        <v>13187</v>
      </c>
      <c r="M5132" t="s">
        <v>1640</v>
      </c>
    </row>
    <row r="5133" spans="1:13" x14ac:dyDescent="0.25">
      <c r="A5133">
        <v>78859</v>
      </c>
      <c r="B5133" t="s">
        <v>13188</v>
      </c>
      <c r="C5133" t="s">
        <v>13189</v>
      </c>
      <c r="D5133" t="s">
        <v>2605</v>
      </c>
      <c r="E5133" t="s">
        <v>3494</v>
      </c>
      <c r="F5133" t="s">
        <v>13182</v>
      </c>
      <c r="G5133" t="s">
        <v>13183</v>
      </c>
      <c r="H5133">
        <v>5202936661</v>
      </c>
      <c r="J5133">
        <v>5204087366</v>
      </c>
      <c r="K5133" t="s">
        <v>13184</v>
      </c>
      <c r="L5133" t="s">
        <v>3124</v>
      </c>
      <c r="M5133" t="s">
        <v>1634</v>
      </c>
    </row>
    <row r="5134" spans="1:13" x14ac:dyDescent="0.25">
      <c r="A5134">
        <v>4425</v>
      </c>
      <c r="B5134" t="s">
        <v>13190</v>
      </c>
      <c r="C5134" t="s">
        <v>13191</v>
      </c>
      <c r="D5134" t="s">
        <v>2596</v>
      </c>
      <c r="E5134" t="s">
        <v>3494</v>
      </c>
      <c r="F5134" t="s">
        <v>2142</v>
      </c>
      <c r="G5134" t="s">
        <v>13192</v>
      </c>
      <c r="H5134">
        <v>5208815222</v>
      </c>
      <c r="J5134">
        <v>5208815522</v>
      </c>
      <c r="K5134" t="s">
        <v>13193</v>
      </c>
      <c r="L5134" t="s">
        <v>1668</v>
      </c>
      <c r="M5134" t="s">
        <v>1634</v>
      </c>
    </row>
    <row r="5135" spans="1:13" x14ac:dyDescent="0.25">
      <c r="A5135">
        <v>4425</v>
      </c>
      <c r="B5135" t="s">
        <v>13190</v>
      </c>
      <c r="C5135" t="s">
        <v>13191</v>
      </c>
      <c r="D5135" t="s">
        <v>2596</v>
      </c>
      <c r="E5135" t="s">
        <v>3494</v>
      </c>
      <c r="F5135" t="s">
        <v>4363</v>
      </c>
      <c r="G5135" t="s">
        <v>10505</v>
      </c>
      <c r="J5135">
        <v>5208815522</v>
      </c>
      <c r="K5135" t="s">
        <v>13194</v>
      </c>
      <c r="L5135" t="s">
        <v>1668</v>
      </c>
      <c r="M5135" t="s">
        <v>1634</v>
      </c>
    </row>
    <row r="5136" spans="1:13" x14ac:dyDescent="0.25">
      <c r="A5136">
        <v>4425</v>
      </c>
      <c r="B5136" t="s">
        <v>13190</v>
      </c>
      <c r="C5136" t="s">
        <v>13191</v>
      </c>
      <c r="D5136" t="s">
        <v>2596</v>
      </c>
      <c r="E5136" t="s">
        <v>3494</v>
      </c>
      <c r="F5136" t="s">
        <v>2082</v>
      </c>
      <c r="G5136" t="s">
        <v>13195</v>
      </c>
      <c r="H5136">
        <v>5208815222</v>
      </c>
      <c r="K5136" t="s">
        <v>13196</v>
      </c>
      <c r="L5136" t="s">
        <v>1647</v>
      </c>
      <c r="M5136" t="s">
        <v>1634</v>
      </c>
    </row>
    <row r="5137" spans="1:13" x14ac:dyDescent="0.25">
      <c r="A5137">
        <v>4425</v>
      </c>
      <c r="B5137" t="s">
        <v>13190</v>
      </c>
      <c r="C5137" t="s">
        <v>13191</v>
      </c>
      <c r="D5137" t="s">
        <v>2596</v>
      </c>
      <c r="E5137" t="s">
        <v>3494</v>
      </c>
      <c r="F5137" t="s">
        <v>13197</v>
      </c>
      <c r="G5137" t="s">
        <v>13198</v>
      </c>
      <c r="H5137">
        <v>5208815222</v>
      </c>
      <c r="K5137" t="s">
        <v>13199</v>
      </c>
      <c r="L5137" t="s">
        <v>1746</v>
      </c>
      <c r="M5137" t="s">
        <v>1640</v>
      </c>
    </row>
    <row r="5138" spans="1:13" x14ac:dyDescent="0.25">
      <c r="A5138">
        <v>4425</v>
      </c>
      <c r="B5138" t="s">
        <v>13190</v>
      </c>
      <c r="C5138" t="s">
        <v>13191</v>
      </c>
      <c r="D5138" t="s">
        <v>2596</v>
      </c>
      <c r="E5138" t="s">
        <v>3494</v>
      </c>
      <c r="F5138" t="s">
        <v>4363</v>
      </c>
      <c r="G5138" t="s">
        <v>10505</v>
      </c>
      <c r="J5138">
        <v>5208815522</v>
      </c>
      <c r="K5138" t="s">
        <v>13194</v>
      </c>
      <c r="L5138" t="s">
        <v>1668</v>
      </c>
      <c r="M5138" t="s">
        <v>1765</v>
      </c>
    </row>
    <row r="5139" spans="1:13" x14ac:dyDescent="0.25">
      <c r="A5139">
        <v>5865</v>
      </c>
      <c r="B5139" t="s">
        <v>13190</v>
      </c>
      <c r="C5139" t="s">
        <v>13200</v>
      </c>
      <c r="D5139" t="s">
        <v>2605</v>
      </c>
      <c r="E5139" t="s">
        <v>3494</v>
      </c>
      <c r="F5139" t="s">
        <v>4363</v>
      </c>
      <c r="G5139" t="s">
        <v>10505</v>
      </c>
      <c r="J5139">
        <v>5208815522</v>
      </c>
      <c r="K5139" t="s">
        <v>13201</v>
      </c>
      <c r="M5139" t="s">
        <v>1634</v>
      </c>
    </row>
    <row r="5140" spans="1:13" x14ac:dyDescent="0.25">
      <c r="A5140">
        <v>5865</v>
      </c>
      <c r="B5140" t="s">
        <v>13190</v>
      </c>
      <c r="C5140" t="s">
        <v>13200</v>
      </c>
      <c r="D5140" t="s">
        <v>2605</v>
      </c>
      <c r="E5140" t="s">
        <v>3494</v>
      </c>
      <c r="F5140" t="s">
        <v>9306</v>
      </c>
      <c r="G5140" t="s">
        <v>7989</v>
      </c>
      <c r="H5140">
        <v>5208815222</v>
      </c>
      <c r="K5140" t="s">
        <v>13202</v>
      </c>
      <c r="L5140" t="s">
        <v>1647</v>
      </c>
      <c r="M5140" t="s">
        <v>1634</v>
      </c>
    </row>
    <row r="5141" spans="1:13" x14ac:dyDescent="0.25">
      <c r="A5141">
        <v>79085</v>
      </c>
      <c r="B5141" t="s">
        <v>1467</v>
      </c>
      <c r="C5141" t="s">
        <v>13203</v>
      </c>
      <c r="D5141" t="s">
        <v>2596</v>
      </c>
      <c r="E5141" t="s">
        <v>3494</v>
      </c>
      <c r="F5141" t="s">
        <v>2699</v>
      </c>
      <c r="G5141" t="s">
        <v>13204</v>
      </c>
      <c r="J5141">
        <v>5207417901</v>
      </c>
      <c r="K5141" t="s">
        <v>13205</v>
      </c>
      <c r="L5141" t="s">
        <v>1668</v>
      </c>
      <c r="M5141" t="s">
        <v>1634</v>
      </c>
    </row>
    <row r="5142" spans="1:13" x14ac:dyDescent="0.25">
      <c r="A5142">
        <v>79085</v>
      </c>
      <c r="B5142" t="s">
        <v>1467</v>
      </c>
      <c r="C5142" t="s">
        <v>13203</v>
      </c>
      <c r="D5142" t="s">
        <v>2596</v>
      </c>
      <c r="E5142" t="s">
        <v>3494</v>
      </c>
      <c r="F5142" t="s">
        <v>3411</v>
      </c>
      <c r="G5142" t="s">
        <v>13206</v>
      </c>
      <c r="J5142">
        <v>5207417901</v>
      </c>
      <c r="K5142" t="s">
        <v>13207</v>
      </c>
      <c r="L5142" t="s">
        <v>13208</v>
      </c>
      <c r="M5142" t="s">
        <v>1640</v>
      </c>
    </row>
    <row r="5143" spans="1:13" x14ac:dyDescent="0.25">
      <c r="A5143">
        <v>79085</v>
      </c>
      <c r="B5143" t="s">
        <v>1467</v>
      </c>
      <c r="C5143" t="s">
        <v>13203</v>
      </c>
      <c r="D5143" t="s">
        <v>2596</v>
      </c>
      <c r="E5143" t="s">
        <v>3494</v>
      </c>
      <c r="F5143" t="s">
        <v>13209</v>
      </c>
      <c r="G5143" t="s">
        <v>13210</v>
      </c>
      <c r="H5143">
        <v>5207417900</v>
      </c>
      <c r="K5143" t="s">
        <v>13211</v>
      </c>
      <c r="M5143" t="s">
        <v>1765</v>
      </c>
    </row>
    <row r="5144" spans="1:13" x14ac:dyDescent="0.25">
      <c r="A5144">
        <v>79091</v>
      </c>
      <c r="B5144" t="s">
        <v>1468</v>
      </c>
      <c r="C5144" t="s">
        <v>13212</v>
      </c>
      <c r="D5144" t="s">
        <v>2605</v>
      </c>
      <c r="E5144" t="s">
        <v>3494</v>
      </c>
      <c r="F5144" t="s">
        <v>13213</v>
      </c>
      <c r="G5144" t="s">
        <v>13214</v>
      </c>
      <c r="H5144">
        <v>5207417900</v>
      </c>
      <c r="I5144">
        <v>603</v>
      </c>
      <c r="J5144">
        <v>5207417901</v>
      </c>
      <c r="K5144" t="s">
        <v>13215</v>
      </c>
      <c r="L5144" t="s">
        <v>1647</v>
      </c>
      <c r="M5144" t="s">
        <v>1634</v>
      </c>
    </row>
    <row r="5145" spans="1:13" x14ac:dyDescent="0.25">
      <c r="A5145">
        <v>79091</v>
      </c>
      <c r="B5145" t="s">
        <v>1468</v>
      </c>
      <c r="C5145" t="s">
        <v>13212</v>
      </c>
      <c r="D5145" t="s">
        <v>2605</v>
      </c>
      <c r="E5145" t="s">
        <v>3494</v>
      </c>
      <c r="F5145" t="s">
        <v>3411</v>
      </c>
      <c r="G5145" t="s">
        <v>13206</v>
      </c>
      <c r="K5145" t="s">
        <v>13207</v>
      </c>
      <c r="M5145" t="s">
        <v>1640</v>
      </c>
    </row>
    <row r="5146" spans="1:13" x14ac:dyDescent="0.25">
      <c r="A5146">
        <v>78833</v>
      </c>
      <c r="B5146" t="s">
        <v>13216</v>
      </c>
      <c r="C5146" t="s">
        <v>13217</v>
      </c>
      <c r="D5146" t="s">
        <v>2596</v>
      </c>
      <c r="E5146" t="s">
        <v>3494</v>
      </c>
      <c r="F5146" t="s">
        <v>2253</v>
      </c>
      <c r="G5146" t="s">
        <v>13218</v>
      </c>
      <c r="K5146" t="s">
        <v>13219</v>
      </c>
      <c r="L5146" t="s">
        <v>1647</v>
      </c>
      <c r="M5146" t="s">
        <v>1634</v>
      </c>
    </row>
    <row r="5147" spans="1:13" x14ac:dyDescent="0.25">
      <c r="A5147">
        <v>78833</v>
      </c>
      <c r="B5147" t="s">
        <v>13216</v>
      </c>
      <c r="C5147" t="s">
        <v>13217</v>
      </c>
      <c r="D5147" t="s">
        <v>2596</v>
      </c>
      <c r="E5147" t="s">
        <v>3494</v>
      </c>
      <c r="F5147" t="s">
        <v>13220</v>
      </c>
      <c r="G5147" t="s">
        <v>13221</v>
      </c>
      <c r="H5147">
        <v>5207318180</v>
      </c>
      <c r="K5147" t="s">
        <v>13222</v>
      </c>
      <c r="L5147" t="s">
        <v>1647</v>
      </c>
      <c r="M5147" t="s">
        <v>1634</v>
      </c>
    </row>
    <row r="5148" spans="1:13" x14ac:dyDescent="0.25">
      <c r="A5148">
        <v>78833</v>
      </c>
      <c r="B5148" t="s">
        <v>13216</v>
      </c>
      <c r="C5148" t="s">
        <v>13217</v>
      </c>
      <c r="D5148" t="s">
        <v>2596</v>
      </c>
      <c r="E5148" t="s">
        <v>3494</v>
      </c>
      <c r="F5148" t="s">
        <v>1723</v>
      </c>
      <c r="G5148" t="s">
        <v>13223</v>
      </c>
      <c r="H5148">
        <v>4803697943</v>
      </c>
      <c r="K5148" t="s">
        <v>13224</v>
      </c>
      <c r="L5148" t="s">
        <v>13225</v>
      </c>
      <c r="M5148" t="s">
        <v>1634</v>
      </c>
    </row>
    <row r="5149" spans="1:13" x14ac:dyDescent="0.25">
      <c r="A5149">
        <v>78836</v>
      </c>
      <c r="B5149" t="s">
        <v>13226</v>
      </c>
      <c r="C5149" t="s">
        <v>13227</v>
      </c>
      <c r="D5149" t="s">
        <v>2605</v>
      </c>
      <c r="E5149" t="s">
        <v>3494</v>
      </c>
      <c r="F5149" t="s">
        <v>2253</v>
      </c>
      <c r="G5149" t="s">
        <v>13218</v>
      </c>
      <c r="H5149">
        <v>5207318180</v>
      </c>
      <c r="J5149">
        <v>5207318180</v>
      </c>
      <c r="K5149" t="s">
        <v>13219</v>
      </c>
      <c r="L5149" t="s">
        <v>1647</v>
      </c>
      <c r="M5149" t="s">
        <v>1634</v>
      </c>
    </row>
    <row r="5150" spans="1:13" x14ac:dyDescent="0.25">
      <c r="A5150">
        <v>78836</v>
      </c>
      <c r="B5150" t="s">
        <v>13226</v>
      </c>
      <c r="C5150" t="s">
        <v>13227</v>
      </c>
      <c r="D5150" t="s">
        <v>2605</v>
      </c>
      <c r="E5150" t="s">
        <v>3494</v>
      </c>
      <c r="F5150" t="s">
        <v>13220</v>
      </c>
      <c r="G5150" t="s">
        <v>13221</v>
      </c>
      <c r="K5150" t="s">
        <v>13228</v>
      </c>
      <c r="L5150" t="s">
        <v>1647</v>
      </c>
      <c r="M5150" t="s">
        <v>1634</v>
      </c>
    </row>
    <row r="5151" spans="1:13" x14ac:dyDescent="0.25">
      <c r="A5151">
        <v>78836</v>
      </c>
      <c r="B5151" t="s">
        <v>13226</v>
      </c>
      <c r="C5151" t="s">
        <v>13227</v>
      </c>
      <c r="D5151" t="s">
        <v>2605</v>
      </c>
      <c r="E5151" t="s">
        <v>3494</v>
      </c>
      <c r="F5151" t="s">
        <v>2547</v>
      </c>
      <c r="G5151" t="s">
        <v>2571</v>
      </c>
      <c r="J5151">
        <v>5207318179</v>
      </c>
      <c r="K5151" t="s">
        <v>13229</v>
      </c>
      <c r="L5151" t="s">
        <v>13230</v>
      </c>
      <c r="M5151" t="s">
        <v>1640</v>
      </c>
    </row>
    <row r="5152" spans="1:13" x14ac:dyDescent="0.25">
      <c r="A5152">
        <v>79420</v>
      </c>
      <c r="B5152" t="s">
        <v>13231</v>
      </c>
      <c r="C5152" t="s">
        <v>13232</v>
      </c>
      <c r="D5152" t="s">
        <v>2596</v>
      </c>
      <c r="E5152" t="s">
        <v>3494</v>
      </c>
      <c r="F5152" t="s">
        <v>13233</v>
      </c>
      <c r="G5152" t="s">
        <v>9908</v>
      </c>
      <c r="H5152">
        <v>5205293611</v>
      </c>
      <c r="K5152" t="s">
        <v>13234</v>
      </c>
      <c r="L5152" t="s">
        <v>13235</v>
      </c>
      <c r="M5152" t="s">
        <v>1634</v>
      </c>
    </row>
    <row r="5153" spans="1:13" x14ac:dyDescent="0.25">
      <c r="A5153">
        <v>79420</v>
      </c>
      <c r="B5153" t="s">
        <v>13231</v>
      </c>
      <c r="C5153" t="s">
        <v>13232</v>
      </c>
      <c r="D5153" t="s">
        <v>2596</v>
      </c>
      <c r="E5153" t="s">
        <v>3494</v>
      </c>
      <c r="F5153" t="s">
        <v>13236</v>
      </c>
      <c r="G5153" t="s">
        <v>13237</v>
      </c>
      <c r="H5153" t="s">
        <v>13238</v>
      </c>
      <c r="J5153">
        <v>5204682775</v>
      </c>
      <c r="K5153" t="s">
        <v>13239</v>
      </c>
      <c r="M5153" t="s">
        <v>1634</v>
      </c>
    </row>
    <row r="5154" spans="1:13" x14ac:dyDescent="0.25">
      <c r="A5154">
        <v>79420</v>
      </c>
      <c r="B5154" t="s">
        <v>13231</v>
      </c>
      <c r="C5154" t="s">
        <v>13232</v>
      </c>
      <c r="D5154" t="s">
        <v>2596</v>
      </c>
      <c r="E5154" t="s">
        <v>3494</v>
      </c>
      <c r="F5154" t="s">
        <v>3411</v>
      </c>
      <c r="G5154" t="s">
        <v>13240</v>
      </c>
      <c r="H5154">
        <v>5205293611</v>
      </c>
      <c r="K5154" t="s">
        <v>13241</v>
      </c>
      <c r="L5154" t="s">
        <v>13242</v>
      </c>
      <c r="M5154" t="s">
        <v>1634</v>
      </c>
    </row>
    <row r="5155" spans="1:13" x14ac:dyDescent="0.25">
      <c r="A5155">
        <v>79420</v>
      </c>
      <c r="B5155" t="s">
        <v>13231</v>
      </c>
      <c r="C5155" t="s">
        <v>13232</v>
      </c>
      <c r="D5155" t="s">
        <v>2596</v>
      </c>
      <c r="E5155" t="s">
        <v>3494</v>
      </c>
      <c r="F5155" t="s">
        <v>13236</v>
      </c>
      <c r="G5155" t="s">
        <v>13237</v>
      </c>
      <c r="H5155" t="s">
        <v>13238</v>
      </c>
      <c r="J5155">
        <v>5204682775</v>
      </c>
      <c r="K5155" t="s">
        <v>13239</v>
      </c>
      <c r="M5155" t="s">
        <v>1640</v>
      </c>
    </row>
    <row r="5156" spans="1:13" x14ac:dyDescent="0.25">
      <c r="A5156">
        <v>79420</v>
      </c>
      <c r="B5156" t="s">
        <v>13231</v>
      </c>
      <c r="C5156" t="s">
        <v>13232</v>
      </c>
      <c r="D5156" t="s">
        <v>2596</v>
      </c>
      <c r="E5156" t="s">
        <v>3494</v>
      </c>
      <c r="F5156" t="s">
        <v>1775</v>
      </c>
      <c r="G5156" t="s">
        <v>2331</v>
      </c>
      <c r="H5156">
        <v>5203676001</v>
      </c>
      <c r="K5156" t="s">
        <v>13243</v>
      </c>
      <c r="L5156" t="s">
        <v>13244</v>
      </c>
      <c r="M5156" t="s">
        <v>1640</v>
      </c>
    </row>
    <row r="5157" spans="1:13" x14ac:dyDescent="0.25">
      <c r="A5157">
        <v>79420</v>
      </c>
      <c r="B5157" t="s">
        <v>13231</v>
      </c>
      <c r="C5157" t="s">
        <v>13232</v>
      </c>
      <c r="D5157" t="s">
        <v>2596</v>
      </c>
      <c r="E5157" t="s">
        <v>3494</v>
      </c>
      <c r="F5157" t="s">
        <v>13245</v>
      </c>
      <c r="G5157" t="s">
        <v>6184</v>
      </c>
      <c r="H5157">
        <v>5203676001</v>
      </c>
      <c r="K5157" t="s">
        <v>13246</v>
      </c>
      <c r="L5157" t="s">
        <v>1640</v>
      </c>
      <c r="M5157" t="s">
        <v>1640</v>
      </c>
    </row>
    <row r="5158" spans="1:13" x14ac:dyDescent="0.25">
      <c r="A5158">
        <v>79420</v>
      </c>
      <c r="B5158" t="s">
        <v>13231</v>
      </c>
      <c r="C5158" t="s">
        <v>13232</v>
      </c>
      <c r="D5158" t="s">
        <v>2596</v>
      </c>
      <c r="E5158" t="s">
        <v>3494</v>
      </c>
      <c r="F5158" t="s">
        <v>13236</v>
      </c>
      <c r="G5158" t="s">
        <v>13237</v>
      </c>
      <c r="H5158" t="s">
        <v>13238</v>
      </c>
      <c r="J5158">
        <v>5204682775</v>
      </c>
      <c r="K5158" t="s">
        <v>13239</v>
      </c>
      <c r="M5158" t="s">
        <v>1765</v>
      </c>
    </row>
    <row r="5159" spans="1:13" x14ac:dyDescent="0.25">
      <c r="A5159">
        <v>79431</v>
      </c>
      <c r="B5159" t="s">
        <v>13247</v>
      </c>
      <c r="C5159" t="s">
        <v>13248</v>
      </c>
      <c r="D5159" t="s">
        <v>2605</v>
      </c>
      <c r="E5159" t="s">
        <v>3494</v>
      </c>
      <c r="F5159" t="s">
        <v>13249</v>
      </c>
      <c r="G5159" t="s">
        <v>9908</v>
      </c>
      <c r="H5159">
        <v>5205293611</v>
      </c>
      <c r="J5159">
        <v>5206150625</v>
      </c>
      <c r="K5159" t="s">
        <v>13250</v>
      </c>
      <c r="M5159" t="s">
        <v>1634</v>
      </c>
    </row>
    <row r="5160" spans="1:13" x14ac:dyDescent="0.25">
      <c r="A5160">
        <v>79431</v>
      </c>
      <c r="B5160" t="s">
        <v>13247</v>
      </c>
      <c r="C5160" t="s">
        <v>13248</v>
      </c>
      <c r="D5160" t="s">
        <v>2605</v>
      </c>
      <c r="E5160" t="s">
        <v>3494</v>
      </c>
      <c r="F5160" t="s">
        <v>13233</v>
      </c>
      <c r="G5160" t="s">
        <v>9908</v>
      </c>
      <c r="H5160">
        <v>5202373191</v>
      </c>
      <c r="K5160" t="s">
        <v>13234</v>
      </c>
      <c r="M5160" t="s">
        <v>1640</v>
      </c>
    </row>
    <row r="5161" spans="1:13" x14ac:dyDescent="0.25">
      <c r="A5161">
        <v>79426</v>
      </c>
      <c r="B5161" t="s">
        <v>807</v>
      </c>
      <c r="C5161" t="s">
        <v>13251</v>
      </c>
      <c r="D5161" t="s">
        <v>2596</v>
      </c>
      <c r="E5161" t="s">
        <v>3494</v>
      </c>
      <c r="F5161" t="s">
        <v>2355</v>
      </c>
      <c r="G5161" t="s">
        <v>5109</v>
      </c>
      <c r="H5161">
        <v>5202568770</v>
      </c>
      <c r="J5161">
        <v>5206237125</v>
      </c>
      <c r="K5161" t="s">
        <v>13252</v>
      </c>
      <c r="L5161" t="s">
        <v>8508</v>
      </c>
      <c r="M5161" t="s">
        <v>1634</v>
      </c>
    </row>
    <row r="5162" spans="1:13" x14ac:dyDescent="0.25">
      <c r="A5162">
        <v>79426</v>
      </c>
      <c r="B5162" t="s">
        <v>807</v>
      </c>
      <c r="C5162" t="s">
        <v>13251</v>
      </c>
      <c r="D5162" t="s">
        <v>2596</v>
      </c>
      <c r="E5162" t="s">
        <v>3494</v>
      </c>
      <c r="F5162" t="s">
        <v>13253</v>
      </c>
      <c r="G5162" t="s">
        <v>13254</v>
      </c>
      <c r="I5162">
        <v>42</v>
      </c>
      <c r="J5162">
        <v>5206233707</v>
      </c>
      <c r="K5162" t="s">
        <v>13255</v>
      </c>
      <c r="M5162" t="s">
        <v>1640</v>
      </c>
    </row>
    <row r="5163" spans="1:13" x14ac:dyDescent="0.25">
      <c r="A5163">
        <v>79426</v>
      </c>
      <c r="B5163" t="s">
        <v>807</v>
      </c>
      <c r="C5163" t="s">
        <v>13251</v>
      </c>
      <c r="D5163" t="s">
        <v>2596</v>
      </c>
      <c r="E5163" t="s">
        <v>3494</v>
      </c>
      <c r="F5163" t="s">
        <v>3491</v>
      </c>
      <c r="G5163" t="s">
        <v>13256</v>
      </c>
      <c r="K5163" t="s">
        <v>13257</v>
      </c>
      <c r="L5163" t="s">
        <v>13258</v>
      </c>
      <c r="M5163" t="s">
        <v>1765</v>
      </c>
    </row>
    <row r="5164" spans="1:13" x14ac:dyDescent="0.25">
      <c r="A5164">
        <v>79432</v>
      </c>
      <c r="B5164" t="s">
        <v>808</v>
      </c>
      <c r="C5164" t="s">
        <v>13259</v>
      </c>
      <c r="D5164" t="s">
        <v>2605</v>
      </c>
      <c r="E5164" t="s">
        <v>3494</v>
      </c>
      <c r="F5164" t="s">
        <v>2156</v>
      </c>
      <c r="G5164" t="s">
        <v>13260</v>
      </c>
      <c r="K5164" t="s">
        <v>13261</v>
      </c>
      <c r="L5164" t="s">
        <v>1647</v>
      </c>
      <c r="M5164" t="s">
        <v>1634</v>
      </c>
    </row>
    <row r="5165" spans="1:13" x14ac:dyDescent="0.25">
      <c r="A5165">
        <v>79432</v>
      </c>
      <c r="B5165" t="s">
        <v>808</v>
      </c>
      <c r="C5165" t="s">
        <v>13259</v>
      </c>
      <c r="D5165" t="s">
        <v>2605</v>
      </c>
      <c r="E5165" t="s">
        <v>3494</v>
      </c>
      <c r="F5165" t="s">
        <v>2355</v>
      </c>
      <c r="G5165" t="s">
        <v>5109</v>
      </c>
      <c r="M5165" t="s">
        <v>1640</v>
      </c>
    </row>
    <row r="5166" spans="1:13" x14ac:dyDescent="0.25">
      <c r="A5166">
        <v>79441</v>
      </c>
      <c r="B5166" t="s">
        <v>13262</v>
      </c>
      <c r="C5166" t="s">
        <v>13263</v>
      </c>
      <c r="D5166" t="s">
        <v>2596</v>
      </c>
      <c r="E5166" t="s">
        <v>3494</v>
      </c>
      <c r="F5166" t="s">
        <v>1943</v>
      </c>
      <c r="G5166" t="s">
        <v>12778</v>
      </c>
      <c r="H5166">
        <v>5207974884</v>
      </c>
      <c r="K5166" t="s">
        <v>13264</v>
      </c>
      <c r="L5166" t="s">
        <v>12780</v>
      </c>
      <c r="M5166" t="s">
        <v>1634</v>
      </c>
    </row>
    <row r="5167" spans="1:13" x14ac:dyDescent="0.25">
      <c r="A5167">
        <v>79441</v>
      </c>
      <c r="B5167" t="s">
        <v>13262</v>
      </c>
      <c r="C5167" t="s">
        <v>13263</v>
      </c>
      <c r="D5167" t="s">
        <v>2596</v>
      </c>
      <c r="E5167" t="s">
        <v>3494</v>
      </c>
      <c r="F5167" t="s">
        <v>12775</v>
      </c>
      <c r="G5167" t="s">
        <v>12776</v>
      </c>
      <c r="K5167" t="s">
        <v>12777</v>
      </c>
      <c r="L5167" t="s">
        <v>9094</v>
      </c>
      <c r="M5167" t="s">
        <v>1634</v>
      </c>
    </row>
    <row r="5168" spans="1:13" x14ac:dyDescent="0.25">
      <c r="A5168">
        <v>79441</v>
      </c>
      <c r="B5168" t="s">
        <v>13262</v>
      </c>
      <c r="C5168" t="s">
        <v>13263</v>
      </c>
      <c r="D5168" t="s">
        <v>2596</v>
      </c>
      <c r="E5168" t="s">
        <v>3494</v>
      </c>
      <c r="F5168" t="s">
        <v>5697</v>
      </c>
      <c r="G5168" t="s">
        <v>13128</v>
      </c>
      <c r="H5168">
        <v>5207974884</v>
      </c>
      <c r="K5168" t="s">
        <v>13129</v>
      </c>
      <c r="L5168" t="s">
        <v>7701</v>
      </c>
      <c r="M5168" t="s">
        <v>1640</v>
      </c>
    </row>
    <row r="5169" spans="1:13" x14ac:dyDescent="0.25">
      <c r="A5169">
        <v>79441</v>
      </c>
      <c r="B5169" t="s">
        <v>13262</v>
      </c>
      <c r="C5169" t="s">
        <v>13263</v>
      </c>
      <c r="D5169" t="s">
        <v>2596</v>
      </c>
      <c r="E5169" t="s">
        <v>3494</v>
      </c>
      <c r="F5169" t="s">
        <v>1943</v>
      </c>
      <c r="G5169" t="s">
        <v>12778</v>
      </c>
      <c r="H5169">
        <v>5207974884</v>
      </c>
      <c r="K5169" t="s">
        <v>13264</v>
      </c>
      <c r="L5169" t="s">
        <v>12780</v>
      </c>
      <c r="M5169" t="s">
        <v>1640</v>
      </c>
    </row>
    <row r="5170" spans="1:13" x14ac:dyDescent="0.25">
      <c r="A5170">
        <v>79441</v>
      </c>
      <c r="B5170" t="s">
        <v>13262</v>
      </c>
      <c r="C5170" t="s">
        <v>13263</v>
      </c>
      <c r="D5170" t="s">
        <v>2596</v>
      </c>
      <c r="E5170" t="s">
        <v>3494</v>
      </c>
      <c r="F5170" t="s">
        <v>2401</v>
      </c>
      <c r="G5170" t="s">
        <v>13265</v>
      </c>
      <c r="H5170">
        <v>5207974884</v>
      </c>
      <c r="K5170" t="s">
        <v>13266</v>
      </c>
      <c r="L5170" t="s">
        <v>1640</v>
      </c>
      <c r="M5170" t="s">
        <v>1640</v>
      </c>
    </row>
    <row r="5171" spans="1:13" x14ac:dyDescent="0.25">
      <c r="A5171">
        <v>79441</v>
      </c>
      <c r="B5171" t="s">
        <v>13262</v>
      </c>
      <c r="C5171" t="s">
        <v>13263</v>
      </c>
      <c r="D5171" t="s">
        <v>2596</v>
      </c>
      <c r="E5171" t="s">
        <v>3494</v>
      </c>
      <c r="F5171" t="s">
        <v>13267</v>
      </c>
      <c r="G5171" t="s">
        <v>13268</v>
      </c>
      <c r="K5171" t="s">
        <v>13269</v>
      </c>
      <c r="L5171" t="s">
        <v>13270</v>
      </c>
      <c r="M5171" t="s">
        <v>1765</v>
      </c>
    </row>
    <row r="5172" spans="1:13" x14ac:dyDescent="0.25">
      <c r="A5172">
        <v>79442</v>
      </c>
      <c r="B5172" t="s">
        <v>13271</v>
      </c>
      <c r="C5172" t="s">
        <v>13272</v>
      </c>
      <c r="D5172" t="s">
        <v>2605</v>
      </c>
      <c r="E5172" t="s">
        <v>3494</v>
      </c>
    </row>
    <row r="5173" spans="1:13" x14ac:dyDescent="0.25">
      <c r="A5173">
        <v>79467</v>
      </c>
      <c r="B5173" t="s">
        <v>13273</v>
      </c>
      <c r="C5173" t="s">
        <v>13274</v>
      </c>
      <c r="D5173" t="s">
        <v>2596</v>
      </c>
      <c r="E5173" t="s">
        <v>3494</v>
      </c>
      <c r="F5173" t="s">
        <v>13275</v>
      </c>
      <c r="G5173" t="s">
        <v>10980</v>
      </c>
      <c r="H5173">
        <v>5202964070</v>
      </c>
      <c r="J5173">
        <v>5202964103</v>
      </c>
      <c r="K5173" t="s">
        <v>13276</v>
      </c>
      <c r="L5173" t="s">
        <v>1668</v>
      </c>
      <c r="M5173" t="s">
        <v>1634</v>
      </c>
    </row>
    <row r="5174" spans="1:13" x14ac:dyDescent="0.25">
      <c r="A5174">
        <v>79467</v>
      </c>
      <c r="B5174" t="s">
        <v>13273</v>
      </c>
      <c r="C5174" t="s">
        <v>13274</v>
      </c>
      <c r="D5174" t="s">
        <v>2596</v>
      </c>
      <c r="E5174" t="s">
        <v>3494</v>
      </c>
      <c r="F5174" t="s">
        <v>1775</v>
      </c>
      <c r="G5174" t="s">
        <v>10980</v>
      </c>
      <c r="H5174">
        <v>5202964070</v>
      </c>
      <c r="K5174" t="s">
        <v>13277</v>
      </c>
      <c r="L5174" t="s">
        <v>9277</v>
      </c>
      <c r="M5174" t="s">
        <v>1634</v>
      </c>
    </row>
    <row r="5175" spans="1:13" x14ac:dyDescent="0.25">
      <c r="A5175">
        <v>79467</v>
      </c>
      <c r="B5175" t="s">
        <v>13273</v>
      </c>
      <c r="C5175" t="s">
        <v>13274</v>
      </c>
      <c r="D5175" t="s">
        <v>2596</v>
      </c>
      <c r="E5175" t="s">
        <v>3494</v>
      </c>
      <c r="F5175" t="s">
        <v>13275</v>
      </c>
      <c r="G5175" t="s">
        <v>10980</v>
      </c>
      <c r="H5175">
        <v>5202964070</v>
      </c>
      <c r="J5175">
        <v>5202964103</v>
      </c>
      <c r="K5175" t="s">
        <v>13276</v>
      </c>
      <c r="L5175" t="s">
        <v>1668</v>
      </c>
      <c r="M5175" t="s">
        <v>1640</v>
      </c>
    </row>
    <row r="5176" spans="1:13" x14ac:dyDescent="0.25">
      <c r="A5176">
        <v>79467</v>
      </c>
      <c r="B5176" t="s">
        <v>13273</v>
      </c>
      <c r="C5176" t="s">
        <v>13274</v>
      </c>
      <c r="D5176" t="s">
        <v>2596</v>
      </c>
      <c r="E5176" t="s">
        <v>3494</v>
      </c>
      <c r="F5176" t="s">
        <v>1775</v>
      </c>
      <c r="G5176" t="s">
        <v>10980</v>
      </c>
      <c r="H5176">
        <v>5202964070</v>
      </c>
      <c r="K5176" t="s">
        <v>13277</v>
      </c>
      <c r="L5176" t="s">
        <v>9277</v>
      </c>
      <c r="M5176" t="s">
        <v>1640</v>
      </c>
    </row>
    <row r="5177" spans="1:13" x14ac:dyDescent="0.25">
      <c r="A5177">
        <v>79467</v>
      </c>
      <c r="B5177" t="s">
        <v>13273</v>
      </c>
      <c r="C5177" t="s">
        <v>13274</v>
      </c>
      <c r="D5177" t="s">
        <v>2596</v>
      </c>
      <c r="E5177" t="s">
        <v>3494</v>
      </c>
      <c r="F5177" t="s">
        <v>13275</v>
      </c>
      <c r="G5177" t="s">
        <v>10980</v>
      </c>
      <c r="H5177">
        <v>5202964070</v>
      </c>
      <c r="J5177">
        <v>5202964103</v>
      </c>
      <c r="K5177" t="s">
        <v>13276</v>
      </c>
      <c r="L5177" t="s">
        <v>1668</v>
      </c>
      <c r="M5177" t="s">
        <v>1765</v>
      </c>
    </row>
    <row r="5178" spans="1:13" x14ac:dyDescent="0.25">
      <c r="A5178">
        <v>79467</v>
      </c>
      <c r="B5178" t="s">
        <v>13273</v>
      </c>
      <c r="C5178" t="s">
        <v>13274</v>
      </c>
      <c r="D5178" t="s">
        <v>2596</v>
      </c>
      <c r="E5178" t="s">
        <v>3494</v>
      </c>
      <c r="F5178" t="s">
        <v>1775</v>
      </c>
      <c r="G5178" t="s">
        <v>10980</v>
      </c>
      <c r="H5178">
        <v>5202964070</v>
      </c>
      <c r="K5178" t="s">
        <v>13277</v>
      </c>
      <c r="L5178" t="s">
        <v>9277</v>
      </c>
      <c r="M5178" t="s">
        <v>1765</v>
      </c>
    </row>
    <row r="5179" spans="1:13" x14ac:dyDescent="0.25">
      <c r="A5179">
        <v>79468</v>
      </c>
      <c r="B5179" t="s">
        <v>13278</v>
      </c>
      <c r="C5179" t="s">
        <v>13279</v>
      </c>
      <c r="D5179" t="s">
        <v>2605</v>
      </c>
      <c r="E5179" t="s">
        <v>3494</v>
      </c>
      <c r="F5179" t="s">
        <v>13275</v>
      </c>
      <c r="G5179" t="s">
        <v>10980</v>
      </c>
      <c r="H5179">
        <v>5202964070</v>
      </c>
      <c r="J5179">
        <v>5202964103</v>
      </c>
      <c r="K5179" t="s">
        <v>13276</v>
      </c>
      <c r="L5179" t="s">
        <v>13280</v>
      </c>
      <c r="M5179" t="s">
        <v>1634</v>
      </c>
    </row>
    <row r="5180" spans="1:13" x14ac:dyDescent="0.25">
      <c r="A5180">
        <v>79500</v>
      </c>
      <c r="B5180" t="s">
        <v>13281</v>
      </c>
      <c r="C5180" t="s">
        <v>13282</v>
      </c>
      <c r="D5180" t="s">
        <v>2596</v>
      </c>
      <c r="E5180" t="s">
        <v>3494</v>
      </c>
      <c r="F5180" t="s">
        <v>1974</v>
      </c>
      <c r="G5180" t="s">
        <v>13283</v>
      </c>
      <c r="J5180">
        <v>5206206570</v>
      </c>
      <c r="K5180" t="s">
        <v>13284</v>
      </c>
      <c r="L5180" t="s">
        <v>13285</v>
      </c>
      <c r="M5180" t="s">
        <v>1634</v>
      </c>
    </row>
    <row r="5181" spans="1:13" x14ac:dyDescent="0.25">
      <c r="A5181">
        <v>79500</v>
      </c>
      <c r="B5181" t="s">
        <v>13281</v>
      </c>
      <c r="C5181" t="s">
        <v>13282</v>
      </c>
      <c r="D5181" t="s">
        <v>2596</v>
      </c>
      <c r="E5181" t="s">
        <v>3494</v>
      </c>
      <c r="F5181" t="s">
        <v>1974</v>
      </c>
      <c r="G5181" t="s">
        <v>13283</v>
      </c>
      <c r="J5181">
        <v>5206206570</v>
      </c>
      <c r="K5181" t="s">
        <v>13284</v>
      </c>
      <c r="L5181" t="s">
        <v>13285</v>
      </c>
      <c r="M5181" t="s">
        <v>1640</v>
      </c>
    </row>
    <row r="5182" spans="1:13" x14ac:dyDescent="0.25">
      <c r="A5182">
        <v>79500</v>
      </c>
      <c r="B5182" t="s">
        <v>13281</v>
      </c>
      <c r="C5182" t="s">
        <v>13282</v>
      </c>
      <c r="D5182" t="s">
        <v>2596</v>
      </c>
      <c r="E5182" t="s">
        <v>3494</v>
      </c>
      <c r="F5182" t="s">
        <v>6120</v>
      </c>
      <c r="G5182" t="s">
        <v>13286</v>
      </c>
      <c r="H5182">
        <v>5207908400</v>
      </c>
      <c r="I5182">
        <v>1022</v>
      </c>
      <c r="K5182" t="s">
        <v>13287</v>
      </c>
      <c r="L5182" t="s">
        <v>1640</v>
      </c>
      <c r="M5182" t="s">
        <v>1640</v>
      </c>
    </row>
    <row r="5183" spans="1:13" x14ac:dyDescent="0.25">
      <c r="A5183">
        <v>79500</v>
      </c>
      <c r="B5183" t="s">
        <v>13281</v>
      </c>
      <c r="C5183" t="s">
        <v>13282</v>
      </c>
      <c r="D5183" t="s">
        <v>2596</v>
      </c>
      <c r="E5183" t="s">
        <v>3494</v>
      </c>
      <c r="F5183" t="s">
        <v>2508</v>
      </c>
      <c r="G5183" t="s">
        <v>1298</v>
      </c>
      <c r="H5183" t="s">
        <v>2509</v>
      </c>
      <c r="K5183" t="s">
        <v>8529</v>
      </c>
      <c r="M5183" t="s">
        <v>1640</v>
      </c>
    </row>
    <row r="5184" spans="1:13" x14ac:dyDescent="0.25">
      <c r="A5184">
        <v>79512</v>
      </c>
      <c r="B5184" t="s">
        <v>13288</v>
      </c>
      <c r="C5184" t="s">
        <v>13289</v>
      </c>
      <c r="D5184" t="s">
        <v>2605</v>
      </c>
      <c r="E5184" t="s">
        <v>3494</v>
      </c>
      <c r="F5184" t="s">
        <v>1974</v>
      </c>
      <c r="G5184" t="s">
        <v>13283</v>
      </c>
      <c r="J5184">
        <v>5206206570</v>
      </c>
      <c r="K5184" t="s">
        <v>13284</v>
      </c>
      <c r="M5184" t="s">
        <v>1634</v>
      </c>
    </row>
    <row r="5185" spans="1:13" x14ac:dyDescent="0.25">
      <c r="A5185">
        <v>90470</v>
      </c>
      <c r="B5185" t="s">
        <v>13290</v>
      </c>
      <c r="C5185" t="s">
        <v>13291</v>
      </c>
      <c r="D5185" t="s">
        <v>2605</v>
      </c>
      <c r="E5185" t="s">
        <v>3494</v>
      </c>
      <c r="F5185" t="s">
        <v>1974</v>
      </c>
      <c r="G5185" t="s">
        <v>13283</v>
      </c>
      <c r="M5185" t="s">
        <v>1634</v>
      </c>
    </row>
    <row r="5186" spans="1:13" x14ac:dyDescent="0.25">
      <c r="A5186">
        <v>80032</v>
      </c>
      <c r="B5186" t="s">
        <v>993</v>
      </c>
      <c r="C5186" t="s">
        <v>13292</v>
      </c>
      <c r="D5186" t="s">
        <v>2596</v>
      </c>
      <c r="E5186" t="s">
        <v>3494</v>
      </c>
      <c r="F5186" t="s">
        <v>9161</v>
      </c>
      <c r="G5186" t="s">
        <v>12700</v>
      </c>
      <c r="H5186">
        <v>5208820018</v>
      </c>
      <c r="J5186">
        <v>5206240998</v>
      </c>
      <c r="K5186" t="s">
        <v>12701</v>
      </c>
      <c r="L5186" t="s">
        <v>12702</v>
      </c>
      <c r="M5186" t="s">
        <v>1634</v>
      </c>
    </row>
    <row r="5187" spans="1:13" x14ac:dyDescent="0.25">
      <c r="A5187">
        <v>80032</v>
      </c>
      <c r="B5187" t="s">
        <v>993</v>
      </c>
      <c r="C5187" t="s">
        <v>13292</v>
      </c>
      <c r="D5187" t="s">
        <v>2596</v>
      </c>
      <c r="E5187" t="s">
        <v>3494</v>
      </c>
      <c r="F5187" t="s">
        <v>2745</v>
      </c>
      <c r="G5187" t="s">
        <v>12698</v>
      </c>
      <c r="H5187">
        <v>5208077923</v>
      </c>
      <c r="K5187" t="s">
        <v>12699</v>
      </c>
      <c r="L5187" t="s">
        <v>1647</v>
      </c>
      <c r="M5187" t="s">
        <v>1634</v>
      </c>
    </row>
    <row r="5188" spans="1:13" x14ac:dyDescent="0.25">
      <c r="A5188">
        <v>80032</v>
      </c>
      <c r="B5188" t="s">
        <v>993</v>
      </c>
      <c r="C5188" t="s">
        <v>13292</v>
      </c>
      <c r="D5188" t="s">
        <v>2596</v>
      </c>
      <c r="E5188" t="s">
        <v>3494</v>
      </c>
      <c r="F5188" t="s">
        <v>12704</v>
      </c>
      <c r="G5188" t="s">
        <v>12705</v>
      </c>
      <c r="H5188">
        <v>5207919855</v>
      </c>
      <c r="K5188" t="s">
        <v>13293</v>
      </c>
      <c r="L5188" t="s">
        <v>1668</v>
      </c>
      <c r="M5188" t="s">
        <v>1634</v>
      </c>
    </row>
    <row r="5189" spans="1:13" x14ac:dyDescent="0.25">
      <c r="A5189">
        <v>80032</v>
      </c>
      <c r="B5189" t="s">
        <v>993</v>
      </c>
      <c r="C5189" t="s">
        <v>13292</v>
      </c>
      <c r="D5189" t="s">
        <v>2596</v>
      </c>
      <c r="E5189" t="s">
        <v>3494</v>
      </c>
      <c r="F5189" t="s">
        <v>1935</v>
      </c>
      <c r="G5189" t="s">
        <v>12901</v>
      </c>
      <c r="H5189">
        <v>5208077923</v>
      </c>
      <c r="K5189" t="s">
        <v>13294</v>
      </c>
      <c r="L5189" t="s">
        <v>1647</v>
      </c>
      <c r="M5189" t="s">
        <v>1634</v>
      </c>
    </row>
    <row r="5190" spans="1:13" x14ac:dyDescent="0.25">
      <c r="A5190">
        <v>80032</v>
      </c>
      <c r="B5190" t="s">
        <v>993</v>
      </c>
      <c r="C5190" t="s">
        <v>13292</v>
      </c>
      <c r="D5190" t="s">
        <v>2596</v>
      </c>
      <c r="E5190" t="s">
        <v>3494</v>
      </c>
      <c r="F5190" t="s">
        <v>12709</v>
      </c>
      <c r="G5190" t="s">
        <v>12710</v>
      </c>
      <c r="J5190">
        <v>5208077827</v>
      </c>
      <c r="K5190" t="s">
        <v>12711</v>
      </c>
      <c r="L5190" t="s">
        <v>12712</v>
      </c>
      <c r="M5190" t="s">
        <v>1640</v>
      </c>
    </row>
    <row r="5191" spans="1:13" x14ac:dyDescent="0.25">
      <c r="A5191">
        <v>80032</v>
      </c>
      <c r="B5191" t="s">
        <v>993</v>
      </c>
      <c r="C5191" t="s">
        <v>13292</v>
      </c>
      <c r="D5191" t="s">
        <v>2596</v>
      </c>
      <c r="E5191" t="s">
        <v>3494</v>
      </c>
      <c r="F5191" t="s">
        <v>12713</v>
      </c>
      <c r="G5191" t="s">
        <v>12714</v>
      </c>
      <c r="H5191">
        <v>5208820018</v>
      </c>
      <c r="K5191" t="s">
        <v>12715</v>
      </c>
      <c r="L5191" t="s">
        <v>12716</v>
      </c>
      <c r="M5191" t="s">
        <v>1640</v>
      </c>
    </row>
    <row r="5192" spans="1:13" x14ac:dyDescent="0.25">
      <c r="A5192">
        <v>80032</v>
      </c>
      <c r="B5192" t="s">
        <v>993</v>
      </c>
      <c r="C5192" t="s">
        <v>13292</v>
      </c>
      <c r="D5192" t="s">
        <v>2596</v>
      </c>
      <c r="E5192" t="s">
        <v>3494</v>
      </c>
      <c r="F5192" t="s">
        <v>12717</v>
      </c>
      <c r="G5192" t="s">
        <v>2127</v>
      </c>
      <c r="K5192" t="s">
        <v>12718</v>
      </c>
      <c r="L5192" t="s">
        <v>12719</v>
      </c>
      <c r="M5192" t="s">
        <v>1765</v>
      </c>
    </row>
    <row r="5193" spans="1:13" x14ac:dyDescent="0.25">
      <c r="A5193">
        <v>80032</v>
      </c>
      <c r="B5193" t="s">
        <v>993</v>
      </c>
      <c r="C5193" t="s">
        <v>13292</v>
      </c>
      <c r="D5193" t="s">
        <v>2596</v>
      </c>
      <c r="E5193" t="s">
        <v>3494</v>
      </c>
      <c r="F5193" t="s">
        <v>12709</v>
      </c>
      <c r="G5193" t="s">
        <v>12710</v>
      </c>
      <c r="J5193">
        <v>5208077827</v>
      </c>
      <c r="K5193" t="s">
        <v>12711</v>
      </c>
      <c r="L5193" t="s">
        <v>12712</v>
      </c>
      <c r="M5193" t="s">
        <v>1765</v>
      </c>
    </row>
    <row r="5194" spans="1:13" x14ac:dyDescent="0.25">
      <c r="A5194">
        <v>80033</v>
      </c>
      <c r="B5194" t="s">
        <v>994</v>
      </c>
      <c r="C5194" t="s">
        <v>13295</v>
      </c>
      <c r="D5194" t="s">
        <v>2605</v>
      </c>
      <c r="E5194" t="s">
        <v>3494</v>
      </c>
      <c r="F5194" t="s">
        <v>2376</v>
      </c>
      <c r="G5194" t="s">
        <v>13296</v>
      </c>
      <c r="L5194" t="s">
        <v>1647</v>
      </c>
      <c r="M5194" t="s">
        <v>1634</v>
      </c>
    </row>
    <row r="5195" spans="1:13" x14ac:dyDescent="0.25">
      <c r="A5195">
        <v>80995</v>
      </c>
      <c r="B5195" t="s">
        <v>1003</v>
      </c>
      <c r="C5195" t="s">
        <v>13297</v>
      </c>
      <c r="D5195" t="s">
        <v>2596</v>
      </c>
      <c r="E5195" t="s">
        <v>3494</v>
      </c>
      <c r="F5195" t="s">
        <v>9455</v>
      </c>
      <c r="G5195" t="s">
        <v>2550</v>
      </c>
      <c r="J5195">
        <v>5202944933</v>
      </c>
      <c r="K5195" t="s">
        <v>13298</v>
      </c>
      <c r="L5195" t="s">
        <v>1647</v>
      </c>
      <c r="M5195" t="s">
        <v>1634</v>
      </c>
    </row>
    <row r="5196" spans="1:13" x14ac:dyDescent="0.25">
      <c r="A5196">
        <v>80995</v>
      </c>
      <c r="B5196" t="s">
        <v>1003</v>
      </c>
      <c r="C5196" t="s">
        <v>13297</v>
      </c>
      <c r="D5196" t="s">
        <v>2596</v>
      </c>
      <c r="E5196" t="s">
        <v>3494</v>
      </c>
      <c r="F5196" t="s">
        <v>13299</v>
      </c>
      <c r="G5196" t="s">
        <v>6795</v>
      </c>
      <c r="K5196" t="s">
        <v>13300</v>
      </c>
      <c r="M5196" t="s">
        <v>1634</v>
      </c>
    </row>
    <row r="5197" spans="1:13" x14ac:dyDescent="0.25">
      <c r="A5197">
        <v>80995</v>
      </c>
      <c r="B5197" t="s">
        <v>1003</v>
      </c>
      <c r="C5197" t="s">
        <v>13297</v>
      </c>
      <c r="D5197" t="s">
        <v>2596</v>
      </c>
      <c r="E5197" t="s">
        <v>3494</v>
      </c>
      <c r="F5197" t="s">
        <v>9634</v>
      </c>
      <c r="G5197" t="s">
        <v>3680</v>
      </c>
      <c r="K5197" t="s">
        <v>9635</v>
      </c>
      <c r="M5197" t="s">
        <v>1634</v>
      </c>
    </row>
    <row r="5198" spans="1:13" x14ac:dyDescent="0.25">
      <c r="A5198">
        <v>80995</v>
      </c>
      <c r="B5198" t="s">
        <v>1003</v>
      </c>
      <c r="C5198" t="s">
        <v>13297</v>
      </c>
      <c r="D5198" t="s">
        <v>2596</v>
      </c>
      <c r="E5198" t="s">
        <v>3494</v>
      </c>
      <c r="F5198" t="s">
        <v>3570</v>
      </c>
      <c r="G5198" t="s">
        <v>5188</v>
      </c>
      <c r="K5198" t="s">
        <v>9636</v>
      </c>
      <c r="L5198" t="s">
        <v>9637</v>
      </c>
      <c r="M5198" t="s">
        <v>1640</v>
      </c>
    </row>
    <row r="5199" spans="1:13" x14ac:dyDescent="0.25">
      <c r="A5199">
        <v>80995</v>
      </c>
      <c r="B5199" t="s">
        <v>1003</v>
      </c>
      <c r="C5199" t="s">
        <v>13297</v>
      </c>
      <c r="D5199" t="s">
        <v>2596</v>
      </c>
      <c r="E5199" t="s">
        <v>3494</v>
      </c>
      <c r="F5199" t="s">
        <v>1848</v>
      </c>
      <c r="G5199" t="s">
        <v>2927</v>
      </c>
      <c r="K5199" t="s">
        <v>8243</v>
      </c>
      <c r="M5199" t="s">
        <v>1765</v>
      </c>
    </row>
    <row r="5200" spans="1:13" x14ac:dyDescent="0.25">
      <c r="A5200">
        <v>80996</v>
      </c>
      <c r="B5200" t="s">
        <v>1004</v>
      </c>
      <c r="C5200" t="s">
        <v>13301</v>
      </c>
      <c r="D5200" t="s">
        <v>2605</v>
      </c>
      <c r="E5200" t="s">
        <v>3494</v>
      </c>
      <c r="F5200" t="s">
        <v>9455</v>
      </c>
      <c r="G5200" t="s">
        <v>2550</v>
      </c>
      <c r="J5200">
        <v>5202944933</v>
      </c>
      <c r="K5200" t="s">
        <v>13298</v>
      </c>
      <c r="M5200" t="s">
        <v>1634</v>
      </c>
    </row>
    <row r="5201" spans="1:13" x14ac:dyDescent="0.25">
      <c r="A5201">
        <v>80996</v>
      </c>
      <c r="B5201" t="s">
        <v>1004</v>
      </c>
      <c r="C5201" t="s">
        <v>13301</v>
      </c>
      <c r="D5201" t="s">
        <v>2605</v>
      </c>
      <c r="E5201" t="s">
        <v>3494</v>
      </c>
      <c r="F5201" t="s">
        <v>3570</v>
      </c>
      <c r="G5201" t="s">
        <v>5188</v>
      </c>
      <c r="K5201" t="s">
        <v>8727</v>
      </c>
      <c r="L5201" t="s">
        <v>1640</v>
      </c>
      <c r="M5201" t="s">
        <v>1640</v>
      </c>
    </row>
    <row r="5202" spans="1:13" x14ac:dyDescent="0.25">
      <c r="A5202">
        <v>87405</v>
      </c>
      <c r="B5202" t="s">
        <v>910</v>
      </c>
      <c r="C5202" t="s">
        <v>13302</v>
      </c>
      <c r="D5202" t="s">
        <v>2596</v>
      </c>
      <c r="E5202" t="s">
        <v>3494</v>
      </c>
      <c r="F5202" t="s">
        <v>13303</v>
      </c>
      <c r="G5202" t="s">
        <v>8135</v>
      </c>
      <c r="H5202">
        <v>4808779857</v>
      </c>
      <c r="K5202" t="s">
        <v>13304</v>
      </c>
      <c r="M5202" t="s">
        <v>1634</v>
      </c>
    </row>
    <row r="5203" spans="1:13" x14ac:dyDescent="0.25">
      <c r="A5203">
        <v>87405</v>
      </c>
      <c r="B5203" t="s">
        <v>910</v>
      </c>
      <c r="C5203" t="s">
        <v>13302</v>
      </c>
      <c r="D5203" t="s">
        <v>2596</v>
      </c>
      <c r="E5203" t="s">
        <v>3494</v>
      </c>
      <c r="F5203" t="s">
        <v>1912</v>
      </c>
      <c r="G5203" t="s">
        <v>13305</v>
      </c>
      <c r="H5203" t="s">
        <v>13306</v>
      </c>
      <c r="K5203" t="s">
        <v>13307</v>
      </c>
      <c r="L5203" t="s">
        <v>1640</v>
      </c>
      <c r="M5203" t="s">
        <v>1640</v>
      </c>
    </row>
    <row r="5204" spans="1:13" x14ac:dyDescent="0.25">
      <c r="A5204">
        <v>79705</v>
      </c>
      <c r="B5204" t="s">
        <v>13308</v>
      </c>
      <c r="C5204" t="s">
        <v>13309</v>
      </c>
      <c r="D5204" t="s">
        <v>2605</v>
      </c>
      <c r="E5204" t="s">
        <v>3494</v>
      </c>
      <c r="F5204" t="s">
        <v>13310</v>
      </c>
      <c r="G5204" t="s">
        <v>1976</v>
      </c>
      <c r="J5204">
        <v>6025956874</v>
      </c>
      <c r="K5204" t="s">
        <v>13311</v>
      </c>
      <c r="L5204" t="s">
        <v>13312</v>
      </c>
      <c r="M5204" t="s">
        <v>1634</v>
      </c>
    </row>
    <row r="5205" spans="1:13" x14ac:dyDescent="0.25">
      <c r="A5205">
        <v>79705</v>
      </c>
      <c r="B5205" t="s">
        <v>13308</v>
      </c>
      <c r="C5205" t="s">
        <v>13309</v>
      </c>
      <c r="D5205" t="s">
        <v>2605</v>
      </c>
      <c r="E5205" t="s">
        <v>3494</v>
      </c>
      <c r="F5205" t="s">
        <v>1912</v>
      </c>
      <c r="G5205" t="s">
        <v>13305</v>
      </c>
      <c r="H5205" t="s">
        <v>13306</v>
      </c>
      <c r="J5205">
        <v>6025956874</v>
      </c>
      <c r="K5205" t="s">
        <v>13307</v>
      </c>
      <c r="L5205" t="s">
        <v>1640</v>
      </c>
      <c r="M5205" t="s">
        <v>1640</v>
      </c>
    </row>
    <row r="5206" spans="1:13" x14ac:dyDescent="0.25">
      <c r="A5206">
        <v>91830</v>
      </c>
      <c r="B5206" t="s">
        <v>13313</v>
      </c>
      <c r="C5206" t="s">
        <v>13314</v>
      </c>
      <c r="D5206" t="s">
        <v>2605</v>
      </c>
      <c r="E5206" t="s">
        <v>1273</v>
      </c>
      <c r="F5206" t="s">
        <v>1912</v>
      </c>
      <c r="G5206" t="s">
        <v>13305</v>
      </c>
      <c r="H5206" t="s">
        <v>13306</v>
      </c>
      <c r="J5206">
        <v>6025956874</v>
      </c>
      <c r="K5206" t="s">
        <v>13307</v>
      </c>
      <c r="M5206" t="s">
        <v>1640</v>
      </c>
    </row>
    <row r="5207" spans="1:13" x14ac:dyDescent="0.25">
      <c r="A5207">
        <v>89852</v>
      </c>
      <c r="B5207" t="s">
        <v>13315</v>
      </c>
      <c r="C5207" t="s">
        <v>13316</v>
      </c>
      <c r="D5207" t="s">
        <v>2596</v>
      </c>
      <c r="E5207" t="s">
        <v>3494</v>
      </c>
      <c r="F5207" t="s">
        <v>12913</v>
      </c>
      <c r="G5207" t="s">
        <v>8307</v>
      </c>
      <c r="H5207">
        <v>5202932676</v>
      </c>
      <c r="K5207" t="s">
        <v>12914</v>
      </c>
      <c r="L5207" t="s">
        <v>12832</v>
      </c>
      <c r="M5207" t="s">
        <v>1634</v>
      </c>
    </row>
    <row r="5208" spans="1:13" x14ac:dyDescent="0.25">
      <c r="A5208">
        <v>89852</v>
      </c>
      <c r="B5208" t="s">
        <v>13315</v>
      </c>
      <c r="C5208" t="s">
        <v>13316</v>
      </c>
      <c r="D5208" t="s">
        <v>2596</v>
      </c>
      <c r="E5208" t="s">
        <v>3494</v>
      </c>
      <c r="F5208" t="s">
        <v>1750</v>
      </c>
      <c r="G5208" t="s">
        <v>8307</v>
      </c>
      <c r="K5208" t="s">
        <v>8308</v>
      </c>
      <c r="L5208" t="s">
        <v>13317</v>
      </c>
      <c r="M5208" t="s">
        <v>1634</v>
      </c>
    </row>
    <row r="5209" spans="1:13" x14ac:dyDescent="0.25">
      <c r="A5209">
        <v>89852</v>
      </c>
      <c r="B5209" t="s">
        <v>13315</v>
      </c>
      <c r="C5209" t="s">
        <v>13316</v>
      </c>
      <c r="D5209" t="s">
        <v>2596</v>
      </c>
      <c r="E5209" t="s">
        <v>3494</v>
      </c>
      <c r="F5209" t="s">
        <v>6345</v>
      </c>
      <c r="G5209" t="s">
        <v>2162</v>
      </c>
      <c r="H5209">
        <v>5208891504</v>
      </c>
      <c r="K5209" t="s">
        <v>8474</v>
      </c>
      <c r="L5209" t="s">
        <v>1668</v>
      </c>
      <c r="M5209" t="s">
        <v>1634</v>
      </c>
    </row>
    <row r="5210" spans="1:13" x14ac:dyDescent="0.25">
      <c r="A5210">
        <v>89852</v>
      </c>
      <c r="B5210" t="s">
        <v>13315</v>
      </c>
      <c r="C5210" t="s">
        <v>13316</v>
      </c>
      <c r="D5210" t="s">
        <v>2596</v>
      </c>
      <c r="E5210" t="s">
        <v>3494</v>
      </c>
      <c r="F5210" t="s">
        <v>1848</v>
      </c>
      <c r="G5210" t="s">
        <v>2050</v>
      </c>
      <c r="L5210" t="s">
        <v>2180</v>
      </c>
      <c r="M5210" t="s">
        <v>1634</v>
      </c>
    </row>
    <row r="5211" spans="1:13" x14ac:dyDescent="0.25">
      <c r="A5211">
        <v>89852</v>
      </c>
      <c r="B5211" t="s">
        <v>13315</v>
      </c>
      <c r="C5211" t="s">
        <v>13316</v>
      </c>
      <c r="D5211" t="s">
        <v>2596</v>
      </c>
      <c r="E5211" t="s">
        <v>3494</v>
      </c>
      <c r="F5211" t="s">
        <v>1974</v>
      </c>
      <c r="G5211" t="s">
        <v>13318</v>
      </c>
      <c r="L5211" t="s">
        <v>13319</v>
      </c>
      <c r="M5211" t="s">
        <v>1634</v>
      </c>
    </row>
    <row r="5212" spans="1:13" x14ac:dyDescent="0.25">
      <c r="A5212">
        <v>89852</v>
      </c>
      <c r="B5212" t="s">
        <v>13315</v>
      </c>
      <c r="C5212" t="s">
        <v>13316</v>
      </c>
      <c r="D5212" t="s">
        <v>2596</v>
      </c>
      <c r="E5212" t="s">
        <v>3494</v>
      </c>
      <c r="F5212" t="s">
        <v>8048</v>
      </c>
      <c r="G5212" t="s">
        <v>8471</v>
      </c>
      <c r="H5212">
        <v>5208875392</v>
      </c>
      <c r="I5212">
        <v>11016</v>
      </c>
      <c r="K5212" t="s">
        <v>8472</v>
      </c>
      <c r="L5212" t="s">
        <v>8473</v>
      </c>
      <c r="M5212" t="s">
        <v>1634</v>
      </c>
    </row>
    <row r="5213" spans="1:13" x14ac:dyDescent="0.25">
      <c r="A5213">
        <v>89852</v>
      </c>
      <c r="B5213" t="s">
        <v>13315</v>
      </c>
      <c r="C5213" t="s">
        <v>13316</v>
      </c>
      <c r="D5213" t="s">
        <v>2596</v>
      </c>
      <c r="E5213" t="s">
        <v>3494</v>
      </c>
      <c r="F5213" t="s">
        <v>2587</v>
      </c>
      <c r="G5213" t="s">
        <v>8317</v>
      </c>
      <c r="H5213">
        <v>5208875392</v>
      </c>
      <c r="I5213">
        <v>11039</v>
      </c>
      <c r="K5213" t="s">
        <v>8318</v>
      </c>
      <c r="L5213" t="s">
        <v>2696</v>
      </c>
      <c r="M5213" t="s">
        <v>1634</v>
      </c>
    </row>
    <row r="5214" spans="1:13" x14ac:dyDescent="0.25">
      <c r="A5214">
        <v>89852</v>
      </c>
      <c r="B5214" t="s">
        <v>13315</v>
      </c>
      <c r="C5214" t="s">
        <v>13316</v>
      </c>
      <c r="D5214" t="s">
        <v>2596</v>
      </c>
      <c r="E5214" t="s">
        <v>3494</v>
      </c>
      <c r="F5214" t="s">
        <v>13320</v>
      </c>
      <c r="G5214" t="s">
        <v>12483</v>
      </c>
      <c r="H5214">
        <v>5208875392</v>
      </c>
      <c r="K5214" t="s">
        <v>13321</v>
      </c>
      <c r="M5214" t="s">
        <v>1634</v>
      </c>
    </row>
    <row r="5215" spans="1:13" x14ac:dyDescent="0.25">
      <c r="A5215">
        <v>89852</v>
      </c>
      <c r="B5215" t="s">
        <v>13315</v>
      </c>
      <c r="C5215" t="s">
        <v>13316</v>
      </c>
      <c r="D5215" t="s">
        <v>2596</v>
      </c>
      <c r="E5215" t="s">
        <v>3494</v>
      </c>
      <c r="F5215" t="s">
        <v>7018</v>
      </c>
      <c r="G5215" t="s">
        <v>8476</v>
      </c>
      <c r="H5215">
        <v>5208875392</v>
      </c>
      <c r="K5215" t="s">
        <v>8477</v>
      </c>
      <c r="L5215" t="s">
        <v>8478</v>
      </c>
      <c r="M5215" t="s">
        <v>1640</v>
      </c>
    </row>
    <row r="5216" spans="1:13" x14ac:dyDescent="0.25">
      <c r="A5216">
        <v>89852</v>
      </c>
      <c r="B5216" t="s">
        <v>13315</v>
      </c>
      <c r="C5216" t="s">
        <v>13316</v>
      </c>
      <c r="D5216" t="s">
        <v>2596</v>
      </c>
      <c r="E5216" t="s">
        <v>3494</v>
      </c>
      <c r="F5216" t="s">
        <v>2587</v>
      </c>
      <c r="G5216" t="s">
        <v>8317</v>
      </c>
      <c r="H5216">
        <v>5208875392</v>
      </c>
      <c r="I5216">
        <v>11039</v>
      </c>
      <c r="K5216" t="s">
        <v>8318</v>
      </c>
      <c r="L5216" t="s">
        <v>2696</v>
      </c>
      <c r="M5216" t="s">
        <v>1765</v>
      </c>
    </row>
    <row r="5217" spans="1:13" x14ac:dyDescent="0.25">
      <c r="A5217">
        <v>89853</v>
      </c>
      <c r="B5217" t="s">
        <v>13322</v>
      </c>
      <c r="C5217" t="s">
        <v>13323</v>
      </c>
      <c r="D5217" t="s">
        <v>2605</v>
      </c>
      <c r="E5217" t="s">
        <v>3494</v>
      </c>
      <c r="F5217" t="s">
        <v>1974</v>
      </c>
      <c r="G5217" t="s">
        <v>13318</v>
      </c>
      <c r="K5217" t="s">
        <v>13324</v>
      </c>
      <c r="M5217" t="s">
        <v>1634</v>
      </c>
    </row>
    <row r="5218" spans="1:13" x14ac:dyDescent="0.25">
      <c r="A5218">
        <v>89864</v>
      </c>
      <c r="B5218" t="s">
        <v>786</v>
      </c>
      <c r="C5218" t="s">
        <v>13325</v>
      </c>
      <c r="D5218" t="s">
        <v>2596</v>
      </c>
      <c r="E5218" t="s">
        <v>3494</v>
      </c>
      <c r="F5218" t="s">
        <v>4911</v>
      </c>
      <c r="G5218" t="s">
        <v>12730</v>
      </c>
      <c r="H5218">
        <v>5203262528</v>
      </c>
      <c r="K5218" t="s">
        <v>13326</v>
      </c>
      <c r="L5218" t="s">
        <v>1668</v>
      </c>
      <c r="M5218" t="s">
        <v>1634</v>
      </c>
    </row>
    <row r="5219" spans="1:13" x14ac:dyDescent="0.25">
      <c r="A5219">
        <v>89864</v>
      </c>
      <c r="B5219" t="s">
        <v>786</v>
      </c>
      <c r="C5219" t="s">
        <v>13325</v>
      </c>
      <c r="D5219" t="s">
        <v>2596</v>
      </c>
      <c r="E5219" t="s">
        <v>3494</v>
      </c>
      <c r="F5219" t="s">
        <v>2023</v>
      </c>
      <c r="G5219" t="s">
        <v>2506</v>
      </c>
      <c r="H5219">
        <v>5207912711</v>
      </c>
      <c r="K5219" t="s">
        <v>13327</v>
      </c>
      <c r="M5219" t="s">
        <v>1640</v>
      </c>
    </row>
    <row r="5220" spans="1:13" x14ac:dyDescent="0.25">
      <c r="A5220">
        <v>89864</v>
      </c>
      <c r="B5220" t="s">
        <v>786</v>
      </c>
      <c r="C5220" t="s">
        <v>13325</v>
      </c>
      <c r="D5220" t="s">
        <v>2596</v>
      </c>
      <c r="E5220" t="s">
        <v>3494</v>
      </c>
      <c r="F5220" t="s">
        <v>2610</v>
      </c>
      <c r="G5220" t="s">
        <v>12893</v>
      </c>
      <c r="H5220">
        <v>5207923293</v>
      </c>
      <c r="M5220" t="s">
        <v>1640</v>
      </c>
    </row>
    <row r="5221" spans="1:13" x14ac:dyDescent="0.25">
      <c r="A5221">
        <v>89865</v>
      </c>
      <c r="B5221" t="s">
        <v>787</v>
      </c>
      <c r="C5221" t="s">
        <v>13328</v>
      </c>
      <c r="D5221" t="s">
        <v>2605</v>
      </c>
      <c r="E5221" t="s">
        <v>3494</v>
      </c>
      <c r="F5221" t="s">
        <v>2142</v>
      </c>
      <c r="G5221" t="s">
        <v>1918</v>
      </c>
      <c r="H5221">
        <v>5207912711</v>
      </c>
      <c r="I5221">
        <v>1413</v>
      </c>
      <c r="K5221" t="s">
        <v>13329</v>
      </c>
      <c r="L5221" t="s">
        <v>3157</v>
      </c>
      <c r="M5221" t="s">
        <v>1634</v>
      </c>
    </row>
    <row r="5222" spans="1:13" x14ac:dyDescent="0.25">
      <c r="A5222">
        <v>89865</v>
      </c>
      <c r="B5222" t="s">
        <v>787</v>
      </c>
      <c r="C5222" t="s">
        <v>13328</v>
      </c>
      <c r="D5222" t="s">
        <v>2605</v>
      </c>
      <c r="E5222" t="s">
        <v>3494</v>
      </c>
      <c r="F5222" t="s">
        <v>13330</v>
      </c>
      <c r="G5222" t="s">
        <v>13331</v>
      </c>
      <c r="H5222">
        <v>5207912711</v>
      </c>
      <c r="I5222">
        <v>1101</v>
      </c>
      <c r="J5222">
        <v>5203282527</v>
      </c>
      <c r="K5222" t="s">
        <v>13332</v>
      </c>
      <c r="L5222" t="s">
        <v>1668</v>
      </c>
      <c r="M5222" t="s">
        <v>1634</v>
      </c>
    </row>
    <row r="5223" spans="1:13" x14ac:dyDescent="0.25">
      <c r="A5223">
        <v>89865</v>
      </c>
      <c r="B5223" t="s">
        <v>787</v>
      </c>
      <c r="C5223" t="s">
        <v>13328</v>
      </c>
      <c r="D5223" t="s">
        <v>2605</v>
      </c>
      <c r="E5223" t="s">
        <v>3494</v>
      </c>
      <c r="F5223" t="s">
        <v>2587</v>
      </c>
      <c r="G5223" t="s">
        <v>2326</v>
      </c>
      <c r="H5223">
        <v>5203262528</v>
      </c>
      <c r="I5223">
        <v>2102</v>
      </c>
      <c r="K5223" t="s">
        <v>13333</v>
      </c>
      <c r="L5223" t="s">
        <v>1647</v>
      </c>
      <c r="M5223" t="s">
        <v>1634</v>
      </c>
    </row>
    <row r="5224" spans="1:13" x14ac:dyDescent="0.25">
      <c r="A5224">
        <v>89865</v>
      </c>
      <c r="B5224" t="s">
        <v>787</v>
      </c>
      <c r="C5224" t="s">
        <v>13328</v>
      </c>
      <c r="D5224" t="s">
        <v>2605</v>
      </c>
      <c r="E5224" t="s">
        <v>3494</v>
      </c>
      <c r="F5224" t="s">
        <v>2085</v>
      </c>
      <c r="G5224" t="s">
        <v>12901</v>
      </c>
      <c r="H5224">
        <v>5209171445</v>
      </c>
      <c r="J5224">
        <v>5203262527</v>
      </c>
      <c r="K5224" t="s">
        <v>12902</v>
      </c>
      <c r="L5224" t="s">
        <v>12903</v>
      </c>
      <c r="M5224" t="s">
        <v>1640</v>
      </c>
    </row>
    <row r="5225" spans="1:13" x14ac:dyDescent="0.25">
      <c r="A5225">
        <v>91773</v>
      </c>
      <c r="B5225" t="s">
        <v>13334</v>
      </c>
      <c r="C5225" t="s">
        <v>13335</v>
      </c>
      <c r="D5225" t="s">
        <v>2596</v>
      </c>
      <c r="E5225" t="s">
        <v>3494</v>
      </c>
      <c r="F5225" t="s">
        <v>13336</v>
      </c>
      <c r="G5225" t="s">
        <v>5132</v>
      </c>
      <c r="K5225" t="s">
        <v>13337</v>
      </c>
      <c r="L5225" t="s">
        <v>2368</v>
      </c>
      <c r="M5225" t="s">
        <v>1634</v>
      </c>
    </row>
    <row r="5226" spans="1:13" x14ac:dyDescent="0.25">
      <c r="A5226">
        <v>91773</v>
      </c>
      <c r="B5226" t="s">
        <v>13334</v>
      </c>
      <c r="C5226" t="s">
        <v>13335</v>
      </c>
      <c r="D5226" t="s">
        <v>2596</v>
      </c>
      <c r="E5226" t="s">
        <v>3494</v>
      </c>
      <c r="F5226" t="s">
        <v>13338</v>
      </c>
      <c r="G5226" t="s">
        <v>7083</v>
      </c>
      <c r="H5226">
        <v>5207221200</v>
      </c>
      <c r="J5226">
        <v>5207220052</v>
      </c>
      <c r="K5226" t="s">
        <v>13339</v>
      </c>
      <c r="L5226" t="s">
        <v>1668</v>
      </c>
      <c r="M5226" t="s">
        <v>1634</v>
      </c>
    </row>
    <row r="5227" spans="1:13" x14ac:dyDescent="0.25">
      <c r="A5227">
        <v>91773</v>
      </c>
      <c r="B5227" t="s">
        <v>13334</v>
      </c>
      <c r="C5227" t="s">
        <v>13335</v>
      </c>
      <c r="D5227" t="s">
        <v>2596</v>
      </c>
      <c r="E5227" t="s">
        <v>3494</v>
      </c>
      <c r="F5227" t="s">
        <v>13336</v>
      </c>
      <c r="G5227" t="s">
        <v>5132</v>
      </c>
      <c r="K5227" t="s">
        <v>13337</v>
      </c>
      <c r="L5227" t="s">
        <v>2368</v>
      </c>
      <c r="M5227" t="s">
        <v>1640</v>
      </c>
    </row>
    <row r="5228" spans="1:13" x14ac:dyDescent="0.25">
      <c r="A5228">
        <v>10733</v>
      </c>
      <c r="B5228" t="s">
        <v>13340</v>
      </c>
      <c r="C5228" t="s">
        <v>13341</v>
      </c>
      <c r="D5228" t="s">
        <v>2605</v>
      </c>
      <c r="E5228" t="s">
        <v>3494</v>
      </c>
      <c r="F5228" t="s">
        <v>8391</v>
      </c>
      <c r="G5228" t="s">
        <v>12976</v>
      </c>
      <c r="H5228">
        <v>5207921100</v>
      </c>
      <c r="J5228">
        <v>5207922217</v>
      </c>
      <c r="M5228" t="s">
        <v>1634</v>
      </c>
    </row>
    <row r="5229" spans="1:13" x14ac:dyDescent="0.25">
      <c r="A5229">
        <v>10733</v>
      </c>
      <c r="B5229" t="s">
        <v>13340</v>
      </c>
      <c r="C5229" t="s">
        <v>13341</v>
      </c>
      <c r="D5229" t="s">
        <v>2605</v>
      </c>
      <c r="E5229" t="s">
        <v>3494</v>
      </c>
      <c r="F5229" t="s">
        <v>13338</v>
      </c>
      <c r="G5229" t="s">
        <v>7083</v>
      </c>
      <c r="J5229">
        <v>5207220052</v>
      </c>
      <c r="K5229" t="s">
        <v>13342</v>
      </c>
      <c r="L5229" t="s">
        <v>1647</v>
      </c>
      <c r="M5229" t="s">
        <v>1634</v>
      </c>
    </row>
    <row r="5230" spans="1:13" x14ac:dyDescent="0.25">
      <c r="A5230">
        <v>4435</v>
      </c>
      <c r="B5230" t="s">
        <v>13343</v>
      </c>
      <c r="C5230" t="s">
        <v>13344</v>
      </c>
      <c r="D5230" t="s">
        <v>1628</v>
      </c>
      <c r="E5230" t="s">
        <v>7934</v>
      </c>
      <c r="F5230" t="s">
        <v>13345</v>
      </c>
      <c r="G5230" t="s">
        <v>2162</v>
      </c>
      <c r="H5230">
        <v>5204504453</v>
      </c>
      <c r="K5230" t="s">
        <v>13346</v>
      </c>
      <c r="L5230" t="s">
        <v>13347</v>
      </c>
      <c r="M5230" t="s">
        <v>1634</v>
      </c>
    </row>
    <row r="5231" spans="1:13" x14ac:dyDescent="0.25">
      <c r="A5231">
        <v>4435</v>
      </c>
      <c r="B5231" t="s">
        <v>13343</v>
      </c>
      <c r="C5231" t="s">
        <v>13344</v>
      </c>
      <c r="D5231" t="s">
        <v>1628</v>
      </c>
      <c r="E5231" t="s">
        <v>7934</v>
      </c>
      <c r="F5231" t="s">
        <v>4396</v>
      </c>
      <c r="G5231" t="s">
        <v>13348</v>
      </c>
      <c r="H5231" t="s">
        <v>13349</v>
      </c>
      <c r="J5231">
        <v>5204648971</v>
      </c>
      <c r="K5231" t="s">
        <v>13350</v>
      </c>
      <c r="L5231" t="s">
        <v>1640</v>
      </c>
      <c r="M5231" t="s">
        <v>1640</v>
      </c>
    </row>
    <row r="5232" spans="1:13" x14ac:dyDescent="0.25">
      <c r="A5232">
        <v>5893</v>
      </c>
      <c r="B5232" t="s">
        <v>13351</v>
      </c>
      <c r="C5232" t="s">
        <v>13352</v>
      </c>
      <c r="D5232" t="s">
        <v>1643</v>
      </c>
      <c r="E5232" t="s">
        <v>7934</v>
      </c>
      <c r="F5232" t="s">
        <v>2587</v>
      </c>
      <c r="G5232" t="s">
        <v>7023</v>
      </c>
      <c r="H5232">
        <v>5204504405</v>
      </c>
      <c r="K5232" t="s">
        <v>13353</v>
      </c>
      <c r="L5232" t="s">
        <v>1647</v>
      </c>
      <c r="M5232" t="s">
        <v>1634</v>
      </c>
    </row>
    <row r="5233" spans="1:13" x14ac:dyDescent="0.25">
      <c r="A5233">
        <v>6067</v>
      </c>
      <c r="B5233" t="s">
        <v>1581</v>
      </c>
      <c r="C5233" t="s">
        <v>13354</v>
      </c>
      <c r="D5233" t="s">
        <v>1643</v>
      </c>
      <c r="E5233" t="s">
        <v>7934</v>
      </c>
      <c r="F5233" t="s">
        <v>2908</v>
      </c>
      <c r="G5233" t="s">
        <v>13355</v>
      </c>
      <c r="H5233">
        <v>5204504450</v>
      </c>
      <c r="J5233">
        <v>5204663752</v>
      </c>
      <c r="K5233" t="s">
        <v>13356</v>
      </c>
      <c r="L5233" t="s">
        <v>1647</v>
      </c>
      <c r="M5233" t="s">
        <v>1634</v>
      </c>
    </row>
    <row r="5234" spans="1:13" x14ac:dyDescent="0.25">
      <c r="A5234">
        <v>4437</v>
      </c>
      <c r="B5234" t="s">
        <v>339</v>
      </c>
      <c r="C5234" t="s">
        <v>13357</v>
      </c>
      <c r="D5234" t="s">
        <v>1628</v>
      </c>
      <c r="E5234" t="s">
        <v>7934</v>
      </c>
      <c r="F5234" t="s">
        <v>3491</v>
      </c>
      <c r="G5234" t="s">
        <v>13358</v>
      </c>
      <c r="H5234">
        <v>5208663526</v>
      </c>
      <c r="K5234" t="s">
        <v>13359</v>
      </c>
      <c r="L5234" t="s">
        <v>13360</v>
      </c>
      <c r="M5234" t="s">
        <v>1634</v>
      </c>
    </row>
    <row r="5235" spans="1:13" x14ac:dyDescent="0.25">
      <c r="A5235">
        <v>4437</v>
      </c>
      <c r="B5235" t="s">
        <v>339</v>
      </c>
      <c r="C5235" t="s">
        <v>13357</v>
      </c>
      <c r="D5235" t="s">
        <v>1628</v>
      </c>
      <c r="E5235" t="s">
        <v>7934</v>
      </c>
      <c r="F5235" t="s">
        <v>2204</v>
      </c>
      <c r="G5235" t="s">
        <v>13361</v>
      </c>
      <c r="H5235">
        <v>5208663500</v>
      </c>
      <c r="K5235" t="s">
        <v>13362</v>
      </c>
      <c r="L5235" t="s">
        <v>1668</v>
      </c>
      <c r="M5235" t="s">
        <v>1634</v>
      </c>
    </row>
    <row r="5236" spans="1:13" x14ac:dyDescent="0.25">
      <c r="A5236">
        <v>4437</v>
      </c>
      <c r="B5236" t="s">
        <v>339</v>
      </c>
      <c r="C5236" t="s">
        <v>13357</v>
      </c>
      <c r="D5236" t="s">
        <v>1628</v>
      </c>
      <c r="E5236" t="s">
        <v>7934</v>
      </c>
      <c r="F5236" t="s">
        <v>1943</v>
      </c>
      <c r="G5236" t="s">
        <v>1909</v>
      </c>
      <c r="H5236">
        <v>5208663527</v>
      </c>
      <c r="K5236" t="s">
        <v>13363</v>
      </c>
      <c r="L5236" t="s">
        <v>7171</v>
      </c>
      <c r="M5236" t="s">
        <v>1634</v>
      </c>
    </row>
    <row r="5237" spans="1:13" x14ac:dyDescent="0.25">
      <c r="A5237">
        <v>4437</v>
      </c>
      <c r="B5237" t="s">
        <v>339</v>
      </c>
      <c r="C5237" t="s">
        <v>13357</v>
      </c>
      <c r="D5237" t="s">
        <v>1628</v>
      </c>
      <c r="E5237" t="s">
        <v>7934</v>
      </c>
      <c r="F5237" t="s">
        <v>4581</v>
      </c>
      <c r="G5237" t="s">
        <v>13364</v>
      </c>
      <c r="H5237">
        <v>4804746240</v>
      </c>
      <c r="K5237" t="s">
        <v>13365</v>
      </c>
      <c r="L5237" t="s">
        <v>1738</v>
      </c>
      <c r="M5237" t="s">
        <v>1634</v>
      </c>
    </row>
    <row r="5238" spans="1:13" x14ac:dyDescent="0.25">
      <c r="A5238">
        <v>4437</v>
      </c>
      <c r="B5238" t="s">
        <v>339</v>
      </c>
      <c r="C5238" t="s">
        <v>13357</v>
      </c>
      <c r="D5238" t="s">
        <v>1628</v>
      </c>
      <c r="E5238" t="s">
        <v>7934</v>
      </c>
      <c r="F5238" t="s">
        <v>2549</v>
      </c>
      <c r="G5238" t="s">
        <v>4078</v>
      </c>
      <c r="H5238">
        <v>5208663506</v>
      </c>
      <c r="K5238" t="s">
        <v>13366</v>
      </c>
      <c r="M5238" t="s">
        <v>1640</v>
      </c>
    </row>
    <row r="5239" spans="1:13" x14ac:dyDescent="0.25">
      <c r="A5239">
        <v>4437</v>
      </c>
      <c r="B5239" t="s">
        <v>339</v>
      </c>
      <c r="C5239" t="s">
        <v>13357</v>
      </c>
      <c r="D5239" t="s">
        <v>1628</v>
      </c>
      <c r="E5239" t="s">
        <v>7934</v>
      </c>
      <c r="F5239" t="s">
        <v>13197</v>
      </c>
      <c r="G5239" t="s">
        <v>4004</v>
      </c>
      <c r="H5239">
        <v>5208663534</v>
      </c>
      <c r="K5239" t="s">
        <v>13367</v>
      </c>
      <c r="L5239" t="s">
        <v>2368</v>
      </c>
      <c r="M5239" t="s">
        <v>1640</v>
      </c>
    </row>
    <row r="5240" spans="1:13" x14ac:dyDescent="0.25">
      <c r="A5240">
        <v>4437</v>
      </c>
      <c r="B5240" t="s">
        <v>339</v>
      </c>
      <c r="C5240" t="s">
        <v>13357</v>
      </c>
      <c r="D5240" t="s">
        <v>1628</v>
      </c>
      <c r="E5240" t="s">
        <v>7934</v>
      </c>
      <c r="F5240" t="s">
        <v>1779</v>
      </c>
      <c r="G5240" t="s">
        <v>12083</v>
      </c>
      <c r="K5240" t="s">
        <v>13368</v>
      </c>
      <c r="M5240" t="s">
        <v>1765</v>
      </c>
    </row>
    <row r="5241" spans="1:13" x14ac:dyDescent="0.25">
      <c r="A5241">
        <v>5895</v>
      </c>
      <c r="B5241" t="s">
        <v>13369</v>
      </c>
      <c r="C5241" t="s">
        <v>13370</v>
      </c>
      <c r="D5241" t="s">
        <v>1643</v>
      </c>
      <c r="E5241" t="s">
        <v>7934</v>
      </c>
      <c r="F5241" t="s">
        <v>6246</v>
      </c>
      <c r="G5241" t="s">
        <v>13371</v>
      </c>
      <c r="H5241">
        <v>5208663540</v>
      </c>
      <c r="K5241" t="s">
        <v>13372</v>
      </c>
      <c r="L5241" t="s">
        <v>1647</v>
      </c>
      <c r="M5241" t="s">
        <v>1634</v>
      </c>
    </row>
    <row r="5242" spans="1:13" x14ac:dyDescent="0.25">
      <c r="A5242">
        <v>79415</v>
      </c>
      <c r="B5242" t="s">
        <v>13373</v>
      </c>
      <c r="C5242" t="s">
        <v>13374</v>
      </c>
      <c r="D5242" t="s">
        <v>1643</v>
      </c>
      <c r="E5242" t="s">
        <v>7934</v>
      </c>
      <c r="F5242" t="s">
        <v>4167</v>
      </c>
      <c r="G5242" t="s">
        <v>13375</v>
      </c>
      <c r="K5242" t="s">
        <v>13376</v>
      </c>
      <c r="L5242" t="s">
        <v>1647</v>
      </c>
      <c r="M5242" t="s">
        <v>1634</v>
      </c>
    </row>
    <row r="5243" spans="1:13" x14ac:dyDescent="0.25">
      <c r="A5243">
        <v>85853</v>
      </c>
      <c r="B5243" t="s">
        <v>13377</v>
      </c>
      <c r="C5243" t="s">
        <v>13378</v>
      </c>
      <c r="D5243" t="s">
        <v>1643</v>
      </c>
      <c r="E5243" t="s">
        <v>7934</v>
      </c>
      <c r="F5243" t="s">
        <v>1690</v>
      </c>
      <c r="G5243" t="s">
        <v>1853</v>
      </c>
      <c r="H5243">
        <v>4808887500</v>
      </c>
      <c r="K5243" t="s">
        <v>13379</v>
      </c>
      <c r="L5243" t="s">
        <v>1647</v>
      </c>
      <c r="M5243" t="s">
        <v>1634</v>
      </c>
    </row>
    <row r="5244" spans="1:13" x14ac:dyDescent="0.25">
      <c r="A5244">
        <v>87537</v>
      </c>
      <c r="B5244" t="s">
        <v>13380</v>
      </c>
      <c r="C5244" t="s">
        <v>13381</v>
      </c>
      <c r="D5244" t="s">
        <v>1643</v>
      </c>
      <c r="E5244" t="s">
        <v>7934</v>
      </c>
    </row>
    <row r="5245" spans="1:13" x14ac:dyDescent="0.25">
      <c r="A5245">
        <v>88400</v>
      </c>
      <c r="B5245" t="s">
        <v>13382</v>
      </c>
      <c r="C5245" t="s">
        <v>13383</v>
      </c>
      <c r="D5245" t="s">
        <v>1643</v>
      </c>
      <c r="E5245" t="s">
        <v>7934</v>
      </c>
    </row>
    <row r="5246" spans="1:13" x14ac:dyDescent="0.25">
      <c r="A5246">
        <v>89587</v>
      </c>
      <c r="B5246" t="s">
        <v>13384</v>
      </c>
      <c r="C5246" t="s">
        <v>13385</v>
      </c>
      <c r="D5246" t="s">
        <v>1643</v>
      </c>
      <c r="E5246" t="s">
        <v>7934</v>
      </c>
      <c r="F5246" t="s">
        <v>4140</v>
      </c>
      <c r="G5246" t="s">
        <v>13386</v>
      </c>
      <c r="H5246">
        <v>4809877605</v>
      </c>
      <c r="K5246" t="s">
        <v>13387</v>
      </c>
      <c r="L5246" t="s">
        <v>1647</v>
      </c>
      <c r="M5246" t="s">
        <v>1634</v>
      </c>
    </row>
    <row r="5247" spans="1:13" x14ac:dyDescent="0.25">
      <c r="A5247">
        <v>89858</v>
      </c>
      <c r="B5247" t="s">
        <v>13388</v>
      </c>
      <c r="C5247" t="s">
        <v>13389</v>
      </c>
      <c r="D5247" t="s">
        <v>1643</v>
      </c>
      <c r="E5247" t="s">
        <v>7934</v>
      </c>
      <c r="F5247" t="s">
        <v>13390</v>
      </c>
      <c r="G5247" t="s">
        <v>3091</v>
      </c>
      <c r="H5247">
        <v>5208663500</v>
      </c>
      <c r="K5247" t="s">
        <v>13391</v>
      </c>
      <c r="M5247" t="s">
        <v>1634</v>
      </c>
    </row>
    <row r="5248" spans="1:13" x14ac:dyDescent="0.25">
      <c r="A5248">
        <v>80440</v>
      </c>
      <c r="B5248" t="s">
        <v>13392</v>
      </c>
      <c r="C5248" t="s">
        <v>13393</v>
      </c>
      <c r="D5248" t="s">
        <v>1643</v>
      </c>
      <c r="E5248" t="s">
        <v>7934</v>
      </c>
    </row>
    <row r="5249" spans="1:13" x14ac:dyDescent="0.25">
      <c r="A5249">
        <v>5897</v>
      </c>
      <c r="B5249" t="s">
        <v>13394</v>
      </c>
      <c r="C5249" t="s">
        <v>13395</v>
      </c>
      <c r="D5249" t="s">
        <v>1643</v>
      </c>
      <c r="E5249" t="s">
        <v>7934</v>
      </c>
      <c r="F5249" t="s">
        <v>2832</v>
      </c>
      <c r="G5249" t="s">
        <v>13396</v>
      </c>
      <c r="H5249">
        <v>5208663560</v>
      </c>
      <c r="K5249" t="s">
        <v>13397</v>
      </c>
      <c r="L5249" t="s">
        <v>1647</v>
      </c>
      <c r="M5249" t="s">
        <v>1634</v>
      </c>
    </row>
    <row r="5250" spans="1:13" x14ac:dyDescent="0.25">
      <c r="A5250">
        <v>90309</v>
      </c>
      <c r="B5250" t="s">
        <v>13398</v>
      </c>
      <c r="C5250" t="s">
        <v>13399</v>
      </c>
      <c r="D5250" t="s">
        <v>1643</v>
      </c>
      <c r="E5250" t="s">
        <v>7934</v>
      </c>
      <c r="F5250" t="s">
        <v>3057</v>
      </c>
      <c r="G5250" t="s">
        <v>13400</v>
      </c>
      <c r="H5250">
        <v>4804746111</v>
      </c>
      <c r="K5250" t="s">
        <v>13401</v>
      </c>
      <c r="L5250" t="s">
        <v>13402</v>
      </c>
      <c r="M5250" t="s">
        <v>1634</v>
      </c>
    </row>
    <row r="5251" spans="1:13" x14ac:dyDescent="0.25">
      <c r="A5251">
        <v>89907</v>
      </c>
      <c r="B5251" t="s">
        <v>13403</v>
      </c>
      <c r="C5251" t="s">
        <v>13404</v>
      </c>
      <c r="D5251" t="s">
        <v>1643</v>
      </c>
      <c r="E5251" t="s">
        <v>7934</v>
      </c>
    </row>
    <row r="5252" spans="1:13" x14ac:dyDescent="0.25">
      <c r="A5252">
        <v>90393</v>
      </c>
      <c r="B5252" t="s">
        <v>13405</v>
      </c>
      <c r="C5252" t="s">
        <v>13406</v>
      </c>
      <c r="D5252" t="s">
        <v>1643</v>
      </c>
      <c r="E5252" t="s">
        <v>7934</v>
      </c>
      <c r="F5252" t="s">
        <v>1820</v>
      </c>
      <c r="G5252" t="s">
        <v>12958</v>
      </c>
      <c r="H5252">
        <v>4804746172</v>
      </c>
      <c r="K5252" t="s">
        <v>13407</v>
      </c>
      <c r="L5252" t="s">
        <v>1647</v>
      </c>
      <c r="M5252" t="s">
        <v>1634</v>
      </c>
    </row>
    <row r="5253" spans="1:13" x14ac:dyDescent="0.25">
      <c r="A5253">
        <v>90781</v>
      </c>
      <c r="B5253" t="s">
        <v>13408</v>
      </c>
      <c r="C5253" t="s">
        <v>13409</v>
      </c>
      <c r="D5253" t="s">
        <v>1643</v>
      </c>
      <c r="E5253" t="s">
        <v>7934</v>
      </c>
      <c r="F5253" t="s">
        <v>13410</v>
      </c>
      <c r="G5253" t="s">
        <v>4078</v>
      </c>
      <c r="H5253">
        <v>5208663506</v>
      </c>
      <c r="K5253" t="s">
        <v>13366</v>
      </c>
      <c r="L5253" t="s">
        <v>1640</v>
      </c>
      <c r="M5253" t="s">
        <v>1640</v>
      </c>
    </row>
    <row r="5254" spans="1:13" x14ac:dyDescent="0.25">
      <c r="A5254">
        <v>92280</v>
      </c>
      <c r="B5254" t="s">
        <v>13411</v>
      </c>
      <c r="C5254" t="s">
        <v>13412</v>
      </c>
      <c r="D5254" t="s">
        <v>1643</v>
      </c>
      <c r="E5254" t="s">
        <v>7934</v>
      </c>
      <c r="F5254" t="s">
        <v>2549</v>
      </c>
      <c r="G5254" t="s">
        <v>4078</v>
      </c>
      <c r="H5254">
        <v>5208663506</v>
      </c>
      <c r="K5254" t="s">
        <v>13366</v>
      </c>
      <c r="L5254" t="s">
        <v>1640</v>
      </c>
      <c r="M5254" t="s">
        <v>1634</v>
      </c>
    </row>
    <row r="5255" spans="1:13" x14ac:dyDescent="0.25">
      <c r="A5255">
        <v>92280</v>
      </c>
      <c r="B5255" t="s">
        <v>13411</v>
      </c>
      <c r="C5255" t="s">
        <v>13412</v>
      </c>
      <c r="D5255" t="s">
        <v>1643</v>
      </c>
      <c r="E5255" t="s">
        <v>7934</v>
      </c>
      <c r="F5255" t="s">
        <v>1820</v>
      </c>
      <c r="G5255" t="s">
        <v>13413</v>
      </c>
      <c r="H5255">
        <v>4804746172</v>
      </c>
      <c r="K5255" t="s">
        <v>13407</v>
      </c>
      <c r="L5255" t="s">
        <v>1647</v>
      </c>
      <c r="M5255" t="s">
        <v>1634</v>
      </c>
    </row>
    <row r="5256" spans="1:13" x14ac:dyDescent="0.25">
      <c r="A5256">
        <v>4438</v>
      </c>
      <c r="B5256" t="s">
        <v>13414</v>
      </c>
      <c r="C5256" t="s">
        <v>13415</v>
      </c>
      <c r="D5256" t="s">
        <v>1628</v>
      </c>
      <c r="E5256" t="s">
        <v>7934</v>
      </c>
      <c r="F5256" t="s">
        <v>6042</v>
      </c>
      <c r="G5256" t="s">
        <v>6967</v>
      </c>
      <c r="H5256">
        <v>5203635511</v>
      </c>
      <c r="K5256" t="s">
        <v>13416</v>
      </c>
      <c r="L5256" t="s">
        <v>1668</v>
      </c>
      <c r="M5256" t="s">
        <v>1634</v>
      </c>
    </row>
    <row r="5257" spans="1:13" x14ac:dyDescent="0.25">
      <c r="A5257">
        <v>4438</v>
      </c>
      <c r="B5257" t="s">
        <v>13414</v>
      </c>
      <c r="C5257" t="s">
        <v>13415</v>
      </c>
      <c r="D5257" t="s">
        <v>1628</v>
      </c>
      <c r="E5257" t="s">
        <v>7934</v>
      </c>
      <c r="F5257" t="s">
        <v>6014</v>
      </c>
      <c r="G5257" t="s">
        <v>13417</v>
      </c>
      <c r="H5257">
        <v>5203635511</v>
      </c>
      <c r="I5257">
        <v>501</v>
      </c>
      <c r="K5257" t="s">
        <v>13418</v>
      </c>
      <c r="M5257" t="s">
        <v>1640</v>
      </c>
    </row>
    <row r="5258" spans="1:13" x14ac:dyDescent="0.25">
      <c r="A5258">
        <v>4438</v>
      </c>
      <c r="B5258" t="s">
        <v>13414</v>
      </c>
      <c r="C5258" t="s">
        <v>13415</v>
      </c>
      <c r="D5258" t="s">
        <v>1628</v>
      </c>
      <c r="E5258" t="s">
        <v>7934</v>
      </c>
      <c r="F5258" t="s">
        <v>2401</v>
      </c>
      <c r="G5258" t="s">
        <v>2223</v>
      </c>
      <c r="L5258" t="s">
        <v>1640</v>
      </c>
      <c r="M5258" t="s">
        <v>1640</v>
      </c>
    </row>
    <row r="5259" spans="1:13" x14ac:dyDescent="0.25">
      <c r="A5259">
        <v>4438</v>
      </c>
      <c r="B5259" t="s">
        <v>13414</v>
      </c>
      <c r="C5259" t="s">
        <v>13415</v>
      </c>
      <c r="D5259" t="s">
        <v>1628</v>
      </c>
      <c r="E5259" t="s">
        <v>7934</v>
      </c>
      <c r="F5259" t="s">
        <v>4250</v>
      </c>
      <c r="G5259" t="s">
        <v>13419</v>
      </c>
      <c r="H5259">
        <v>5203635511</v>
      </c>
      <c r="I5259">
        <v>501</v>
      </c>
      <c r="K5259" t="s">
        <v>13420</v>
      </c>
      <c r="L5259" t="s">
        <v>1640</v>
      </c>
      <c r="M5259" t="s">
        <v>1640</v>
      </c>
    </row>
    <row r="5260" spans="1:13" x14ac:dyDescent="0.25">
      <c r="A5260">
        <v>5899</v>
      </c>
      <c r="B5260" t="s">
        <v>13421</v>
      </c>
      <c r="C5260" t="s">
        <v>13422</v>
      </c>
      <c r="D5260" t="s">
        <v>1643</v>
      </c>
      <c r="E5260" t="s">
        <v>7934</v>
      </c>
      <c r="F5260" t="s">
        <v>6042</v>
      </c>
      <c r="G5260" t="s">
        <v>6967</v>
      </c>
      <c r="H5260">
        <v>5203635511</v>
      </c>
      <c r="J5260">
        <v>5203635017</v>
      </c>
      <c r="K5260" t="s">
        <v>13416</v>
      </c>
      <c r="L5260" t="s">
        <v>1647</v>
      </c>
      <c r="M5260" t="s">
        <v>1634</v>
      </c>
    </row>
    <row r="5261" spans="1:13" x14ac:dyDescent="0.25">
      <c r="A5261">
        <v>5900</v>
      </c>
      <c r="B5261" t="s">
        <v>13423</v>
      </c>
      <c r="C5261" t="s">
        <v>13424</v>
      </c>
      <c r="D5261" t="s">
        <v>1643</v>
      </c>
      <c r="E5261" t="s">
        <v>7934</v>
      </c>
      <c r="F5261" t="s">
        <v>1820</v>
      </c>
      <c r="G5261" t="s">
        <v>13425</v>
      </c>
      <c r="H5261">
        <v>5203635513</v>
      </c>
      <c r="K5261" t="s">
        <v>13426</v>
      </c>
      <c r="L5261" t="s">
        <v>1647</v>
      </c>
      <c r="M5261" t="s">
        <v>1634</v>
      </c>
    </row>
    <row r="5262" spans="1:13" x14ac:dyDescent="0.25">
      <c r="A5262">
        <v>5900</v>
      </c>
      <c r="B5262" t="s">
        <v>13423</v>
      </c>
      <c r="C5262" t="s">
        <v>13424</v>
      </c>
      <c r="D5262" t="s">
        <v>1643</v>
      </c>
      <c r="E5262" t="s">
        <v>7934</v>
      </c>
      <c r="F5262" t="s">
        <v>9024</v>
      </c>
      <c r="G5262" t="s">
        <v>3915</v>
      </c>
      <c r="L5262" t="s">
        <v>1647</v>
      </c>
      <c r="M5262" t="s">
        <v>1634</v>
      </c>
    </row>
    <row r="5263" spans="1:13" x14ac:dyDescent="0.25">
      <c r="A5263">
        <v>4439</v>
      </c>
      <c r="B5263" t="s">
        <v>338</v>
      </c>
      <c r="C5263" t="s">
        <v>13427</v>
      </c>
      <c r="D5263" t="s">
        <v>1628</v>
      </c>
      <c r="E5263" t="s">
        <v>7934</v>
      </c>
      <c r="F5263" t="s">
        <v>5365</v>
      </c>
      <c r="G5263" t="s">
        <v>13428</v>
      </c>
      <c r="H5263">
        <v>5203852337</v>
      </c>
      <c r="I5263">
        <v>1100</v>
      </c>
      <c r="K5263" t="s">
        <v>13429</v>
      </c>
      <c r="L5263" t="s">
        <v>13430</v>
      </c>
      <c r="M5263" t="s">
        <v>1634</v>
      </c>
    </row>
    <row r="5264" spans="1:13" x14ac:dyDescent="0.25">
      <c r="A5264">
        <v>4439</v>
      </c>
      <c r="B5264" t="s">
        <v>338</v>
      </c>
      <c r="C5264" t="s">
        <v>13427</v>
      </c>
      <c r="D5264" t="s">
        <v>1628</v>
      </c>
      <c r="E5264" t="s">
        <v>7934</v>
      </c>
      <c r="F5264" t="s">
        <v>2376</v>
      </c>
      <c r="G5264" t="s">
        <v>13431</v>
      </c>
      <c r="K5264" t="s">
        <v>13432</v>
      </c>
      <c r="L5264" t="s">
        <v>1647</v>
      </c>
      <c r="M5264" t="s">
        <v>1634</v>
      </c>
    </row>
    <row r="5265" spans="1:13" x14ac:dyDescent="0.25">
      <c r="A5265">
        <v>4439</v>
      </c>
      <c r="B5265" t="s">
        <v>338</v>
      </c>
      <c r="C5265" t="s">
        <v>13427</v>
      </c>
      <c r="D5265" t="s">
        <v>1628</v>
      </c>
      <c r="E5265" t="s">
        <v>7934</v>
      </c>
      <c r="F5265" t="s">
        <v>2053</v>
      </c>
      <c r="G5265" t="s">
        <v>2054</v>
      </c>
      <c r="I5265">
        <v>1102</v>
      </c>
      <c r="K5265" t="s">
        <v>13433</v>
      </c>
      <c r="L5265" t="s">
        <v>5767</v>
      </c>
      <c r="M5265" t="s">
        <v>1640</v>
      </c>
    </row>
    <row r="5266" spans="1:13" x14ac:dyDescent="0.25">
      <c r="A5266">
        <v>4439</v>
      </c>
      <c r="B5266" t="s">
        <v>338</v>
      </c>
      <c r="C5266" t="s">
        <v>13427</v>
      </c>
      <c r="D5266" t="s">
        <v>1628</v>
      </c>
      <c r="E5266" t="s">
        <v>7934</v>
      </c>
      <c r="F5266" t="s">
        <v>1914</v>
      </c>
      <c r="G5266" t="s">
        <v>13434</v>
      </c>
      <c r="I5266">
        <v>109</v>
      </c>
      <c r="J5266">
        <v>5203852621</v>
      </c>
      <c r="K5266" t="s">
        <v>13435</v>
      </c>
      <c r="L5266" t="s">
        <v>13436</v>
      </c>
      <c r="M5266" t="s">
        <v>1765</v>
      </c>
    </row>
    <row r="5267" spans="1:13" x14ac:dyDescent="0.25">
      <c r="A5267">
        <v>5902</v>
      </c>
      <c r="B5267" t="s">
        <v>13437</v>
      </c>
      <c r="C5267" t="s">
        <v>13438</v>
      </c>
      <c r="D5267" t="s">
        <v>1643</v>
      </c>
      <c r="E5267" t="s">
        <v>7934</v>
      </c>
    </row>
    <row r="5268" spans="1:13" x14ac:dyDescent="0.25">
      <c r="A5268">
        <v>5903</v>
      </c>
      <c r="B5268" t="s">
        <v>13439</v>
      </c>
      <c r="C5268" t="s">
        <v>13440</v>
      </c>
      <c r="D5268" t="s">
        <v>1643</v>
      </c>
      <c r="E5268" t="s">
        <v>7934</v>
      </c>
      <c r="F5268" t="s">
        <v>1787</v>
      </c>
      <c r="G5268" t="s">
        <v>2756</v>
      </c>
      <c r="H5268">
        <v>5203852336</v>
      </c>
      <c r="I5268">
        <v>2201</v>
      </c>
      <c r="J5268">
        <v>5203853035</v>
      </c>
      <c r="K5268" t="s">
        <v>13441</v>
      </c>
      <c r="L5268" t="s">
        <v>13442</v>
      </c>
      <c r="M5268" t="s">
        <v>1634</v>
      </c>
    </row>
    <row r="5269" spans="1:13" x14ac:dyDescent="0.25">
      <c r="A5269">
        <v>5903</v>
      </c>
      <c r="B5269" t="s">
        <v>13439</v>
      </c>
      <c r="C5269" t="s">
        <v>13440</v>
      </c>
      <c r="D5269" t="s">
        <v>1643</v>
      </c>
      <c r="E5269" t="s">
        <v>7934</v>
      </c>
      <c r="F5269" t="s">
        <v>2401</v>
      </c>
      <c r="G5269" t="s">
        <v>13443</v>
      </c>
      <c r="H5269">
        <v>5203852337</v>
      </c>
      <c r="I5269">
        <v>2202</v>
      </c>
      <c r="K5269" t="s">
        <v>13444</v>
      </c>
      <c r="L5269" t="s">
        <v>9269</v>
      </c>
      <c r="M5269" t="s">
        <v>1634</v>
      </c>
    </row>
    <row r="5270" spans="1:13" x14ac:dyDescent="0.25">
      <c r="A5270">
        <v>5903</v>
      </c>
      <c r="B5270" t="s">
        <v>13439</v>
      </c>
      <c r="C5270" t="s">
        <v>13440</v>
      </c>
      <c r="D5270" t="s">
        <v>1643</v>
      </c>
      <c r="E5270" t="s">
        <v>7934</v>
      </c>
      <c r="F5270" t="s">
        <v>2307</v>
      </c>
      <c r="G5270" t="s">
        <v>13445</v>
      </c>
      <c r="H5270">
        <v>5203852336</v>
      </c>
      <c r="I5270">
        <v>2201</v>
      </c>
      <c r="K5270" t="s">
        <v>13446</v>
      </c>
      <c r="L5270" t="s">
        <v>1647</v>
      </c>
      <c r="M5270" t="s">
        <v>1634</v>
      </c>
    </row>
    <row r="5271" spans="1:13" x14ac:dyDescent="0.25">
      <c r="A5271">
        <v>5904</v>
      </c>
      <c r="B5271" t="s">
        <v>1015</v>
      </c>
      <c r="C5271" t="s">
        <v>13447</v>
      </c>
      <c r="D5271" t="s">
        <v>1643</v>
      </c>
      <c r="E5271" t="s">
        <v>7934</v>
      </c>
      <c r="F5271" t="s">
        <v>2401</v>
      </c>
      <c r="G5271" t="s">
        <v>13443</v>
      </c>
      <c r="H5271">
        <v>5203852337</v>
      </c>
      <c r="I5271">
        <v>2202</v>
      </c>
      <c r="K5271" t="s">
        <v>13444</v>
      </c>
      <c r="L5271" t="s">
        <v>9269</v>
      </c>
      <c r="M5271" t="s">
        <v>1634</v>
      </c>
    </row>
    <row r="5272" spans="1:13" x14ac:dyDescent="0.25">
      <c r="A5272">
        <v>5904</v>
      </c>
      <c r="B5272" t="s">
        <v>1015</v>
      </c>
      <c r="C5272" t="s">
        <v>13447</v>
      </c>
      <c r="D5272" t="s">
        <v>1643</v>
      </c>
      <c r="E5272" t="s">
        <v>7934</v>
      </c>
      <c r="F5272" t="s">
        <v>2307</v>
      </c>
      <c r="G5272" t="s">
        <v>13445</v>
      </c>
      <c r="H5272">
        <v>5203852336</v>
      </c>
      <c r="K5272" t="s">
        <v>13446</v>
      </c>
      <c r="M5272" t="s">
        <v>1634</v>
      </c>
    </row>
    <row r="5273" spans="1:13" x14ac:dyDescent="0.25">
      <c r="A5273">
        <v>4440</v>
      </c>
      <c r="B5273" t="s">
        <v>13448</v>
      </c>
      <c r="C5273" t="s">
        <v>13449</v>
      </c>
      <c r="D5273" t="s">
        <v>1628</v>
      </c>
      <c r="E5273" t="s">
        <v>7934</v>
      </c>
      <c r="F5273" t="s">
        <v>1955</v>
      </c>
      <c r="G5273" t="s">
        <v>13450</v>
      </c>
      <c r="L5273" t="s">
        <v>1668</v>
      </c>
      <c r="M5273" t="s">
        <v>1634</v>
      </c>
    </row>
    <row r="5274" spans="1:13" x14ac:dyDescent="0.25">
      <c r="A5274">
        <v>4440</v>
      </c>
      <c r="B5274" t="s">
        <v>13448</v>
      </c>
      <c r="C5274" t="s">
        <v>13449</v>
      </c>
      <c r="D5274" t="s">
        <v>1628</v>
      </c>
      <c r="E5274" t="s">
        <v>7934</v>
      </c>
      <c r="F5274" t="s">
        <v>1692</v>
      </c>
      <c r="G5274" t="s">
        <v>5654</v>
      </c>
      <c r="H5274" t="s">
        <v>13451</v>
      </c>
      <c r="J5274">
        <v>6024951044</v>
      </c>
      <c r="K5274" t="s">
        <v>13452</v>
      </c>
      <c r="L5274" t="s">
        <v>13453</v>
      </c>
      <c r="M5274" t="s">
        <v>1640</v>
      </c>
    </row>
    <row r="5275" spans="1:13" x14ac:dyDescent="0.25">
      <c r="A5275">
        <v>4440</v>
      </c>
      <c r="B5275" t="s">
        <v>13448</v>
      </c>
      <c r="C5275" t="s">
        <v>13449</v>
      </c>
      <c r="D5275" t="s">
        <v>1628</v>
      </c>
      <c r="E5275" t="s">
        <v>7934</v>
      </c>
      <c r="F5275" t="s">
        <v>13454</v>
      </c>
      <c r="G5275" t="s">
        <v>12233</v>
      </c>
      <c r="H5275">
        <v>5206893002</v>
      </c>
      <c r="K5275" t="s">
        <v>13455</v>
      </c>
      <c r="M5275" t="s">
        <v>1765</v>
      </c>
    </row>
    <row r="5276" spans="1:13" x14ac:dyDescent="0.25">
      <c r="A5276">
        <v>5905</v>
      </c>
      <c r="B5276" t="s">
        <v>13456</v>
      </c>
      <c r="C5276" t="s">
        <v>13457</v>
      </c>
      <c r="D5276" t="s">
        <v>1643</v>
      </c>
      <c r="E5276" t="s">
        <v>7934</v>
      </c>
      <c r="F5276" t="s">
        <v>2294</v>
      </c>
      <c r="G5276" t="s">
        <v>6075</v>
      </c>
      <c r="L5276" t="s">
        <v>2857</v>
      </c>
      <c r="M5276" t="s">
        <v>1634</v>
      </c>
    </row>
    <row r="5277" spans="1:13" x14ac:dyDescent="0.25">
      <c r="A5277">
        <v>5907</v>
      </c>
      <c r="B5277" t="s">
        <v>13458</v>
      </c>
      <c r="C5277" t="s">
        <v>13459</v>
      </c>
      <c r="D5277" t="s">
        <v>1643</v>
      </c>
      <c r="E5277" t="s">
        <v>7934</v>
      </c>
      <c r="F5277" t="s">
        <v>1679</v>
      </c>
      <c r="G5277" t="s">
        <v>5654</v>
      </c>
      <c r="K5277" t="s">
        <v>13460</v>
      </c>
      <c r="L5277" t="s">
        <v>1647</v>
      </c>
      <c r="M5277" t="s">
        <v>1634</v>
      </c>
    </row>
    <row r="5278" spans="1:13" x14ac:dyDescent="0.25">
      <c r="A5278">
        <v>4441</v>
      </c>
      <c r="B5278" t="s">
        <v>1505</v>
      </c>
      <c r="C5278" t="s">
        <v>13461</v>
      </c>
      <c r="D5278" t="s">
        <v>1628</v>
      </c>
      <c r="E5278" t="s">
        <v>7934</v>
      </c>
      <c r="F5278" t="s">
        <v>5583</v>
      </c>
      <c r="G5278" t="s">
        <v>13462</v>
      </c>
      <c r="H5278">
        <v>5205685100</v>
      </c>
      <c r="K5278" t="s">
        <v>13463</v>
      </c>
      <c r="L5278" t="s">
        <v>1634</v>
      </c>
      <c r="M5278" t="s">
        <v>1634</v>
      </c>
    </row>
    <row r="5279" spans="1:13" x14ac:dyDescent="0.25">
      <c r="A5279">
        <v>4441</v>
      </c>
      <c r="B5279" t="s">
        <v>1505</v>
      </c>
      <c r="C5279" t="s">
        <v>13461</v>
      </c>
      <c r="D5279" t="s">
        <v>1628</v>
      </c>
      <c r="E5279" t="s">
        <v>7934</v>
      </c>
      <c r="F5279" t="s">
        <v>4427</v>
      </c>
      <c r="G5279" t="s">
        <v>13464</v>
      </c>
      <c r="H5279">
        <v>5205685100</v>
      </c>
      <c r="I5279">
        <v>1015</v>
      </c>
      <c r="K5279" t="s">
        <v>13465</v>
      </c>
      <c r="L5279" t="s">
        <v>1634</v>
      </c>
      <c r="M5279" t="s">
        <v>1634</v>
      </c>
    </row>
    <row r="5280" spans="1:13" x14ac:dyDescent="0.25">
      <c r="A5280">
        <v>4441</v>
      </c>
      <c r="B5280" t="s">
        <v>1505</v>
      </c>
      <c r="C5280" t="s">
        <v>13461</v>
      </c>
      <c r="D5280" t="s">
        <v>1628</v>
      </c>
      <c r="E5280" t="s">
        <v>7934</v>
      </c>
      <c r="F5280" t="s">
        <v>2997</v>
      </c>
      <c r="G5280" t="s">
        <v>13466</v>
      </c>
      <c r="H5280">
        <v>5205685100</v>
      </c>
      <c r="K5280" t="s">
        <v>13467</v>
      </c>
      <c r="L5280" t="s">
        <v>1633</v>
      </c>
      <c r="M5280" t="s">
        <v>1634</v>
      </c>
    </row>
    <row r="5281" spans="1:13" x14ac:dyDescent="0.25">
      <c r="A5281">
        <v>4441</v>
      </c>
      <c r="B5281" t="s">
        <v>1505</v>
      </c>
      <c r="C5281" t="s">
        <v>13461</v>
      </c>
      <c r="D5281" t="s">
        <v>1628</v>
      </c>
      <c r="E5281" t="s">
        <v>7934</v>
      </c>
      <c r="F5281" t="s">
        <v>2261</v>
      </c>
      <c r="G5281" t="s">
        <v>3374</v>
      </c>
      <c r="H5281">
        <v>5205685100</v>
      </c>
      <c r="K5281" t="s">
        <v>13468</v>
      </c>
      <c r="M5281" t="s">
        <v>1634</v>
      </c>
    </row>
    <row r="5282" spans="1:13" x14ac:dyDescent="0.25">
      <c r="A5282">
        <v>4441</v>
      </c>
      <c r="B5282" t="s">
        <v>1505</v>
      </c>
      <c r="C5282" t="s">
        <v>13461</v>
      </c>
      <c r="D5282" t="s">
        <v>1628</v>
      </c>
      <c r="E5282" t="s">
        <v>7934</v>
      </c>
      <c r="F5282" t="s">
        <v>2085</v>
      </c>
      <c r="G5282" t="s">
        <v>5954</v>
      </c>
      <c r="H5282">
        <v>5205685100</v>
      </c>
      <c r="I5282">
        <v>1024</v>
      </c>
      <c r="K5282" t="s">
        <v>13469</v>
      </c>
      <c r="L5282" t="s">
        <v>2358</v>
      </c>
      <c r="M5282" t="s">
        <v>1640</v>
      </c>
    </row>
    <row r="5283" spans="1:13" x14ac:dyDescent="0.25">
      <c r="A5283">
        <v>4441</v>
      </c>
      <c r="B5283" t="s">
        <v>1505</v>
      </c>
      <c r="C5283" t="s">
        <v>13461</v>
      </c>
      <c r="D5283" t="s">
        <v>1628</v>
      </c>
      <c r="E5283" t="s">
        <v>7934</v>
      </c>
      <c r="F5283" t="s">
        <v>4250</v>
      </c>
      <c r="G5283" t="s">
        <v>13419</v>
      </c>
      <c r="H5283">
        <v>5205685100</v>
      </c>
      <c r="I5283">
        <v>1014</v>
      </c>
      <c r="K5283" t="s">
        <v>13470</v>
      </c>
      <c r="L5283" t="s">
        <v>3210</v>
      </c>
      <c r="M5283" t="s">
        <v>1640</v>
      </c>
    </row>
    <row r="5284" spans="1:13" x14ac:dyDescent="0.25">
      <c r="A5284">
        <v>4441</v>
      </c>
      <c r="B5284" t="s">
        <v>1505</v>
      </c>
      <c r="C5284" t="s">
        <v>13461</v>
      </c>
      <c r="D5284" t="s">
        <v>1628</v>
      </c>
      <c r="E5284" t="s">
        <v>7934</v>
      </c>
      <c r="F5284" t="s">
        <v>2401</v>
      </c>
      <c r="G5284" t="s">
        <v>13471</v>
      </c>
      <c r="I5284">
        <v>1050</v>
      </c>
      <c r="J5284">
        <v>5205685109</v>
      </c>
      <c r="K5284" t="s">
        <v>13472</v>
      </c>
      <c r="L5284" t="s">
        <v>13473</v>
      </c>
      <c r="M5284" t="s">
        <v>1765</v>
      </c>
    </row>
    <row r="5285" spans="1:13" x14ac:dyDescent="0.25">
      <c r="A5285">
        <v>92295</v>
      </c>
      <c r="B5285" t="s">
        <v>13474</v>
      </c>
      <c r="C5285" t="s">
        <v>13475</v>
      </c>
      <c r="D5285" t="s">
        <v>1643</v>
      </c>
      <c r="E5285" t="s">
        <v>7934</v>
      </c>
    </row>
    <row r="5286" spans="1:13" x14ac:dyDescent="0.25">
      <c r="A5286">
        <v>92294</v>
      </c>
      <c r="B5286" t="s">
        <v>13476</v>
      </c>
      <c r="C5286" t="s">
        <v>13477</v>
      </c>
      <c r="D5286" t="s">
        <v>1643</v>
      </c>
      <c r="E5286" t="s">
        <v>7934</v>
      </c>
    </row>
    <row r="5287" spans="1:13" x14ac:dyDescent="0.25">
      <c r="A5287">
        <v>5908</v>
      </c>
      <c r="B5287" t="s">
        <v>13478</v>
      </c>
      <c r="C5287" t="s">
        <v>13479</v>
      </c>
      <c r="D5287" t="s">
        <v>1643</v>
      </c>
      <c r="E5287" t="s">
        <v>7934</v>
      </c>
      <c r="F5287" t="s">
        <v>1779</v>
      </c>
      <c r="G5287" t="s">
        <v>6395</v>
      </c>
      <c r="K5287" t="s">
        <v>13480</v>
      </c>
      <c r="L5287" t="s">
        <v>1647</v>
      </c>
      <c r="M5287" t="s">
        <v>1634</v>
      </c>
    </row>
    <row r="5288" spans="1:13" x14ac:dyDescent="0.25">
      <c r="A5288">
        <v>81058</v>
      </c>
      <c r="B5288" t="s">
        <v>13481</v>
      </c>
      <c r="C5288" t="s">
        <v>13482</v>
      </c>
      <c r="D5288" t="s">
        <v>1643</v>
      </c>
      <c r="E5288" t="s">
        <v>7934</v>
      </c>
      <c r="F5288" t="s">
        <v>5596</v>
      </c>
      <c r="G5288" t="s">
        <v>13483</v>
      </c>
      <c r="K5288" t="s">
        <v>13484</v>
      </c>
      <c r="L5288" t="s">
        <v>1647</v>
      </c>
      <c r="M5288" t="s">
        <v>1634</v>
      </c>
    </row>
    <row r="5289" spans="1:13" x14ac:dyDescent="0.25">
      <c r="A5289">
        <v>87479</v>
      </c>
      <c r="B5289" t="s">
        <v>13485</v>
      </c>
      <c r="C5289" t="s">
        <v>13486</v>
      </c>
      <c r="D5289" t="s">
        <v>1643</v>
      </c>
      <c r="E5289" t="s">
        <v>7934</v>
      </c>
      <c r="F5289" t="s">
        <v>2328</v>
      </c>
      <c r="G5289" t="s">
        <v>13487</v>
      </c>
      <c r="L5289" t="s">
        <v>1647</v>
      </c>
      <c r="M5289" t="s">
        <v>1634</v>
      </c>
    </row>
    <row r="5290" spans="1:13" x14ac:dyDescent="0.25">
      <c r="A5290">
        <v>88405</v>
      </c>
      <c r="B5290" t="s">
        <v>13488</v>
      </c>
      <c r="C5290" t="s">
        <v>13489</v>
      </c>
      <c r="D5290" t="s">
        <v>1643</v>
      </c>
      <c r="E5290" t="s">
        <v>7934</v>
      </c>
      <c r="F5290" t="s">
        <v>3994</v>
      </c>
      <c r="G5290" t="s">
        <v>13490</v>
      </c>
      <c r="L5290" t="s">
        <v>1647</v>
      </c>
      <c r="M5290" t="s">
        <v>1634</v>
      </c>
    </row>
    <row r="5291" spans="1:13" x14ac:dyDescent="0.25">
      <c r="A5291">
        <v>89910</v>
      </c>
      <c r="B5291" t="s">
        <v>11913</v>
      </c>
      <c r="C5291" t="s">
        <v>13491</v>
      </c>
      <c r="D5291" t="s">
        <v>1643</v>
      </c>
      <c r="E5291" t="s">
        <v>7934</v>
      </c>
      <c r="F5291" t="s">
        <v>13492</v>
      </c>
      <c r="G5291" t="s">
        <v>13493</v>
      </c>
      <c r="H5291">
        <v>5205686100</v>
      </c>
      <c r="J5291">
        <v>5205686109</v>
      </c>
      <c r="K5291" t="s">
        <v>13494</v>
      </c>
      <c r="L5291" t="s">
        <v>1647</v>
      </c>
      <c r="M5291" t="s">
        <v>1634</v>
      </c>
    </row>
    <row r="5292" spans="1:13" x14ac:dyDescent="0.25">
      <c r="A5292">
        <v>89909</v>
      </c>
      <c r="B5292" t="s">
        <v>13495</v>
      </c>
      <c r="C5292" t="s">
        <v>13496</v>
      </c>
      <c r="D5292" t="s">
        <v>1643</v>
      </c>
      <c r="E5292" t="s">
        <v>7934</v>
      </c>
      <c r="F5292" t="s">
        <v>7277</v>
      </c>
      <c r="G5292" t="s">
        <v>2927</v>
      </c>
      <c r="H5292">
        <v>5205686100</v>
      </c>
      <c r="J5292">
        <v>5205686119</v>
      </c>
      <c r="K5292" t="s">
        <v>13497</v>
      </c>
      <c r="L5292" t="s">
        <v>5382</v>
      </c>
      <c r="M5292" t="s">
        <v>1634</v>
      </c>
    </row>
    <row r="5293" spans="1:13" x14ac:dyDescent="0.25">
      <c r="A5293">
        <v>5909</v>
      </c>
      <c r="B5293" t="s">
        <v>13498</v>
      </c>
      <c r="C5293" t="s">
        <v>13499</v>
      </c>
      <c r="D5293" t="s">
        <v>1643</v>
      </c>
      <c r="E5293" t="s">
        <v>7934</v>
      </c>
      <c r="F5293" t="s">
        <v>2788</v>
      </c>
      <c r="G5293" t="s">
        <v>13500</v>
      </c>
      <c r="K5293" t="s">
        <v>13501</v>
      </c>
      <c r="L5293" t="s">
        <v>1647</v>
      </c>
      <c r="M5293" t="s">
        <v>1634</v>
      </c>
    </row>
    <row r="5294" spans="1:13" x14ac:dyDescent="0.25">
      <c r="A5294">
        <v>89911</v>
      </c>
      <c r="B5294" t="s">
        <v>1506</v>
      </c>
      <c r="C5294" t="s">
        <v>13502</v>
      </c>
      <c r="D5294" t="s">
        <v>1643</v>
      </c>
      <c r="E5294" t="s">
        <v>7934</v>
      </c>
      <c r="F5294" t="s">
        <v>13503</v>
      </c>
      <c r="G5294" t="s">
        <v>13504</v>
      </c>
      <c r="H5294">
        <v>5205687110</v>
      </c>
      <c r="J5294">
        <v>5205687119</v>
      </c>
      <c r="L5294" t="s">
        <v>1647</v>
      </c>
      <c r="M5294" t="s">
        <v>1634</v>
      </c>
    </row>
    <row r="5295" spans="1:13" x14ac:dyDescent="0.25">
      <c r="A5295">
        <v>1001089</v>
      </c>
      <c r="B5295" t="s">
        <v>13505</v>
      </c>
      <c r="C5295" t="s">
        <v>13506</v>
      </c>
      <c r="D5295" t="s">
        <v>1643</v>
      </c>
      <c r="E5295" t="s">
        <v>7934</v>
      </c>
    </row>
    <row r="5296" spans="1:13" x14ac:dyDescent="0.25">
      <c r="A5296">
        <v>5910</v>
      </c>
      <c r="B5296" t="s">
        <v>13507</v>
      </c>
      <c r="C5296" t="s">
        <v>13508</v>
      </c>
      <c r="D5296" t="s">
        <v>1643</v>
      </c>
      <c r="E5296" t="s">
        <v>7934</v>
      </c>
      <c r="F5296" t="s">
        <v>13509</v>
      </c>
      <c r="G5296" t="s">
        <v>7532</v>
      </c>
      <c r="K5296" t="s">
        <v>13510</v>
      </c>
      <c r="L5296" t="s">
        <v>1647</v>
      </c>
      <c r="M5296" t="s">
        <v>1634</v>
      </c>
    </row>
    <row r="5297" spans="1:13" x14ac:dyDescent="0.25">
      <c r="A5297">
        <v>4442</v>
      </c>
      <c r="B5297" t="s">
        <v>315</v>
      </c>
      <c r="C5297" t="s">
        <v>13511</v>
      </c>
      <c r="D5297" t="s">
        <v>1628</v>
      </c>
      <c r="E5297" t="s">
        <v>7934</v>
      </c>
      <c r="F5297" t="s">
        <v>13512</v>
      </c>
      <c r="G5297" t="s">
        <v>13513</v>
      </c>
      <c r="H5297">
        <v>5207732221</v>
      </c>
      <c r="K5297" t="s">
        <v>13514</v>
      </c>
      <c r="L5297" t="s">
        <v>1668</v>
      </c>
      <c r="M5297" t="s">
        <v>1634</v>
      </c>
    </row>
    <row r="5298" spans="1:13" x14ac:dyDescent="0.25">
      <c r="A5298">
        <v>4442</v>
      </c>
      <c r="B5298" t="s">
        <v>315</v>
      </c>
      <c r="C5298" t="s">
        <v>13511</v>
      </c>
      <c r="D5298" t="s">
        <v>1628</v>
      </c>
      <c r="E5298" t="s">
        <v>7934</v>
      </c>
      <c r="F5298" t="s">
        <v>8943</v>
      </c>
      <c r="G5298" t="s">
        <v>2927</v>
      </c>
      <c r="H5298">
        <v>5207232040</v>
      </c>
      <c r="K5298" t="s">
        <v>13515</v>
      </c>
      <c r="M5298" t="s">
        <v>1634</v>
      </c>
    </row>
    <row r="5299" spans="1:13" x14ac:dyDescent="0.25">
      <c r="A5299">
        <v>4442</v>
      </c>
      <c r="B5299" t="s">
        <v>315</v>
      </c>
      <c r="C5299" t="s">
        <v>13511</v>
      </c>
      <c r="D5299" t="s">
        <v>1628</v>
      </c>
      <c r="E5299" t="s">
        <v>7934</v>
      </c>
      <c r="F5299" t="s">
        <v>13503</v>
      </c>
      <c r="G5299" t="s">
        <v>13516</v>
      </c>
      <c r="H5299">
        <v>5207232040</v>
      </c>
      <c r="K5299" t="s">
        <v>13517</v>
      </c>
      <c r="L5299" t="s">
        <v>1738</v>
      </c>
      <c r="M5299" t="s">
        <v>1634</v>
      </c>
    </row>
    <row r="5300" spans="1:13" x14ac:dyDescent="0.25">
      <c r="A5300">
        <v>4442</v>
      </c>
      <c r="B5300" t="s">
        <v>315</v>
      </c>
      <c r="C5300" t="s">
        <v>13511</v>
      </c>
      <c r="D5300" t="s">
        <v>1628</v>
      </c>
      <c r="E5300" t="s">
        <v>7934</v>
      </c>
      <c r="F5300" t="s">
        <v>4617</v>
      </c>
      <c r="G5300" t="s">
        <v>13518</v>
      </c>
      <c r="H5300">
        <v>5207232221</v>
      </c>
      <c r="J5300">
        <v>5207238893</v>
      </c>
      <c r="K5300" t="s">
        <v>13519</v>
      </c>
      <c r="L5300" t="s">
        <v>3210</v>
      </c>
      <c r="M5300" t="s">
        <v>1640</v>
      </c>
    </row>
    <row r="5301" spans="1:13" x14ac:dyDescent="0.25">
      <c r="A5301">
        <v>4442</v>
      </c>
      <c r="B5301" t="s">
        <v>315</v>
      </c>
      <c r="C5301" t="s">
        <v>13511</v>
      </c>
      <c r="D5301" t="s">
        <v>1628</v>
      </c>
      <c r="E5301" t="s">
        <v>7934</v>
      </c>
      <c r="F5301" t="s">
        <v>13520</v>
      </c>
      <c r="G5301" t="s">
        <v>13521</v>
      </c>
      <c r="H5301">
        <v>5207232079</v>
      </c>
      <c r="J5301">
        <v>5207232442</v>
      </c>
      <c r="K5301" t="s">
        <v>13522</v>
      </c>
      <c r="L5301" t="s">
        <v>13523</v>
      </c>
      <c r="M5301" t="s">
        <v>1765</v>
      </c>
    </row>
    <row r="5302" spans="1:13" x14ac:dyDescent="0.25">
      <c r="A5302">
        <v>5911</v>
      </c>
      <c r="B5302" t="s">
        <v>1455</v>
      </c>
      <c r="C5302" t="s">
        <v>13524</v>
      </c>
      <c r="D5302" t="s">
        <v>1643</v>
      </c>
      <c r="E5302" t="s">
        <v>7934</v>
      </c>
      <c r="F5302" t="s">
        <v>1787</v>
      </c>
      <c r="G5302" t="s">
        <v>13525</v>
      </c>
      <c r="H5302">
        <v>5207232702</v>
      </c>
      <c r="J5302">
        <v>5207232707</v>
      </c>
      <c r="K5302" t="s">
        <v>13526</v>
      </c>
      <c r="M5302" t="s">
        <v>1634</v>
      </c>
    </row>
    <row r="5303" spans="1:13" x14ac:dyDescent="0.25">
      <c r="A5303">
        <v>5911</v>
      </c>
      <c r="B5303" t="s">
        <v>1455</v>
      </c>
      <c r="C5303" t="s">
        <v>13524</v>
      </c>
      <c r="D5303" t="s">
        <v>1643</v>
      </c>
      <c r="E5303" t="s">
        <v>7934</v>
      </c>
      <c r="F5303" t="s">
        <v>1666</v>
      </c>
      <c r="G5303" t="s">
        <v>4560</v>
      </c>
      <c r="K5303" t="s">
        <v>13527</v>
      </c>
      <c r="L5303" t="s">
        <v>1647</v>
      </c>
      <c r="M5303" t="s">
        <v>1634</v>
      </c>
    </row>
    <row r="5304" spans="1:13" x14ac:dyDescent="0.25">
      <c r="A5304">
        <v>5914</v>
      </c>
      <c r="B5304" t="s">
        <v>13528</v>
      </c>
      <c r="C5304" t="s">
        <v>13529</v>
      </c>
      <c r="D5304" t="s">
        <v>1643</v>
      </c>
      <c r="E5304" t="s">
        <v>7934</v>
      </c>
      <c r="F5304" t="s">
        <v>3660</v>
      </c>
      <c r="G5304" t="s">
        <v>2270</v>
      </c>
      <c r="H5304">
        <v>5207232201</v>
      </c>
      <c r="K5304" t="s">
        <v>13530</v>
      </c>
      <c r="L5304" t="s">
        <v>1647</v>
      </c>
      <c r="M5304" t="s">
        <v>1634</v>
      </c>
    </row>
    <row r="5305" spans="1:13" x14ac:dyDescent="0.25">
      <c r="A5305">
        <v>5914</v>
      </c>
      <c r="B5305" t="s">
        <v>13528</v>
      </c>
      <c r="C5305" t="s">
        <v>13529</v>
      </c>
      <c r="D5305" t="s">
        <v>1643</v>
      </c>
      <c r="E5305" t="s">
        <v>7934</v>
      </c>
      <c r="F5305" t="s">
        <v>13531</v>
      </c>
      <c r="G5305" t="s">
        <v>1943</v>
      </c>
      <c r="L5305" t="s">
        <v>1647</v>
      </c>
      <c r="M5305" t="s">
        <v>1634</v>
      </c>
    </row>
    <row r="5306" spans="1:13" x14ac:dyDescent="0.25">
      <c r="A5306">
        <v>5916</v>
      </c>
      <c r="B5306" t="s">
        <v>1583</v>
      </c>
      <c r="C5306" t="s">
        <v>13532</v>
      </c>
      <c r="D5306" t="s">
        <v>1643</v>
      </c>
      <c r="E5306" t="s">
        <v>7934</v>
      </c>
      <c r="F5306" t="s">
        <v>6078</v>
      </c>
      <c r="G5306" t="s">
        <v>13533</v>
      </c>
      <c r="K5306" t="s">
        <v>13534</v>
      </c>
      <c r="M5306" t="s">
        <v>1634</v>
      </c>
    </row>
    <row r="5307" spans="1:13" x14ac:dyDescent="0.25">
      <c r="A5307">
        <v>5916</v>
      </c>
      <c r="B5307" t="s">
        <v>1583</v>
      </c>
      <c r="C5307" t="s">
        <v>13532</v>
      </c>
      <c r="D5307" t="s">
        <v>1643</v>
      </c>
      <c r="E5307" t="s">
        <v>7934</v>
      </c>
      <c r="F5307" t="s">
        <v>2997</v>
      </c>
      <c r="G5307" t="s">
        <v>13535</v>
      </c>
      <c r="K5307" t="s">
        <v>13536</v>
      </c>
      <c r="M5307" t="s">
        <v>1634</v>
      </c>
    </row>
    <row r="5308" spans="1:13" x14ac:dyDescent="0.25">
      <c r="A5308">
        <v>5916</v>
      </c>
      <c r="B5308" t="s">
        <v>1583</v>
      </c>
      <c r="C5308" t="s">
        <v>13532</v>
      </c>
      <c r="D5308" t="s">
        <v>1643</v>
      </c>
      <c r="E5308" t="s">
        <v>7934</v>
      </c>
      <c r="F5308" t="s">
        <v>2704</v>
      </c>
      <c r="G5308" t="s">
        <v>13537</v>
      </c>
      <c r="L5308" t="s">
        <v>1647</v>
      </c>
      <c r="M5308" t="s">
        <v>1634</v>
      </c>
    </row>
    <row r="5309" spans="1:13" x14ac:dyDescent="0.25">
      <c r="A5309">
        <v>89577</v>
      </c>
      <c r="B5309" t="s">
        <v>749</v>
      </c>
      <c r="C5309" t="s">
        <v>13538</v>
      </c>
      <c r="D5309" t="s">
        <v>1643</v>
      </c>
      <c r="E5309" t="s">
        <v>7934</v>
      </c>
      <c r="F5309" t="s">
        <v>13539</v>
      </c>
      <c r="G5309" t="s">
        <v>13540</v>
      </c>
      <c r="K5309" t="s">
        <v>13541</v>
      </c>
      <c r="L5309" t="s">
        <v>1647</v>
      </c>
      <c r="M5309" t="s">
        <v>1634</v>
      </c>
    </row>
    <row r="5310" spans="1:13" x14ac:dyDescent="0.25">
      <c r="A5310">
        <v>89577</v>
      </c>
      <c r="B5310" t="s">
        <v>749</v>
      </c>
      <c r="C5310" t="s">
        <v>13538</v>
      </c>
      <c r="D5310" t="s">
        <v>1643</v>
      </c>
      <c r="E5310" t="s">
        <v>7934</v>
      </c>
      <c r="F5310" t="s">
        <v>3428</v>
      </c>
      <c r="G5310" t="s">
        <v>13542</v>
      </c>
      <c r="H5310">
        <v>5207232419</v>
      </c>
      <c r="J5310">
        <v>5207232050</v>
      </c>
      <c r="K5310" t="s">
        <v>13543</v>
      </c>
      <c r="L5310" t="s">
        <v>2358</v>
      </c>
      <c r="M5310" t="s">
        <v>1640</v>
      </c>
    </row>
    <row r="5311" spans="1:13" x14ac:dyDescent="0.25">
      <c r="A5311">
        <v>92608</v>
      </c>
      <c r="B5311" t="s">
        <v>13544</v>
      </c>
      <c r="C5311" t="s">
        <v>13545</v>
      </c>
      <c r="D5311" t="s">
        <v>1643</v>
      </c>
      <c r="E5311" t="s">
        <v>7934</v>
      </c>
    </row>
    <row r="5312" spans="1:13" x14ac:dyDescent="0.25">
      <c r="A5312">
        <v>4443</v>
      </c>
      <c r="B5312" t="s">
        <v>1046</v>
      </c>
      <c r="C5312" t="s">
        <v>13546</v>
      </c>
      <c r="D5312" t="s">
        <v>1628</v>
      </c>
      <c r="E5312" t="s">
        <v>7934</v>
      </c>
      <c r="F5312" t="s">
        <v>12459</v>
      </c>
      <c r="G5312" t="s">
        <v>13547</v>
      </c>
      <c r="H5312">
        <v>4809821110</v>
      </c>
      <c r="I5312">
        <v>2005</v>
      </c>
      <c r="K5312" t="s">
        <v>13548</v>
      </c>
      <c r="L5312" t="s">
        <v>1746</v>
      </c>
      <c r="M5312" t="s">
        <v>1634</v>
      </c>
    </row>
    <row r="5313" spans="1:13" x14ac:dyDescent="0.25">
      <c r="A5313">
        <v>4443</v>
      </c>
      <c r="B5313" t="s">
        <v>1046</v>
      </c>
      <c r="C5313" t="s">
        <v>13546</v>
      </c>
      <c r="D5313" t="s">
        <v>1628</v>
      </c>
      <c r="E5313" t="s">
        <v>7934</v>
      </c>
      <c r="F5313" t="s">
        <v>3720</v>
      </c>
      <c r="G5313" t="s">
        <v>13549</v>
      </c>
      <c r="H5313">
        <v>4809821110</v>
      </c>
      <c r="I5313">
        <v>2017</v>
      </c>
      <c r="K5313" t="s">
        <v>13550</v>
      </c>
      <c r="L5313" t="s">
        <v>6321</v>
      </c>
      <c r="M5313" t="s">
        <v>1634</v>
      </c>
    </row>
    <row r="5314" spans="1:13" x14ac:dyDescent="0.25">
      <c r="A5314">
        <v>4443</v>
      </c>
      <c r="B5314" t="s">
        <v>1046</v>
      </c>
      <c r="C5314" t="s">
        <v>13546</v>
      </c>
      <c r="D5314" t="s">
        <v>1628</v>
      </c>
      <c r="E5314" t="s">
        <v>7934</v>
      </c>
      <c r="F5314" t="s">
        <v>3040</v>
      </c>
      <c r="G5314" t="s">
        <v>5571</v>
      </c>
      <c r="H5314">
        <v>4809821110</v>
      </c>
      <c r="I5314">
        <v>2017</v>
      </c>
      <c r="J5314">
        <v>4806710191</v>
      </c>
      <c r="K5314" t="s">
        <v>13551</v>
      </c>
      <c r="L5314" t="s">
        <v>1639</v>
      </c>
      <c r="M5314" t="s">
        <v>1640</v>
      </c>
    </row>
    <row r="5315" spans="1:13" x14ac:dyDescent="0.25">
      <c r="A5315">
        <v>4443</v>
      </c>
      <c r="B5315" t="s">
        <v>1046</v>
      </c>
      <c r="C5315" t="s">
        <v>13546</v>
      </c>
      <c r="D5315" t="s">
        <v>1628</v>
      </c>
      <c r="E5315" t="s">
        <v>7934</v>
      </c>
      <c r="F5315" t="s">
        <v>1690</v>
      </c>
      <c r="G5315" t="s">
        <v>13552</v>
      </c>
      <c r="I5315">
        <v>2017</v>
      </c>
      <c r="K5315" t="s">
        <v>13553</v>
      </c>
      <c r="M5315" t="s">
        <v>1640</v>
      </c>
    </row>
    <row r="5316" spans="1:13" x14ac:dyDescent="0.25">
      <c r="A5316">
        <v>4443</v>
      </c>
      <c r="B5316" t="s">
        <v>1046</v>
      </c>
      <c r="C5316" t="s">
        <v>13546</v>
      </c>
      <c r="D5316" t="s">
        <v>1628</v>
      </c>
      <c r="E5316" t="s">
        <v>7934</v>
      </c>
      <c r="F5316" t="s">
        <v>3178</v>
      </c>
      <c r="G5316" t="s">
        <v>6174</v>
      </c>
      <c r="H5316">
        <v>4809821110</v>
      </c>
      <c r="I5316">
        <v>2042</v>
      </c>
      <c r="K5316" t="s">
        <v>13554</v>
      </c>
      <c r="L5316" t="s">
        <v>1800</v>
      </c>
      <c r="M5316" t="s">
        <v>1765</v>
      </c>
    </row>
    <row r="5317" spans="1:13" x14ac:dyDescent="0.25">
      <c r="A5317">
        <v>5920</v>
      </c>
      <c r="B5317" t="s">
        <v>13555</v>
      </c>
      <c r="C5317" t="s">
        <v>13556</v>
      </c>
      <c r="D5317" t="s">
        <v>1643</v>
      </c>
      <c r="E5317" t="s">
        <v>7934</v>
      </c>
      <c r="F5317" t="s">
        <v>2348</v>
      </c>
      <c r="G5317" t="s">
        <v>13557</v>
      </c>
      <c r="K5317" t="s">
        <v>13558</v>
      </c>
      <c r="L5317" t="s">
        <v>1647</v>
      </c>
      <c r="M5317" t="s">
        <v>1634</v>
      </c>
    </row>
    <row r="5318" spans="1:13" x14ac:dyDescent="0.25">
      <c r="A5318">
        <v>5922</v>
      </c>
      <c r="B5318" t="s">
        <v>13559</v>
      </c>
      <c r="C5318" t="s">
        <v>13560</v>
      </c>
      <c r="D5318" t="s">
        <v>1643</v>
      </c>
      <c r="E5318" t="s">
        <v>7934</v>
      </c>
      <c r="F5318" t="s">
        <v>2408</v>
      </c>
      <c r="G5318" t="s">
        <v>1909</v>
      </c>
      <c r="H5318">
        <v>4806777513</v>
      </c>
      <c r="K5318" t="s">
        <v>13561</v>
      </c>
      <c r="L5318" t="s">
        <v>1647</v>
      </c>
      <c r="M5318" t="s">
        <v>1634</v>
      </c>
    </row>
    <row r="5319" spans="1:13" x14ac:dyDescent="0.25">
      <c r="A5319">
        <v>79631</v>
      </c>
      <c r="B5319" t="s">
        <v>13562</v>
      </c>
      <c r="C5319" t="s">
        <v>13563</v>
      </c>
      <c r="D5319" t="s">
        <v>1643</v>
      </c>
      <c r="E5319" t="s">
        <v>7934</v>
      </c>
      <c r="F5319" t="s">
        <v>3760</v>
      </c>
      <c r="G5319" t="s">
        <v>13564</v>
      </c>
      <c r="K5319" t="s">
        <v>13565</v>
      </c>
      <c r="M5319" t="s">
        <v>1634</v>
      </c>
    </row>
    <row r="5320" spans="1:13" x14ac:dyDescent="0.25">
      <c r="A5320">
        <v>79631</v>
      </c>
      <c r="B5320" t="s">
        <v>13562</v>
      </c>
      <c r="C5320" t="s">
        <v>13563</v>
      </c>
      <c r="D5320" t="s">
        <v>1643</v>
      </c>
      <c r="E5320" t="s">
        <v>7934</v>
      </c>
      <c r="F5320" t="s">
        <v>6685</v>
      </c>
      <c r="G5320" t="s">
        <v>13566</v>
      </c>
      <c r="K5320" t="s">
        <v>13567</v>
      </c>
      <c r="L5320" t="s">
        <v>1923</v>
      </c>
      <c r="M5320" t="s">
        <v>1634</v>
      </c>
    </row>
    <row r="5321" spans="1:13" x14ac:dyDescent="0.25">
      <c r="A5321">
        <v>79631</v>
      </c>
      <c r="B5321" t="s">
        <v>13562</v>
      </c>
      <c r="C5321" t="s">
        <v>13563</v>
      </c>
      <c r="D5321" t="s">
        <v>1643</v>
      </c>
      <c r="E5321" t="s">
        <v>7934</v>
      </c>
      <c r="F5321" t="s">
        <v>6350</v>
      </c>
      <c r="G5321" t="s">
        <v>13568</v>
      </c>
      <c r="H5321">
        <v>4809821110</v>
      </c>
      <c r="I5321">
        <v>3203</v>
      </c>
      <c r="K5321" t="s">
        <v>13569</v>
      </c>
      <c r="L5321" t="s">
        <v>1647</v>
      </c>
      <c r="M5321" t="s">
        <v>1634</v>
      </c>
    </row>
    <row r="5322" spans="1:13" x14ac:dyDescent="0.25">
      <c r="A5322">
        <v>5923</v>
      </c>
      <c r="B5322" t="s">
        <v>13570</v>
      </c>
      <c r="C5322" t="s">
        <v>13571</v>
      </c>
      <c r="D5322" t="s">
        <v>1643</v>
      </c>
      <c r="E5322" t="s">
        <v>7934</v>
      </c>
    </row>
    <row r="5323" spans="1:13" x14ac:dyDescent="0.25">
      <c r="A5323">
        <v>5925</v>
      </c>
      <c r="B5323" t="s">
        <v>13572</v>
      </c>
      <c r="C5323" t="s">
        <v>13573</v>
      </c>
      <c r="D5323" t="s">
        <v>1643</v>
      </c>
      <c r="E5323" t="s">
        <v>7934</v>
      </c>
      <c r="F5323" t="s">
        <v>4162</v>
      </c>
      <c r="G5323" t="s">
        <v>13574</v>
      </c>
      <c r="J5323">
        <v>4809823787</v>
      </c>
      <c r="K5323" t="s">
        <v>13575</v>
      </c>
      <c r="M5323" t="s">
        <v>1634</v>
      </c>
    </row>
    <row r="5324" spans="1:13" x14ac:dyDescent="0.25">
      <c r="A5324">
        <v>4445</v>
      </c>
      <c r="B5324" t="s">
        <v>1305</v>
      </c>
      <c r="C5324" t="s">
        <v>13576</v>
      </c>
      <c r="D5324" t="s">
        <v>1628</v>
      </c>
      <c r="E5324" t="s">
        <v>7934</v>
      </c>
      <c r="F5324" t="s">
        <v>4013</v>
      </c>
      <c r="G5324" t="s">
        <v>13577</v>
      </c>
      <c r="H5324">
        <v>4809875300</v>
      </c>
      <c r="J5324">
        <v>4809873487</v>
      </c>
      <c r="K5324" t="s">
        <v>13578</v>
      </c>
      <c r="L5324" t="s">
        <v>1668</v>
      </c>
      <c r="M5324" t="s">
        <v>1634</v>
      </c>
    </row>
    <row r="5325" spans="1:13" x14ac:dyDescent="0.25">
      <c r="A5325">
        <v>4445</v>
      </c>
      <c r="B5325" t="s">
        <v>1305</v>
      </c>
      <c r="C5325" t="s">
        <v>13576</v>
      </c>
      <c r="D5325" t="s">
        <v>1628</v>
      </c>
      <c r="E5325" t="s">
        <v>7934</v>
      </c>
      <c r="F5325" t="s">
        <v>2348</v>
      </c>
      <c r="G5325" t="s">
        <v>13579</v>
      </c>
      <c r="H5325">
        <v>4808823520</v>
      </c>
      <c r="K5325" t="s">
        <v>13580</v>
      </c>
      <c r="M5325" t="s">
        <v>1634</v>
      </c>
    </row>
    <row r="5326" spans="1:13" x14ac:dyDescent="0.25">
      <c r="A5326">
        <v>4445</v>
      </c>
      <c r="B5326" t="s">
        <v>1305</v>
      </c>
      <c r="C5326" t="s">
        <v>13576</v>
      </c>
      <c r="D5326" t="s">
        <v>1628</v>
      </c>
      <c r="E5326" t="s">
        <v>7934</v>
      </c>
      <c r="F5326" t="s">
        <v>2082</v>
      </c>
      <c r="G5326" t="s">
        <v>13581</v>
      </c>
      <c r="M5326" t="s">
        <v>1634</v>
      </c>
    </row>
    <row r="5327" spans="1:13" x14ac:dyDescent="0.25">
      <c r="A5327">
        <v>4445</v>
      </c>
      <c r="B5327" t="s">
        <v>1305</v>
      </c>
      <c r="C5327" t="s">
        <v>13576</v>
      </c>
      <c r="D5327" t="s">
        <v>1628</v>
      </c>
      <c r="E5327" t="s">
        <v>7934</v>
      </c>
      <c r="F5327" t="s">
        <v>7003</v>
      </c>
      <c r="G5327" t="s">
        <v>13582</v>
      </c>
      <c r="H5327" t="s">
        <v>13583</v>
      </c>
      <c r="J5327">
        <v>4809873487</v>
      </c>
      <c r="K5327" t="s">
        <v>13584</v>
      </c>
      <c r="L5327" t="s">
        <v>13585</v>
      </c>
      <c r="M5327" t="s">
        <v>1640</v>
      </c>
    </row>
    <row r="5328" spans="1:13" x14ac:dyDescent="0.25">
      <c r="A5328">
        <v>4445</v>
      </c>
      <c r="B5328" t="s">
        <v>1305</v>
      </c>
      <c r="C5328" t="s">
        <v>13576</v>
      </c>
      <c r="D5328" t="s">
        <v>1628</v>
      </c>
      <c r="E5328" t="s">
        <v>7934</v>
      </c>
      <c r="F5328" t="s">
        <v>13586</v>
      </c>
      <c r="G5328" t="s">
        <v>13587</v>
      </c>
      <c r="H5328">
        <v>4808823520</v>
      </c>
      <c r="J5328">
        <v>4809873487</v>
      </c>
      <c r="K5328" t="s">
        <v>13588</v>
      </c>
      <c r="L5328" t="s">
        <v>1647</v>
      </c>
      <c r="M5328" t="s">
        <v>1640</v>
      </c>
    </row>
    <row r="5329" spans="1:13" x14ac:dyDescent="0.25">
      <c r="A5329">
        <v>4445</v>
      </c>
      <c r="B5329" t="s">
        <v>1305</v>
      </c>
      <c r="C5329" t="s">
        <v>13576</v>
      </c>
      <c r="D5329" t="s">
        <v>1628</v>
      </c>
      <c r="E5329" t="s">
        <v>7934</v>
      </c>
      <c r="F5329" t="s">
        <v>3772</v>
      </c>
      <c r="G5329" t="s">
        <v>13589</v>
      </c>
      <c r="H5329">
        <v>4809875313</v>
      </c>
      <c r="K5329" t="s">
        <v>13590</v>
      </c>
      <c r="M5329" t="s">
        <v>1765</v>
      </c>
    </row>
    <row r="5330" spans="1:13" x14ac:dyDescent="0.25">
      <c r="A5330">
        <v>4445</v>
      </c>
      <c r="B5330" t="s">
        <v>1305</v>
      </c>
      <c r="C5330" t="s">
        <v>13576</v>
      </c>
      <c r="D5330" t="s">
        <v>1628</v>
      </c>
      <c r="E5330" t="s">
        <v>7934</v>
      </c>
      <c r="F5330" t="s">
        <v>4887</v>
      </c>
      <c r="G5330" t="s">
        <v>13591</v>
      </c>
      <c r="H5330">
        <v>4809875313</v>
      </c>
      <c r="K5330" t="s">
        <v>13592</v>
      </c>
      <c r="L5330" t="s">
        <v>4430</v>
      </c>
      <c r="M5330" t="s">
        <v>1765</v>
      </c>
    </row>
    <row r="5331" spans="1:13" x14ac:dyDescent="0.25">
      <c r="A5331">
        <v>4445</v>
      </c>
      <c r="B5331" t="s">
        <v>1305</v>
      </c>
      <c r="C5331" t="s">
        <v>13576</v>
      </c>
      <c r="D5331" t="s">
        <v>1628</v>
      </c>
      <c r="E5331" t="s">
        <v>7934</v>
      </c>
      <c r="F5331" t="s">
        <v>6246</v>
      </c>
      <c r="G5331" t="s">
        <v>13593</v>
      </c>
      <c r="I5331">
        <v>1023</v>
      </c>
      <c r="J5331">
        <v>4809873487</v>
      </c>
      <c r="K5331" t="s">
        <v>13594</v>
      </c>
      <c r="L5331" t="s">
        <v>1800</v>
      </c>
      <c r="M5331" t="s">
        <v>1765</v>
      </c>
    </row>
    <row r="5332" spans="1:13" x14ac:dyDescent="0.25">
      <c r="A5332">
        <v>90807</v>
      </c>
      <c r="B5332" t="s">
        <v>13595</v>
      </c>
      <c r="C5332" t="s">
        <v>13596</v>
      </c>
      <c r="D5332" t="s">
        <v>1643</v>
      </c>
      <c r="E5332" t="s">
        <v>7934</v>
      </c>
      <c r="F5332" t="s">
        <v>13597</v>
      </c>
      <c r="G5332" t="s">
        <v>13598</v>
      </c>
      <c r="H5332">
        <v>4809875327</v>
      </c>
      <c r="J5332">
        <v>4809875009</v>
      </c>
      <c r="K5332" t="s">
        <v>13599</v>
      </c>
      <c r="L5332" t="s">
        <v>13600</v>
      </c>
      <c r="M5332" t="s">
        <v>1634</v>
      </c>
    </row>
    <row r="5333" spans="1:13" x14ac:dyDescent="0.25">
      <c r="A5333">
        <v>79831</v>
      </c>
      <c r="B5333" t="s">
        <v>13601</v>
      </c>
      <c r="C5333" t="s">
        <v>13602</v>
      </c>
      <c r="D5333" t="s">
        <v>1643</v>
      </c>
      <c r="E5333" t="s">
        <v>7934</v>
      </c>
      <c r="F5333" t="s">
        <v>2932</v>
      </c>
      <c r="G5333" t="s">
        <v>13603</v>
      </c>
      <c r="H5333">
        <v>4809875337</v>
      </c>
      <c r="K5333" t="s">
        <v>13604</v>
      </c>
      <c r="L5333" t="s">
        <v>1647</v>
      </c>
      <c r="M5333" t="s">
        <v>1634</v>
      </c>
    </row>
    <row r="5334" spans="1:13" x14ac:dyDescent="0.25">
      <c r="A5334">
        <v>5928</v>
      </c>
      <c r="B5334" t="s">
        <v>13605</v>
      </c>
      <c r="C5334" t="s">
        <v>13606</v>
      </c>
      <c r="D5334" t="s">
        <v>1643</v>
      </c>
      <c r="E5334" t="s">
        <v>7934</v>
      </c>
      <c r="F5334" t="s">
        <v>2082</v>
      </c>
      <c r="G5334" t="s">
        <v>13607</v>
      </c>
      <c r="H5334">
        <v>4808823510</v>
      </c>
      <c r="K5334" t="s">
        <v>13608</v>
      </c>
      <c r="L5334" t="s">
        <v>1647</v>
      </c>
      <c r="M5334" t="s">
        <v>1634</v>
      </c>
    </row>
    <row r="5335" spans="1:13" x14ac:dyDescent="0.25">
      <c r="A5335">
        <v>87489</v>
      </c>
      <c r="B5335" t="s">
        <v>1306</v>
      </c>
      <c r="C5335" t="s">
        <v>13609</v>
      </c>
      <c r="D5335" t="s">
        <v>1643</v>
      </c>
      <c r="E5335" t="s">
        <v>7934</v>
      </c>
      <c r="F5335" t="s">
        <v>13610</v>
      </c>
      <c r="G5335" t="s">
        <v>13611</v>
      </c>
      <c r="H5335">
        <v>4808823500</v>
      </c>
      <c r="J5335">
        <v>4808889143</v>
      </c>
      <c r="K5335" t="s">
        <v>13612</v>
      </c>
      <c r="L5335" t="s">
        <v>1647</v>
      </c>
      <c r="M5335" t="s">
        <v>1634</v>
      </c>
    </row>
    <row r="5336" spans="1:13" x14ac:dyDescent="0.25">
      <c r="A5336">
        <v>89569</v>
      </c>
      <c r="B5336" t="s">
        <v>13613</v>
      </c>
      <c r="C5336" t="s">
        <v>13614</v>
      </c>
      <c r="D5336" t="s">
        <v>1643</v>
      </c>
      <c r="E5336" t="s">
        <v>7934</v>
      </c>
      <c r="F5336" t="s">
        <v>2429</v>
      </c>
      <c r="G5336" t="s">
        <v>13615</v>
      </c>
      <c r="H5336">
        <v>4808823520</v>
      </c>
      <c r="K5336" t="s">
        <v>13616</v>
      </c>
      <c r="L5336" t="s">
        <v>1647</v>
      </c>
      <c r="M5336" t="s">
        <v>1634</v>
      </c>
    </row>
    <row r="5337" spans="1:13" x14ac:dyDescent="0.25">
      <c r="A5337">
        <v>89860</v>
      </c>
      <c r="B5337" t="s">
        <v>13617</v>
      </c>
      <c r="C5337" t="s">
        <v>13618</v>
      </c>
      <c r="D5337" t="s">
        <v>1643</v>
      </c>
      <c r="E5337" t="s">
        <v>7934</v>
      </c>
      <c r="F5337" t="s">
        <v>3024</v>
      </c>
      <c r="G5337" t="s">
        <v>13619</v>
      </c>
      <c r="H5337">
        <v>4808823530</v>
      </c>
      <c r="J5337">
        <v>4806556412</v>
      </c>
      <c r="K5337" t="s">
        <v>13620</v>
      </c>
      <c r="L5337" t="s">
        <v>1647</v>
      </c>
      <c r="M5337" t="s">
        <v>1634</v>
      </c>
    </row>
    <row r="5338" spans="1:13" x14ac:dyDescent="0.25">
      <c r="A5338">
        <v>89860</v>
      </c>
      <c r="B5338" t="s">
        <v>13617</v>
      </c>
      <c r="C5338" t="s">
        <v>13618</v>
      </c>
      <c r="D5338" t="s">
        <v>1643</v>
      </c>
      <c r="E5338" t="s">
        <v>7934</v>
      </c>
      <c r="F5338" t="s">
        <v>1726</v>
      </c>
      <c r="G5338" t="s">
        <v>13621</v>
      </c>
      <c r="H5338">
        <v>4808823530</v>
      </c>
      <c r="J5338">
        <v>4806556412</v>
      </c>
      <c r="K5338" t="s">
        <v>13622</v>
      </c>
      <c r="L5338" t="s">
        <v>1647</v>
      </c>
      <c r="M5338" t="s">
        <v>1634</v>
      </c>
    </row>
    <row r="5339" spans="1:13" x14ac:dyDescent="0.25">
      <c r="A5339">
        <v>89859</v>
      </c>
      <c r="B5339" t="s">
        <v>13623</v>
      </c>
      <c r="C5339" t="s">
        <v>13624</v>
      </c>
      <c r="D5339" t="s">
        <v>1643</v>
      </c>
      <c r="E5339" t="s">
        <v>7934</v>
      </c>
      <c r="F5339" t="s">
        <v>2348</v>
      </c>
      <c r="G5339" t="s">
        <v>13625</v>
      </c>
      <c r="H5339">
        <v>4808823540</v>
      </c>
      <c r="J5339">
        <v>4809870837</v>
      </c>
      <c r="K5339" t="s">
        <v>13626</v>
      </c>
      <c r="M5339" t="s">
        <v>1634</v>
      </c>
    </row>
    <row r="5340" spans="1:13" x14ac:dyDescent="0.25">
      <c r="A5340">
        <v>1001141</v>
      </c>
      <c r="B5340" t="s">
        <v>13627</v>
      </c>
      <c r="C5340" t="s">
        <v>13628</v>
      </c>
      <c r="D5340" t="s">
        <v>1643</v>
      </c>
      <c r="E5340" t="s">
        <v>7934</v>
      </c>
    </row>
    <row r="5341" spans="1:13" x14ac:dyDescent="0.25">
      <c r="A5341">
        <v>4444</v>
      </c>
      <c r="B5341" t="s">
        <v>352</v>
      </c>
      <c r="C5341" t="s">
        <v>13629</v>
      </c>
      <c r="D5341" t="s">
        <v>1628</v>
      </c>
      <c r="E5341" t="s">
        <v>7934</v>
      </c>
      <c r="F5341" t="s">
        <v>6342</v>
      </c>
      <c r="G5341" t="s">
        <v>13630</v>
      </c>
      <c r="H5341">
        <v>5208963074</v>
      </c>
      <c r="K5341" t="s">
        <v>13631</v>
      </c>
      <c r="L5341" t="s">
        <v>1668</v>
      </c>
      <c r="M5341" t="s">
        <v>1634</v>
      </c>
    </row>
    <row r="5342" spans="1:13" x14ac:dyDescent="0.25">
      <c r="A5342">
        <v>4444</v>
      </c>
      <c r="B5342" t="s">
        <v>352</v>
      </c>
      <c r="C5342" t="s">
        <v>13629</v>
      </c>
      <c r="D5342" t="s">
        <v>1628</v>
      </c>
      <c r="E5342" t="s">
        <v>7934</v>
      </c>
      <c r="F5342" t="s">
        <v>13632</v>
      </c>
      <c r="G5342" t="s">
        <v>9301</v>
      </c>
      <c r="H5342">
        <v>5208963003</v>
      </c>
      <c r="K5342" t="s">
        <v>13633</v>
      </c>
      <c r="L5342" t="s">
        <v>1738</v>
      </c>
      <c r="M5342" t="s">
        <v>1634</v>
      </c>
    </row>
    <row r="5343" spans="1:13" x14ac:dyDescent="0.25">
      <c r="A5343">
        <v>4444</v>
      </c>
      <c r="B5343" t="s">
        <v>352</v>
      </c>
      <c r="C5343" t="s">
        <v>13629</v>
      </c>
      <c r="D5343" t="s">
        <v>1628</v>
      </c>
      <c r="E5343" t="s">
        <v>7934</v>
      </c>
      <c r="F5343" t="s">
        <v>5693</v>
      </c>
      <c r="G5343" t="s">
        <v>10508</v>
      </c>
      <c r="H5343">
        <v>5208963003</v>
      </c>
      <c r="K5343" t="s">
        <v>13634</v>
      </c>
      <c r="L5343" t="s">
        <v>13635</v>
      </c>
      <c r="M5343" t="s">
        <v>1634</v>
      </c>
    </row>
    <row r="5344" spans="1:13" x14ac:dyDescent="0.25">
      <c r="A5344">
        <v>4444</v>
      </c>
      <c r="B5344" t="s">
        <v>352</v>
      </c>
      <c r="C5344" t="s">
        <v>13629</v>
      </c>
      <c r="D5344" t="s">
        <v>1628</v>
      </c>
      <c r="E5344" t="s">
        <v>7934</v>
      </c>
      <c r="F5344" t="s">
        <v>2704</v>
      </c>
      <c r="G5344" t="s">
        <v>3299</v>
      </c>
      <c r="H5344">
        <v>5208963075</v>
      </c>
      <c r="J5344">
        <v>5208962552</v>
      </c>
      <c r="K5344" t="s">
        <v>13636</v>
      </c>
      <c r="L5344" t="s">
        <v>1640</v>
      </c>
      <c r="M5344" t="s">
        <v>1640</v>
      </c>
    </row>
    <row r="5345" spans="1:13" x14ac:dyDescent="0.25">
      <c r="A5345">
        <v>5927</v>
      </c>
      <c r="B5345" t="s">
        <v>13637</v>
      </c>
      <c r="C5345" t="s">
        <v>13638</v>
      </c>
      <c r="D5345" t="s">
        <v>1643</v>
      </c>
      <c r="E5345" t="s">
        <v>7934</v>
      </c>
      <c r="F5345" t="s">
        <v>6342</v>
      </c>
      <c r="G5345" t="s">
        <v>13630</v>
      </c>
      <c r="H5345">
        <v>8772290023</v>
      </c>
      <c r="J5345">
        <v>5208963062</v>
      </c>
      <c r="K5345" t="s">
        <v>13639</v>
      </c>
      <c r="M5345" t="s">
        <v>1634</v>
      </c>
    </row>
    <row r="5346" spans="1:13" x14ac:dyDescent="0.25">
      <c r="A5346">
        <v>4446</v>
      </c>
      <c r="B5346" t="s">
        <v>321</v>
      </c>
      <c r="C5346" t="s">
        <v>13640</v>
      </c>
      <c r="D5346" t="s">
        <v>1628</v>
      </c>
      <c r="E5346" t="s">
        <v>7934</v>
      </c>
      <c r="F5346" t="s">
        <v>13641</v>
      </c>
      <c r="G5346" t="s">
        <v>7125</v>
      </c>
      <c r="H5346">
        <v>5208362111</v>
      </c>
      <c r="K5346" t="s">
        <v>13642</v>
      </c>
      <c r="L5346" t="s">
        <v>1633</v>
      </c>
      <c r="M5346" t="s">
        <v>1634</v>
      </c>
    </row>
    <row r="5347" spans="1:13" x14ac:dyDescent="0.25">
      <c r="A5347">
        <v>4446</v>
      </c>
      <c r="B5347" t="s">
        <v>321</v>
      </c>
      <c r="C5347" t="s">
        <v>13640</v>
      </c>
      <c r="D5347" t="s">
        <v>1628</v>
      </c>
      <c r="E5347" t="s">
        <v>7934</v>
      </c>
      <c r="F5347" t="s">
        <v>2587</v>
      </c>
      <c r="G5347" t="s">
        <v>9858</v>
      </c>
      <c r="H5347">
        <v>5208362111</v>
      </c>
      <c r="K5347" t="s">
        <v>13643</v>
      </c>
      <c r="M5347" t="s">
        <v>1634</v>
      </c>
    </row>
    <row r="5348" spans="1:13" x14ac:dyDescent="0.25">
      <c r="A5348">
        <v>4446</v>
      </c>
      <c r="B5348" t="s">
        <v>321</v>
      </c>
      <c r="C5348" t="s">
        <v>13640</v>
      </c>
      <c r="D5348" t="s">
        <v>1628</v>
      </c>
      <c r="E5348" t="s">
        <v>7934</v>
      </c>
      <c r="F5348" t="s">
        <v>2142</v>
      </c>
      <c r="G5348" t="s">
        <v>13644</v>
      </c>
      <c r="H5348">
        <v>5208362111</v>
      </c>
      <c r="K5348" t="s">
        <v>13645</v>
      </c>
      <c r="L5348" t="s">
        <v>2368</v>
      </c>
      <c r="M5348" t="s">
        <v>1640</v>
      </c>
    </row>
    <row r="5349" spans="1:13" x14ac:dyDescent="0.25">
      <c r="A5349">
        <v>4446</v>
      </c>
      <c r="B5349" t="s">
        <v>321</v>
      </c>
      <c r="C5349" t="s">
        <v>13640</v>
      </c>
      <c r="D5349" t="s">
        <v>1628</v>
      </c>
      <c r="E5349" t="s">
        <v>7934</v>
      </c>
      <c r="F5349" t="s">
        <v>2587</v>
      </c>
      <c r="G5349" t="s">
        <v>9858</v>
      </c>
      <c r="H5349">
        <v>5208362111</v>
      </c>
      <c r="K5349" t="s">
        <v>13643</v>
      </c>
      <c r="M5349" t="s">
        <v>1640</v>
      </c>
    </row>
    <row r="5350" spans="1:13" x14ac:dyDescent="0.25">
      <c r="A5350">
        <v>4446</v>
      </c>
      <c r="B5350" t="s">
        <v>321</v>
      </c>
      <c r="C5350" t="s">
        <v>13640</v>
      </c>
      <c r="D5350" t="s">
        <v>1628</v>
      </c>
      <c r="E5350" t="s">
        <v>7934</v>
      </c>
      <c r="F5350" t="s">
        <v>2745</v>
      </c>
      <c r="G5350" t="s">
        <v>1665</v>
      </c>
      <c r="H5350">
        <v>5208362111</v>
      </c>
      <c r="K5350" t="s">
        <v>13646</v>
      </c>
      <c r="L5350" t="s">
        <v>2358</v>
      </c>
      <c r="M5350" t="s">
        <v>1640</v>
      </c>
    </row>
    <row r="5351" spans="1:13" x14ac:dyDescent="0.25">
      <c r="A5351">
        <v>5929</v>
      </c>
      <c r="B5351" t="s">
        <v>1453</v>
      </c>
      <c r="C5351" t="s">
        <v>13647</v>
      </c>
      <c r="D5351" t="s">
        <v>1643</v>
      </c>
      <c r="E5351" t="s">
        <v>7934</v>
      </c>
      <c r="F5351" t="s">
        <v>1812</v>
      </c>
      <c r="G5351" t="s">
        <v>2846</v>
      </c>
      <c r="L5351" t="s">
        <v>1647</v>
      </c>
      <c r="M5351" t="s">
        <v>1634</v>
      </c>
    </row>
    <row r="5352" spans="1:13" x14ac:dyDescent="0.25">
      <c r="A5352">
        <v>5930</v>
      </c>
      <c r="B5352" t="s">
        <v>13648</v>
      </c>
      <c r="C5352" t="s">
        <v>13649</v>
      </c>
      <c r="D5352" t="s">
        <v>1643</v>
      </c>
      <c r="E5352" t="s">
        <v>7934</v>
      </c>
      <c r="F5352" t="s">
        <v>1690</v>
      </c>
      <c r="G5352" t="s">
        <v>7023</v>
      </c>
      <c r="H5352">
        <v>5208366694</v>
      </c>
      <c r="K5352" t="s">
        <v>13650</v>
      </c>
      <c r="L5352" t="s">
        <v>1647</v>
      </c>
      <c r="M5352" t="s">
        <v>1634</v>
      </c>
    </row>
    <row r="5353" spans="1:13" x14ac:dyDescent="0.25">
      <c r="A5353">
        <v>5932</v>
      </c>
      <c r="B5353" t="s">
        <v>1389</v>
      </c>
      <c r="C5353" t="s">
        <v>13651</v>
      </c>
      <c r="D5353" t="s">
        <v>1643</v>
      </c>
      <c r="E5353" t="s">
        <v>7934</v>
      </c>
      <c r="F5353" t="s">
        <v>7357</v>
      </c>
      <c r="G5353" t="s">
        <v>13652</v>
      </c>
      <c r="H5353">
        <v>5204211650</v>
      </c>
      <c r="K5353" t="s">
        <v>13653</v>
      </c>
      <c r="L5353" t="s">
        <v>1647</v>
      </c>
      <c r="M5353" t="s">
        <v>1634</v>
      </c>
    </row>
    <row r="5354" spans="1:13" x14ac:dyDescent="0.25">
      <c r="A5354">
        <v>5933</v>
      </c>
      <c r="B5354" t="s">
        <v>13654</v>
      </c>
      <c r="C5354" t="s">
        <v>13655</v>
      </c>
      <c r="D5354" t="s">
        <v>1643</v>
      </c>
      <c r="E5354" t="s">
        <v>7934</v>
      </c>
      <c r="F5354" t="s">
        <v>13656</v>
      </c>
      <c r="G5354" t="s">
        <v>13657</v>
      </c>
      <c r="H5354">
        <v>5208367661</v>
      </c>
      <c r="J5354">
        <v>5208361581</v>
      </c>
      <c r="K5354" t="s">
        <v>13658</v>
      </c>
      <c r="L5354" t="s">
        <v>1647</v>
      </c>
      <c r="M5354" t="s">
        <v>1634</v>
      </c>
    </row>
    <row r="5355" spans="1:13" x14ac:dyDescent="0.25">
      <c r="A5355">
        <v>5934</v>
      </c>
      <c r="B5355" t="s">
        <v>13659</v>
      </c>
      <c r="C5355" t="s">
        <v>13660</v>
      </c>
      <c r="D5355" t="s">
        <v>1643</v>
      </c>
      <c r="E5355" t="s">
        <v>7934</v>
      </c>
    </row>
    <row r="5356" spans="1:13" x14ac:dyDescent="0.25">
      <c r="A5356">
        <v>5935</v>
      </c>
      <c r="B5356" t="s">
        <v>13661</v>
      </c>
      <c r="C5356" t="s">
        <v>13662</v>
      </c>
      <c r="D5356" t="s">
        <v>1643</v>
      </c>
      <c r="E5356" t="s">
        <v>7934</v>
      </c>
      <c r="F5356" t="s">
        <v>13663</v>
      </c>
      <c r="G5356" t="s">
        <v>8709</v>
      </c>
      <c r="L5356" t="s">
        <v>1647</v>
      </c>
      <c r="M5356" t="s">
        <v>1634</v>
      </c>
    </row>
    <row r="5357" spans="1:13" x14ac:dyDescent="0.25">
      <c r="A5357">
        <v>5936</v>
      </c>
      <c r="B5357" t="s">
        <v>13664</v>
      </c>
      <c r="C5357" t="s">
        <v>13665</v>
      </c>
      <c r="D5357" t="s">
        <v>1643</v>
      </c>
      <c r="E5357" t="s">
        <v>7934</v>
      </c>
      <c r="F5357" t="s">
        <v>2663</v>
      </c>
      <c r="G5357" t="s">
        <v>13666</v>
      </c>
      <c r="H5357">
        <v>5208365086</v>
      </c>
      <c r="K5357" t="s">
        <v>13667</v>
      </c>
      <c r="L5357" t="s">
        <v>1647</v>
      </c>
      <c r="M5357" t="s">
        <v>1634</v>
      </c>
    </row>
    <row r="5358" spans="1:13" x14ac:dyDescent="0.25">
      <c r="A5358">
        <v>5937</v>
      </c>
      <c r="B5358" t="s">
        <v>1436</v>
      </c>
      <c r="C5358" t="s">
        <v>13668</v>
      </c>
      <c r="D5358" t="s">
        <v>1643</v>
      </c>
      <c r="E5358" t="s">
        <v>7934</v>
      </c>
      <c r="F5358" t="s">
        <v>2401</v>
      </c>
      <c r="G5358" t="s">
        <v>13669</v>
      </c>
      <c r="H5358">
        <v>5208367787</v>
      </c>
      <c r="J5358">
        <v>5208363289</v>
      </c>
      <c r="K5358" t="s">
        <v>13670</v>
      </c>
      <c r="L5358" t="s">
        <v>1647</v>
      </c>
      <c r="M5358" t="s">
        <v>1634</v>
      </c>
    </row>
    <row r="5359" spans="1:13" x14ac:dyDescent="0.25">
      <c r="A5359">
        <v>79692</v>
      </c>
      <c r="B5359" t="s">
        <v>13671</v>
      </c>
      <c r="C5359" t="s">
        <v>13672</v>
      </c>
      <c r="D5359" t="s">
        <v>1643</v>
      </c>
      <c r="E5359" t="s">
        <v>7934</v>
      </c>
      <c r="F5359" t="s">
        <v>1820</v>
      </c>
      <c r="G5359" t="s">
        <v>13673</v>
      </c>
      <c r="L5359" t="s">
        <v>1647</v>
      </c>
      <c r="M5359" t="s">
        <v>1634</v>
      </c>
    </row>
    <row r="5360" spans="1:13" x14ac:dyDescent="0.25">
      <c r="A5360">
        <v>87948</v>
      </c>
      <c r="B5360" t="s">
        <v>5308</v>
      </c>
      <c r="C5360" t="s">
        <v>13674</v>
      </c>
      <c r="D5360" t="s">
        <v>1643</v>
      </c>
      <c r="E5360" t="s">
        <v>7934</v>
      </c>
      <c r="F5360" t="s">
        <v>2307</v>
      </c>
      <c r="G5360" t="s">
        <v>13675</v>
      </c>
      <c r="H5360">
        <v>5208765397</v>
      </c>
      <c r="K5360" t="s">
        <v>13676</v>
      </c>
      <c r="L5360" t="s">
        <v>1721</v>
      </c>
      <c r="M5360" t="s">
        <v>1634</v>
      </c>
    </row>
    <row r="5361" spans="1:13" x14ac:dyDescent="0.25">
      <c r="A5361">
        <v>89579</v>
      </c>
      <c r="B5361" t="s">
        <v>13677</v>
      </c>
      <c r="C5361" t="s">
        <v>13678</v>
      </c>
      <c r="D5361" t="s">
        <v>1643</v>
      </c>
      <c r="E5361" t="s">
        <v>7934</v>
      </c>
      <c r="F5361" t="s">
        <v>3013</v>
      </c>
      <c r="G5361" t="s">
        <v>13679</v>
      </c>
      <c r="K5361" t="s">
        <v>13680</v>
      </c>
      <c r="L5361" t="s">
        <v>1647</v>
      </c>
      <c r="M5361" t="s">
        <v>1634</v>
      </c>
    </row>
    <row r="5362" spans="1:13" x14ac:dyDescent="0.25">
      <c r="A5362">
        <v>89578</v>
      </c>
      <c r="B5362" t="s">
        <v>13681</v>
      </c>
      <c r="C5362" t="s">
        <v>13682</v>
      </c>
      <c r="D5362" t="s">
        <v>1643</v>
      </c>
      <c r="E5362" t="s">
        <v>7934</v>
      </c>
      <c r="F5362" t="s">
        <v>2361</v>
      </c>
      <c r="G5362" t="s">
        <v>13673</v>
      </c>
      <c r="L5362" t="s">
        <v>1647</v>
      </c>
      <c r="M5362" t="s">
        <v>1634</v>
      </c>
    </row>
    <row r="5363" spans="1:13" x14ac:dyDescent="0.25">
      <c r="A5363">
        <v>90899</v>
      </c>
      <c r="B5363" t="s">
        <v>13683</v>
      </c>
      <c r="C5363" t="s">
        <v>13684</v>
      </c>
      <c r="D5363" t="s">
        <v>1643</v>
      </c>
      <c r="E5363" t="s">
        <v>7934</v>
      </c>
      <c r="F5363" t="s">
        <v>2142</v>
      </c>
      <c r="G5363" t="s">
        <v>13644</v>
      </c>
      <c r="H5363">
        <v>5208362111</v>
      </c>
      <c r="K5363" t="s">
        <v>13685</v>
      </c>
      <c r="M5363" t="s">
        <v>1640</v>
      </c>
    </row>
    <row r="5364" spans="1:13" x14ac:dyDescent="0.25">
      <c r="A5364">
        <v>4447</v>
      </c>
      <c r="B5364" t="s">
        <v>13686</v>
      </c>
      <c r="C5364" t="s">
        <v>13687</v>
      </c>
      <c r="D5364" t="s">
        <v>1628</v>
      </c>
      <c r="E5364" t="s">
        <v>7934</v>
      </c>
      <c r="F5364" t="s">
        <v>6036</v>
      </c>
      <c r="G5364" t="s">
        <v>2491</v>
      </c>
      <c r="H5364">
        <v>5206823331</v>
      </c>
      <c r="K5364" t="s">
        <v>13688</v>
      </c>
      <c r="L5364" t="s">
        <v>1640</v>
      </c>
      <c r="M5364" t="s">
        <v>1634</v>
      </c>
    </row>
    <row r="5365" spans="1:13" x14ac:dyDescent="0.25">
      <c r="A5365">
        <v>5938</v>
      </c>
      <c r="B5365" t="s">
        <v>13689</v>
      </c>
      <c r="C5365" t="s">
        <v>13690</v>
      </c>
      <c r="D5365" t="s">
        <v>1643</v>
      </c>
      <c r="E5365" t="s">
        <v>7934</v>
      </c>
    </row>
    <row r="5366" spans="1:13" x14ac:dyDescent="0.25">
      <c r="A5366">
        <v>4448</v>
      </c>
      <c r="B5366" t="s">
        <v>329</v>
      </c>
      <c r="C5366" t="s">
        <v>13691</v>
      </c>
      <c r="D5366" t="s">
        <v>1628</v>
      </c>
      <c r="E5366" t="s">
        <v>7934</v>
      </c>
      <c r="F5366" t="s">
        <v>13692</v>
      </c>
      <c r="G5366" t="s">
        <v>1723</v>
      </c>
      <c r="H5366">
        <v>5204662130</v>
      </c>
      <c r="K5366" t="s">
        <v>13693</v>
      </c>
      <c r="L5366" t="s">
        <v>1668</v>
      </c>
      <c r="M5366" t="s">
        <v>1634</v>
      </c>
    </row>
    <row r="5367" spans="1:13" x14ac:dyDescent="0.25">
      <c r="A5367">
        <v>4448</v>
      </c>
      <c r="B5367" t="s">
        <v>329</v>
      </c>
      <c r="C5367" t="s">
        <v>13691</v>
      </c>
      <c r="D5367" t="s">
        <v>1628</v>
      </c>
      <c r="E5367" t="s">
        <v>7934</v>
      </c>
      <c r="F5367" t="s">
        <v>13694</v>
      </c>
      <c r="G5367" t="s">
        <v>13695</v>
      </c>
      <c r="H5367">
        <v>5204662120</v>
      </c>
      <c r="K5367" t="s">
        <v>13696</v>
      </c>
      <c r="L5367" t="s">
        <v>1647</v>
      </c>
      <c r="M5367" t="s">
        <v>1634</v>
      </c>
    </row>
    <row r="5368" spans="1:13" x14ac:dyDescent="0.25">
      <c r="A5368">
        <v>4448</v>
      </c>
      <c r="B5368" t="s">
        <v>329</v>
      </c>
      <c r="C5368" t="s">
        <v>13691</v>
      </c>
      <c r="D5368" t="s">
        <v>1628</v>
      </c>
      <c r="E5368" t="s">
        <v>7934</v>
      </c>
      <c r="F5368" t="s">
        <v>7516</v>
      </c>
      <c r="G5368" t="s">
        <v>13697</v>
      </c>
      <c r="H5368">
        <v>5204662100</v>
      </c>
      <c r="K5368" t="s">
        <v>13698</v>
      </c>
      <c r="M5368" t="s">
        <v>1640</v>
      </c>
    </row>
    <row r="5369" spans="1:13" x14ac:dyDescent="0.25">
      <c r="A5369">
        <v>4448</v>
      </c>
      <c r="B5369" t="s">
        <v>329</v>
      </c>
      <c r="C5369" t="s">
        <v>13691</v>
      </c>
      <c r="D5369" t="s">
        <v>1628</v>
      </c>
      <c r="E5369" t="s">
        <v>7934</v>
      </c>
      <c r="F5369" t="s">
        <v>11401</v>
      </c>
      <c r="G5369" t="s">
        <v>2178</v>
      </c>
      <c r="H5369">
        <v>5204662140</v>
      </c>
      <c r="K5369" t="s">
        <v>13699</v>
      </c>
      <c r="L5369" t="s">
        <v>1647</v>
      </c>
      <c r="M5369" t="s">
        <v>1640</v>
      </c>
    </row>
    <row r="5370" spans="1:13" x14ac:dyDescent="0.25">
      <c r="A5370">
        <v>4448</v>
      </c>
      <c r="B5370" t="s">
        <v>329</v>
      </c>
      <c r="C5370" t="s">
        <v>13691</v>
      </c>
      <c r="D5370" t="s">
        <v>1628</v>
      </c>
      <c r="E5370" t="s">
        <v>7934</v>
      </c>
      <c r="F5370" t="s">
        <v>1973</v>
      </c>
      <c r="G5370" t="s">
        <v>1788</v>
      </c>
      <c r="H5370">
        <v>5204662100</v>
      </c>
      <c r="K5370" t="s">
        <v>13700</v>
      </c>
      <c r="L5370" t="s">
        <v>3704</v>
      </c>
      <c r="M5370" t="s">
        <v>1765</v>
      </c>
    </row>
    <row r="5371" spans="1:13" x14ac:dyDescent="0.25">
      <c r="A5371">
        <v>5940</v>
      </c>
      <c r="B5371" t="s">
        <v>13701</v>
      </c>
      <c r="C5371" t="s">
        <v>13702</v>
      </c>
      <c r="D5371" t="s">
        <v>1643</v>
      </c>
      <c r="E5371" t="s">
        <v>7934</v>
      </c>
      <c r="F5371" t="s">
        <v>11401</v>
      </c>
      <c r="G5371" t="s">
        <v>2178</v>
      </c>
      <c r="H5371">
        <v>5204662120</v>
      </c>
      <c r="K5371" t="s">
        <v>13703</v>
      </c>
      <c r="L5371" t="s">
        <v>1647</v>
      </c>
      <c r="M5371" t="s">
        <v>1634</v>
      </c>
    </row>
    <row r="5372" spans="1:13" x14ac:dyDescent="0.25">
      <c r="A5372">
        <v>5941</v>
      </c>
      <c r="B5372" t="s">
        <v>844</v>
      </c>
      <c r="C5372" t="s">
        <v>13704</v>
      </c>
      <c r="D5372" t="s">
        <v>1643</v>
      </c>
      <c r="E5372" t="s">
        <v>7934</v>
      </c>
      <c r="F5372" t="s">
        <v>3708</v>
      </c>
      <c r="G5372" t="s">
        <v>10121</v>
      </c>
      <c r="H5372">
        <v>5204662130</v>
      </c>
      <c r="K5372" t="s">
        <v>13705</v>
      </c>
      <c r="L5372" t="s">
        <v>1647</v>
      </c>
      <c r="M5372" t="s">
        <v>1634</v>
      </c>
    </row>
    <row r="5373" spans="1:13" x14ac:dyDescent="0.25">
      <c r="A5373">
        <v>5941</v>
      </c>
      <c r="B5373" t="s">
        <v>844</v>
      </c>
      <c r="C5373" t="s">
        <v>13704</v>
      </c>
      <c r="D5373" t="s">
        <v>1643</v>
      </c>
      <c r="E5373" t="s">
        <v>7934</v>
      </c>
      <c r="F5373" t="s">
        <v>13692</v>
      </c>
      <c r="G5373" t="s">
        <v>1723</v>
      </c>
      <c r="H5373">
        <v>5204662130</v>
      </c>
      <c r="J5373">
        <v>5204662114</v>
      </c>
      <c r="K5373" t="s">
        <v>13693</v>
      </c>
      <c r="M5373" t="s">
        <v>1640</v>
      </c>
    </row>
    <row r="5374" spans="1:13" x14ac:dyDescent="0.25">
      <c r="A5374">
        <v>5942</v>
      </c>
      <c r="B5374" t="s">
        <v>13706</v>
      </c>
      <c r="C5374" t="s">
        <v>13707</v>
      </c>
      <c r="D5374" t="s">
        <v>1643</v>
      </c>
      <c r="E5374" t="s">
        <v>7934</v>
      </c>
      <c r="F5374" t="s">
        <v>1761</v>
      </c>
      <c r="G5374" t="s">
        <v>13708</v>
      </c>
      <c r="H5374">
        <v>5204662140</v>
      </c>
      <c r="K5374" t="s">
        <v>13709</v>
      </c>
      <c r="L5374" t="s">
        <v>1647</v>
      </c>
      <c r="M5374" t="s">
        <v>1634</v>
      </c>
    </row>
    <row r="5375" spans="1:13" x14ac:dyDescent="0.25">
      <c r="A5375">
        <v>4449</v>
      </c>
      <c r="B5375" t="s">
        <v>393</v>
      </c>
      <c r="C5375" t="s">
        <v>13710</v>
      </c>
      <c r="D5375" t="s">
        <v>1628</v>
      </c>
      <c r="E5375" t="s">
        <v>7934</v>
      </c>
      <c r="F5375" t="s">
        <v>13711</v>
      </c>
      <c r="G5375" t="s">
        <v>3303</v>
      </c>
      <c r="H5375">
        <v>5205626000</v>
      </c>
      <c r="K5375" t="s">
        <v>13712</v>
      </c>
      <c r="L5375" t="s">
        <v>1668</v>
      </c>
      <c r="M5375" t="s">
        <v>1634</v>
      </c>
    </row>
    <row r="5376" spans="1:13" x14ac:dyDescent="0.25">
      <c r="A5376">
        <v>4449</v>
      </c>
      <c r="B5376" t="s">
        <v>393</v>
      </c>
      <c r="C5376" t="s">
        <v>13710</v>
      </c>
      <c r="D5376" t="s">
        <v>1628</v>
      </c>
      <c r="E5376" t="s">
        <v>7934</v>
      </c>
      <c r="F5376" t="s">
        <v>13713</v>
      </c>
      <c r="G5376" t="s">
        <v>13714</v>
      </c>
      <c r="H5376">
        <v>5205628600</v>
      </c>
      <c r="I5376">
        <v>1008</v>
      </c>
      <c r="K5376" t="s">
        <v>13715</v>
      </c>
      <c r="L5376" t="s">
        <v>13716</v>
      </c>
      <c r="M5376" t="s">
        <v>1634</v>
      </c>
    </row>
    <row r="5377" spans="1:13" x14ac:dyDescent="0.25">
      <c r="A5377">
        <v>4449</v>
      </c>
      <c r="B5377" t="s">
        <v>393</v>
      </c>
      <c r="C5377" t="s">
        <v>13710</v>
      </c>
      <c r="D5377" t="s">
        <v>1628</v>
      </c>
      <c r="E5377" t="s">
        <v>7934</v>
      </c>
      <c r="F5377" t="s">
        <v>13717</v>
      </c>
      <c r="G5377" t="s">
        <v>8578</v>
      </c>
      <c r="H5377">
        <v>5206103114</v>
      </c>
      <c r="I5377">
        <v>1006</v>
      </c>
      <c r="K5377" t="s">
        <v>13718</v>
      </c>
      <c r="M5377" t="s">
        <v>1634</v>
      </c>
    </row>
    <row r="5378" spans="1:13" x14ac:dyDescent="0.25">
      <c r="A5378">
        <v>5943</v>
      </c>
      <c r="B5378" t="s">
        <v>394</v>
      </c>
      <c r="C5378" t="s">
        <v>13719</v>
      </c>
      <c r="D5378" t="s">
        <v>1643</v>
      </c>
      <c r="E5378" t="s">
        <v>7934</v>
      </c>
      <c r="F5378" t="s">
        <v>2451</v>
      </c>
      <c r="G5378" t="s">
        <v>10827</v>
      </c>
      <c r="H5378">
        <v>5205628600</v>
      </c>
      <c r="I5378">
        <v>3001</v>
      </c>
      <c r="K5378" t="s">
        <v>13720</v>
      </c>
      <c r="M5378" t="s">
        <v>1634</v>
      </c>
    </row>
    <row r="5379" spans="1:13" x14ac:dyDescent="0.25">
      <c r="A5379">
        <v>5944</v>
      </c>
      <c r="B5379" t="s">
        <v>398</v>
      </c>
      <c r="C5379" t="s">
        <v>13721</v>
      </c>
      <c r="D5379" t="s">
        <v>1643</v>
      </c>
      <c r="E5379" t="s">
        <v>7934</v>
      </c>
      <c r="F5379" t="s">
        <v>1991</v>
      </c>
      <c r="G5379" t="s">
        <v>13722</v>
      </c>
      <c r="H5379">
        <v>5205628600</v>
      </c>
      <c r="K5379" t="s">
        <v>13723</v>
      </c>
      <c r="M5379" t="s">
        <v>1634</v>
      </c>
    </row>
    <row r="5380" spans="1:13" x14ac:dyDescent="0.25">
      <c r="A5380">
        <v>4450</v>
      </c>
      <c r="B5380" t="s">
        <v>1541</v>
      </c>
      <c r="C5380" t="s">
        <v>13724</v>
      </c>
      <c r="D5380" t="s">
        <v>1628</v>
      </c>
      <c r="E5380" t="s">
        <v>7934</v>
      </c>
      <c r="F5380" t="s">
        <v>13725</v>
      </c>
      <c r="G5380" t="s">
        <v>9893</v>
      </c>
      <c r="H5380">
        <v>5204662352</v>
      </c>
      <c r="K5380" t="s">
        <v>13726</v>
      </c>
      <c r="L5380" t="s">
        <v>13727</v>
      </c>
      <c r="M5380" t="s">
        <v>1634</v>
      </c>
    </row>
    <row r="5381" spans="1:13" x14ac:dyDescent="0.25">
      <c r="A5381">
        <v>4450</v>
      </c>
      <c r="B5381" t="s">
        <v>1541</v>
      </c>
      <c r="C5381" t="s">
        <v>13724</v>
      </c>
      <c r="D5381" t="s">
        <v>1628</v>
      </c>
      <c r="E5381" t="s">
        <v>7934</v>
      </c>
      <c r="F5381" t="s">
        <v>2269</v>
      </c>
      <c r="G5381" t="s">
        <v>2178</v>
      </c>
      <c r="H5381">
        <v>5204662363</v>
      </c>
      <c r="K5381" t="s">
        <v>13728</v>
      </c>
      <c r="L5381" t="s">
        <v>1668</v>
      </c>
      <c r="M5381" t="s">
        <v>1634</v>
      </c>
    </row>
    <row r="5382" spans="1:13" x14ac:dyDescent="0.25">
      <c r="A5382">
        <v>4450</v>
      </c>
      <c r="B5382" t="s">
        <v>1541</v>
      </c>
      <c r="C5382" t="s">
        <v>13724</v>
      </c>
      <c r="D5382" t="s">
        <v>1628</v>
      </c>
      <c r="E5382" t="s">
        <v>7934</v>
      </c>
      <c r="F5382" t="s">
        <v>10221</v>
      </c>
      <c r="G5382" t="s">
        <v>13729</v>
      </c>
      <c r="K5382" t="s">
        <v>13730</v>
      </c>
      <c r="L5382" t="s">
        <v>9782</v>
      </c>
      <c r="M5382" t="s">
        <v>1640</v>
      </c>
    </row>
    <row r="5383" spans="1:13" x14ac:dyDescent="0.25">
      <c r="A5383">
        <v>4450</v>
      </c>
      <c r="B5383" t="s">
        <v>1541</v>
      </c>
      <c r="C5383" t="s">
        <v>13724</v>
      </c>
      <c r="D5383" t="s">
        <v>1628</v>
      </c>
      <c r="E5383" t="s">
        <v>7934</v>
      </c>
      <c r="F5383" t="s">
        <v>4443</v>
      </c>
      <c r="G5383" t="s">
        <v>2571</v>
      </c>
      <c r="J5383">
        <v>5204662398</v>
      </c>
      <c r="K5383" t="s">
        <v>13731</v>
      </c>
      <c r="L5383" t="s">
        <v>13732</v>
      </c>
      <c r="M5383" t="s">
        <v>1765</v>
      </c>
    </row>
    <row r="5384" spans="1:13" x14ac:dyDescent="0.25">
      <c r="A5384">
        <v>5945</v>
      </c>
      <c r="B5384" t="s">
        <v>13733</v>
      </c>
      <c r="C5384" t="s">
        <v>13734</v>
      </c>
      <c r="D5384" t="s">
        <v>1643</v>
      </c>
      <c r="E5384" t="s">
        <v>7934</v>
      </c>
      <c r="F5384" t="s">
        <v>13725</v>
      </c>
      <c r="G5384" t="s">
        <v>9893</v>
      </c>
      <c r="H5384">
        <v>5204662350</v>
      </c>
      <c r="J5384">
        <v>5204662399</v>
      </c>
      <c r="K5384" t="s">
        <v>13726</v>
      </c>
      <c r="L5384" t="s">
        <v>1647</v>
      </c>
      <c r="M5384" t="s">
        <v>1634</v>
      </c>
    </row>
    <row r="5385" spans="1:13" x14ac:dyDescent="0.25">
      <c r="A5385">
        <v>5945</v>
      </c>
      <c r="B5385" t="s">
        <v>13733</v>
      </c>
      <c r="C5385" t="s">
        <v>13734</v>
      </c>
      <c r="D5385" t="s">
        <v>1643</v>
      </c>
      <c r="E5385" t="s">
        <v>7934</v>
      </c>
      <c r="F5385" t="s">
        <v>2046</v>
      </c>
      <c r="G5385" t="s">
        <v>13735</v>
      </c>
      <c r="I5385">
        <v>520</v>
      </c>
      <c r="J5385">
        <v>5204662398</v>
      </c>
      <c r="K5385" t="s">
        <v>13736</v>
      </c>
      <c r="L5385" t="s">
        <v>1668</v>
      </c>
      <c r="M5385" t="s">
        <v>1634</v>
      </c>
    </row>
    <row r="5386" spans="1:13" x14ac:dyDescent="0.25">
      <c r="A5386">
        <v>5945</v>
      </c>
      <c r="B5386" t="s">
        <v>13733</v>
      </c>
      <c r="C5386" t="s">
        <v>13734</v>
      </c>
      <c r="D5386" t="s">
        <v>1643</v>
      </c>
      <c r="E5386" t="s">
        <v>7934</v>
      </c>
      <c r="F5386" t="s">
        <v>3013</v>
      </c>
      <c r="G5386" t="s">
        <v>13729</v>
      </c>
      <c r="K5386" t="s">
        <v>13737</v>
      </c>
      <c r="L5386" t="s">
        <v>1796</v>
      </c>
      <c r="M5386" t="s">
        <v>1634</v>
      </c>
    </row>
    <row r="5387" spans="1:13" x14ac:dyDescent="0.25">
      <c r="A5387">
        <v>5945</v>
      </c>
      <c r="B5387" t="s">
        <v>13733</v>
      </c>
      <c r="C5387" t="s">
        <v>13734</v>
      </c>
      <c r="D5387" t="s">
        <v>1643</v>
      </c>
      <c r="E5387" t="s">
        <v>7934</v>
      </c>
      <c r="F5387" t="s">
        <v>5365</v>
      </c>
      <c r="G5387" t="s">
        <v>13738</v>
      </c>
      <c r="H5387">
        <v>5204662359</v>
      </c>
      <c r="J5387">
        <v>5204662398</v>
      </c>
      <c r="K5387" t="s">
        <v>13739</v>
      </c>
      <c r="L5387" t="s">
        <v>1640</v>
      </c>
      <c r="M5387" t="s">
        <v>1640</v>
      </c>
    </row>
    <row r="5388" spans="1:13" x14ac:dyDescent="0.25">
      <c r="A5388">
        <v>92524</v>
      </c>
      <c r="B5388" t="s">
        <v>13740</v>
      </c>
      <c r="C5388" t="s">
        <v>13741</v>
      </c>
      <c r="D5388" t="s">
        <v>1643</v>
      </c>
      <c r="E5388" t="s">
        <v>7934</v>
      </c>
    </row>
    <row r="5389" spans="1:13" x14ac:dyDescent="0.25">
      <c r="A5389">
        <v>92244</v>
      </c>
      <c r="B5389" t="s">
        <v>1542</v>
      </c>
      <c r="C5389" t="s">
        <v>13742</v>
      </c>
      <c r="D5389" t="s">
        <v>1643</v>
      </c>
      <c r="E5389" t="s">
        <v>7934</v>
      </c>
      <c r="F5389" t="s">
        <v>2803</v>
      </c>
      <c r="G5389" t="s">
        <v>13743</v>
      </c>
      <c r="H5389">
        <v>5204662361</v>
      </c>
      <c r="J5389">
        <v>5204662398</v>
      </c>
      <c r="K5389" t="s">
        <v>13744</v>
      </c>
      <c r="M5389" t="s">
        <v>1634</v>
      </c>
    </row>
    <row r="5390" spans="1:13" x14ac:dyDescent="0.25">
      <c r="A5390">
        <v>92244</v>
      </c>
      <c r="B5390" t="s">
        <v>1542</v>
      </c>
      <c r="C5390" t="s">
        <v>13742</v>
      </c>
      <c r="D5390" t="s">
        <v>1643</v>
      </c>
      <c r="E5390" t="s">
        <v>7934</v>
      </c>
      <c r="F5390" t="s">
        <v>2269</v>
      </c>
      <c r="G5390" t="s">
        <v>2178</v>
      </c>
      <c r="H5390" t="s">
        <v>13745</v>
      </c>
      <c r="J5390">
        <v>5204662499</v>
      </c>
      <c r="K5390" t="s">
        <v>13728</v>
      </c>
      <c r="L5390" t="s">
        <v>1647</v>
      </c>
      <c r="M5390" t="s">
        <v>1634</v>
      </c>
    </row>
    <row r="5391" spans="1:13" x14ac:dyDescent="0.25">
      <c r="A5391">
        <v>92244</v>
      </c>
      <c r="B5391" t="s">
        <v>1542</v>
      </c>
      <c r="C5391" t="s">
        <v>13742</v>
      </c>
      <c r="D5391" t="s">
        <v>1643</v>
      </c>
      <c r="E5391" t="s">
        <v>7934</v>
      </c>
      <c r="F5391" t="s">
        <v>5365</v>
      </c>
      <c r="G5391" t="s">
        <v>13738</v>
      </c>
      <c r="H5391">
        <v>5204662359</v>
      </c>
      <c r="J5391">
        <v>5204662398</v>
      </c>
      <c r="K5391" t="s">
        <v>13739</v>
      </c>
      <c r="L5391" t="s">
        <v>1640</v>
      </c>
      <c r="M5391" t="s">
        <v>1640</v>
      </c>
    </row>
    <row r="5392" spans="1:13" x14ac:dyDescent="0.25">
      <c r="A5392">
        <v>92244</v>
      </c>
      <c r="B5392" t="s">
        <v>1542</v>
      </c>
      <c r="C5392" t="s">
        <v>13742</v>
      </c>
      <c r="D5392" t="s">
        <v>1643</v>
      </c>
      <c r="E5392" t="s">
        <v>7934</v>
      </c>
      <c r="F5392" t="s">
        <v>4443</v>
      </c>
      <c r="G5392" t="s">
        <v>2571</v>
      </c>
      <c r="J5392">
        <v>5204662398</v>
      </c>
      <c r="K5392" t="s">
        <v>13731</v>
      </c>
      <c r="L5392" t="s">
        <v>13746</v>
      </c>
      <c r="M5392" t="s">
        <v>1765</v>
      </c>
    </row>
    <row r="5393" spans="1:13" x14ac:dyDescent="0.25">
      <c r="A5393">
        <v>4451</v>
      </c>
      <c r="B5393" t="s">
        <v>317</v>
      </c>
      <c r="C5393" t="s">
        <v>13747</v>
      </c>
      <c r="D5393" t="s">
        <v>1628</v>
      </c>
      <c r="E5393" t="s">
        <v>7934</v>
      </c>
      <c r="F5393" t="s">
        <v>2307</v>
      </c>
      <c r="G5393" t="s">
        <v>13748</v>
      </c>
      <c r="H5393">
        <v>5204240221</v>
      </c>
      <c r="J5393">
        <v>5204243798</v>
      </c>
      <c r="K5393" t="s">
        <v>13749</v>
      </c>
      <c r="L5393" t="s">
        <v>1668</v>
      </c>
      <c r="M5393" t="s">
        <v>1634</v>
      </c>
    </row>
    <row r="5394" spans="1:13" x14ac:dyDescent="0.25">
      <c r="A5394">
        <v>4451</v>
      </c>
      <c r="B5394" t="s">
        <v>317</v>
      </c>
      <c r="C5394" t="s">
        <v>13747</v>
      </c>
      <c r="D5394" t="s">
        <v>1628</v>
      </c>
      <c r="E5394" t="s">
        <v>7934</v>
      </c>
      <c r="F5394" t="s">
        <v>13750</v>
      </c>
      <c r="G5394" t="s">
        <v>13751</v>
      </c>
      <c r="H5394" t="s">
        <v>13752</v>
      </c>
      <c r="K5394" t="s">
        <v>13753</v>
      </c>
      <c r="L5394" t="s">
        <v>3396</v>
      </c>
      <c r="M5394" t="s">
        <v>1634</v>
      </c>
    </row>
    <row r="5395" spans="1:13" x14ac:dyDescent="0.25">
      <c r="A5395">
        <v>4451</v>
      </c>
      <c r="B5395" t="s">
        <v>317</v>
      </c>
      <c r="C5395" t="s">
        <v>13747</v>
      </c>
      <c r="D5395" t="s">
        <v>1628</v>
      </c>
      <c r="E5395" t="s">
        <v>7934</v>
      </c>
      <c r="F5395" t="s">
        <v>2307</v>
      </c>
      <c r="G5395" t="s">
        <v>13748</v>
      </c>
      <c r="H5395">
        <v>5204240221</v>
      </c>
      <c r="J5395">
        <v>5204243798</v>
      </c>
      <c r="K5395" t="s">
        <v>13749</v>
      </c>
      <c r="L5395" t="s">
        <v>1668</v>
      </c>
      <c r="M5395" t="s">
        <v>1640</v>
      </c>
    </row>
    <row r="5396" spans="1:13" x14ac:dyDescent="0.25">
      <c r="A5396">
        <v>4451</v>
      </c>
      <c r="B5396" t="s">
        <v>317</v>
      </c>
      <c r="C5396" t="s">
        <v>13747</v>
      </c>
      <c r="D5396" t="s">
        <v>1628</v>
      </c>
      <c r="E5396" t="s">
        <v>7934</v>
      </c>
      <c r="F5396" t="s">
        <v>6036</v>
      </c>
      <c r="G5396" t="s">
        <v>9586</v>
      </c>
      <c r="H5396">
        <v>6028262351</v>
      </c>
      <c r="K5396" t="s">
        <v>13754</v>
      </c>
      <c r="L5396" t="s">
        <v>13755</v>
      </c>
      <c r="M5396" t="s">
        <v>1640</v>
      </c>
    </row>
    <row r="5397" spans="1:13" x14ac:dyDescent="0.25">
      <c r="A5397">
        <v>5946</v>
      </c>
      <c r="B5397" t="s">
        <v>697</v>
      </c>
      <c r="C5397" t="s">
        <v>13756</v>
      </c>
      <c r="D5397" t="s">
        <v>1643</v>
      </c>
      <c r="E5397" t="s">
        <v>7934</v>
      </c>
      <c r="F5397" t="s">
        <v>4352</v>
      </c>
      <c r="G5397" t="s">
        <v>1853</v>
      </c>
      <c r="H5397">
        <v>5204240222</v>
      </c>
      <c r="J5397">
        <v>5204240300</v>
      </c>
      <c r="K5397" t="s">
        <v>13757</v>
      </c>
      <c r="L5397" t="s">
        <v>1647</v>
      </c>
      <c r="M5397" t="s">
        <v>1634</v>
      </c>
    </row>
    <row r="5398" spans="1:13" x14ac:dyDescent="0.25">
      <c r="A5398">
        <v>5946</v>
      </c>
      <c r="B5398" t="s">
        <v>697</v>
      </c>
      <c r="C5398" t="s">
        <v>13756</v>
      </c>
      <c r="D5398" t="s">
        <v>1643</v>
      </c>
      <c r="E5398" t="s">
        <v>7934</v>
      </c>
      <c r="F5398" t="s">
        <v>2330</v>
      </c>
      <c r="G5398" t="s">
        <v>13758</v>
      </c>
      <c r="H5398">
        <v>5204240229</v>
      </c>
      <c r="K5398" t="s">
        <v>13759</v>
      </c>
      <c r="M5398" t="s">
        <v>1634</v>
      </c>
    </row>
    <row r="5399" spans="1:13" x14ac:dyDescent="0.25">
      <c r="A5399">
        <v>4452</v>
      </c>
      <c r="B5399" t="s">
        <v>755</v>
      </c>
      <c r="C5399" t="s">
        <v>13760</v>
      </c>
      <c r="D5399" t="s">
        <v>1628</v>
      </c>
      <c r="E5399" t="s">
        <v>7934</v>
      </c>
      <c r="F5399" t="s">
        <v>1788</v>
      </c>
      <c r="G5399" t="s">
        <v>2178</v>
      </c>
      <c r="J5399">
        <v>5204663165</v>
      </c>
      <c r="K5399" t="s">
        <v>13761</v>
      </c>
      <c r="L5399" t="s">
        <v>1668</v>
      </c>
      <c r="M5399" t="s">
        <v>1634</v>
      </c>
    </row>
    <row r="5400" spans="1:13" x14ac:dyDescent="0.25">
      <c r="A5400">
        <v>4452</v>
      </c>
      <c r="B5400" t="s">
        <v>755</v>
      </c>
      <c r="C5400" t="s">
        <v>13760</v>
      </c>
      <c r="D5400" t="s">
        <v>1628</v>
      </c>
      <c r="E5400" t="s">
        <v>7934</v>
      </c>
      <c r="F5400" t="s">
        <v>4486</v>
      </c>
      <c r="G5400" t="s">
        <v>13358</v>
      </c>
      <c r="I5400">
        <v>108</v>
      </c>
      <c r="J5400">
        <v>5204667165</v>
      </c>
      <c r="K5400" t="s">
        <v>13762</v>
      </c>
      <c r="M5400" t="s">
        <v>1640</v>
      </c>
    </row>
    <row r="5401" spans="1:13" x14ac:dyDescent="0.25">
      <c r="A5401">
        <v>5947</v>
      </c>
      <c r="B5401" t="s">
        <v>756</v>
      </c>
      <c r="C5401" t="s">
        <v>13763</v>
      </c>
      <c r="D5401" t="s">
        <v>1643</v>
      </c>
      <c r="E5401" t="s">
        <v>7934</v>
      </c>
      <c r="F5401" t="s">
        <v>1788</v>
      </c>
      <c r="G5401" t="s">
        <v>2178</v>
      </c>
      <c r="J5401">
        <v>5204663165</v>
      </c>
      <c r="K5401" t="s">
        <v>13761</v>
      </c>
      <c r="L5401" t="s">
        <v>2030</v>
      </c>
      <c r="M5401" t="s">
        <v>1634</v>
      </c>
    </row>
    <row r="5402" spans="1:13" x14ac:dyDescent="0.25">
      <c r="A5402">
        <v>4453</v>
      </c>
      <c r="B5402" t="s">
        <v>13764</v>
      </c>
      <c r="C5402" t="s">
        <v>13765</v>
      </c>
      <c r="D5402" t="s">
        <v>1628</v>
      </c>
      <c r="E5402" t="s">
        <v>7934</v>
      </c>
      <c r="F5402" t="s">
        <v>1707</v>
      </c>
      <c r="G5402" t="s">
        <v>13766</v>
      </c>
      <c r="H5402">
        <v>5303161701</v>
      </c>
      <c r="K5402" t="s">
        <v>13767</v>
      </c>
      <c r="L5402" t="s">
        <v>13768</v>
      </c>
      <c r="M5402" t="s">
        <v>1634</v>
      </c>
    </row>
    <row r="5403" spans="1:13" x14ac:dyDescent="0.25">
      <c r="A5403">
        <v>4453</v>
      </c>
      <c r="B5403" t="s">
        <v>13764</v>
      </c>
      <c r="C5403" t="s">
        <v>13765</v>
      </c>
      <c r="D5403" t="s">
        <v>1628</v>
      </c>
      <c r="E5403" t="s">
        <v>7934</v>
      </c>
      <c r="F5403" t="s">
        <v>3193</v>
      </c>
      <c r="G5403" t="s">
        <v>3243</v>
      </c>
      <c r="H5403">
        <v>5208368500</v>
      </c>
      <c r="K5403" t="s">
        <v>13769</v>
      </c>
      <c r="L5403" t="s">
        <v>1647</v>
      </c>
      <c r="M5403" t="s">
        <v>1634</v>
      </c>
    </row>
    <row r="5404" spans="1:13" x14ac:dyDescent="0.25">
      <c r="A5404">
        <v>4453</v>
      </c>
      <c r="B5404" t="s">
        <v>13764</v>
      </c>
      <c r="C5404" t="s">
        <v>13765</v>
      </c>
      <c r="D5404" t="s">
        <v>1628</v>
      </c>
      <c r="E5404" t="s">
        <v>7934</v>
      </c>
      <c r="F5404" t="s">
        <v>7318</v>
      </c>
      <c r="G5404" t="s">
        <v>1755</v>
      </c>
      <c r="H5404">
        <v>5203163360</v>
      </c>
      <c r="I5404">
        <v>1127</v>
      </c>
      <c r="K5404" t="s">
        <v>13770</v>
      </c>
      <c r="L5404" t="s">
        <v>1664</v>
      </c>
      <c r="M5404" t="s">
        <v>1634</v>
      </c>
    </row>
    <row r="5405" spans="1:13" x14ac:dyDescent="0.25">
      <c r="A5405">
        <v>5948</v>
      </c>
      <c r="B5405" t="s">
        <v>13771</v>
      </c>
      <c r="C5405" t="s">
        <v>13772</v>
      </c>
      <c r="D5405" t="s">
        <v>1643</v>
      </c>
      <c r="E5405" t="s">
        <v>7934</v>
      </c>
      <c r="F5405" t="s">
        <v>2204</v>
      </c>
      <c r="G5405" t="s">
        <v>13773</v>
      </c>
      <c r="H5405">
        <v>5208368500</v>
      </c>
      <c r="J5405">
        <v>5203163353</v>
      </c>
      <c r="K5405" t="s">
        <v>13774</v>
      </c>
      <c r="L5405" t="s">
        <v>1647</v>
      </c>
      <c r="M5405" t="s">
        <v>1634</v>
      </c>
    </row>
    <row r="5406" spans="1:13" x14ac:dyDescent="0.25">
      <c r="A5406">
        <v>5948</v>
      </c>
      <c r="B5406" t="s">
        <v>13771</v>
      </c>
      <c r="C5406" t="s">
        <v>13772</v>
      </c>
      <c r="D5406" t="s">
        <v>1643</v>
      </c>
      <c r="E5406" t="s">
        <v>7934</v>
      </c>
      <c r="F5406" t="s">
        <v>2204</v>
      </c>
      <c r="G5406" t="s">
        <v>13775</v>
      </c>
      <c r="H5406">
        <v>5208368500</v>
      </c>
      <c r="K5406" t="s">
        <v>13776</v>
      </c>
      <c r="L5406" t="s">
        <v>1647</v>
      </c>
      <c r="M5406" t="s">
        <v>1634</v>
      </c>
    </row>
    <row r="5407" spans="1:13" x14ac:dyDescent="0.25">
      <c r="A5407">
        <v>90084</v>
      </c>
      <c r="B5407" t="s">
        <v>13777</v>
      </c>
      <c r="C5407" t="s">
        <v>13778</v>
      </c>
      <c r="D5407" t="s">
        <v>1643</v>
      </c>
      <c r="E5407" t="s">
        <v>7934</v>
      </c>
      <c r="F5407" t="s">
        <v>3387</v>
      </c>
      <c r="G5407" t="s">
        <v>10815</v>
      </c>
      <c r="H5407">
        <v>5208368500</v>
      </c>
      <c r="K5407" t="s">
        <v>13779</v>
      </c>
      <c r="L5407" t="s">
        <v>1647</v>
      </c>
      <c r="M5407" t="s">
        <v>1634</v>
      </c>
    </row>
    <row r="5408" spans="1:13" x14ac:dyDescent="0.25">
      <c r="A5408">
        <v>4454</v>
      </c>
      <c r="B5408" t="s">
        <v>13780</v>
      </c>
      <c r="C5408" t="s">
        <v>13781</v>
      </c>
      <c r="D5408" t="s">
        <v>1628</v>
      </c>
      <c r="E5408" t="s">
        <v>7934</v>
      </c>
      <c r="F5408" t="s">
        <v>13782</v>
      </c>
      <c r="G5408" t="s">
        <v>13783</v>
      </c>
      <c r="H5408">
        <v>5204662247</v>
      </c>
      <c r="K5408" t="s">
        <v>13784</v>
      </c>
      <c r="L5408" t="s">
        <v>1647</v>
      </c>
      <c r="M5408" t="s">
        <v>1634</v>
      </c>
    </row>
    <row r="5409" spans="1:13" x14ac:dyDescent="0.25">
      <c r="A5409">
        <v>4454</v>
      </c>
      <c r="B5409" t="s">
        <v>13780</v>
      </c>
      <c r="C5409" t="s">
        <v>13781</v>
      </c>
      <c r="D5409" t="s">
        <v>1628</v>
      </c>
      <c r="E5409" t="s">
        <v>7934</v>
      </c>
      <c r="F5409" t="s">
        <v>13785</v>
      </c>
      <c r="G5409" t="s">
        <v>3985</v>
      </c>
      <c r="H5409">
        <v>5204662237</v>
      </c>
      <c r="K5409" t="s">
        <v>13786</v>
      </c>
      <c r="L5409" t="s">
        <v>1668</v>
      </c>
      <c r="M5409" t="s">
        <v>1634</v>
      </c>
    </row>
    <row r="5410" spans="1:13" x14ac:dyDescent="0.25">
      <c r="A5410">
        <v>4454</v>
      </c>
      <c r="B5410" t="s">
        <v>13780</v>
      </c>
      <c r="C5410" t="s">
        <v>13781</v>
      </c>
      <c r="D5410" t="s">
        <v>1628</v>
      </c>
      <c r="E5410" t="s">
        <v>7934</v>
      </c>
      <c r="F5410" t="s">
        <v>3275</v>
      </c>
      <c r="G5410" t="s">
        <v>13787</v>
      </c>
      <c r="H5410">
        <v>5204662220</v>
      </c>
      <c r="K5410" t="s">
        <v>13788</v>
      </c>
      <c r="M5410" t="s">
        <v>1634</v>
      </c>
    </row>
    <row r="5411" spans="1:13" x14ac:dyDescent="0.25">
      <c r="A5411">
        <v>4454</v>
      </c>
      <c r="B5411" t="s">
        <v>13780</v>
      </c>
      <c r="C5411" t="s">
        <v>13781</v>
      </c>
      <c r="D5411" t="s">
        <v>1628</v>
      </c>
      <c r="E5411" t="s">
        <v>7934</v>
      </c>
      <c r="F5411" t="s">
        <v>10334</v>
      </c>
      <c r="G5411" t="s">
        <v>13789</v>
      </c>
      <c r="H5411">
        <v>5204662239</v>
      </c>
      <c r="J5411">
        <v>5204662222</v>
      </c>
      <c r="K5411" t="s">
        <v>13790</v>
      </c>
      <c r="L5411" t="s">
        <v>13791</v>
      </c>
      <c r="M5411" t="s">
        <v>1640</v>
      </c>
    </row>
    <row r="5412" spans="1:13" x14ac:dyDescent="0.25">
      <c r="A5412">
        <v>5951</v>
      </c>
      <c r="B5412" t="s">
        <v>13792</v>
      </c>
      <c r="C5412" t="s">
        <v>13793</v>
      </c>
      <c r="D5412" t="s">
        <v>1643</v>
      </c>
      <c r="E5412" t="s">
        <v>7934</v>
      </c>
      <c r="F5412" t="s">
        <v>13782</v>
      </c>
      <c r="G5412" t="s">
        <v>13783</v>
      </c>
      <c r="L5412" t="s">
        <v>1647</v>
      </c>
      <c r="M5412" t="s">
        <v>1634</v>
      </c>
    </row>
    <row r="5413" spans="1:13" x14ac:dyDescent="0.25">
      <c r="A5413">
        <v>5951</v>
      </c>
      <c r="B5413" t="s">
        <v>13792</v>
      </c>
      <c r="C5413" t="s">
        <v>13793</v>
      </c>
      <c r="D5413" t="s">
        <v>1643</v>
      </c>
      <c r="E5413" t="s">
        <v>7934</v>
      </c>
      <c r="F5413" t="s">
        <v>13785</v>
      </c>
      <c r="G5413" t="s">
        <v>3985</v>
      </c>
      <c r="K5413" t="s">
        <v>13786</v>
      </c>
      <c r="L5413" t="s">
        <v>1668</v>
      </c>
      <c r="M5413" t="s">
        <v>1634</v>
      </c>
    </row>
    <row r="5414" spans="1:13" x14ac:dyDescent="0.25">
      <c r="A5414">
        <v>5951</v>
      </c>
      <c r="B5414" t="s">
        <v>13792</v>
      </c>
      <c r="C5414" t="s">
        <v>13793</v>
      </c>
      <c r="D5414" t="s">
        <v>1643</v>
      </c>
      <c r="E5414" t="s">
        <v>7934</v>
      </c>
      <c r="F5414" t="s">
        <v>3275</v>
      </c>
      <c r="G5414" t="s">
        <v>13787</v>
      </c>
      <c r="H5414">
        <v>5204462220</v>
      </c>
      <c r="K5414" t="s">
        <v>13788</v>
      </c>
      <c r="L5414" t="s">
        <v>13051</v>
      </c>
      <c r="M5414" t="s">
        <v>1634</v>
      </c>
    </row>
    <row r="5415" spans="1:13" x14ac:dyDescent="0.25">
      <c r="A5415">
        <v>5951</v>
      </c>
      <c r="B5415" t="s">
        <v>13792</v>
      </c>
      <c r="C5415" t="s">
        <v>13793</v>
      </c>
      <c r="D5415" t="s">
        <v>1643</v>
      </c>
      <c r="E5415" t="s">
        <v>7934</v>
      </c>
      <c r="F5415" t="s">
        <v>3411</v>
      </c>
      <c r="G5415" t="s">
        <v>1943</v>
      </c>
      <c r="H5415">
        <v>5204462219</v>
      </c>
      <c r="K5415" t="s">
        <v>13794</v>
      </c>
      <c r="L5415" t="s">
        <v>2117</v>
      </c>
      <c r="M5415" t="s">
        <v>1634</v>
      </c>
    </row>
    <row r="5416" spans="1:13" x14ac:dyDescent="0.25">
      <c r="A5416">
        <v>5951</v>
      </c>
      <c r="B5416" t="s">
        <v>13792</v>
      </c>
      <c r="C5416" t="s">
        <v>13793</v>
      </c>
      <c r="D5416" t="s">
        <v>1643</v>
      </c>
      <c r="E5416" t="s">
        <v>7934</v>
      </c>
      <c r="F5416" t="s">
        <v>10334</v>
      </c>
      <c r="G5416" t="s">
        <v>13789</v>
      </c>
      <c r="H5416">
        <v>5204662239</v>
      </c>
      <c r="J5416">
        <v>5204662222</v>
      </c>
      <c r="K5416" t="s">
        <v>13790</v>
      </c>
      <c r="L5416" t="s">
        <v>13791</v>
      </c>
      <c r="M5416" t="s">
        <v>1640</v>
      </c>
    </row>
    <row r="5417" spans="1:13" x14ac:dyDescent="0.25">
      <c r="A5417">
        <v>90415</v>
      </c>
      <c r="B5417" t="s">
        <v>13795</v>
      </c>
      <c r="C5417" t="s">
        <v>13796</v>
      </c>
      <c r="D5417" t="s">
        <v>1643</v>
      </c>
      <c r="E5417" t="s">
        <v>7934</v>
      </c>
      <c r="F5417" t="s">
        <v>13782</v>
      </c>
      <c r="G5417" t="s">
        <v>13783</v>
      </c>
      <c r="K5417" t="s">
        <v>13784</v>
      </c>
      <c r="L5417" t="s">
        <v>1647</v>
      </c>
      <c r="M5417" t="s">
        <v>1634</v>
      </c>
    </row>
    <row r="5418" spans="1:13" x14ac:dyDescent="0.25">
      <c r="A5418">
        <v>79385</v>
      </c>
      <c r="B5418" t="s">
        <v>13797</v>
      </c>
      <c r="C5418" t="s">
        <v>13798</v>
      </c>
      <c r="D5418" t="s">
        <v>1628</v>
      </c>
      <c r="E5418" t="s">
        <v>7934</v>
      </c>
      <c r="F5418" t="s">
        <v>2222</v>
      </c>
      <c r="G5418" t="s">
        <v>13799</v>
      </c>
      <c r="H5418">
        <v>5204232991</v>
      </c>
      <c r="J5418">
        <v>5204231822</v>
      </c>
      <c r="K5418" t="s">
        <v>13800</v>
      </c>
      <c r="L5418" t="s">
        <v>1668</v>
      </c>
      <c r="M5418" t="s">
        <v>1634</v>
      </c>
    </row>
    <row r="5419" spans="1:13" x14ac:dyDescent="0.25">
      <c r="A5419">
        <v>79385</v>
      </c>
      <c r="B5419" t="s">
        <v>13797</v>
      </c>
      <c r="C5419" t="s">
        <v>13798</v>
      </c>
      <c r="D5419" t="s">
        <v>1628</v>
      </c>
      <c r="E5419" t="s">
        <v>7934</v>
      </c>
      <c r="F5419" t="s">
        <v>2189</v>
      </c>
      <c r="G5419" t="s">
        <v>4363</v>
      </c>
      <c r="H5419">
        <v>5204232992</v>
      </c>
      <c r="K5419" t="s">
        <v>13801</v>
      </c>
      <c r="L5419" t="s">
        <v>1640</v>
      </c>
      <c r="M5419" t="s">
        <v>1640</v>
      </c>
    </row>
    <row r="5420" spans="1:13" x14ac:dyDescent="0.25">
      <c r="A5420">
        <v>79386</v>
      </c>
      <c r="B5420" t="s">
        <v>13802</v>
      </c>
      <c r="C5420" t="s">
        <v>13803</v>
      </c>
      <c r="D5420" t="s">
        <v>1643</v>
      </c>
      <c r="E5420" t="s">
        <v>7934</v>
      </c>
      <c r="F5420" t="s">
        <v>2222</v>
      </c>
      <c r="G5420" t="s">
        <v>13799</v>
      </c>
      <c r="K5420" t="s">
        <v>13804</v>
      </c>
      <c r="L5420" t="s">
        <v>1647</v>
      </c>
      <c r="M5420" t="s">
        <v>1634</v>
      </c>
    </row>
    <row r="5421" spans="1:13" x14ac:dyDescent="0.25">
      <c r="A5421">
        <v>79802</v>
      </c>
      <c r="B5421" t="s">
        <v>13805</v>
      </c>
      <c r="C5421" t="s">
        <v>13806</v>
      </c>
      <c r="D5421" t="s">
        <v>1643</v>
      </c>
      <c r="E5421" t="s">
        <v>7934</v>
      </c>
      <c r="F5421" t="s">
        <v>1848</v>
      </c>
      <c r="G5421" t="s">
        <v>13807</v>
      </c>
      <c r="H5421">
        <v>5204662220</v>
      </c>
      <c r="J5421">
        <v>5204662222</v>
      </c>
      <c r="K5421" t="s">
        <v>13808</v>
      </c>
      <c r="M5421" t="s">
        <v>1640</v>
      </c>
    </row>
    <row r="5422" spans="1:13" x14ac:dyDescent="0.25">
      <c r="A5422">
        <v>79803</v>
      </c>
      <c r="B5422" t="s">
        <v>13809</v>
      </c>
      <c r="C5422" t="s">
        <v>13810</v>
      </c>
      <c r="D5422" t="s">
        <v>1643</v>
      </c>
      <c r="E5422" t="s">
        <v>7934</v>
      </c>
      <c r="F5422" t="s">
        <v>13811</v>
      </c>
      <c r="G5422" t="s">
        <v>13807</v>
      </c>
      <c r="H5422">
        <v>5205685100</v>
      </c>
      <c r="J5422">
        <v>5205685151</v>
      </c>
      <c r="K5422" t="s">
        <v>13808</v>
      </c>
      <c r="M5422" t="s">
        <v>1640</v>
      </c>
    </row>
    <row r="5423" spans="1:13" x14ac:dyDescent="0.25">
      <c r="A5423">
        <v>79804</v>
      </c>
      <c r="B5423" t="s">
        <v>13812</v>
      </c>
      <c r="C5423" t="s">
        <v>13813</v>
      </c>
      <c r="D5423" t="s">
        <v>1643</v>
      </c>
      <c r="E5423" t="s">
        <v>7934</v>
      </c>
      <c r="F5423" t="s">
        <v>1848</v>
      </c>
      <c r="G5423" t="s">
        <v>13807</v>
      </c>
      <c r="H5423">
        <v>5208682300</v>
      </c>
      <c r="J5423">
        <v>5208682302</v>
      </c>
      <c r="K5423" t="s">
        <v>13808</v>
      </c>
      <c r="M5423" t="s">
        <v>1640</v>
      </c>
    </row>
    <row r="5424" spans="1:13" x14ac:dyDescent="0.25">
      <c r="A5424">
        <v>79805</v>
      </c>
      <c r="B5424" t="s">
        <v>13814</v>
      </c>
      <c r="C5424" t="s">
        <v>13815</v>
      </c>
      <c r="D5424" t="s">
        <v>1643</v>
      </c>
      <c r="E5424" t="s">
        <v>7934</v>
      </c>
      <c r="F5424" t="s">
        <v>1848</v>
      </c>
      <c r="G5424" t="s">
        <v>13807</v>
      </c>
      <c r="H5424">
        <v>5207232042</v>
      </c>
      <c r="J5424">
        <v>5207232043</v>
      </c>
      <c r="K5424" t="s">
        <v>13808</v>
      </c>
      <c r="L5424" t="s">
        <v>1640</v>
      </c>
      <c r="M5424" t="s">
        <v>1640</v>
      </c>
    </row>
    <row r="5425" spans="1:13" x14ac:dyDescent="0.25">
      <c r="A5425">
        <v>79806</v>
      </c>
      <c r="B5425" t="s">
        <v>13816</v>
      </c>
      <c r="C5425" t="s">
        <v>13817</v>
      </c>
      <c r="D5425" t="s">
        <v>1643</v>
      </c>
      <c r="E5425" t="s">
        <v>7934</v>
      </c>
      <c r="F5425" t="s">
        <v>1848</v>
      </c>
      <c r="G5425" t="s">
        <v>13807</v>
      </c>
      <c r="H5425">
        <v>5208365212</v>
      </c>
      <c r="J5425">
        <v>5203163352</v>
      </c>
      <c r="K5425" t="s">
        <v>13808</v>
      </c>
      <c r="L5425" t="s">
        <v>1640</v>
      </c>
      <c r="M5425" t="s">
        <v>1640</v>
      </c>
    </row>
    <row r="5426" spans="1:13" x14ac:dyDescent="0.25">
      <c r="A5426">
        <v>90074</v>
      </c>
      <c r="B5426" t="s">
        <v>13818</v>
      </c>
      <c r="C5426" t="s">
        <v>13819</v>
      </c>
      <c r="D5426" t="s">
        <v>1643</v>
      </c>
      <c r="E5426" t="s">
        <v>7934</v>
      </c>
    </row>
    <row r="5427" spans="1:13" x14ac:dyDescent="0.25">
      <c r="A5427">
        <v>90310</v>
      </c>
      <c r="B5427" t="s">
        <v>13820</v>
      </c>
      <c r="C5427" t="s">
        <v>13821</v>
      </c>
      <c r="D5427" t="s">
        <v>1643</v>
      </c>
      <c r="E5427" t="s">
        <v>7934</v>
      </c>
    </row>
    <row r="5428" spans="1:13" x14ac:dyDescent="0.25">
      <c r="A5428">
        <v>90311</v>
      </c>
      <c r="B5428" t="s">
        <v>13822</v>
      </c>
      <c r="C5428" t="s">
        <v>13823</v>
      </c>
      <c r="D5428" t="s">
        <v>1643</v>
      </c>
      <c r="E5428" t="s">
        <v>7934</v>
      </c>
    </row>
    <row r="5429" spans="1:13" x14ac:dyDescent="0.25">
      <c r="A5429">
        <v>79391</v>
      </c>
      <c r="B5429" t="s">
        <v>13824</v>
      </c>
      <c r="C5429" t="s">
        <v>13825</v>
      </c>
      <c r="D5429" t="s">
        <v>1628</v>
      </c>
      <c r="E5429" t="s">
        <v>7934</v>
      </c>
      <c r="F5429" t="s">
        <v>2222</v>
      </c>
      <c r="G5429" t="s">
        <v>13826</v>
      </c>
      <c r="H5429">
        <v>9282421907</v>
      </c>
      <c r="L5429" t="s">
        <v>1668</v>
      </c>
      <c r="M5429" t="s">
        <v>1634</v>
      </c>
    </row>
    <row r="5430" spans="1:13" x14ac:dyDescent="0.25">
      <c r="A5430">
        <v>79391</v>
      </c>
      <c r="B5430" t="s">
        <v>13824</v>
      </c>
      <c r="C5430" t="s">
        <v>13825</v>
      </c>
      <c r="D5430" t="s">
        <v>1628</v>
      </c>
      <c r="E5430" t="s">
        <v>7934</v>
      </c>
      <c r="F5430" t="s">
        <v>1732</v>
      </c>
      <c r="G5430" t="s">
        <v>9456</v>
      </c>
      <c r="H5430">
        <v>9285429640</v>
      </c>
      <c r="K5430" t="s">
        <v>13827</v>
      </c>
      <c r="L5430" t="s">
        <v>1640</v>
      </c>
      <c r="M5430" t="s">
        <v>1640</v>
      </c>
    </row>
    <row r="5431" spans="1:13" x14ac:dyDescent="0.25">
      <c r="A5431">
        <v>79391</v>
      </c>
      <c r="B5431" t="s">
        <v>13824</v>
      </c>
      <c r="C5431" t="s">
        <v>13825</v>
      </c>
      <c r="D5431" t="s">
        <v>1628</v>
      </c>
      <c r="E5431" t="s">
        <v>7934</v>
      </c>
      <c r="F5431" t="s">
        <v>13454</v>
      </c>
      <c r="G5431" t="s">
        <v>12233</v>
      </c>
      <c r="H5431">
        <v>5208271172</v>
      </c>
      <c r="J5431">
        <v>5206896630</v>
      </c>
      <c r="K5431" t="s">
        <v>13828</v>
      </c>
      <c r="M5431" t="s">
        <v>1765</v>
      </c>
    </row>
    <row r="5432" spans="1:13" x14ac:dyDescent="0.25">
      <c r="A5432">
        <v>79789</v>
      </c>
      <c r="B5432" t="s">
        <v>13829</v>
      </c>
      <c r="C5432" t="s">
        <v>13830</v>
      </c>
      <c r="D5432" t="s">
        <v>1643</v>
      </c>
      <c r="E5432" t="s">
        <v>7934</v>
      </c>
    </row>
    <row r="5433" spans="1:13" x14ac:dyDescent="0.25">
      <c r="A5433">
        <v>79790</v>
      </c>
      <c r="B5433" t="s">
        <v>13831</v>
      </c>
      <c r="C5433" t="s">
        <v>13832</v>
      </c>
      <c r="D5433" t="s">
        <v>1643</v>
      </c>
      <c r="E5433" t="s">
        <v>7934</v>
      </c>
    </row>
    <row r="5434" spans="1:13" x14ac:dyDescent="0.25">
      <c r="A5434">
        <v>79791</v>
      </c>
      <c r="B5434" t="s">
        <v>13833</v>
      </c>
      <c r="C5434" t="s">
        <v>13834</v>
      </c>
      <c r="D5434" t="s">
        <v>1643</v>
      </c>
      <c r="E5434" t="s">
        <v>7934</v>
      </c>
    </row>
    <row r="5435" spans="1:13" x14ac:dyDescent="0.25">
      <c r="A5435">
        <v>88411</v>
      </c>
      <c r="B5435" t="s">
        <v>13835</v>
      </c>
      <c r="C5435" t="s">
        <v>13836</v>
      </c>
      <c r="D5435" t="s">
        <v>1643</v>
      </c>
      <c r="E5435" t="s">
        <v>7934</v>
      </c>
    </row>
    <row r="5436" spans="1:13" x14ac:dyDescent="0.25">
      <c r="A5436">
        <v>90103</v>
      </c>
      <c r="B5436" t="s">
        <v>13837</v>
      </c>
      <c r="C5436" t="s">
        <v>13838</v>
      </c>
      <c r="D5436" t="s">
        <v>1643</v>
      </c>
      <c r="E5436" t="s">
        <v>7934</v>
      </c>
      <c r="F5436" t="s">
        <v>6419</v>
      </c>
      <c r="G5436" t="s">
        <v>13839</v>
      </c>
      <c r="H5436">
        <v>4802043793</v>
      </c>
      <c r="J5436">
        <v>4802888945</v>
      </c>
      <c r="K5436" t="s">
        <v>13840</v>
      </c>
      <c r="M5436" t="s">
        <v>1640</v>
      </c>
    </row>
    <row r="5437" spans="1:13" x14ac:dyDescent="0.25">
      <c r="A5437">
        <v>90402</v>
      </c>
      <c r="B5437" t="s">
        <v>13841</v>
      </c>
      <c r="C5437" t="s">
        <v>13842</v>
      </c>
      <c r="D5437" t="s">
        <v>1643</v>
      </c>
      <c r="E5437" t="s">
        <v>7934</v>
      </c>
    </row>
    <row r="5438" spans="1:13" x14ac:dyDescent="0.25">
      <c r="A5438">
        <v>163202</v>
      </c>
      <c r="B5438" t="s">
        <v>13843</v>
      </c>
      <c r="C5438" t="s">
        <v>13844</v>
      </c>
      <c r="D5438" t="s">
        <v>1643</v>
      </c>
      <c r="E5438" t="s">
        <v>1273</v>
      </c>
      <c r="F5438" t="s">
        <v>1732</v>
      </c>
      <c r="G5438" t="s">
        <v>9456</v>
      </c>
      <c r="H5438">
        <v>9285429649</v>
      </c>
      <c r="K5438" t="s">
        <v>13845</v>
      </c>
      <c r="M5438" t="s">
        <v>1634</v>
      </c>
    </row>
    <row r="5439" spans="1:13" x14ac:dyDescent="0.25">
      <c r="A5439">
        <v>163202</v>
      </c>
      <c r="B5439" t="s">
        <v>13843</v>
      </c>
      <c r="C5439" t="s">
        <v>13844</v>
      </c>
      <c r="D5439" t="s">
        <v>1643</v>
      </c>
      <c r="E5439" t="s">
        <v>1273</v>
      </c>
      <c r="F5439" t="s">
        <v>1732</v>
      </c>
      <c r="G5439" t="s">
        <v>9456</v>
      </c>
      <c r="H5439">
        <v>9285429649</v>
      </c>
      <c r="K5439" t="s">
        <v>13845</v>
      </c>
      <c r="M5439" t="s">
        <v>1640</v>
      </c>
    </row>
    <row r="5440" spans="1:13" x14ac:dyDescent="0.25">
      <c r="A5440">
        <v>1000973</v>
      </c>
      <c r="B5440" t="s">
        <v>13846</v>
      </c>
      <c r="C5440" t="s">
        <v>13847</v>
      </c>
      <c r="D5440" t="s">
        <v>1643</v>
      </c>
      <c r="E5440" t="s">
        <v>7934</v>
      </c>
    </row>
    <row r="5441" spans="1:13" x14ac:dyDescent="0.25">
      <c r="A5441">
        <v>79883</v>
      </c>
      <c r="B5441" t="s">
        <v>1595</v>
      </c>
      <c r="C5441" t="s">
        <v>13848</v>
      </c>
      <c r="D5441" t="s">
        <v>2596</v>
      </c>
      <c r="E5441" t="s">
        <v>7934</v>
      </c>
      <c r="F5441" t="s">
        <v>2053</v>
      </c>
      <c r="G5441" t="s">
        <v>6310</v>
      </c>
      <c r="K5441" t="s">
        <v>9120</v>
      </c>
      <c r="L5441" t="s">
        <v>8731</v>
      </c>
      <c r="M5441" t="s">
        <v>1634</v>
      </c>
    </row>
    <row r="5442" spans="1:13" x14ac:dyDescent="0.25">
      <c r="A5442">
        <v>79883</v>
      </c>
      <c r="B5442" t="s">
        <v>1595</v>
      </c>
      <c r="C5442" t="s">
        <v>13848</v>
      </c>
      <c r="D5442" t="s">
        <v>2596</v>
      </c>
      <c r="E5442" t="s">
        <v>7934</v>
      </c>
      <c r="F5442" t="s">
        <v>3570</v>
      </c>
      <c r="G5442" t="s">
        <v>5188</v>
      </c>
      <c r="K5442" t="s">
        <v>9636</v>
      </c>
      <c r="L5442" t="s">
        <v>9637</v>
      </c>
      <c r="M5442" t="s">
        <v>1640</v>
      </c>
    </row>
    <row r="5443" spans="1:13" x14ac:dyDescent="0.25">
      <c r="A5443">
        <v>79883</v>
      </c>
      <c r="B5443" t="s">
        <v>1595</v>
      </c>
      <c r="C5443" t="s">
        <v>13848</v>
      </c>
      <c r="D5443" t="s">
        <v>2596</v>
      </c>
      <c r="E5443" t="s">
        <v>7934</v>
      </c>
      <c r="F5443" t="s">
        <v>1848</v>
      </c>
      <c r="G5443" t="s">
        <v>2927</v>
      </c>
      <c r="K5443" t="s">
        <v>8243</v>
      </c>
      <c r="M5443" t="s">
        <v>1765</v>
      </c>
    </row>
    <row r="5444" spans="1:13" x14ac:dyDescent="0.25">
      <c r="A5444">
        <v>6346</v>
      </c>
      <c r="B5444" t="s">
        <v>1596</v>
      </c>
      <c r="C5444" t="s">
        <v>13849</v>
      </c>
      <c r="D5444" t="s">
        <v>2605</v>
      </c>
      <c r="E5444" t="s">
        <v>7934</v>
      </c>
    </row>
    <row r="5445" spans="1:13" x14ac:dyDescent="0.25">
      <c r="A5445">
        <v>81011</v>
      </c>
      <c r="B5445" t="s">
        <v>13850</v>
      </c>
      <c r="C5445" t="s">
        <v>13851</v>
      </c>
      <c r="D5445" t="s">
        <v>2596</v>
      </c>
      <c r="E5445" t="s">
        <v>7934</v>
      </c>
      <c r="F5445" t="s">
        <v>9725</v>
      </c>
      <c r="G5445" t="s">
        <v>9726</v>
      </c>
      <c r="H5445" t="s">
        <v>9727</v>
      </c>
      <c r="I5445">
        <v>2718</v>
      </c>
      <c r="J5445">
        <v>4803362696</v>
      </c>
      <c r="K5445" t="s">
        <v>9728</v>
      </c>
      <c r="L5445" t="s">
        <v>4054</v>
      </c>
      <c r="M5445" t="s">
        <v>1634</v>
      </c>
    </row>
    <row r="5446" spans="1:13" x14ac:dyDescent="0.25">
      <c r="A5446">
        <v>81011</v>
      </c>
      <c r="B5446" t="s">
        <v>13850</v>
      </c>
      <c r="C5446" t="s">
        <v>13851</v>
      </c>
      <c r="D5446" t="s">
        <v>2596</v>
      </c>
      <c r="E5446" t="s">
        <v>7934</v>
      </c>
      <c r="F5446" t="s">
        <v>9725</v>
      </c>
      <c r="G5446" t="s">
        <v>9726</v>
      </c>
      <c r="H5446" t="s">
        <v>9727</v>
      </c>
      <c r="K5446" t="s">
        <v>9728</v>
      </c>
      <c r="M5446" t="s">
        <v>1634</v>
      </c>
    </row>
    <row r="5447" spans="1:13" x14ac:dyDescent="0.25">
      <c r="A5447">
        <v>81011</v>
      </c>
      <c r="B5447" t="s">
        <v>13850</v>
      </c>
      <c r="C5447" t="s">
        <v>13851</v>
      </c>
      <c r="D5447" t="s">
        <v>2596</v>
      </c>
      <c r="E5447" t="s">
        <v>7934</v>
      </c>
      <c r="F5447" t="s">
        <v>9719</v>
      </c>
      <c r="G5447" t="s">
        <v>9720</v>
      </c>
      <c r="H5447">
        <v>4807558222</v>
      </c>
      <c r="I5447">
        <v>4471</v>
      </c>
      <c r="K5447" t="s">
        <v>9721</v>
      </c>
      <c r="L5447" t="s">
        <v>9722</v>
      </c>
      <c r="M5447" t="s">
        <v>1640</v>
      </c>
    </row>
    <row r="5448" spans="1:13" x14ac:dyDescent="0.25">
      <c r="A5448">
        <v>10750</v>
      </c>
      <c r="B5448" t="s">
        <v>13852</v>
      </c>
      <c r="C5448" t="s">
        <v>13853</v>
      </c>
      <c r="D5448" t="s">
        <v>2605</v>
      </c>
      <c r="E5448" t="s">
        <v>7934</v>
      </c>
      <c r="F5448" t="s">
        <v>9719</v>
      </c>
      <c r="G5448" t="s">
        <v>9720</v>
      </c>
      <c r="H5448">
        <v>4807558222</v>
      </c>
      <c r="I5448">
        <v>4471</v>
      </c>
      <c r="K5448" t="s">
        <v>9721</v>
      </c>
      <c r="L5448" t="s">
        <v>9722</v>
      </c>
      <c r="M5448" t="s">
        <v>1634</v>
      </c>
    </row>
    <row r="5449" spans="1:13" x14ac:dyDescent="0.25">
      <c r="A5449">
        <v>10750</v>
      </c>
      <c r="B5449" t="s">
        <v>13852</v>
      </c>
      <c r="C5449" t="s">
        <v>13853</v>
      </c>
      <c r="D5449" t="s">
        <v>2605</v>
      </c>
      <c r="E5449" t="s">
        <v>7934</v>
      </c>
      <c r="F5449" t="s">
        <v>9725</v>
      </c>
      <c r="G5449" t="s">
        <v>9726</v>
      </c>
      <c r="H5449" t="s">
        <v>9727</v>
      </c>
      <c r="I5449">
        <v>2718</v>
      </c>
      <c r="K5449" t="s">
        <v>9728</v>
      </c>
      <c r="M5449" t="s">
        <v>1634</v>
      </c>
    </row>
    <row r="5450" spans="1:13" x14ac:dyDescent="0.25">
      <c r="A5450">
        <v>10750</v>
      </c>
      <c r="B5450" t="s">
        <v>13852</v>
      </c>
      <c r="C5450" t="s">
        <v>13853</v>
      </c>
      <c r="D5450" t="s">
        <v>2605</v>
      </c>
      <c r="E5450" t="s">
        <v>7934</v>
      </c>
      <c r="F5450" t="s">
        <v>9719</v>
      </c>
      <c r="G5450" t="s">
        <v>9720</v>
      </c>
      <c r="H5450">
        <v>4807558222</v>
      </c>
      <c r="I5450">
        <v>4471</v>
      </c>
      <c r="K5450" t="s">
        <v>9721</v>
      </c>
      <c r="L5450" t="s">
        <v>9722</v>
      </c>
      <c r="M5450" t="s">
        <v>1640</v>
      </c>
    </row>
    <row r="5451" spans="1:13" x14ac:dyDescent="0.25">
      <c r="A5451">
        <v>5978</v>
      </c>
      <c r="B5451" t="s">
        <v>13854</v>
      </c>
      <c r="C5451" t="s">
        <v>13855</v>
      </c>
      <c r="D5451" t="s">
        <v>2596</v>
      </c>
      <c r="E5451" t="s">
        <v>7934</v>
      </c>
      <c r="F5451" t="s">
        <v>2192</v>
      </c>
      <c r="G5451" t="s">
        <v>13856</v>
      </c>
      <c r="H5451">
        <v>5202155859</v>
      </c>
      <c r="I5451">
        <v>804</v>
      </c>
      <c r="K5451" t="s">
        <v>13857</v>
      </c>
      <c r="L5451" t="s">
        <v>2621</v>
      </c>
      <c r="M5451" t="s">
        <v>1634</v>
      </c>
    </row>
    <row r="5452" spans="1:13" x14ac:dyDescent="0.25">
      <c r="A5452">
        <v>5978</v>
      </c>
      <c r="B5452" t="s">
        <v>13854</v>
      </c>
      <c r="C5452" t="s">
        <v>13855</v>
      </c>
      <c r="D5452" t="s">
        <v>2596</v>
      </c>
      <c r="E5452" t="s">
        <v>7934</v>
      </c>
      <c r="F5452" t="s">
        <v>13725</v>
      </c>
      <c r="G5452" t="s">
        <v>6006</v>
      </c>
      <c r="H5452">
        <v>5202155859</v>
      </c>
      <c r="K5452" t="s">
        <v>13858</v>
      </c>
      <c r="L5452" t="s">
        <v>1738</v>
      </c>
      <c r="M5452" t="s">
        <v>1634</v>
      </c>
    </row>
    <row r="5453" spans="1:13" x14ac:dyDescent="0.25">
      <c r="A5453">
        <v>5978</v>
      </c>
      <c r="B5453" t="s">
        <v>13854</v>
      </c>
      <c r="C5453" t="s">
        <v>13855</v>
      </c>
      <c r="D5453" t="s">
        <v>2596</v>
      </c>
      <c r="E5453" t="s">
        <v>7934</v>
      </c>
      <c r="F5453" t="s">
        <v>13859</v>
      </c>
      <c r="G5453" t="s">
        <v>13860</v>
      </c>
      <c r="H5453">
        <v>5202155859</v>
      </c>
      <c r="I5453">
        <v>7905</v>
      </c>
      <c r="K5453" t="s">
        <v>13861</v>
      </c>
      <c r="L5453" t="s">
        <v>2065</v>
      </c>
      <c r="M5453" t="s">
        <v>1634</v>
      </c>
    </row>
    <row r="5454" spans="1:13" x14ac:dyDescent="0.25">
      <c r="A5454">
        <v>5978</v>
      </c>
      <c r="B5454" t="s">
        <v>13854</v>
      </c>
      <c r="C5454" t="s">
        <v>13855</v>
      </c>
      <c r="D5454" t="s">
        <v>2596</v>
      </c>
      <c r="E5454" t="s">
        <v>7934</v>
      </c>
      <c r="F5454" t="s">
        <v>13862</v>
      </c>
      <c r="G5454" t="s">
        <v>13863</v>
      </c>
      <c r="H5454">
        <v>5202155859</v>
      </c>
      <c r="K5454" t="s">
        <v>13864</v>
      </c>
      <c r="M5454" t="s">
        <v>1634</v>
      </c>
    </row>
    <row r="5455" spans="1:13" x14ac:dyDescent="0.25">
      <c r="A5455">
        <v>5978</v>
      </c>
      <c r="B5455" t="s">
        <v>13854</v>
      </c>
      <c r="C5455" t="s">
        <v>13855</v>
      </c>
      <c r="D5455" t="s">
        <v>2596</v>
      </c>
      <c r="E5455" t="s">
        <v>7934</v>
      </c>
      <c r="F5455" t="s">
        <v>13865</v>
      </c>
      <c r="G5455" t="s">
        <v>13866</v>
      </c>
      <c r="H5455">
        <v>5202155859</v>
      </c>
      <c r="K5455" t="s">
        <v>13867</v>
      </c>
      <c r="M5455" t="s">
        <v>1634</v>
      </c>
    </row>
    <row r="5456" spans="1:13" x14ac:dyDescent="0.25">
      <c r="A5456">
        <v>5978</v>
      </c>
      <c r="B5456" t="s">
        <v>13854</v>
      </c>
      <c r="C5456" t="s">
        <v>13855</v>
      </c>
      <c r="D5456" t="s">
        <v>2596</v>
      </c>
      <c r="E5456" t="s">
        <v>7934</v>
      </c>
      <c r="F5456" t="s">
        <v>13868</v>
      </c>
      <c r="G5456" t="s">
        <v>2845</v>
      </c>
      <c r="H5456">
        <v>5202155859</v>
      </c>
      <c r="K5456" t="s">
        <v>13869</v>
      </c>
      <c r="M5456" t="s">
        <v>1640</v>
      </c>
    </row>
    <row r="5457" spans="1:13" x14ac:dyDescent="0.25">
      <c r="A5457">
        <v>10797</v>
      </c>
      <c r="B5457" t="s">
        <v>13870</v>
      </c>
      <c r="C5457" t="s">
        <v>13871</v>
      </c>
      <c r="D5457" t="s">
        <v>2605</v>
      </c>
      <c r="E5457" t="s">
        <v>7934</v>
      </c>
      <c r="F5457" t="s">
        <v>13865</v>
      </c>
      <c r="G5457" t="s">
        <v>13866</v>
      </c>
      <c r="H5457">
        <v>5202155859</v>
      </c>
      <c r="J5457">
        <v>5202155862</v>
      </c>
      <c r="K5457" t="s">
        <v>13867</v>
      </c>
      <c r="M5457" t="s">
        <v>1634</v>
      </c>
    </row>
    <row r="5458" spans="1:13" x14ac:dyDescent="0.25">
      <c r="A5458">
        <v>10797</v>
      </c>
      <c r="B5458" t="s">
        <v>13870</v>
      </c>
      <c r="C5458" t="s">
        <v>13871</v>
      </c>
      <c r="D5458" t="s">
        <v>2605</v>
      </c>
      <c r="E5458" t="s">
        <v>7934</v>
      </c>
      <c r="F5458" t="s">
        <v>13859</v>
      </c>
      <c r="G5458" t="s">
        <v>13860</v>
      </c>
      <c r="I5458">
        <v>7905</v>
      </c>
      <c r="K5458" t="s">
        <v>13872</v>
      </c>
      <c r="L5458" t="s">
        <v>1647</v>
      </c>
      <c r="M5458" t="s">
        <v>1634</v>
      </c>
    </row>
    <row r="5459" spans="1:13" x14ac:dyDescent="0.25">
      <c r="A5459">
        <v>78966</v>
      </c>
      <c r="B5459" t="s">
        <v>13873</v>
      </c>
      <c r="C5459" t="s">
        <v>13874</v>
      </c>
      <c r="D5459" t="s">
        <v>2596</v>
      </c>
      <c r="E5459" t="s">
        <v>7934</v>
      </c>
      <c r="F5459" t="s">
        <v>13865</v>
      </c>
      <c r="G5459" t="s">
        <v>13866</v>
      </c>
      <c r="H5459">
        <v>5202155859</v>
      </c>
      <c r="J5459">
        <v>5202155862</v>
      </c>
      <c r="K5459" t="s">
        <v>13875</v>
      </c>
      <c r="L5459" t="s">
        <v>1647</v>
      </c>
      <c r="M5459" t="s">
        <v>1634</v>
      </c>
    </row>
    <row r="5460" spans="1:13" x14ac:dyDescent="0.25">
      <c r="A5460">
        <v>78966</v>
      </c>
      <c r="B5460" t="s">
        <v>13873</v>
      </c>
      <c r="C5460" t="s">
        <v>13874</v>
      </c>
      <c r="D5460" t="s">
        <v>2596</v>
      </c>
      <c r="E5460" t="s">
        <v>7934</v>
      </c>
      <c r="F5460" t="s">
        <v>13725</v>
      </c>
      <c r="G5460" t="s">
        <v>6006</v>
      </c>
      <c r="H5460">
        <v>5202155859</v>
      </c>
      <c r="K5460" t="s">
        <v>13858</v>
      </c>
      <c r="L5460" t="s">
        <v>10362</v>
      </c>
      <c r="M5460" t="s">
        <v>1634</v>
      </c>
    </row>
    <row r="5461" spans="1:13" x14ac:dyDescent="0.25">
      <c r="A5461">
        <v>78967</v>
      </c>
      <c r="B5461" t="s">
        <v>13876</v>
      </c>
      <c r="C5461" t="s">
        <v>13877</v>
      </c>
      <c r="D5461" t="s">
        <v>2605</v>
      </c>
      <c r="E5461" t="s">
        <v>7934</v>
      </c>
      <c r="F5461" t="s">
        <v>13865</v>
      </c>
      <c r="G5461" t="s">
        <v>13866</v>
      </c>
      <c r="H5461">
        <v>5202155859</v>
      </c>
      <c r="I5461">
        <v>803</v>
      </c>
      <c r="J5461">
        <v>5202155862</v>
      </c>
      <c r="K5461" t="s">
        <v>13867</v>
      </c>
      <c r="L5461" t="s">
        <v>11108</v>
      </c>
      <c r="M5461" t="s">
        <v>1634</v>
      </c>
    </row>
    <row r="5462" spans="1:13" x14ac:dyDescent="0.25">
      <c r="A5462">
        <v>78967</v>
      </c>
      <c r="B5462" t="s">
        <v>13876</v>
      </c>
      <c r="C5462" t="s">
        <v>13877</v>
      </c>
      <c r="D5462" t="s">
        <v>2605</v>
      </c>
      <c r="E5462" t="s">
        <v>7934</v>
      </c>
      <c r="F5462" t="s">
        <v>2814</v>
      </c>
      <c r="G5462" t="s">
        <v>13878</v>
      </c>
      <c r="H5462">
        <v>5202155859</v>
      </c>
      <c r="K5462" t="s">
        <v>13879</v>
      </c>
      <c r="M5462" t="s">
        <v>1634</v>
      </c>
    </row>
    <row r="5463" spans="1:13" x14ac:dyDescent="0.25">
      <c r="A5463">
        <v>78967</v>
      </c>
      <c r="B5463" t="s">
        <v>13876</v>
      </c>
      <c r="C5463" t="s">
        <v>13877</v>
      </c>
      <c r="D5463" t="s">
        <v>2605</v>
      </c>
      <c r="E5463" t="s">
        <v>7934</v>
      </c>
      <c r="F5463" t="s">
        <v>13859</v>
      </c>
      <c r="G5463" t="s">
        <v>13860</v>
      </c>
      <c r="I5463">
        <v>7905</v>
      </c>
      <c r="K5463" t="s">
        <v>13872</v>
      </c>
      <c r="L5463" t="s">
        <v>1647</v>
      </c>
      <c r="M5463" t="s">
        <v>1634</v>
      </c>
    </row>
    <row r="5464" spans="1:13" x14ac:dyDescent="0.25">
      <c r="A5464">
        <v>78967</v>
      </c>
      <c r="B5464" t="s">
        <v>13876</v>
      </c>
      <c r="C5464" t="s">
        <v>13877</v>
      </c>
      <c r="D5464" t="s">
        <v>2605</v>
      </c>
      <c r="E5464" t="s">
        <v>7934</v>
      </c>
      <c r="F5464" t="s">
        <v>13725</v>
      </c>
      <c r="G5464" t="s">
        <v>6006</v>
      </c>
      <c r="L5464" t="s">
        <v>13880</v>
      </c>
      <c r="M5464" t="s">
        <v>1634</v>
      </c>
    </row>
    <row r="5465" spans="1:13" x14ac:dyDescent="0.25">
      <c r="A5465">
        <v>78967</v>
      </c>
      <c r="B5465" t="s">
        <v>13876</v>
      </c>
      <c r="C5465" t="s">
        <v>13877</v>
      </c>
      <c r="D5465" t="s">
        <v>2605</v>
      </c>
      <c r="E5465" t="s">
        <v>7934</v>
      </c>
      <c r="F5465" t="s">
        <v>13338</v>
      </c>
      <c r="G5465" t="s">
        <v>13881</v>
      </c>
      <c r="H5465">
        <v>5202155859</v>
      </c>
      <c r="I5465">
        <v>802</v>
      </c>
      <c r="J5465">
        <v>5202155862</v>
      </c>
      <c r="K5465" t="s">
        <v>13882</v>
      </c>
      <c r="L5465" t="s">
        <v>1640</v>
      </c>
      <c r="M5465" t="s">
        <v>1640</v>
      </c>
    </row>
    <row r="5466" spans="1:13" x14ac:dyDescent="0.25">
      <c r="A5466">
        <v>78967</v>
      </c>
      <c r="B5466" t="s">
        <v>13876</v>
      </c>
      <c r="C5466" t="s">
        <v>13877</v>
      </c>
      <c r="D5466" t="s">
        <v>2605</v>
      </c>
      <c r="E5466" t="s">
        <v>7934</v>
      </c>
      <c r="F5466" t="s">
        <v>13883</v>
      </c>
      <c r="G5466" t="s">
        <v>2845</v>
      </c>
      <c r="L5466" t="s">
        <v>1640</v>
      </c>
      <c r="M5466" t="s">
        <v>1640</v>
      </c>
    </row>
    <row r="5467" spans="1:13" x14ac:dyDescent="0.25">
      <c r="A5467">
        <v>90637</v>
      </c>
      <c r="B5467" t="s">
        <v>13884</v>
      </c>
      <c r="C5467" t="s">
        <v>13885</v>
      </c>
      <c r="D5467" t="s">
        <v>2596</v>
      </c>
      <c r="E5467" t="s">
        <v>7934</v>
      </c>
      <c r="F5467" t="s">
        <v>7938</v>
      </c>
      <c r="G5467" t="s">
        <v>7939</v>
      </c>
      <c r="K5467" t="s">
        <v>10529</v>
      </c>
      <c r="L5467" t="s">
        <v>8309</v>
      </c>
      <c r="M5467" t="s">
        <v>1634</v>
      </c>
    </row>
    <row r="5468" spans="1:13" x14ac:dyDescent="0.25">
      <c r="A5468">
        <v>90637</v>
      </c>
      <c r="B5468" t="s">
        <v>13884</v>
      </c>
      <c r="C5468" t="s">
        <v>13885</v>
      </c>
      <c r="D5468" t="s">
        <v>2596</v>
      </c>
      <c r="E5468" t="s">
        <v>7934</v>
      </c>
      <c r="F5468" t="s">
        <v>7935</v>
      </c>
      <c r="G5468" t="s">
        <v>7936</v>
      </c>
      <c r="J5468">
        <v>4805587038</v>
      </c>
      <c r="K5468" t="s">
        <v>7937</v>
      </c>
      <c r="L5468" t="s">
        <v>1640</v>
      </c>
      <c r="M5468" t="s">
        <v>1634</v>
      </c>
    </row>
    <row r="5469" spans="1:13" x14ac:dyDescent="0.25">
      <c r="A5469">
        <v>90637</v>
      </c>
      <c r="B5469" t="s">
        <v>13884</v>
      </c>
      <c r="C5469" t="s">
        <v>13885</v>
      </c>
      <c r="D5469" t="s">
        <v>2596</v>
      </c>
      <c r="E5469" t="s">
        <v>7934</v>
      </c>
      <c r="F5469" t="s">
        <v>7935</v>
      </c>
      <c r="G5469" t="s">
        <v>7936</v>
      </c>
      <c r="J5469">
        <v>4805587038</v>
      </c>
      <c r="K5469" t="s">
        <v>7937</v>
      </c>
      <c r="L5469" t="s">
        <v>1640</v>
      </c>
      <c r="M5469" t="s">
        <v>1640</v>
      </c>
    </row>
    <row r="5470" spans="1:13" x14ac:dyDescent="0.25">
      <c r="A5470">
        <v>90637</v>
      </c>
      <c r="B5470" t="s">
        <v>13884</v>
      </c>
      <c r="C5470" t="s">
        <v>13885</v>
      </c>
      <c r="D5470" t="s">
        <v>2596</v>
      </c>
      <c r="E5470" t="s">
        <v>7934</v>
      </c>
      <c r="F5470" t="s">
        <v>2376</v>
      </c>
      <c r="G5470" t="s">
        <v>7941</v>
      </c>
      <c r="H5470">
        <v>4806330414</v>
      </c>
      <c r="K5470" t="s">
        <v>10532</v>
      </c>
      <c r="L5470" t="s">
        <v>1639</v>
      </c>
      <c r="M5470" t="s">
        <v>1640</v>
      </c>
    </row>
    <row r="5471" spans="1:13" x14ac:dyDescent="0.25">
      <c r="A5471">
        <v>90638</v>
      </c>
      <c r="B5471" t="s">
        <v>13884</v>
      </c>
      <c r="C5471" t="s">
        <v>13886</v>
      </c>
      <c r="D5471" t="s">
        <v>2605</v>
      </c>
      <c r="E5471" t="s">
        <v>7934</v>
      </c>
      <c r="F5471" t="s">
        <v>7938</v>
      </c>
      <c r="G5471" t="s">
        <v>7939</v>
      </c>
      <c r="L5471" t="s">
        <v>8309</v>
      </c>
      <c r="M5471" t="s">
        <v>1634</v>
      </c>
    </row>
    <row r="5472" spans="1:13" x14ac:dyDescent="0.25">
      <c r="A5472">
        <v>90638</v>
      </c>
      <c r="B5472" t="s">
        <v>13884</v>
      </c>
      <c r="C5472" t="s">
        <v>13886</v>
      </c>
      <c r="D5472" t="s">
        <v>2605</v>
      </c>
      <c r="E5472" t="s">
        <v>7934</v>
      </c>
      <c r="F5472" t="s">
        <v>7935</v>
      </c>
      <c r="G5472" t="s">
        <v>7936</v>
      </c>
      <c r="J5472">
        <v>4805587038</v>
      </c>
      <c r="K5472" t="s">
        <v>7937</v>
      </c>
      <c r="M5472" t="s">
        <v>1634</v>
      </c>
    </row>
    <row r="5473" spans="1:13" x14ac:dyDescent="0.25">
      <c r="A5473">
        <v>92610</v>
      </c>
      <c r="B5473" t="s">
        <v>13887</v>
      </c>
      <c r="C5473" t="s">
        <v>13888</v>
      </c>
      <c r="D5473" t="s">
        <v>2596</v>
      </c>
      <c r="E5473" t="s">
        <v>7934</v>
      </c>
      <c r="F5473" t="s">
        <v>3018</v>
      </c>
      <c r="G5473" t="s">
        <v>1960</v>
      </c>
      <c r="H5473">
        <v>4802705438</v>
      </c>
      <c r="K5473" t="s">
        <v>8236</v>
      </c>
      <c r="L5473" t="s">
        <v>2613</v>
      </c>
      <c r="M5473" t="s">
        <v>1634</v>
      </c>
    </row>
    <row r="5474" spans="1:13" x14ac:dyDescent="0.25">
      <c r="A5474">
        <v>92610</v>
      </c>
      <c r="B5474" t="s">
        <v>13887</v>
      </c>
      <c r="C5474" t="s">
        <v>13888</v>
      </c>
      <c r="D5474" t="s">
        <v>2596</v>
      </c>
      <c r="E5474" t="s">
        <v>7934</v>
      </c>
      <c r="F5474" t="s">
        <v>1766</v>
      </c>
      <c r="G5474" t="s">
        <v>4525</v>
      </c>
      <c r="H5474">
        <v>4802705438</v>
      </c>
      <c r="K5474" t="s">
        <v>13889</v>
      </c>
      <c r="M5474" t="s">
        <v>1634</v>
      </c>
    </row>
    <row r="5475" spans="1:13" x14ac:dyDescent="0.25">
      <c r="A5475">
        <v>92610</v>
      </c>
      <c r="B5475" t="s">
        <v>13887</v>
      </c>
      <c r="C5475" t="s">
        <v>13888</v>
      </c>
      <c r="D5475" t="s">
        <v>2596</v>
      </c>
      <c r="E5475" t="s">
        <v>7934</v>
      </c>
      <c r="F5475" t="s">
        <v>2896</v>
      </c>
      <c r="G5475" t="s">
        <v>8112</v>
      </c>
      <c r="K5475" t="s">
        <v>8113</v>
      </c>
      <c r="M5475" t="s">
        <v>1634</v>
      </c>
    </row>
    <row r="5476" spans="1:13" x14ac:dyDescent="0.25">
      <c r="A5476">
        <v>90534</v>
      </c>
      <c r="B5476" t="s">
        <v>13887</v>
      </c>
      <c r="C5476" t="s">
        <v>13890</v>
      </c>
      <c r="D5476" t="s">
        <v>2605</v>
      </c>
      <c r="E5476" t="s">
        <v>7934</v>
      </c>
      <c r="F5476" t="s">
        <v>3075</v>
      </c>
      <c r="G5476" t="s">
        <v>4000</v>
      </c>
      <c r="M5476" t="s">
        <v>1634</v>
      </c>
    </row>
    <row r="5477" spans="1:13" x14ac:dyDescent="0.25">
      <c r="A5477">
        <v>90534</v>
      </c>
      <c r="B5477" t="s">
        <v>13887</v>
      </c>
      <c r="C5477" t="s">
        <v>13890</v>
      </c>
      <c r="D5477" t="s">
        <v>2605</v>
      </c>
      <c r="E5477" t="s">
        <v>7934</v>
      </c>
      <c r="F5477" t="s">
        <v>4162</v>
      </c>
      <c r="G5477" t="s">
        <v>3775</v>
      </c>
      <c r="M5477" t="s">
        <v>1634</v>
      </c>
    </row>
    <row r="5478" spans="1:13" x14ac:dyDescent="0.25">
      <c r="A5478">
        <v>92987</v>
      </c>
      <c r="B5478" t="s">
        <v>13891</v>
      </c>
      <c r="C5478" t="s">
        <v>13892</v>
      </c>
      <c r="D5478" t="s">
        <v>2596</v>
      </c>
      <c r="E5478" t="s">
        <v>7934</v>
      </c>
      <c r="F5478" t="s">
        <v>6792</v>
      </c>
      <c r="G5478" t="s">
        <v>8010</v>
      </c>
      <c r="K5478" t="s">
        <v>8011</v>
      </c>
      <c r="L5478" t="s">
        <v>8012</v>
      </c>
      <c r="M5478" t="s">
        <v>1640</v>
      </c>
    </row>
    <row r="5479" spans="1:13" x14ac:dyDescent="0.25">
      <c r="A5479">
        <v>92987</v>
      </c>
      <c r="B5479" t="s">
        <v>13891</v>
      </c>
      <c r="C5479" t="s">
        <v>13892</v>
      </c>
      <c r="D5479" t="s">
        <v>2596</v>
      </c>
      <c r="E5479" t="s">
        <v>7934</v>
      </c>
      <c r="F5479" t="s">
        <v>8013</v>
      </c>
      <c r="G5479" t="s">
        <v>8014</v>
      </c>
      <c r="H5479">
        <v>4507275805</v>
      </c>
      <c r="M5479" t="s">
        <v>1640</v>
      </c>
    </row>
    <row r="5480" spans="1:13" x14ac:dyDescent="0.25">
      <c r="A5480">
        <v>635758</v>
      </c>
      <c r="B5480" t="s">
        <v>13893</v>
      </c>
      <c r="C5480" t="s">
        <v>13894</v>
      </c>
      <c r="D5480" t="s">
        <v>2605</v>
      </c>
      <c r="E5480" t="s">
        <v>7934</v>
      </c>
      <c r="F5480" t="s">
        <v>8003</v>
      </c>
      <c r="G5480" t="s">
        <v>8004</v>
      </c>
      <c r="H5480">
        <v>4807276215</v>
      </c>
      <c r="K5480" t="s">
        <v>8456</v>
      </c>
      <c r="M5480" t="s">
        <v>1634</v>
      </c>
    </row>
    <row r="5481" spans="1:13" x14ac:dyDescent="0.25">
      <c r="A5481">
        <v>635758</v>
      </c>
      <c r="B5481" t="s">
        <v>13893</v>
      </c>
      <c r="C5481" t="s">
        <v>13894</v>
      </c>
      <c r="D5481" t="s">
        <v>2605</v>
      </c>
      <c r="E5481" t="s">
        <v>7934</v>
      </c>
      <c r="F5481" t="s">
        <v>2699</v>
      </c>
      <c r="G5481" t="s">
        <v>12901</v>
      </c>
      <c r="H5481">
        <v>5203744200</v>
      </c>
      <c r="K5481" t="s">
        <v>13895</v>
      </c>
      <c r="L5481" t="s">
        <v>8038</v>
      </c>
      <c r="M5481" t="s">
        <v>1634</v>
      </c>
    </row>
    <row r="5482" spans="1:13" x14ac:dyDescent="0.25">
      <c r="A5482">
        <v>92978</v>
      </c>
      <c r="B5482" t="s">
        <v>13896</v>
      </c>
      <c r="C5482" t="s">
        <v>13897</v>
      </c>
      <c r="D5482" t="s">
        <v>2596</v>
      </c>
      <c r="E5482" t="s">
        <v>7934</v>
      </c>
      <c r="F5482" t="s">
        <v>3350</v>
      </c>
      <c r="G5482" t="s">
        <v>13898</v>
      </c>
      <c r="J5482">
        <v>5204139397</v>
      </c>
      <c r="K5482" t="s">
        <v>13899</v>
      </c>
      <c r="L5482" t="s">
        <v>3043</v>
      </c>
      <c r="M5482" t="s">
        <v>1634</v>
      </c>
    </row>
    <row r="5483" spans="1:13" x14ac:dyDescent="0.25">
      <c r="A5483">
        <v>92978</v>
      </c>
      <c r="B5483" t="s">
        <v>13896</v>
      </c>
      <c r="C5483" t="s">
        <v>13897</v>
      </c>
      <c r="D5483" t="s">
        <v>2596</v>
      </c>
      <c r="E5483" t="s">
        <v>7934</v>
      </c>
      <c r="F5483" t="s">
        <v>1652</v>
      </c>
      <c r="G5483" t="s">
        <v>13898</v>
      </c>
      <c r="H5483" t="s">
        <v>13900</v>
      </c>
      <c r="J5483">
        <v>5208760492</v>
      </c>
      <c r="K5483" t="s">
        <v>13901</v>
      </c>
      <c r="L5483" t="s">
        <v>2707</v>
      </c>
      <c r="M5483" t="s">
        <v>1640</v>
      </c>
    </row>
    <row r="5484" spans="1:13" x14ac:dyDescent="0.25">
      <c r="A5484">
        <v>92978</v>
      </c>
      <c r="B5484" t="s">
        <v>13896</v>
      </c>
      <c r="C5484" t="s">
        <v>13897</v>
      </c>
      <c r="D5484" t="s">
        <v>2596</v>
      </c>
      <c r="E5484" t="s">
        <v>7934</v>
      </c>
      <c r="F5484" t="s">
        <v>13902</v>
      </c>
      <c r="G5484" t="s">
        <v>13903</v>
      </c>
      <c r="H5484">
        <v>5203812360</v>
      </c>
      <c r="J5484">
        <v>5208760492</v>
      </c>
      <c r="K5484" t="s">
        <v>13904</v>
      </c>
      <c r="L5484" t="s">
        <v>2446</v>
      </c>
      <c r="M5484" t="s">
        <v>1765</v>
      </c>
    </row>
    <row r="5485" spans="1:13" x14ac:dyDescent="0.25">
      <c r="A5485">
        <v>649230</v>
      </c>
      <c r="B5485" t="s">
        <v>13905</v>
      </c>
      <c r="C5485" t="s">
        <v>13906</v>
      </c>
      <c r="D5485" t="s">
        <v>2605</v>
      </c>
      <c r="E5485" t="s">
        <v>7934</v>
      </c>
    </row>
    <row r="5486" spans="1:13" x14ac:dyDescent="0.25">
      <c r="A5486">
        <v>92199</v>
      </c>
      <c r="B5486" t="s">
        <v>13907</v>
      </c>
      <c r="C5486" t="s">
        <v>13908</v>
      </c>
      <c r="D5486" t="s">
        <v>2596</v>
      </c>
      <c r="E5486" t="s">
        <v>7934</v>
      </c>
      <c r="F5486" t="s">
        <v>4162</v>
      </c>
      <c r="G5486" t="s">
        <v>3775</v>
      </c>
      <c r="K5486" t="s">
        <v>8489</v>
      </c>
      <c r="M5486" t="s">
        <v>1634</v>
      </c>
    </row>
    <row r="5487" spans="1:13" x14ac:dyDescent="0.25">
      <c r="A5487">
        <v>92199</v>
      </c>
      <c r="B5487" t="s">
        <v>13907</v>
      </c>
      <c r="C5487" t="s">
        <v>13908</v>
      </c>
      <c r="D5487" t="s">
        <v>2596</v>
      </c>
      <c r="E5487" t="s">
        <v>7934</v>
      </c>
      <c r="F5487" t="s">
        <v>2896</v>
      </c>
      <c r="G5487" t="s">
        <v>8112</v>
      </c>
      <c r="K5487" t="s">
        <v>8113</v>
      </c>
      <c r="L5487" t="s">
        <v>13909</v>
      </c>
      <c r="M5487" t="s">
        <v>1634</v>
      </c>
    </row>
    <row r="5488" spans="1:13" x14ac:dyDescent="0.25">
      <c r="A5488">
        <v>90366</v>
      </c>
      <c r="B5488" t="s">
        <v>13907</v>
      </c>
      <c r="C5488" t="s">
        <v>13910</v>
      </c>
      <c r="D5488" t="s">
        <v>2605</v>
      </c>
      <c r="E5488" t="s">
        <v>7934</v>
      </c>
      <c r="F5488" t="s">
        <v>13911</v>
      </c>
      <c r="G5488" t="s">
        <v>13912</v>
      </c>
      <c r="K5488" t="s">
        <v>13913</v>
      </c>
      <c r="L5488" t="s">
        <v>13914</v>
      </c>
      <c r="M5488" t="s">
        <v>1634</v>
      </c>
    </row>
    <row r="5489" spans="1:13" x14ac:dyDescent="0.25">
      <c r="A5489">
        <v>90366</v>
      </c>
      <c r="B5489" t="s">
        <v>13907</v>
      </c>
      <c r="C5489" t="s">
        <v>13910</v>
      </c>
      <c r="D5489" t="s">
        <v>2605</v>
      </c>
      <c r="E5489" t="s">
        <v>7934</v>
      </c>
      <c r="F5489" t="s">
        <v>1779</v>
      </c>
      <c r="G5489" t="s">
        <v>13912</v>
      </c>
      <c r="H5489">
        <v>5204212323</v>
      </c>
      <c r="J5489">
        <v>5204214443</v>
      </c>
      <c r="K5489" t="s">
        <v>13915</v>
      </c>
      <c r="M5489" t="s">
        <v>1634</v>
      </c>
    </row>
    <row r="5490" spans="1:13" x14ac:dyDescent="0.25">
      <c r="A5490">
        <v>90366</v>
      </c>
      <c r="B5490" t="s">
        <v>13907</v>
      </c>
      <c r="C5490" t="s">
        <v>13910</v>
      </c>
      <c r="D5490" t="s">
        <v>2605</v>
      </c>
      <c r="E5490" t="s">
        <v>7934</v>
      </c>
      <c r="F5490" t="s">
        <v>3075</v>
      </c>
      <c r="G5490" t="s">
        <v>4000</v>
      </c>
      <c r="M5490" t="s">
        <v>1634</v>
      </c>
    </row>
    <row r="5491" spans="1:13" x14ac:dyDescent="0.25">
      <c r="A5491">
        <v>88360</v>
      </c>
      <c r="B5491" t="s">
        <v>13916</v>
      </c>
      <c r="C5491" t="s">
        <v>13917</v>
      </c>
      <c r="D5491" t="s">
        <v>2596</v>
      </c>
      <c r="E5491" t="s">
        <v>7934</v>
      </c>
      <c r="F5491" t="s">
        <v>4162</v>
      </c>
      <c r="G5491" t="s">
        <v>3775</v>
      </c>
      <c r="M5491" t="s">
        <v>1634</v>
      </c>
    </row>
    <row r="5492" spans="1:13" x14ac:dyDescent="0.25">
      <c r="A5492">
        <v>88360</v>
      </c>
      <c r="B5492" t="s">
        <v>13916</v>
      </c>
      <c r="C5492" t="s">
        <v>13917</v>
      </c>
      <c r="D5492" t="s">
        <v>2596</v>
      </c>
      <c r="E5492" t="s">
        <v>7934</v>
      </c>
      <c r="F5492" t="s">
        <v>2896</v>
      </c>
      <c r="G5492" t="s">
        <v>8112</v>
      </c>
      <c r="K5492" t="s">
        <v>8113</v>
      </c>
      <c r="L5492" t="s">
        <v>8114</v>
      </c>
      <c r="M5492" t="s">
        <v>1634</v>
      </c>
    </row>
    <row r="5493" spans="1:13" x14ac:dyDescent="0.25">
      <c r="A5493">
        <v>88360</v>
      </c>
      <c r="B5493" t="s">
        <v>13916</v>
      </c>
      <c r="C5493" t="s">
        <v>13917</v>
      </c>
      <c r="D5493" t="s">
        <v>2596</v>
      </c>
      <c r="E5493" t="s">
        <v>7934</v>
      </c>
      <c r="F5493" t="s">
        <v>3051</v>
      </c>
      <c r="G5493" t="s">
        <v>3502</v>
      </c>
      <c r="H5493">
        <v>4809094478</v>
      </c>
      <c r="K5493" t="s">
        <v>8613</v>
      </c>
      <c r="M5493" t="s">
        <v>1634</v>
      </c>
    </row>
    <row r="5494" spans="1:13" x14ac:dyDescent="0.25">
      <c r="A5494">
        <v>88360</v>
      </c>
      <c r="B5494" t="s">
        <v>13916</v>
      </c>
      <c r="C5494" t="s">
        <v>13917</v>
      </c>
      <c r="D5494" t="s">
        <v>2596</v>
      </c>
      <c r="E5494" t="s">
        <v>7934</v>
      </c>
      <c r="F5494" t="s">
        <v>3075</v>
      </c>
      <c r="G5494" t="s">
        <v>4000</v>
      </c>
      <c r="H5494">
        <v>4802705438</v>
      </c>
      <c r="K5494" t="s">
        <v>8227</v>
      </c>
      <c r="L5494" t="s">
        <v>1640</v>
      </c>
      <c r="M5494" t="s">
        <v>1640</v>
      </c>
    </row>
    <row r="5495" spans="1:13" x14ac:dyDescent="0.25">
      <c r="A5495">
        <v>88360</v>
      </c>
      <c r="B5495" t="s">
        <v>13916</v>
      </c>
      <c r="C5495" t="s">
        <v>13917</v>
      </c>
      <c r="D5495" t="s">
        <v>2596</v>
      </c>
      <c r="E5495" t="s">
        <v>7934</v>
      </c>
      <c r="F5495" t="s">
        <v>1766</v>
      </c>
      <c r="G5495" t="s">
        <v>4525</v>
      </c>
      <c r="H5495">
        <v>4802705438</v>
      </c>
      <c r="K5495" t="s">
        <v>13918</v>
      </c>
      <c r="L5495" t="s">
        <v>8636</v>
      </c>
      <c r="M5495" t="s">
        <v>1765</v>
      </c>
    </row>
    <row r="5496" spans="1:13" x14ac:dyDescent="0.25">
      <c r="A5496">
        <v>88360</v>
      </c>
      <c r="B5496" t="s">
        <v>13916</v>
      </c>
      <c r="C5496" t="s">
        <v>13917</v>
      </c>
      <c r="D5496" t="s">
        <v>2596</v>
      </c>
      <c r="E5496" t="s">
        <v>7934</v>
      </c>
      <c r="F5496" t="s">
        <v>2896</v>
      </c>
      <c r="G5496" t="s">
        <v>8112</v>
      </c>
      <c r="K5496" t="s">
        <v>8113</v>
      </c>
      <c r="L5496" t="s">
        <v>8114</v>
      </c>
      <c r="M5496" t="s">
        <v>1765</v>
      </c>
    </row>
    <row r="5497" spans="1:13" x14ac:dyDescent="0.25">
      <c r="A5497">
        <v>88361</v>
      </c>
      <c r="B5497" t="s">
        <v>13916</v>
      </c>
      <c r="C5497" t="s">
        <v>13919</v>
      </c>
      <c r="D5497" t="s">
        <v>2605</v>
      </c>
      <c r="E5497" t="s">
        <v>7934</v>
      </c>
      <c r="F5497" t="s">
        <v>1766</v>
      </c>
      <c r="G5497" t="s">
        <v>4525</v>
      </c>
      <c r="K5497" t="s">
        <v>13920</v>
      </c>
      <c r="M5497" t="s">
        <v>1634</v>
      </c>
    </row>
    <row r="5498" spans="1:13" x14ac:dyDescent="0.25">
      <c r="A5498">
        <v>88361</v>
      </c>
      <c r="B5498" t="s">
        <v>13916</v>
      </c>
      <c r="C5498" t="s">
        <v>13919</v>
      </c>
      <c r="D5498" t="s">
        <v>2605</v>
      </c>
      <c r="E5498" t="s">
        <v>7934</v>
      </c>
      <c r="F5498" t="s">
        <v>7018</v>
      </c>
      <c r="G5498" t="s">
        <v>13921</v>
      </c>
      <c r="H5498">
        <v>5204239999</v>
      </c>
      <c r="J5498">
        <v>5204239997</v>
      </c>
      <c r="K5498" t="s">
        <v>13922</v>
      </c>
      <c r="M5498" t="s">
        <v>1634</v>
      </c>
    </row>
    <row r="5499" spans="1:13" x14ac:dyDescent="0.25">
      <c r="A5499">
        <v>88361</v>
      </c>
      <c r="B5499" t="s">
        <v>13916</v>
      </c>
      <c r="C5499" t="s">
        <v>13919</v>
      </c>
      <c r="D5499" t="s">
        <v>2605</v>
      </c>
      <c r="E5499" t="s">
        <v>7934</v>
      </c>
      <c r="F5499" t="s">
        <v>2204</v>
      </c>
      <c r="G5499" t="s">
        <v>8232</v>
      </c>
      <c r="M5499" t="s">
        <v>1634</v>
      </c>
    </row>
    <row r="5500" spans="1:13" x14ac:dyDescent="0.25">
      <c r="A5500">
        <v>1000166</v>
      </c>
      <c r="B5500" t="s">
        <v>13923</v>
      </c>
      <c r="C5500" t="s">
        <v>13924</v>
      </c>
      <c r="D5500" t="s">
        <v>2596</v>
      </c>
      <c r="E5500" t="s">
        <v>7934</v>
      </c>
      <c r="F5500" t="s">
        <v>6101</v>
      </c>
      <c r="G5500" t="s">
        <v>3744</v>
      </c>
      <c r="H5500">
        <v>6027431743</v>
      </c>
      <c r="K5500" t="s">
        <v>13925</v>
      </c>
      <c r="M5500" t="s">
        <v>1634</v>
      </c>
    </row>
    <row r="5501" spans="1:13" x14ac:dyDescent="0.25">
      <c r="A5501">
        <v>1000972</v>
      </c>
      <c r="B5501" t="s">
        <v>13923</v>
      </c>
      <c r="C5501" t="s">
        <v>13926</v>
      </c>
      <c r="D5501" t="s">
        <v>2605</v>
      </c>
      <c r="E5501" t="s">
        <v>7934</v>
      </c>
    </row>
    <row r="5502" spans="1:13" x14ac:dyDescent="0.25">
      <c r="A5502">
        <v>92980</v>
      </c>
      <c r="B5502" t="s">
        <v>13927</v>
      </c>
      <c r="C5502" t="s">
        <v>13928</v>
      </c>
      <c r="D5502" t="s">
        <v>2596</v>
      </c>
      <c r="E5502" t="s">
        <v>7934</v>
      </c>
      <c r="F5502" t="s">
        <v>2376</v>
      </c>
      <c r="G5502" t="s">
        <v>12958</v>
      </c>
      <c r="H5502">
        <v>4807899536</v>
      </c>
      <c r="K5502" t="s">
        <v>13929</v>
      </c>
      <c r="L5502" t="s">
        <v>13930</v>
      </c>
      <c r="M5502" t="s">
        <v>1634</v>
      </c>
    </row>
    <row r="5503" spans="1:13" x14ac:dyDescent="0.25">
      <c r="A5503">
        <v>92980</v>
      </c>
      <c r="B5503" t="s">
        <v>13927</v>
      </c>
      <c r="C5503" t="s">
        <v>13928</v>
      </c>
      <c r="D5503" t="s">
        <v>2596</v>
      </c>
      <c r="E5503" t="s">
        <v>7934</v>
      </c>
      <c r="F5503" t="s">
        <v>2376</v>
      </c>
      <c r="G5503" t="s">
        <v>12958</v>
      </c>
      <c r="H5503">
        <v>4807899536</v>
      </c>
      <c r="K5503" t="s">
        <v>13929</v>
      </c>
      <c r="L5503" t="s">
        <v>13930</v>
      </c>
      <c r="M5503" t="s">
        <v>1640</v>
      </c>
    </row>
    <row r="5504" spans="1:13" x14ac:dyDescent="0.25">
      <c r="A5504">
        <v>92980</v>
      </c>
      <c r="B5504" t="s">
        <v>13927</v>
      </c>
      <c r="C5504" t="s">
        <v>13928</v>
      </c>
      <c r="D5504" t="s">
        <v>2596</v>
      </c>
      <c r="E5504" t="s">
        <v>7934</v>
      </c>
      <c r="F5504" t="s">
        <v>13931</v>
      </c>
      <c r="G5504" t="s">
        <v>13932</v>
      </c>
      <c r="H5504">
        <v>4802079886</v>
      </c>
      <c r="K5504" t="s">
        <v>13933</v>
      </c>
      <c r="M5504" t="s">
        <v>1640</v>
      </c>
    </row>
    <row r="5505" spans="1:13" x14ac:dyDescent="0.25">
      <c r="A5505">
        <v>1000276</v>
      </c>
      <c r="B5505" t="s">
        <v>13927</v>
      </c>
      <c r="C5505" t="s">
        <v>13934</v>
      </c>
      <c r="D5505" t="s">
        <v>2605</v>
      </c>
      <c r="E5505" t="s">
        <v>7934</v>
      </c>
    </row>
    <row r="5506" spans="1:13" x14ac:dyDescent="0.25">
      <c r="A5506">
        <v>4457</v>
      </c>
      <c r="B5506" t="s">
        <v>344</v>
      </c>
      <c r="C5506" t="s">
        <v>13935</v>
      </c>
      <c r="D5506" t="s">
        <v>1628</v>
      </c>
      <c r="E5506" t="s">
        <v>12593</v>
      </c>
      <c r="F5506" t="s">
        <v>2309</v>
      </c>
      <c r="G5506" t="s">
        <v>9319</v>
      </c>
      <c r="H5506">
        <v>5202870800</v>
      </c>
      <c r="J5506">
        <v>5202873586</v>
      </c>
      <c r="K5506" t="s">
        <v>13936</v>
      </c>
      <c r="L5506" t="s">
        <v>1668</v>
      </c>
      <c r="M5506" t="s">
        <v>1634</v>
      </c>
    </row>
    <row r="5507" spans="1:13" x14ac:dyDescent="0.25">
      <c r="A5507">
        <v>4457</v>
      </c>
      <c r="B5507" t="s">
        <v>344</v>
      </c>
      <c r="C5507" t="s">
        <v>13935</v>
      </c>
      <c r="D5507" t="s">
        <v>1628</v>
      </c>
      <c r="E5507" t="s">
        <v>12593</v>
      </c>
      <c r="F5507" t="s">
        <v>13937</v>
      </c>
      <c r="G5507" t="s">
        <v>3151</v>
      </c>
      <c r="J5507">
        <v>5208766619</v>
      </c>
      <c r="K5507" t="s">
        <v>13938</v>
      </c>
      <c r="L5507" t="s">
        <v>1640</v>
      </c>
      <c r="M5507" t="s">
        <v>1640</v>
      </c>
    </row>
    <row r="5508" spans="1:13" x14ac:dyDescent="0.25">
      <c r="A5508">
        <v>4457</v>
      </c>
      <c r="B5508" t="s">
        <v>344</v>
      </c>
      <c r="C5508" t="s">
        <v>13935</v>
      </c>
      <c r="D5508" t="s">
        <v>1628</v>
      </c>
      <c r="E5508" t="s">
        <v>12593</v>
      </c>
      <c r="F5508" t="s">
        <v>12215</v>
      </c>
      <c r="G5508" t="s">
        <v>13939</v>
      </c>
      <c r="K5508" t="s">
        <v>13940</v>
      </c>
      <c r="L5508" t="s">
        <v>13941</v>
      </c>
      <c r="M5508" t="s">
        <v>1765</v>
      </c>
    </row>
    <row r="5509" spans="1:13" x14ac:dyDescent="0.25">
      <c r="A5509">
        <v>4457</v>
      </c>
      <c r="B5509" t="s">
        <v>344</v>
      </c>
      <c r="C5509" t="s">
        <v>13935</v>
      </c>
      <c r="D5509" t="s">
        <v>1628</v>
      </c>
      <c r="E5509" t="s">
        <v>12593</v>
      </c>
      <c r="F5509" t="s">
        <v>3739</v>
      </c>
      <c r="G5509" t="s">
        <v>6006</v>
      </c>
      <c r="H5509">
        <v>5203977916</v>
      </c>
      <c r="J5509">
        <v>5202879182</v>
      </c>
      <c r="K5509" t="s">
        <v>13942</v>
      </c>
      <c r="L5509" t="s">
        <v>13943</v>
      </c>
      <c r="M5509" t="s">
        <v>1765</v>
      </c>
    </row>
    <row r="5510" spans="1:13" x14ac:dyDescent="0.25">
      <c r="A5510">
        <v>6071</v>
      </c>
      <c r="B5510" t="s">
        <v>411</v>
      </c>
      <c r="C5510" t="s">
        <v>13944</v>
      </c>
      <c r="D5510" t="s">
        <v>1643</v>
      </c>
      <c r="E5510" t="s">
        <v>12593</v>
      </c>
      <c r="F5510" t="s">
        <v>3387</v>
      </c>
      <c r="G5510" t="s">
        <v>13945</v>
      </c>
      <c r="K5510" t="s">
        <v>13946</v>
      </c>
      <c r="L5510" t="s">
        <v>1647</v>
      </c>
      <c r="M5510" t="s">
        <v>1634</v>
      </c>
    </row>
    <row r="5511" spans="1:13" x14ac:dyDescent="0.25">
      <c r="A5511">
        <v>5954</v>
      </c>
      <c r="B5511" t="s">
        <v>4870</v>
      </c>
      <c r="C5511" t="s">
        <v>13947</v>
      </c>
      <c r="D5511" t="s">
        <v>1643</v>
      </c>
      <c r="E5511" t="s">
        <v>12593</v>
      </c>
      <c r="F5511" t="s">
        <v>4416</v>
      </c>
      <c r="G5511" t="s">
        <v>13948</v>
      </c>
      <c r="H5511">
        <v>5203772646</v>
      </c>
      <c r="J5511">
        <v>5203772674</v>
      </c>
      <c r="K5511" t="s">
        <v>13949</v>
      </c>
      <c r="L5511" t="s">
        <v>1647</v>
      </c>
      <c r="M5511" t="s">
        <v>1634</v>
      </c>
    </row>
    <row r="5512" spans="1:13" x14ac:dyDescent="0.25">
      <c r="A5512">
        <v>5955</v>
      </c>
      <c r="B5512" t="s">
        <v>13950</v>
      </c>
      <c r="C5512" t="s">
        <v>13951</v>
      </c>
      <c r="D5512" t="s">
        <v>1643</v>
      </c>
      <c r="E5512" t="s">
        <v>12593</v>
      </c>
    </row>
    <row r="5513" spans="1:13" x14ac:dyDescent="0.25">
      <c r="A5513">
        <v>5956</v>
      </c>
      <c r="B5513" t="s">
        <v>812</v>
      </c>
      <c r="C5513" t="s">
        <v>13952</v>
      </c>
      <c r="D5513" t="s">
        <v>1643</v>
      </c>
      <c r="E5513" t="s">
        <v>12593</v>
      </c>
      <c r="F5513" t="s">
        <v>12444</v>
      </c>
      <c r="G5513" t="s">
        <v>13953</v>
      </c>
      <c r="K5513" t="s">
        <v>13954</v>
      </c>
      <c r="L5513" t="s">
        <v>1647</v>
      </c>
      <c r="M5513" t="s">
        <v>1634</v>
      </c>
    </row>
    <row r="5514" spans="1:13" x14ac:dyDescent="0.25">
      <c r="A5514">
        <v>5957</v>
      </c>
      <c r="B5514" t="s">
        <v>818</v>
      </c>
      <c r="C5514" t="s">
        <v>13955</v>
      </c>
      <c r="D5514" t="s">
        <v>1643</v>
      </c>
      <c r="E5514" t="s">
        <v>12593</v>
      </c>
    </row>
    <row r="5515" spans="1:13" x14ac:dyDescent="0.25">
      <c r="A5515">
        <v>5958</v>
      </c>
      <c r="B5515" t="s">
        <v>814</v>
      </c>
      <c r="C5515" t="s">
        <v>13956</v>
      </c>
      <c r="D5515" t="s">
        <v>1643</v>
      </c>
      <c r="E5515" t="s">
        <v>12593</v>
      </c>
      <c r="F5515" t="s">
        <v>2376</v>
      </c>
      <c r="G5515" t="s">
        <v>13957</v>
      </c>
      <c r="H5515">
        <v>5202870840</v>
      </c>
      <c r="K5515" t="s">
        <v>13958</v>
      </c>
      <c r="L5515" t="s">
        <v>1647</v>
      </c>
      <c r="M5515" t="s">
        <v>1634</v>
      </c>
    </row>
    <row r="5516" spans="1:13" x14ac:dyDescent="0.25">
      <c r="A5516">
        <v>5959</v>
      </c>
      <c r="B5516" t="s">
        <v>801</v>
      </c>
      <c r="C5516" t="s">
        <v>13959</v>
      </c>
      <c r="D5516" t="s">
        <v>1643</v>
      </c>
      <c r="E5516" t="s">
        <v>12593</v>
      </c>
      <c r="F5516" t="s">
        <v>13960</v>
      </c>
      <c r="G5516" t="s">
        <v>13961</v>
      </c>
      <c r="H5516">
        <v>5202870880</v>
      </c>
      <c r="K5516" t="s">
        <v>13962</v>
      </c>
      <c r="M5516" t="s">
        <v>1634</v>
      </c>
    </row>
    <row r="5517" spans="1:13" x14ac:dyDescent="0.25">
      <c r="A5517">
        <v>5960</v>
      </c>
      <c r="B5517" t="s">
        <v>1293</v>
      </c>
      <c r="C5517" t="s">
        <v>13963</v>
      </c>
      <c r="D5517" t="s">
        <v>1643</v>
      </c>
      <c r="E5517" t="s">
        <v>12593</v>
      </c>
    </row>
    <row r="5518" spans="1:13" x14ac:dyDescent="0.25">
      <c r="A5518">
        <v>91269</v>
      </c>
      <c r="B5518" t="s">
        <v>13964</v>
      </c>
      <c r="C5518" t="s">
        <v>13965</v>
      </c>
      <c r="D5518" t="s">
        <v>1643</v>
      </c>
      <c r="E5518" t="s">
        <v>12593</v>
      </c>
      <c r="F5518" t="s">
        <v>13966</v>
      </c>
      <c r="G5518" t="s">
        <v>2162</v>
      </c>
      <c r="K5518" t="s">
        <v>13967</v>
      </c>
      <c r="L5518" t="s">
        <v>1647</v>
      </c>
      <c r="M5518" t="s">
        <v>1634</v>
      </c>
    </row>
    <row r="5519" spans="1:13" x14ac:dyDescent="0.25">
      <c r="A5519">
        <v>5961</v>
      </c>
      <c r="B5519" t="s">
        <v>13968</v>
      </c>
      <c r="C5519" t="s">
        <v>13969</v>
      </c>
      <c r="D5519" t="s">
        <v>1643</v>
      </c>
      <c r="E5519" t="s">
        <v>12593</v>
      </c>
      <c r="F5519" t="s">
        <v>13966</v>
      </c>
      <c r="G5519" t="s">
        <v>2162</v>
      </c>
      <c r="H5519">
        <v>5203977452</v>
      </c>
      <c r="K5519" t="s">
        <v>13970</v>
      </c>
      <c r="L5519" t="s">
        <v>1647</v>
      </c>
      <c r="M5519" t="s">
        <v>1634</v>
      </c>
    </row>
    <row r="5520" spans="1:13" x14ac:dyDescent="0.25">
      <c r="A5520">
        <v>5962</v>
      </c>
      <c r="B5520" t="s">
        <v>13971</v>
      </c>
      <c r="C5520" t="s">
        <v>13972</v>
      </c>
      <c r="D5520" t="s">
        <v>1643</v>
      </c>
      <c r="E5520" t="s">
        <v>12593</v>
      </c>
      <c r="F5520" t="s">
        <v>2309</v>
      </c>
      <c r="G5520" t="s">
        <v>9319</v>
      </c>
      <c r="H5520">
        <v>5202870800</v>
      </c>
      <c r="J5520">
        <v>5202873586</v>
      </c>
      <c r="K5520" t="s">
        <v>13936</v>
      </c>
      <c r="L5520" t="s">
        <v>2613</v>
      </c>
      <c r="M5520" t="s">
        <v>1634</v>
      </c>
    </row>
    <row r="5521" spans="1:13" x14ac:dyDescent="0.25">
      <c r="A5521">
        <v>5962</v>
      </c>
      <c r="B5521" t="s">
        <v>13971</v>
      </c>
      <c r="C5521" t="s">
        <v>13972</v>
      </c>
      <c r="D5521" t="s">
        <v>1643</v>
      </c>
      <c r="E5521" t="s">
        <v>12593</v>
      </c>
      <c r="F5521" t="s">
        <v>2286</v>
      </c>
      <c r="G5521" t="s">
        <v>5671</v>
      </c>
      <c r="K5521" t="s">
        <v>13973</v>
      </c>
      <c r="L5521" t="s">
        <v>1647</v>
      </c>
      <c r="M5521" t="s">
        <v>1634</v>
      </c>
    </row>
    <row r="5522" spans="1:13" x14ac:dyDescent="0.25">
      <c r="A5522">
        <v>4458</v>
      </c>
      <c r="B5522" t="s">
        <v>1268</v>
      </c>
      <c r="C5522" t="s">
        <v>13974</v>
      </c>
      <c r="D5522" t="s">
        <v>1628</v>
      </c>
      <c r="E5522" t="s">
        <v>12593</v>
      </c>
      <c r="F5522" t="s">
        <v>1707</v>
      </c>
      <c r="G5522" t="s">
        <v>12705</v>
      </c>
      <c r="H5522">
        <v>5203758603</v>
      </c>
      <c r="K5522" t="s">
        <v>13975</v>
      </c>
      <c r="L5522" t="s">
        <v>1668</v>
      </c>
      <c r="M5522" t="s">
        <v>1634</v>
      </c>
    </row>
    <row r="5523" spans="1:13" x14ac:dyDescent="0.25">
      <c r="A5523">
        <v>4458</v>
      </c>
      <c r="B5523" t="s">
        <v>1268</v>
      </c>
      <c r="C5523" t="s">
        <v>13974</v>
      </c>
      <c r="D5523" t="s">
        <v>1628</v>
      </c>
      <c r="E5523" t="s">
        <v>12593</v>
      </c>
      <c r="F5523" t="s">
        <v>1955</v>
      </c>
      <c r="G5523" t="s">
        <v>13976</v>
      </c>
      <c r="H5523">
        <v>5203758268</v>
      </c>
      <c r="K5523" t="s">
        <v>13977</v>
      </c>
      <c r="L5523" t="s">
        <v>2613</v>
      </c>
      <c r="M5523" t="s">
        <v>1634</v>
      </c>
    </row>
    <row r="5524" spans="1:13" x14ac:dyDescent="0.25">
      <c r="A5524">
        <v>4458</v>
      </c>
      <c r="B5524" t="s">
        <v>1268</v>
      </c>
      <c r="C5524" t="s">
        <v>13974</v>
      </c>
      <c r="D5524" t="s">
        <v>1628</v>
      </c>
      <c r="E5524" t="s">
        <v>12593</v>
      </c>
      <c r="F5524" t="s">
        <v>7534</v>
      </c>
      <c r="G5524" t="s">
        <v>2571</v>
      </c>
      <c r="K5524" t="s">
        <v>13978</v>
      </c>
      <c r="L5524" t="s">
        <v>1640</v>
      </c>
      <c r="M5524" t="s">
        <v>1640</v>
      </c>
    </row>
    <row r="5525" spans="1:13" x14ac:dyDescent="0.25">
      <c r="A5525">
        <v>4458</v>
      </c>
      <c r="B5525" t="s">
        <v>1268</v>
      </c>
      <c r="C5525" t="s">
        <v>13974</v>
      </c>
      <c r="D5525" t="s">
        <v>1628</v>
      </c>
      <c r="E5525" t="s">
        <v>12593</v>
      </c>
      <c r="F5525" t="s">
        <v>1952</v>
      </c>
      <c r="G5525" t="s">
        <v>5847</v>
      </c>
      <c r="H5525">
        <v>5203758288</v>
      </c>
      <c r="J5525">
        <v>5203770680</v>
      </c>
      <c r="K5525" t="s">
        <v>13979</v>
      </c>
      <c r="M5525" t="s">
        <v>1765</v>
      </c>
    </row>
    <row r="5526" spans="1:13" x14ac:dyDescent="0.25">
      <c r="A5526">
        <v>1001169</v>
      </c>
      <c r="B5526" t="s">
        <v>13980</v>
      </c>
      <c r="C5526" t="s">
        <v>13981</v>
      </c>
      <c r="D5526" t="s">
        <v>1643</v>
      </c>
      <c r="E5526" t="s">
        <v>12593</v>
      </c>
    </row>
    <row r="5527" spans="1:13" x14ac:dyDescent="0.25">
      <c r="A5527">
        <v>5963</v>
      </c>
      <c r="B5527" t="s">
        <v>1269</v>
      </c>
      <c r="C5527" t="s">
        <v>13982</v>
      </c>
      <c r="D5527" t="s">
        <v>1643</v>
      </c>
      <c r="E5527" t="s">
        <v>12593</v>
      </c>
      <c r="F5527" t="s">
        <v>13983</v>
      </c>
      <c r="G5527" t="s">
        <v>13984</v>
      </c>
      <c r="H5527">
        <v>5203758302</v>
      </c>
      <c r="K5527" t="s">
        <v>13985</v>
      </c>
      <c r="L5527" t="s">
        <v>1647</v>
      </c>
      <c r="M5527" t="s">
        <v>1634</v>
      </c>
    </row>
    <row r="5528" spans="1:13" x14ac:dyDescent="0.25">
      <c r="A5528">
        <v>5964</v>
      </c>
      <c r="B5528" t="s">
        <v>13986</v>
      </c>
      <c r="C5528" t="s">
        <v>13987</v>
      </c>
      <c r="D5528" t="s">
        <v>1643</v>
      </c>
      <c r="E5528" t="s">
        <v>12593</v>
      </c>
      <c r="F5528" t="s">
        <v>4598</v>
      </c>
      <c r="G5528" t="s">
        <v>1817</v>
      </c>
      <c r="H5528">
        <v>5203758402</v>
      </c>
      <c r="K5528" t="s">
        <v>13988</v>
      </c>
      <c r="L5528" t="s">
        <v>1647</v>
      </c>
      <c r="M5528" t="s">
        <v>1634</v>
      </c>
    </row>
    <row r="5529" spans="1:13" x14ac:dyDescent="0.25">
      <c r="A5529">
        <v>5965</v>
      </c>
      <c r="B5529" t="s">
        <v>1333</v>
      </c>
      <c r="C5529" t="s">
        <v>13989</v>
      </c>
      <c r="D5529" t="s">
        <v>1643</v>
      </c>
      <c r="E5529" t="s">
        <v>12593</v>
      </c>
    </row>
    <row r="5530" spans="1:13" x14ac:dyDescent="0.25">
      <c r="A5530">
        <v>89775</v>
      </c>
      <c r="B5530" t="s">
        <v>13990</v>
      </c>
      <c r="C5530" t="s">
        <v>13991</v>
      </c>
      <c r="D5530" t="s">
        <v>1643</v>
      </c>
      <c r="E5530" t="s">
        <v>12593</v>
      </c>
      <c r="F5530" t="s">
        <v>13992</v>
      </c>
      <c r="G5530" t="s">
        <v>7595</v>
      </c>
      <c r="H5530">
        <v>5203858802</v>
      </c>
      <c r="K5530" t="s">
        <v>13993</v>
      </c>
      <c r="L5530" t="s">
        <v>1647</v>
      </c>
      <c r="M5530" t="s">
        <v>1634</v>
      </c>
    </row>
    <row r="5531" spans="1:13" x14ac:dyDescent="0.25">
      <c r="A5531">
        <v>5966</v>
      </c>
      <c r="B5531" t="s">
        <v>13994</v>
      </c>
      <c r="C5531" t="s">
        <v>13995</v>
      </c>
      <c r="D5531" t="s">
        <v>1643</v>
      </c>
      <c r="E5531" t="s">
        <v>12593</v>
      </c>
      <c r="F5531" t="s">
        <v>12125</v>
      </c>
      <c r="G5531" t="s">
        <v>13996</v>
      </c>
      <c r="H5531">
        <v>5203758702</v>
      </c>
      <c r="K5531" t="s">
        <v>13997</v>
      </c>
      <c r="L5531" t="s">
        <v>1647</v>
      </c>
      <c r="M5531" t="s">
        <v>1634</v>
      </c>
    </row>
    <row r="5532" spans="1:13" x14ac:dyDescent="0.25">
      <c r="A5532">
        <v>4459</v>
      </c>
      <c r="B5532" t="s">
        <v>13998</v>
      </c>
      <c r="C5532" t="s">
        <v>13999</v>
      </c>
      <c r="D5532" t="s">
        <v>1628</v>
      </c>
      <c r="E5532" t="s">
        <v>12593</v>
      </c>
      <c r="F5532" t="s">
        <v>2261</v>
      </c>
      <c r="G5532" t="s">
        <v>3419</v>
      </c>
      <c r="H5532">
        <v>5202870737</v>
      </c>
      <c r="J5532">
        <v>5202879003</v>
      </c>
      <c r="K5532" t="s">
        <v>14000</v>
      </c>
      <c r="L5532" t="s">
        <v>1668</v>
      </c>
      <c r="M5532" t="s">
        <v>1634</v>
      </c>
    </row>
    <row r="5533" spans="1:13" x14ac:dyDescent="0.25">
      <c r="A5533">
        <v>4459</v>
      </c>
      <c r="B5533" t="s">
        <v>13998</v>
      </c>
      <c r="C5533" t="s">
        <v>13999</v>
      </c>
      <c r="D5533" t="s">
        <v>1628</v>
      </c>
      <c r="E5533" t="s">
        <v>12593</v>
      </c>
      <c r="F5533" t="s">
        <v>2114</v>
      </c>
      <c r="G5533" t="s">
        <v>14001</v>
      </c>
      <c r="H5533">
        <v>5202870737</v>
      </c>
      <c r="K5533" t="s">
        <v>14002</v>
      </c>
      <c r="L5533" t="s">
        <v>1640</v>
      </c>
      <c r="M5533" t="s">
        <v>1634</v>
      </c>
    </row>
    <row r="5534" spans="1:13" x14ac:dyDescent="0.25">
      <c r="A5534">
        <v>4459</v>
      </c>
      <c r="B5534" t="s">
        <v>13998</v>
      </c>
      <c r="C5534" t="s">
        <v>13999</v>
      </c>
      <c r="D5534" t="s">
        <v>1628</v>
      </c>
      <c r="E5534" t="s">
        <v>12593</v>
      </c>
      <c r="F5534" t="s">
        <v>2114</v>
      </c>
      <c r="G5534" t="s">
        <v>14001</v>
      </c>
      <c r="H5534">
        <v>5202870737</v>
      </c>
      <c r="K5534" t="s">
        <v>14002</v>
      </c>
      <c r="L5534" t="s">
        <v>1640</v>
      </c>
      <c r="M5534" t="s">
        <v>1640</v>
      </c>
    </row>
    <row r="5535" spans="1:13" x14ac:dyDescent="0.25">
      <c r="A5535">
        <v>5967</v>
      </c>
      <c r="B5535" t="s">
        <v>14003</v>
      </c>
      <c r="C5535" t="s">
        <v>14004</v>
      </c>
      <c r="D5535" t="s">
        <v>1643</v>
      </c>
      <c r="E5535" t="s">
        <v>12593</v>
      </c>
      <c r="F5535" t="s">
        <v>2261</v>
      </c>
      <c r="G5535" t="s">
        <v>3419</v>
      </c>
      <c r="H5535">
        <v>5202876242</v>
      </c>
      <c r="K5535" t="s">
        <v>14005</v>
      </c>
      <c r="L5535" t="s">
        <v>1647</v>
      </c>
      <c r="M5535" t="s">
        <v>1634</v>
      </c>
    </row>
    <row r="5536" spans="1:13" x14ac:dyDescent="0.25">
      <c r="A5536">
        <v>4460</v>
      </c>
      <c r="B5536" t="s">
        <v>14006</v>
      </c>
      <c r="C5536" t="s">
        <v>14007</v>
      </c>
      <c r="D5536" t="s">
        <v>1628</v>
      </c>
      <c r="E5536" t="s">
        <v>12593</v>
      </c>
      <c r="F5536" t="s">
        <v>14008</v>
      </c>
      <c r="G5536" t="s">
        <v>14009</v>
      </c>
      <c r="H5536">
        <v>5203943005</v>
      </c>
      <c r="K5536" t="s">
        <v>14010</v>
      </c>
      <c r="L5536" t="s">
        <v>1668</v>
      </c>
      <c r="M5536" t="s">
        <v>1634</v>
      </c>
    </row>
    <row r="5537" spans="1:13" x14ac:dyDescent="0.25">
      <c r="A5537">
        <v>4460</v>
      </c>
      <c r="B5537" t="s">
        <v>14006</v>
      </c>
      <c r="C5537" t="s">
        <v>14007</v>
      </c>
      <c r="D5537" t="s">
        <v>1628</v>
      </c>
      <c r="E5537" t="s">
        <v>12593</v>
      </c>
      <c r="F5537" t="s">
        <v>6365</v>
      </c>
      <c r="G5537" t="s">
        <v>14011</v>
      </c>
      <c r="H5537">
        <v>5203943052</v>
      </c>
      <c r="K5537" t="s">
        <v>14012</v>
      </c>
      <c r="L5537" t="s">
        <v>1640</v>
      </c>
      <c r="M5537" t="s">
        <v>1634</v>
      </c>
    </row>
    <row r="5538" spans="1:13" x14ac:dyDescent="0.25">
      <c r="A5538">
        <v>4460</v>
      </c>
      <c r="B5538" t="s">
        <v>14006</v>
      </c>
      <c r="C5538" t="s">
        <v>14007</v>
      </c>
      <c r="D5538" t="s">
        <v>1628</v>
      </c>
      <c r="E5538" t="s">
        <v>12593</v>
      </c>
      <c r="F5538" t="s">
        <v>5208</v>
      </c>
      <c r="G5538" t="s">
        <v>10975</v>
      </c>
      <c r="H5538">
        <v>5203943052</v>
      </c>
      <c r="J5538">
        <v>5203943051</v>
      </c>
      <c r="K5538" t="s">
        <v>14013</v>
      </c>
      <c r="L5538" t="s">
        <v>1640</v>
      </c>
      <c r="M5538" t="s">
        <v>1640</v>
      </c>
    </row>
    <row r="5539" spans="1:13" x14ac:dyDescent="0.25">
      <c r="A5539">
        <v>4460</v>
      </c>
      <c r="B5539" t="s">
        <v>14006</v>
      </c>
      <c r="C5539" t="s">
        <v>14007</v>
      </c>
      <c r="D5539" t="s">
        <v>1628</v>
      </c>
      <c r="E5539" t="s">
        <v>12593</v>
      </c>
      <c r="F5539" t="s">
        <v>2947</v>
      </c>
      <c r="G5539" t="s">
        <v>14014</v>
      </c>
      <c r="H5539">
        <v>5203943050</v>
      </c>
      <c r="J5539">
        <v>5203943002</v>
      </c>
      <c r="K5539" t="s">
        <v>14015</v>
      </c>
      <c r="M5539" t="s">
        <v>1765</v>
      </c>
    </row>
    <row r="5540" spans="1:13" x14ac:dyDescent="0.25">
      <c r="A5540">
        <v>4460</v>
      </c>
      <c r="B5540" t="s">
        <v>14006</v>
      </c>
      <c r="C5540" t="s">
        <v>14007</v>
      </c>
      <c r="D5540" t="s">
        <v>1628</v>
      </c>
      <c r="E5540" t="s">
        <v>12593</v>
      </c>
      <c r="F5540" t="s">
        <v>4986</v>
      </c>
      <c r="G5540" t="s">
        <v>14016</v>
      </c>
      <c r="K5540" t="s">
        <v>14017</v>
      </c>
      <c r="M5540" t="s">
        <v>1765</v>
      </c>
    </row>
    <row r="5541" spans="1:13" x14ac:dyDescent="0.25">
      <c r="A5541">
        <v>5968</v>
      </c>
      <c r="B5541" t="s">
        <v>14018</v>
      </c>
      <c r="C5541" t="s">
        <v>14019</v>
      </c>
      <c r="D5541" t="s">
        <v>1643</v>
      </c>
      <c r="E5541" t="s">
        <v>12593</v>
      </c>
      <c r="F5541" t="s">
        <v>1726</v>
      </c>
      <c r="G5541" t="s">
        <v>14020</v>
      </c>
      <c r="H5541">
        <v>5203943000</v>
      </c>
      <c r="J5541">
        <v>5203943001</v>
      </c>
      <c r="K5541" t="s">
        <v>14021</v>
      </c>
      <c r="M5541" t="s">
        <v>1634</v>
      </c>
    </row>
    <row r="5542" spans="1:13" x14ac:dyDescent="0.25">
      <c r="A5542">
        <v>5968</v>
      </c>
      <c r="B5542" t="s">
        <v>14018</v>
      </c>
      <c r="C5542" t="s">
        <v>14019</v>
      </c>
      <c r="D5542" t="s">
        <v>1643</v>
      </c>
      <c r="E5542" t="s">
        <v>12593</v>
      </c>
      <c r="F5542" t="s">
        <v>14008</v>
      </c>
      <c r="G5542" t="s">
        <v>14009</v>
      </c>
      <c r="H5542">
        <v>9284461159</v>
      </c>
      <c r="K5542" t="s">
        <v>14010</v>
      </c>
      <c r="L5542" t="s">
        <v>1668</v>
      </c>
      <c r="M5542" t="s">
        <v>1634</v>
      </c>
    </row>
    <row r="5543" spans="1:13" x14ac:dyDescent="0.25">
      <c r="A5543">
        <v>5968</v>
      </c>
      <c r="B5543" t="s">
        <v>14018</v>
      </c>
      <c r="C5543" t="s">
        <v>14019</v>
      </c>
      <c r="D5543" t="s">
        <v>1643</v>
      </c>
      <c r="E5543" t="s">
        <v>12593</v>
      </c>
      <c r="F5543" t="s">
        <v>14008</v>
      </c>
      <c r="G5543" t="s">
        <v>14009</v>
      </c>
      <c r="H5543">
        <v>9284461159</v>
      </c>
      <c r="K5543" t="s">
        <v>14010</v>
      </c>
      <c r="L5543" t="s">
        <v>1668</v>
      </c>
      <c r="M5543" t="s">
        <v>1634</v>
      </c>
    </row>
    <row r="5544" spans="1:13" x14ac:dyDescent="0.25">
      <c r="A5544">
        <v>4461</v>
      </c>
      <c r="B5544" t="s">
        <v>14022</v>
      </c>
      <c r="C5544" t="s">
        <v>14023</v>
      </c>
      <c r="D5544" t="s">
        <v>1628</v>
      </c>
      <c r="E5544" t="s">
        <v>12593</v>
      </c>
      <c r="F5544" t="s">
        <v>4775</v>
      </c>
      <c r="G5544" t="s">
        <v>14024</v>
      </c>
      <c r="H5544">
        <v>5204555514</v>
      </c>
      <c r="I5544">
        <v>117</v>
      </c>
      <c r="K5544" t="s">
        <v>14025</v>
      </c>
      <c r="L5544" t="s">
        <v>14026</v>
      </c>
      <c r="M5544" t="s">
        <v>1634</v>
      </c>
    </row>
    <row r="5545" spans="1:13" x14ac:dyDescent="0.25">
      <c r="A5545">
        <v>4461</v>
      </c>
      <c r="B5545" t="s">
        <v>14022</v>
      </c>
      <c r="C5545" t="s">
        <v>14023</v>
      </c>
      <c r="D5545" t="s">
        <v>1628</v>
      </c>
      <c r="E5545" t="s">
        <v>12593</v>
      </c>
      <c r="F5545" t="s">
        <v>2053</v>
      </c>
      <c r="G5545" t="s">
        <v>14027</v>
      </c>
      <c r="H5545">
        <v>5204555514</v>
      </c>
      <c r="K5545" t="s">
        <v>14028</v>
      </c>
      <c r="L5545" t="s">
        <v>14029</v>
      </c>
      <c r="M5545" t="s">
        <v>1634</v>
      </c>
    </row>
    <row r="5546" spans="1:13" x14ac:dyDescent="0.25">
      <c r="A5546">
        <v>4461</v>
      </c>
      <c r="B5546" t="s">
        <v>14022</v>
      </c>
      <c r="C5546" t="s">
        <v>14023</v>
      </c>
      <c r="D5546" t="s">
        <v>1628</v>
      </c>
      <c r="E5546" t="s">
        <v>12593</v>
      </c>
      <c r="F5546" t="s">
        <v>7534</v>
      </c>
      <c r="G5546" t="s">
        <v>9763</v>
      </c>
      <c r="H5546">
        <v>5204555514</v>
      </c>
      <c r="I5546">
        <v>304</v>
      </c>
      <c r="J5546">
        <v>5204555516</v>
      </c>
      <c r="K5546" t="s">
        <v>14030</v>
      </c>
      <c r="L5546" t="s">
        <v>1640</v>
      </c>
      <c r="M5546" t="s">
        <v>1640</v>
      </c>
    </row>
    <row r="5547" spans="1:13" x14ac:dyDescent="0.25">
      <c r="A5547">
        <v>5970</v>
      </c>
      <c r="B5547" t="s">
        <v>14031</v>
      </c>
      <c r="C5547" t="s">
        <v>14032</v>
      </c>
      <c r="D5547" t="s">
        <v>1643</v>
      </c>
      <c r="E5547" t="s">
        <v>12593</v>
      </c>
      <c r="F5547" t="s">
        <v>2642</v>
      </c>
      <c r="G5547" t="s">
        <v>14033</v>
      </c>
      <c r="H5547">
        <v>5204555514</v>
      </c>
      <c r="J5547">
        <v>5204555516</v>
      </c>
      <c r="K5547" t="s">
        <v>14034</v>
      </c>
      <c r="L5547" t="s">
        <v>2584</v>
      </c>
      <c r="M5547" t="s">
        <v>1634</v>
      </c>
    </row>
    <row r="5548" spans="1:13" x14ac:dyDescent="0.25">
      <c r="A5548">
        <v>4462</v>
      </c>
      <c r="B5548" t="s">
        <v>14035</v>
      </c>
      <c r="C5548" t="s">
        <v>14036</v>
      </c>
      <c r="D5548" t="s">
        <v>1628</v>
      </c>
      <c r="E5548" t="s">
        <v>12593</v>
      </c>
      <c r="F5548" t="s">
        <v>6365</v>
      </c>
      <c r="G5548" t="s">
        <v>14011</v>
      </c>
      <c r="H5548">
        <v>5203943052</v>
      </c>
      <c r="K5548" t="s">
        <v>14012</v>
      </c>
      <c r="L5548" t="s">
        <v>14037</v>
      </c>
      <c r="M5548" t="s">
        <v>1634</v>
      </c>
    </row>
    <row r="5549" spans="1:13" x14ac:dyDescent="0.25">
      <c r="A5549">
        <v>4462</v>
      </c>
      <c r="B5549" t="s">
        <v>14035</v>
      </c>
      <c r="C5549" t="s">
        <v>14036</v>
      </c>
      <c r="D5549" t="s">
        <v>1628</v>
      </c>
      <c r="E5549" t="s">
        <v>12593</v>
      </c>
      <c r="F5549" t="s">
        <v>14008</v>
      </c>
      <c r="G5549" t="s">
        <v>14009</v>
      </c>
      <c r="H5549">
        <v>5203943005</v>
      </c>
      <c r="K5549" t="s">
        <v>14010</v>
      </c>
      <c r="L5549" t="s">
        <v>1668</v>
      </c>
      <c r="M5549" t="s">
        <v>1634</v>
      </c>
    </row>
    <row r="5550" spans="1:13" x14ac:dyDescent="0.25">
      <c r="A5550">
        <v>4462</v>
      </c>
      <c r="B5550" t="s">
        <v>14035</v>
      </c>
      <c r="C5550" t="s">
        <v>14036</v>
      </c>
      <c r="D5550" t="s">
        <v>1628</v>
      </c>
      <c r="E5550" t="s">
        <v>12593</v>
      </c>
      <c r="F5550" t="s">
        <v>4775</v>
      </c>
      <c r="G5550" t="s">
        <v>14038</v>
      </c>
      <c r="H5550">
        <v>5203943000</v>
      </c>
      <c r="I5550">
        <v>3003</v>
      </c>
      <c r="K5550" t="s">
        <v>14039</v>
      </c>
      <c r="L5550" t="s">
        <v>14040</v>
      </c>
      <c r="M5550" t="s">
        <v>1634</v>
      </c>
    </row>
    <row r="5551" spans="1:13" x14ac:dyDescent="0.25">
      <c r="A5551">
        <v>4462</v>
      </c>
      <c r="B5551" t="s">
        <v>14035</v>
      </c>
      <c r="C5551" t="s">
        <v>14036</v>
      </c>
      <c r="D5551" t="s">
        <v>1628</v>
      </c>
      <c r="E5551" t="s">
        <v>12593</v>
      </c>
      <c r="F5551" t="s">
        <v>2365</v>
      </c>
      <c r="G5551" t="s">
        <v>8965</v>
      </c>
      <c r="H5551">
        <v>5203943000</v>
      </c>
      <c r="I5551">
        <v>3036</v>
      </c>
      <c r="K5551" t="s">
        <v>14041</v>
      </c>
      <c r="L5551" t="s">
        <v>14040</v>
      </c>
      <c r="M5551" t="s">
        <v>1634</v>
      </c>
    </row>
    <row r="5552" spans="1:13" x14ac:dyDescent="0.25">
      <c r="A5552">
        <v>4462</v>
      </c>
      <c r="B5552" t="s">
        <v>14035</v>
      </c>
      <c r="C5552" t="s">
        <v>14036</v>
      </c>
      <c r="D5552" t="s">
        <v>1628</v>
      </c>
      <c r="E5552" t="s">
        <v>12593</v>
      </c>
      <c r="F5552" t="s">
        <v>5208</v>
      </c>
      <c r="G5552" t="s">
        <v>10975</v>
      </c>
      <c r="H5552">
        <v>5203943052</v>
      </c>
      <c r="J5552">
        <v>5203943051</v>
      </c>
      <c r="K5552" t="s">
        <v>14013</v>
      </c>
      <c r="L5552" t="s">
        <v>1640</v>
      </c>
      <c r="M5552" t="s">
        <v>1640</v>
      </c>
    </row>
    <row r="5553" spans="1:13" x14ac:dyDescent="0.25">
      <c r="A5553">
        <v>4462</v>
      </c>
      <c r="B5553" t="s">
        <v>14035</v>
      </c>
      <c r="C5553" t="s">
        <v>14036</v>
      </c>
      <c r="D5553" t="s">
        <v>1628</v>
      </c>
      <c r="E5553" t="s">
        <v>12593</v>
      </c>
      <c r="F5553" t="s">
        <v>4986</v>
      </c>
      <c r="G5553" t="s">
        <v>14016</v>
      </c>
      <c r="K5553" t="s">
        <v>14017</v>
      </c>
      <c r="M5553" t="s">
        <v>1765</v>
      </c>
    </row>
    <row r="5554" spans="1:13" x14ac:dyDescent="0.25">
      <c r="A5554">
        <v>5971</v>
      </c>
      <c r="B5554" t="s">
        <v>14042</v>
      </c>
      <c r="C5554" t="s">
        <v>14043</v>
      </c>
      <c r="D5554" t="s">
        <v>1643</v>
      </c>
      <c r="E5554" t="s">
        <v>12593</v>
      </c>
      <c r="F5554" t="s">
        <v>2269</v>
      </c>
      <c r="G5554" t="s">
        <v>10255</v>
      </c>
      <c r="L5554" t="s">
        <v>1647</v>
      </c>
      <c r="M5554" t="s">
        <v>1634</v>
      </c>
    </row>
    <row r="5555" spans="1:13" x14ac:dyDescent="0.25">
      <c r="A5555">
        <v>81009</v>
      </c>
      <c r="B5555" t="s">
        <v>14044</v>
      </c>
      <c r="C5555" t="s">
        <v>14045</v>
      </c>
      <c r="D5555" t="s">
        <v>2596</v>
      </c>
      <c r="E5555" t="s">
        <v>12593</v>
      </c>
      <c r="F5555" t="s">
        <v>9725</v>
      </c>
      <c r="G5555" t="s">
        <v>9726</v>
      </c>
      <c r="H5555" t="s">
        <v>9727</v>
      </c>
      <c r="I5555">
        <v>2718</v>
      </c>
      <c r="J5555">
        <v>4803362696</v>
      </c>
      <c r="K5555" t="s">
        <v>9728</v>
      </c>
      <c r="L5555" t="s">
        <v>4054</v>
      </c>
      <c r="M5555" t="s">
        <v>1634</v>
      </c>
    </row>
    <row r="5556" spans="1:13" x14ac:dyDescent="0.25">
      <c r="A5556">
        <v>81009</v>
      </c>
      <c r="B5556" t="s">
        <v>14044</v>
      </c>
      <c r="C5556" t="s">
        <v>14045</v>
      </c>
      <c r="D5556" t="s">
        <v>2596</v>
      </c>
      <c r="E5556" t="s">
        <v>12593</v>
      </c>
      <c r="F5556" t="s">
        <v>9719</v>
      </c>
      <c r="G5556" t="s">
        <v>9720</v>
      </c>
      <c r="H5556">
        <v>4807558222</v>
      </c>
      <c r="I5556">
        <v>4471</v>
      </c>
      <c r="K5556" t="s">
        <v>14046</v>
      </c>
      <c r="L5556" t="s">
        <v>9722</v>
      </c>
      <c r="M5556" t="s">
        <v>1640</v>
      </c>
    </row>
    <row r="5557" spans="1:13" x14ac:dyDescent="0.25">
      <c r="A5557">
        <v>79621</v>
      </c>
      <c r="B5557" t="s">
        <v>10311</v>
      </c>
      <c r="C5557" t="s">
        <v>14047</v>
      </c>
      <c r="D5557" t="s">
        <v>2605</v>
      </c>
      <c r="E5557" t="s">
        <v>12593</v>
      </c>
      <c r="F5557" t="s">
        <v>6078</v>
      </c>
      <c r="G5557" t="s">
        <v>14048</v>
      </c>
      <c r="K5557" t="s">
        <v>14049</v>
      </c>
      <c r="L5557" t="s">
        <v>1647</v>
      </c>
      <c r="M5557" t="s">
        <v>1634</v>
      </c>
    </row>
    <row r="5558" spans="1:13" x14ac:dyDescent="0.25">
      <c r="A5558">
        <v>79621</v>
      </c>
      <c r="B5558" t="s">
        <v>10311</v>
      </c>
      <c r="C5558" t="s">
        <v>14047</v>
      </c>
      <c r="D5558" t="s">
        <v>2605</v>
      </c>
      <c r="E5558" t="s">
        <v>12593</v>
      </c>
      <c r="F5558" t="s">
        <v>9725</v>
      </c>
      <c r="G5558" t="s">
        <v>9726</v>
      </c>
      <c r="H5558" t="s">
        <v>9727</v>
      </c>
      <c r="I5558">
        <v>2718</v>
      </c>
      <c r="K5558" t="s">
        <v>9728</v>
      </c>
      <c r="M5558" t="s">
        <v>1634</v>
      </c>
    </row>
    <row r="5559" spans="1:13" x14ac:dyDescent="0.25">
      <c r="A5559">
        <v>79621</v>
      </c>
      <c r="B5559" t="s">
        <v>10311</v>
      </c>
      <c r="C5559" t="s">
        <v>14047</v>
      </c>
      <c r="D5559" t="s">
        <v>2605</v>
      </c>
      <c r="E5559" t="s">
        <v>12593</v>
      </c>
      <c r="F5559" t="s">
        <v>9719</v>
      </c>
      <c r="G5559" t="s">
        <v>9720</v>
      </c>
      <c r="H5559">
        <v>4807558222</v>
      </c>
      <c r="I5559">
        <v>4471</v>
      </c>
      <c r="K5559" t="s">
        <v>9721</v>
      </c>
      <c r="L5559" t="s">
        <v>9722</v>
      </c>
      <c r="M5559" t="s">
        <v>1640</v>
      </c>
    </row>
    <row r="5560" spans="1:13" x14ac:dyDescent="0.25">
      <c r="A5560">
        <v>4463</v>
      </c>
      <c r="B5560" t="s">
        <v>14050</v>
      </c>
      <c r="C5560" t="s">
        <v>14051</v>
      </c>
      <c r="D5560" t="s">
        <v>2596</v>
      </c>
      <c r="E5560" t="s">
        <v>12593</v>
      </c>
      <c r="F5560" t="s">
        <v>14052</v>
      </c>
      <c r="G5560" t="s">
        <v>2506</v>
      </c>
      <c r="J5560">
        <v>5202870037</v>
      </c>
      <c r="K5560" t="s">
        <v>14053</v>
      </c>
      <c r="L5560" t="s">
        <v>3124</v>
      </c>
      <c r="M5560" t="s">
        <v>1634</v>
      </c>
    </row>
    <row r="5561" spans="1:13" x14ac:dyDescent="0.25">
      <c r="A5561">
        <v>4463</v>
      </c>
      <c r="B5561" t="s">
        <v>14050</v>
      </c>
      <c r="C5561" t="s">
        <v>14051</v>
      </c>
      <c r="D5561" t="s">
        <v>2596</v>
      </c>
      <c r="E5561" t="s">
        <v>12593</v>
      </c>
      <c r="F5561" t="s">
        <v>2508</v>
      </c>
      <c r="G5561" t="s">
        <v>1298</v>
      </c>
      <c r="H5561">
        <v>4809407538</v>
      </c>
      <c r="K5561" t="s">
        <v>9501</v>
      </c>
      <c r="L5561" t="s">
        <v>13187</v>
      </c>
      <c r="M5561" t="s">
        <v>1634</v>
      </c>
    </row>
    <row r="5562" spans="1:13" x14ac:dyDescent="0.25">
      <c r="A5562">
        <v>4463</v>
      </c>
      <c r="B5562" t="s">
        <v>14050</v>
      </c>
      <c r="C5562" t="s">
        <v>14051</v>
      </c>
      <c r="D5562" t="s">
        <v>2596</v>
      </c>
      <c r="E5562" t="s">
        <v>12593</v>
      </c>
      <c r="F5562" t="s">
        <v>14054</v>
      </c>
      <c r="G5562" t="s">
        <v>14055</v>
      </c>
      <c r="H5562">
        <v>5206244018</v>
      </c>
      <c r="K5562" t="s">
        <v>14056</v>
      </c>
      <c r="L5562" t="s">
        <v>1647</v>
      </c>
      <c r="M5562" t="s">
        <v>1634</v>
      </c>
    </row>
    <row r="5563" spans="1:13" x14ac:dyDescent="0.25">
      <c r="A5563">
        <v>4463</v>
      </c>
      <c r="B5563" t="s">
        <v>14050</v>
      </c>
      <c r="C5563" t="s">
        <v>14051</v>
      </c>
      <c r="D5563" t="s">
        <v>2596</v>
      </c>
      <c r="E5563" t="s">
        <v>12593</v>
      </c>
      <c r="F5563" t="s">
        <v>14057</v>
      </c>
      <c r="G5563" t="s">
        <v>2295</v>
      </c>
      <c r="H5563">
        <v>5206244018</v>
      </c>
      <c r="K5563" t="s">
        <v>14058</v>
      </c>
      <c r="L5563" t="s">
        <v>1796</v>
      </c>
      <c r="M5563" t="s">
        <v>1634</v>
      </c>
    </row>
    <row r="5564" spans="1:13" x14ac:dyDescent="0.25">
      <c r="A5564">
        <v>4463</v>
      </c>
      <c r="B5564" t="s">
        <v>14050</v>
      </c>
      <c r="C5564" t="s">
        <v>14051</v>
      </c>
      <c r="D5564" t="s">
        <v>2596</v>
      </c>
      <c r="E5564" t="s">
        <v>12593</v>
      </c>
      <c r="F5564" t="s">
        <v>14059</v>
      </c>
      <c r="G5564" t="s">
        <v>10415</v>
      </c>
      <c r="K5564" t="s">
        <v>14060</v>
      </c>
      <c r="L5564" t="s">
        <v>1647</v>
      </c>
      <c r="M5564" t="s">
        <v>1640</v>
      </c>
    </row>
    <row r="5565" spans="1:13" x14ac:dyDescent="0.25">
      <c r="A5565">
        <v>5972</v>
      </c>
      <c r="B5565" t="s">
        <v>14061</v>
      </c>
      <c r="C5565" t="s">
        <v>14062</v>
      </c>
      <c r="D5565" t="s">
        <v>2605</v>
      </c>
      <c r="E5565" t="s">
        <v>12593</v>
      </c>
      <c r="F5565" t="s">
        <v>14052</v>
      </c>
      <c r="G5565" t="s">
        <v>2506</v>
      </c>
      <c r="J5565">
        <v>5202870037</v>
      </c>
      <c r="K5565" t="s">
        <v>14053</v>
      </c>
      <c r="M5565" t="s">
        <v>1634</v>
      </c>
    </row>
    <row r="5566" spans="1:13" x14ac:dyDescent="0.25">
      <c r="A5566">
        <v>5972</v>
      </c>
      <c r="B5566" t="s">
        <v>14061</v>
      </c>
      <c r="C5566" t="s">
        <v>14062</v>
      </c>
      <c r="D5566" t="s">
        <v>2605</v>
      </c>
      <c r="E5566" t="s">
        <v>12593</v>
      </c>
      <c r="F5566" t="s">
        <v>14059</v>
      </c>
      <c r="G5566" t="s">
        <v>10415</v>
      </c>
      <c r="J5566">
        <v>5202870037</v>
      </c>
      <c r="K5566" t="s">
        <v>14060</v>
      </c>
      <c r="L5566" t="s">
        <v>1647</v>
      </c>
      <c r="M5566" t="s">
        <v>1634</v>
      </c>
    </row>
    <row r="5567" spans="1:13" x14ac:dyDescent="0.25">
      <c r="A5567">
        <v>92176</v>
      </c>
      <c r="B5567" t="s">
        <v>14063</v>
      </c>
      <c r="C5567" t="s">
        <v>14064</v>
      </c>
      <c r="D5567" t="s">
        <v>2605</v>
      </c>
      <c r="E5567" t="s">
        <v>12593</v>
      </c>
      <c r="F5567" t="s">
        <v>11517</v>
      </c>
      <c r="G5567" t="s">
        <v>14065</v>
      </c>
      <c r="K5567" t="s">
        <v>14066</v>
      </c>
      <c r="M5567" t="s">
        <v>1634</v>
      </c>
    </row>
    <row r="5568" spans="1:13" x14ac:dyDescent="0.25">
      <c r="A5568">
        <v>92989</v>
      </c>
      <c r="B5568" t="s">
        <v>856</v>
      </c>
      <c r="C5568" t="s">
        <v>14067</v>
      </c>
      <c r="D5568" t="s">
        <v>2596</v>
      </c>
      <c r="E5568" t="s">
        <v>12593</v>
      </c>
      <c r="F5568" t="s">
        <v>9097</v>
      </c>
      <c r="G5568" t="s">
        <v>4267</v>
      </c>
      <c r="K5568" t="s">
        <v>14068</v>
      </c>
      <c r="L5568" t="s">
        <v>14069</v>
      </c>
      <c r="M5568" t="s">
        <v>1634</v>
      </c>
    </row>
    <row r="5569" spans="1:13" x14ac:dyDescent="0.25">
      <c r="A5569">
        <v>92989</v>
      </c>
      <c r="B5569" t="s">
        <v>856</v>
      </c>
      <c r="C5569" t="s">
        <v>14067</v>
      </c>
      <c r="D5569" t="s">
        <v>2596</v>
      </c>
      <c r="E5569" t="s">
        <v>12593</v>
      </c>
      <c r="F5569" t="s">
        <v>3570</v>
      </c>
      <c r="G5569" t="s">
        <v>5188</v>
      </c>
      <c r="K5569" t="s">
        <v>8727</v>
      </c>
      <c r="M5569" t="s">
        <v>1634</v>
      </c>
    </row>
    <row r="5570" spans="1:13" x14ac:dyDescent="0.25">
      <c r="A5570">
        <v>92989</v>
      </c>
      <c r="B5570" t="s">
        <v>856</v>
      </c>
      <c r="C5570" t="s">
        <v>14067</v>
      </c>
      <c r="D5570" t="s">
        <v>2596</v>
      </c>
      <c r="E5570" t="s">
        <v>12593</v>
      </c>
      <c r="F5570" t="s">
        <v>8300</v>
      </c>
      <c r="G5570" t="s">
        <v>8301</v>
      </c>
      <c r="H5570">
        <v>6029532933</v>
      </c>
      <c r="K5570" t="s">
        <v>8302</v>
      </c>
      <c r="M5570" t="s">
        <v>1634</v>
      </c>
    </row>
    <row r="5571" spans="1:13" x14ac:dyDescent="0.25">
      <c r="A5571">
        <v>766437</v>
      </c>
      <c r="B5571" t="s">
        <v>857</v>
      </c>
      <c r="C5571" t="s">
        <v>14070</v>
      </c>
      <c r="D5571" t="s">
        <v>2605</v>
      </c>
      <c r="E5571" t="s">
        <v>1273</v>
      </c>
      <c r="F5571" t="s">
        <v>9097</v>
      </c>
      <c r="G5571" t="s">
        <v>4267</v>
      </c>
      <c r="K5571" t="s">
        <v>14068</v>
      </c>
      <c r="L5571" t="s">
        <v>14069</v>
      </c>
      <c r="M5571" t="s">
        <v>1634</v>
      </c>
    </row>
    <row r="5572" spans="1:13" x14ac:dyDescent="0.25">
      <c r="A5572">
        <v>79069</v>
      </c>
      <c r="B5572" t="s">
        <v>14071</v>
      </c>
      <c r="C5572" t="s">
        <v>14072</v>
      </c>
      <c r="D5572" t="s">
        <v>2596</v>
      </c>
      <c r="E5572" t="s">
        <v>12593</v>
      </c>
      <c r="F5572" t="s">
        <v>14073</v>
      </c>
      <c r="G5572" t="s">
        <v>14074</v>
      </c>
      <c r="K5572" t="s">
        <v>14075</v>
      </c>
      <c r="L5572" t="s">
        <v>3124</v>
      </c>
      <c r="M5572" t="s">
        <v>1634</v>
      </c>
    </row>
    <row r="5573" spans="1:13" x14ac:dyDescent="0.25">
      <c r="A5573">
        <v>79069</v>
      </c>
      <c r="B5573" t="s">
        <v>14071</v>
      </c>
      <c r="C5573" t="s">
        <v>14072</v>
      </c>
      <c r="D5573" t="s">
        <v>2596</v>
      </c>
      <c r="E5573" t="s">
        <v>12593</v>
      </c>
      <c r="F5573" t="s">
        <v>14076</v>
      </c>
      <c r="G5573" t="s">
        <v>14074</v>
      </c>
      <c r="H5573">
        <v>5203949530</v>
      </c>
      <c r="K5573" t="s">
        <v>14077</v>
      </c>
      <c r="L5573" t="s">
        <v>1640</v>
      </c>
      <c r="M5573" t="s">
        <v>1640</v>
      </c>
    </row>
    <row r="5574" spans="1:13" x14ac:dyDescent="0.25">
      <c r="A5574">
        <v>79107</v>
      </c>
      <c r="B5574" t="s">
        <v>14078</v>
      </c>
      <c r="C5574" t="s">
        <v>14079</v>
      </c>
      <c r="D5574" t="s">
        <v>2605</v>
      </c>
      <c r="E5574" t="s">
        <v>12593</v>
      </c>
    </row>
    <row r="5575" spans="1:13" x14ac:dyDescent="0.25">
      <c r="A5575">
        <v>79066</v>
      </c>
      <c r="B5575" t="s">
        <v>14080</v>
      </c>
      <c r="C5575" t="s">
        <v>14081</v>
      </c>
      <c r="D5575" t="s">
        <v>2596</v>
      </c>
      <c r="E5575" t="s">
        <v>12593</v>
      </c>
      <c r="F5575" t="s">
        <v>2053</v>
      </c>
      <c r="G5575" t="s">
        <v>1593</v>
      </c>
      <c r="H5575">
        <v>5203980536</v>
      </c>
      <c r="J5575">
        <v>5203980776</v>
      </c>
      <c r="K5575" t="s">
        <v>14082</v>
      </c>
      <c r="L5575" t="s">
        <v>5089</v>
      </c>
      <c r="M5575" t="s">
        <v>1634</v>
      </c>
    </row>
    <row r="5576" spans="1:13" x14ac:dyDescent="0.25">
      <c r="A5576">
        <v>79066</v>
      </c>
      <c r="B5576" t="s">
        <v>14080</v>
      </c>
      <c r="C5576" t="s">
        <v>14081</v>
      </c>
      <c r="D5576" t="s">
        <v>2596</v>
      </c>
      <c r="E5576" t="s">
        <v>12593</v>
      </c>
      <c r="F5576" t="s">
        <v>6014</v>
      </c>
      <c r="G5576" t="s">
        <v>14083</v>
      </c>
      <c r="H5576">
        <v>5203980536</v>
      </c>
      <c r="K5576" t="s">
        <v>14084</v>
      </c>
      <c r="L5576" t="s">
        <v>1647</v>
      </c>
      <c r="M5576" t="s">
        <v>1634</v>
      </c>
    </row>
    <row r="5577" spans="1:13" x14ac:dyDescent="0.25">
      <c r="A5577">
        <v>79066</v>
      </c>
      <c r="B5577" t="s">
        <v>14080</v>
      </c>
      <c r="C5577" t="s">
        <v>14081</v>
      </c>
      <c r="D5577" t="s">
        <v>2596</v>
      </c>
      <c r="E5577" t="s">
        <v>12593</v>
      </c>
      <c r="F5577" t="s">
        <v>6014</v>
      </c>
      <c r="G5577" t="s">
        <v>14083</v>
      </c>
      <c r="H5577">
        <v>5203980536</v>
      </c>
      <c r="K5577" t="s">
        <v>14084</v>
      </c>
      <c r="L5577" t="s">
        <v>1647</v>
      </c>
      <c r="M5577" t="s">
        <v>1640</v>
      </c>
    </row>
    <row r="5578" spans="1:13" x14ac:dyDescent="0.25">
      <c r="A5578">
        <v>79110</v>
      </c>
      <c r="B5578" t="s">
        <v>14085</v>
      </c>
      <c r="C5578" t="s">
        <v>14086</v>
      </c>
      <c r="D5578" t="s">
        <v>2605</v>
      </c>
      <c r="E5578" t="s">
        <v>12593</v>
      </c>
      <c r="F5578" t="s">
        <v>14087</v>
      </c>
      <c r="G5578" t="s">
        <v>14088</v>
      </c>
      <c r="H5578">
        <v>5203980808</v>
      </c>
      <c r="K5578" t="s">
        <v>14089</v>
      </c>
      <c r="M5578" t="s">
        <v>1640</v>
      </c>
    </row>
    <row r="5579" spans="1:13" x14ac:dyDescent="0.25">
      <c r="A5579">
        <v>79379</v>
      </c>
      <c r="B5579" t="s">
        <v>14090</v>
      </c>
      <c r="C5579" t="s">
        <v>14091</v>
      </c>
      <c r="D5579" t="s">
        <v>1628</v>
      </c>
      <c r="E5579" t="s">
        <v>8713</v>
      </c>
      <c r="F5579" t="s">
        <v>3105</v>
      </c>
      <c r="G5579" t="s">
        <v>14092</v>
      </c>
      <c r="J5579">
        <v>9287713329</v>
      </c>
      <c r="K5579" t="s">
        <v>14093</v>
      </c>
      <c r="L5579" t="s">
        <v>14094</v>
      </c>
      <c r="M5579" t="s">
        <v>1634</v>
      </c>
    </row>
    <row r="5580" spans="1:13" x14ac:dyDescent="0.25">
      <c r="A5580">
        <v>79379</v>
      </c>
      <c r="B5580" t="s">
        <v>14090</v>
      </c>
      <c r="C5580" t="s">
        <v>14091</v>
      </c>
      <c r="D5580" t="s">
        <v>1628</v>
      </c>
      <c r="E5580" t="s">
        <v>8713</v>
      </c>
      <c r="F5580" t="s">
        <v>3387</v>
      </c>
      <c r="G5580" t="s">
        <v>8211</v>
      </c>
      <c r="H5580">
        <v>9287713326</v>
      </c>
      <c r="K5580" t="s">
        <v>14095</v>
      </c>
      <c r="L5580" t="s">
        <v>1633</v>
      </c>
      <c r="M5580" t="s">
        <v>1634</v>
      </c>
    </row>
    <row r="5581" spans="1:13" x14ac:dyDescent="0.25">
      <c r="A5581">
        <v>79379</v>
      </c>
      <c r="B5581" t="s">
        <v>14090</v>
      </c>
      <c r="C5581" t="s">
        <v>14091</v>
      </c>
      <c r="D5581" t="s">
        <v>1628</v>
      </c>
      <c r="E5581" t="s">
        <v>8713</v>
      </c>
      <c r="F5581" t="s">
        <v>2085</v>
      </c>
      <c r="G5581" t="s">
        <v>1776</v>
      </c>
      <c r="M5581" t="s">
        <v>1634</v>
      </c>
    </row>
    <row r="5582" spans="1:13" x14ac:dyDescent="0.25">
      <c r="A5582">
        <v>79379</v>
      </c>
      <c r="B5582" t="s">
        <v>14090</v>
      </c>
      <c r="C5582" t="s">
        <v>14091</v>
      </c>
      <c r="D5582" t="s">
        <v>1628</v>
      </c>
      <c r="E5582" t="s">
        <v>8713</v>
      </c>
      <c r="F5582" t="s">
        <v>5693</v>
      </c>
      <c r="G5582" t="s">
        <v>4907</v>
      </c>
      <c r="K5582" t="s">
        <v>14096</v>
      </c>
      <c r="L5582" t="s">
        <v>1640</v>
      </c>
      <c r="M5582" t="s">
        <v>1640</v>
      </c>
    </row>
    <row r="5583" spans="1:13" x14ac:dyDescent="0.25">
      <c r="A5583">
        <v>79380</v>
      </c>
      <c r="B5583" t="s">
        <v>14097</v>
      </c>
      <c r="C5583" t="s">
        <v>14098</v>
      </c>
      <c r="D5583" t="s">
        <v>1643</v>
      </c>
      <c r="E5583" t="s">
        <v>8713</v>
      </c>
      <c r="F5583" t="s">
        <v>2965</v>
      </c>
      <c r="G5583" t="s">
        <v>1588</v>
      </c>
      <c r="H5583">
        <v>9287598126</v>
      </c>
      <c r="J5583">
        <v>9287598136</v>
      </c>
      <c r="K5583" t="s">
        <v>14099</v>
      </c>
      <c r="L5583" t="s">
        <v>3124</v>
      </c>
      <c r="M5583" t="s">
        <v>1634</v>
      </c>
    </row>
    <row r="5584" spans="1:13" x14ac:dyDescent="0.25">
      <c r="A5584">
        <v>91815</v>
      </c>
      <c r="B5584" t="s">
        <v>14100</v>
      </c>
      <c r="C5584" t="s">
        <v>14101</v>
      </c>
      <c r="D5584" t="s">
        <v>1643</v>
      </c>
      <c r="E5584" t="s">
        <v>8713</v>
      </c>
      <c r="F5584" t="s">
        <v>2965</v>
      </c>
      <c r="G5584" t="s">
        <v>1588</v>
      </c>
      <c r="H5584">
        <v>9287598126</v>
      </c>
      <c r="J5584">
        <v>9287598136</v>
      </c>
      <c r="K5584" t="s">
        <v>14099</v>
      </c>
      <c r="L5584" t="s">
        <v>3124</v>
      </c>
      <c r="M5584" t="s">
        <v>1634</v>
      </c>
    </row>
    <row r="5585" spans="1:13" x14ac:dyDescent="0.25">
      <c r="A5585">
        <v>91815</v>
      </c>
      <c r="B5585" t="s">
        <v>14100</v>
      </c>
      <c r="C5585" t="s">
        <v>14101</v>
      </c>
      <c r="D5585" t="s">
        <v>1643</v>
      </c>
      <c r="E5585" t="s">
        <v>8713</v>
      </c>
      <c r="F5585" t="s">
        <v>2085</v>
      </c>
      <c r="G5585" t="s">
        <v>1776</v>
      </c>
      <c r="K5585" t="s">
        <v>14102</v>
      </c>
      <c r="L5585" t="s">
        <v>14103</v>
      </c>
      <c r="M5585" t="s">
        <v>1634</v>
      </c>
    </row>
    <row r="5586" spans="1:13" x14ac:dyDescent="0.25">
      <c r="A5586">
        <v>4466</v>
      </c>
      <c r="B5586" t="s">
        <v>14104</v>
      </c>
      <c r="C5586" t="s">
        <v>14105</v>
      </c>
      <c r="D5586" t="s">
        <v>1628</v>
      </c>
      <c r="E5586" t="s">
        <v>8713</v>
      </c>
      <c r="F5586" t="s">
        <v>2845</v>
      </c>
      <c r="G5586" t="s">
        <v>4050</v>
      </c>
      <c r="H5586">
        <v>9284455400</v>
      </c>
      <c r="J5586">
        <v>9285412288</v>
      </c>
      <c r="K5586" t="s">
        <v>14106</v>
      </c>
      <c r="L5586" t="s">
        <v>1668</v>
      </c>
      <c r="M5586" t="s">
        <v>1634</v>
      </c>
    </row>
    <row r="5587" spans="1:13" x14ac:dyDescent="0.25">
      <c r="A5587">
        <v>4466</v>
      </c>
      <c r="B5587" t="s">
        <v>14104</v>
      </c>
      <c r="C5587" t="s">
        <v>14105</v>
      </c>
      <c r="D5587" t="s">
        <v>1628</v>
      </c>
      <c r="E5587" t="s">
        <v>8713</v>
      </c>
      <c r="F5587" t="s">
        <v>3193</v>
      </c>
      <c r="G5587" t="s">
        <v>1708</v>
      </c>
      <c r="H5587">
        <v>9284455400</v>
      </c>
      <c r="K5587" t="s">
        <v>14107</v>
      </c>
      <c r="L5587" t="s">
        <v>2368</v>
      </c>
      <c r="M5587" t="s">
        <v>1634</v>
      </c>
    </row>
    <row r="5588" spans="1:13" x14ac:dyDescent="0.25">
      <c r="A5588">
        <v>4466</v>
      </c>
      <c r="B5588" t="s">
        <v>14104</v>
      </c>
      <c r="C5588" t="s">
        <v>14105</v>
      </c>
      <c r="D5588" t="s">
        <v>1628</v>
      </c>
      <c r="E5588" t="s">
        <v>8713</v>
      </c>
      <c r="F5588" t="s">
        <v>3193</v>
      </c>
      <c r="G5588" t="s">
        <v>1708</v>
      </c>
      <c r="H5588">
        <v>9284455400</v>
      </c>
      <c r="K5588" t="s">
        <v>14107</v>
      </c>
      <c r="L5588" t="s">
        <v>2368</v>
      </c>
      <c r="M5588" t="s">
        <v>1640</v>
      </c>
    </row>
    <row r="5589" spans="1:13" x14ac:dyDescent="0.25">
      <c r="A5589">
        <v>4466</v>
      </c>
      <c r="B5589" t="s">
        <v>14104</v>
      </c>
      <c r="C5589" t="s">
        <v>14105</v>
      </c>
      <c r="D5589" t="s">
        <v>1628</v>
      </c>
      <c r="E5589" t="s">
        <v>8713</v>
      </c>
      <c r="F5589" t="s">
        <v>14108</v>
      </c>
      <c r="G5589" t="s">
        <v>14109</v>
      </c>
      <c r="H5589">
        <v>9284455400</v>
      </c>
      <c r="I5589">
        <v>7137</v>
      </c>
      <c r="K5589" t="s">
        <v>14110</v>
      </c>
      <c r="L5589" t="s">
        <v>1664</v>
      </c>
      <c r="M5589" t="s">
        <v>1640</v>
      </c>
    </row>
    <row r="5590" spans="1:13" x14ac:dyDescent="0.25">
      <c r="A5590">
        <v>8126</v>
      </c>
      <c r="B5590" t="s">
        <v>14111</v>
      </c>
      <c r="C5590" t="s">
        <v>14112</v>
      </c>
      <c r="D5590" t="s">
        <v>1643</v>
      </c>
      <c r="E5590" t="s">
        <v>8713</v>
      </c>
      <c r="F5590" t="s">
        <v>2204</v>
      </c>
      <c r="G5590" t="s">
        <v>4907</v>
      </c>
      <c r="H5590">
        <v>9284421283</v>
      </c>
      <c r="K5590" t="s">
        <v>14113</v>
      </c>
      <c r="M5590" t="s">
        <v>1634</v>
      </c>
    </row>
    <row r="5591" spans="1:13" x14ac:dyDescent="0.25">
      <c r="A5591">
        <v>8128</v>
      </c>
      <c r="B5591" t="s">
        <v>818</v>
      </c>
      <c r="C5591" t="s">
        <v>14114</v>
      </c>
      <c r="D5591" t="s">
        <v>1643</v>
      </c>
      <c r="E5591" t="s">
        <v>8713</v>
      </c>
      <c r="F5591" t="s">
        <v>2471</v>
      </c>
      <c r="G5591" t="s">
        <v>14115</v>
      </c>
      <c r="H5591">
        <v>9287173249</v>
      </c>
      <c r="J5591">
        <v>9287173248</v>
      </c>
      <c r="K5591" t="s">
        <v>14116</v>
      </c>
      <c r="L5591" t="s">
        <v>1647</v>
      </c>
      <c r="M5591" t="s">
        <v>1634</v>
      </c>
    </row>
    <row r="5592" spans="1:13" x14ac:dyDescent="0.25">
      <c r="A5592">
        <v>8130</v>
      </c>
      <c r="B5592" t="s">
        <v>14117</v>
      </c>
      <c r="C5592" t="s">
        <v>14118</v>
      </c>
      <c r="D5592" t="s">
        <v>1643</v>
      </c>
      <c r="E5592" t="s">
        <v>8713</v>
      </c>
      <c r="F5592" t="s">
        <v>3193</v>
      </c>
      <c r="G5592" t="s">
        <v>1708</v>
      </c>
      <c r="H5592">
        <v>9287173276</v>
      </c>
      <c r="J5592">
        <v>9287173275</v>
      </c>
      <c r="K5592" t="s">
        <v>14107</v>
      </c>
      <c r="M5592" t="s">
        <v>1634</v>
      </c>
    </row>
    <row r="5593" spans="1:13" x14ac:dyDescent="0.25">
      <c r="A5593">
        <v>8130</v>
      </c>
      <c r="B5593" t="s">
        <v>14117</v>
      </c>
      <c r="C5593" t="s">
        <v>14118</v>
      </c>
      <c r="D5593" t="s">
        <v>1643</v>
      </c>
      <c r="E5593" t="s">
        <v>8713</v>
      </c>
      <c r="F5593" t="s">
        <v>3193</v>
      </c>
      <c r="G5593" t="s">
        <v>1708</v>
      </c>
      <c r="H5593">
        <v>9287173276</v>
      </c>
      <c r="J5593">
        <v>9287173275</v>
      </c>
      <c r="K5593" t="s">
        <v>14107</v>
      </c>
      <c r="L5593" t="s">
        <v>1647</v>
      </c>
      <c r="M5593" t="s">
        <v>1634</v>
      </c>
    </row>
    <row r="5594" spans="1:13" x14ac:dyDescent="0.25">
      <c r="A5594">
        <v>8131</v>
      </c>
      <c r="B5594" t="s">
        <v>14119</v>
      </c>
      <c r="C5594" t="s">
        <v>14120</v>
      </c>
      <c r="D5594" t="s">
        <v>1643</v>
      </c>
      <c r="E5594" t="s">
        <v>8713</v>
      </c>
      <c r="F5594" t="s">
        <v>2921</v>
      </c>
      <c r="G5594" t="s">
        <v>11238</v>
      </c>
      <c r="H5594">
        <v>9287173281</v>
      </c>
      <c r="K5594" t="s">
        <v>14121</v>
      </c>
      <c r="L5594" t="s">
        <v>1647</v>
      </c>
      <c r="M5594" t="s">
        <v>1634</v>
      </c>
    </row>
    <row r="5595" spans="1:13" x14ac:dyDescent="0.25">
      <c r="A5595">
        <v>8132</v>
      </c>
      <c r="B5595" t="s">
        <v>14122</v>
      </c>
      <c r="C5595" t="s">
        <v>14123</v>
      </c>
      <c r="D5595" t="s">
        <v>1643</v>
      </c>
      <c r="E5595" t="s">
        <v>8713</v>
      </c>
    </row>
    <row r="5596" spans="1:13" x14ac:dyDescent="0.25">
      <c r="A5596">
        <v>8133</v>
      </c>
      <c r="B5596" t="s">
        <v>14124</v>
      </c>
      <c r="C5596" t="s">
        <v>14125</v>
      </c>
      <c r="D5596" t="s">
        <v>1643</v>
      </c>
      <c r="E5596" t="s">
        <v>8713</v>
      </c>
      <c r="F5596" t="s">
        <v>2965</v>
      </c>
      <c r="G5596" t="s">
        <v>2666</v>
      </c>
      <c r="H5596">
        <v>9287173241</v>
      </c>
      <c r="K5596" t="s">
        <v>14126</v>
      </c>
      <c r="L5596" t="s">
        <v>1647</v>
      </c>
      <c r="M5596" t="s">
        <v>1634</v>
      </c>
    </row>
    <row r="5597" spans="1:13" x14ac:dyDescent="0.25">
      <c r="A5597">
        <v>8134</v>
      </c>
      <c r="B5597" t="s">
        <v>14127</v>
      </c>
      <c r="C5597" t="s">
        <v>14128</v>
      </c>
      <c r="D5597" t="s">
        <v>1643</v>
      </c>
      <c r="E5597" t="s">
        <v>8713</v>
      </c>
    </row>
    <row r="5598" spans="1:13" x14ac:dyDescent="0.25">
      <c r="A5598">
        <v>8135</v>
      </c>
      <c r="B5598" t="s">
        <v>14129</v>
      </c>
      <c r="C5598" t="s">
        <v>14130</v>
      </c>
      <c r="D5598" t="s">
        <v>1643</v>
      </c>
      <c r="E5598" t="s">
        <v>8713</v>
      </c>
      <c r="F5598" t="s">
        <v>2876</v>
      </c>
      <c r="G5598" t="s">
        <v>14131</v>
      </c>
      <c r="H5598">
        <v>9284452322</v>
      </c>
      <c r="J5598">
        <v>9287786106</v>
      </c>
      <c r="K5598" t="s">
        <v>14132</v>
      </c>
      <c r="L5598" t="s">
        <v>1647</v>
      </c>
      <c r="M5598" t="s">
        <v>1634</v>
      </c>
    </row>
    <row r="5599" spans="1:13" x14ac:dyDescent="0.25">
      <c r="A5599">
        <v>4467</v>
      </c>
      <c r="B5599" t="s">
        <v>14133</v>
      </c>
      <c r="C5599" t="s">
        <v>14134</v>
      </c>
      <c r="D5599" t="s">
        <v>1628</v>
      </c>
      <c r="E5599" t="s">
        <v>8713</v>
      </c>
      <c r="F5599" t="s">
        <v>2381</v>
      </c>
      <c r="G5599" t="s">
        <v>14135</v>
      </c>
      <c r="H5599">
        <v>9282046803</v>
      </c>
      <c r="K5599" t="s">
        <v>14136</v>
      </c>
      <c r="L5599" t="s">
        <v>2358</v>
      </c>
      <c r="M5599" t="s">
        <v>1634</v>
      </c>
    </row>
    <row r="5600" spans="1:13" x14ac:dyDescent="0.25">
      <c r="A5600">
        <v>4467</v>
      </c>
      <c r="B5600" t="s">
        <v>14133</v>
      </c>
      <c r="C5600" t="s">
        <v>14134</v>
      </c>
      <c r="D5600" t="s">
        <v>1628</v>
      </c>
      <c r="E5600" t="s">
        <v>8713</v>
      </c>
      <c r="F5600" t="s">
        <v>6780</v>
      </c>
      <c r="G5600" t="s">
        <v>14137</v>
      </c>
      <c r="H5600">
        <v>9282046802</v>
      </c>
      <c r="K5600" t="s">
        <v>14138</v>
      </c>
      <c r="L5600" t="s">
        <v>14139</v>
      </c>
      <c r="M5600" t="s">
        <v>1640</v>
      </c>
    </row>
    <row r="5601" spans="1:13" x14ac:dyDescent="0.25">
      <c r="A5601">
        <v>4467</v>
      </c>
      <c r="B5601" t="s">
        <v>14133</v>
      </c>
      <c r="C5601" t="s">
        <v>14134</v>
      </c>
      <c r="D5601" t="s">
        <v>1628</v>
      </c>
      <c r="E5601" t="s">
        <v>8713</v>
      </c>
      <c r="F5601" t="s">
        <v>2381</v>
      </c>
      <c r="G5601" t="s">
        <v>14135</v>
      </c>
      <c r="H5601">
        <v>9282046803</v>
      </c>
      <c r="K5601" t="s">
        <v>14136</v>
      </c>
      <c r="L5601" t="s">
        <v>2358</v>
      </c>
      <c r="M5601" t="s">
        <v>1640</v>
      </c>
    </row>
    <row r="5602" spans="1:13" x14ac:dyDescent="0.25">
      <c r="A5602">
        <v>6083</v>
      </c>
      <c r="B5602" t="s">
        <v>14140</v>
      </c>
      <c r="C5602" t="s">
        <v>14141</v>
      </c>
      <c r="D5602" t="s">
        <v>1643</v>
      </c>
      <c r="E5602" t="s">
        <v>8713</v>
      </c>
    </row>
    <row r="5603" spans="1:13" x14ac:dyDescent="0.25">
      <c r="A5603">
        <v>6085</v>
      </c>
      <c r="B5603" t="s">
        <v>14142</v>
      </c>
      <c r="C5603" t="s">
        <v>14143</v>
      </c>
      <c r="D5603" t="s">
        <v>1643</v>
      </c>
      <c r="E5603" t="s">
        <v>8713</v>
      </c>
      <c r="F5603" t="s">
        <v>4352</v>
      </c>
      <c r="G5603" t="s">
        <v>14144</v>
      </c>
      <c r="H5603">
        <v>9282046722</v>
      </c>
      <c r="J5603">
        <v>9282825992</v>
      </c>
      <c r="K5603" t="s">
        <v>14145</v>
      </c>
      <c r="L5603" t="s">
        <v>1647</v>
      </c>
      <c r="M5603" t="s">
        <v>1634</v>
      </c>
    </row>
    <row r="5604" spans="1:13" x14ac:dyDescent="0.25">
      <c r="A5604">
        <v>90826</v>
      </c>
      <c r="B5604" t="s">
        <v>14146</v>
      </c>
      <c r="C5604" t="s">
        <v>14147</v>
      </c>
      <c r="D5604" t="s">
        <v>1643</v>
      </c>
      <c r="E5604" t="s">
        <v>8713</v>
      </c>
      <c r="F5604" t="s">
        <v>1707</v>
      </c>
      <c r="G5604" t="s">
        <v>14148</v>
      </c>
      <c r="H5604">
        <v>9282046800</v>
      </c>
      <c r="J5604">
        <v>9282825992</v>
      </c>
      <c r="K5604" t="s">
        <v>14149</v>
      </c>
      <c r="L5604" t="s">
        <v>1668</v>
      </c>
      <c r="M5604" t="s">
        <v>1634</v>
      </c>
    </row>
    <row r="5605" spans="1:13" x14ac:dyDescent="0.25">
      <c r="A5605">
        <v>4468</v>
      </c>
      <c r="B5605" t="s">
        <v>1475</v>
      </c>
      <c r="C5605" t="s">
        <v>14150</v>
      </c>
      <c r="D5605" t="s">
        <v>1628</v>
      </c>
      <c r="E5605" t="s">
        <v>8713</v>
      </c>
      <c r="F5605" t="s">
        <v>2803</v>
      </c>
      <c r="G5605" t="s">
        <v>10889</v>
      </c>
      <c r="J5605">
        <v>9286334345</v>
      </c>
      <c r="K5605" t="s">
        <v>14151</v>
      </c>
      <c r="L5605" t="s">
        <v>1668</v>
      </c>
      <c r="M5605" t="s">
        <v>1634</v>
      </c>
    </row>
    <row r="5606" spans="1:13" x14ac:dyDescent="0.25">
      <c r="A5606">
        <v>4468</v>
      </c>
      <c r="B5606" t="s">
        <v>1475</v>
      </c>
      <c r="C5606" t="s">
        <v>14150</v>
      </c>
      <c r="D5606" t="s">
        <v>1628</v>
      </c>
      <c r="E5606" t="s">
        <v>8713</v>
      </c>
      <c r="F5606" t="s">
        <v>2053</v>
      </c>
      <c r="G5606" t="s">
        <v>14152</v>
      </c>
      <c r="H5606">
        <v>9286334101</v>
      </c>
      <c r="I5606">
        <v>612</v>
      </c>
      <c r="J5606">
        <v>9286334345</v>
      </c>
      <c r="K5606" t="s">
        <v>14153</v>
      </c>
      <c r="L5606" t="s">
        <v>14154</v>
      </c>
      <c r="M5606" t="s">
        <v>1640</v>
      </c>
    </row>
    <row r="5607" spans="1:13" x14ac:dyDescent="0.25">
      <c r="A5607">
        <v>6088</v>
      </c>
      <c r="B5607" t="s">
        <v>1476</v>
      </c>
      <c r="C5607" t="s">
        <v>14155</v>
      </c>
      <c r="D5607" t="s">
        <v>1643</v>
      </c>
      <c r="E5607" t="s">
        <v>8713</v>
      </c>
      <c r="F5607" t="s">
        <v>2080</v>
      </c>
      <c r="G5607" t="s">
        <v>14156</v>
      </c>
      <c r="L5607" t="s">
        <v>1647</v>
      </c>
      <c r="M5607" t="s">
        <v>1634</v>
      </c>
    </row>
    <row r="5608" spans="1:13" x14ac:dyDescent="0.25">
      <c r="A5608">
        <v>6089</v>
      </c>
      <c r="B5608" t="s">
        <v>14157</v>
      </c>
      <c r="C5608" t="s">
        <v>14158</v>
      </c>
      <c r="D5608" t="s">
        <v>1643</v>
      </c>
      <c r="E5608" t="s">
        <v>8713</v>
      </c>
      <c r="F5608" t="s">
        <v>3660</v>
      </c>
      <c r="G5608" t="s">
        <v>14159</v>
      </c>
      <c r="H5608">
        <v>9286332201</v>
      </c>
      <c r="J5608">
        <v>9286332541</v>
      </c>
      <c r="K5608" t="s">
        <v>14160</v>
      </c>
      <c r="M5608" t="s">
        <v>1634</v>
      </c>
    </row>
    <row r="5609" spans="1:13" x14ac:dyDescent="0.25">
      <c r="A5609">
        <v>1001181</v>
      </c>
      <c r="B5609" t="s">
        <v>14161</v>
      </c>
      <c r="C5609" t="s">
        <v>14162</v>
      </c>
      <c r="D5609" t="s">
        <v>1643</v>
      </c>
      <c r="E5609" t="s">
        <v>8713</v>
      </c>
    </row>
    <row r="5610" spans="1:13" x14ac:dyDescent="0.25">
      <c r="A5610">
        <v>4469</v>
      </c>
      <c r="B5610" t="s">
        <v>546</v>
      </c>
      <c r="C5610" t="s">
        <v>14163</v>
      </c>
      <c r="D5610" t="s">
        <v>1628</v>
      </c>
      <c r="E5610" t="s">
        <v>8713</v>
      </c>
      <c r="F5610" t="s">
        <v>1787</v>
      </c>
      <c r="G5610" t="s">
        <v>14164</v>
      </c>
      <c r="K5610" t="s">
        <v>14165</v>
      </c>
      <c r="L5610" t="s">
        <v>1668</v>
      </c>
      <c r="M5610" t="s">
        <v>1634</v>
      </c>
    </row>
    <row r="5611" spans="1:13" x14ac:dyDescent="0.25">
      <c r="A5611">
        <v>4469</v>
      </c>
      <c r="B5611" t="s">
        <v>546</v>
      </c>
      <c r="C5611" t="s">
        <v>14163</v>
      </c>
      <c r="D5611" t="s">
        <v>1628</v>
      </c>
      <c r="E5611" t="s">
        <v>8713</v>
      </c>
      <c r="F5611" t="s">
        <v>13099</v>
      </c>
      <c r="G5611" t="s">
        <v>7686</v>
      </c>
      <c r="H5611">
        <v>9287594012</v>
      </c>
      <c r="J5611">
        <v>9287594020</v>
      </c>
      <c r="K5611" t="s">
        <v>14166</v>
      </c>
      <c r="L5611" t="s">
        <v>14167</v>
      </c>
      <c r="M5611" t="s">
        <v>1640</v>
      </c>
    </row>
    <row r="5612" spans="1:13" x14ac:dyDescent="0.25">
      <c r="A5612">
        <v>4469</v>
      </c>
      <c r="B5612" t="s">
        <v>546</v>
      </c>
      <c r="C5612" t="s">
        <v>14163</v>
      </c>
      <c r="D5612" t="s">
        <v>1628</v>
      </c>
      <c r="E5612" t="s">
        <v>8713</v>
      </c>
      <c r="F5612" t="s">
        <v>1652</v>
      </c>
      <c r="G5612" t="s">
        <v>14168</v>
      </c>
      <c r="H5612">
        <v>9287594027</v>
      </c>
      <c r="K5612" t="s">
        <v>14169</v>
      </c>
      <c r="M5612" t="s">
        <v>1640</v>
      </c>
    </row>
    <row r="5613" spans="1:13" x14ac:dyDescent="0.25">
      <c r="A5613">
        <v>4469</v>
      </c>
      <c r="B5613" t="s">
        <v>546</v>
      </c>
      <c r="C5613" t="s">
        <v>14163</v>
      </c>
      <c r="D5613" t="s">
        <v>1628</v>
      </c>
      <c r="E5613" t="s">
        <v>8713</v>
      </c>
      <c r="F5613" t="s">
        <v>1690</v>
      </c>
      <c r="G5613" t="s">
        <v>4363</v>
      </c>
      <c r="J5613">
        <v>9287595020</v>
      </c>
      <c r="K5613" t="s">
        <v>14170</v>
      </c>
      <c r="L5613" t="s">
        <v>4959</v>
      </c>
      <c r="M5613" t="s">
        <v>1765</v>
      </c>
    </row>
    <row r="5614" spans="1:13" x14ac:dyDescent="0.25">
      <c r="A5614">
        <v>6090</v>
      </c>
      <c r="B5614" t="s">
        <v>14171</v>
      </c>
      <c r="C5614" t="s">
        <v>14172</v>
      </c>
      <c r="D5614" t="s">
        <v>1643</v>
      </c>
      <c r="E5614" t="s">
        <v>8713</v>
      </c>
      <c r="F5614" t="s">
        <v>14173</v>
      </c>
      <c r="G5614" t="s">
        <v>14174</v>
      </c>
      <c r="K5614" t="s">
        <v>14175</v>
      </c>
      <c r="L5614" t="s">
        <v>1647</v>
      </c>
      <c r="M5614" t="s">
        <v>1634</v>
      </c>
    </row>
    <row r="5615" spans="1:13" x14ac:dyDescent="0.25">
      <c r="A5615">
        <v>6090</v>
      </c>
      <c r="B5615" t="s">
        <v>14171</v>
      </c>
      <c r="C5615" t="s">
        <v>14172</v>
      </c>
      <c r="D5615" t="s">
        <v>1643</v>
      </c>
      <c r="E5615" t="s">
        <v>8713</v>
      </c>
      <c r="F5615" t="s">
        <v>3303</v>
      </c>
      <c r="G5615" t="s">
        <v>1665</v>
      </c>
      <c r="K5615" t="s">
        <v>14176</v>
      </c>
      <c r="M5615" t="s">
        <v>1634</v>
      </c>
    </row>
    <row r="5616" spans="1:13" x14ac:dyDescent="0.25">
      <c r="A5616">
        <v>6090</v>
      </c>
      <c r="B5616" t="s">
        <v>14171</v>
      </c>
      <c r="C5616" t="s">
        <v>14172</v>
      </c>
      <c r="D5616" t="s">
        <v>1643</v>
      </c>
      <c r="E5616" t="s">
        <v>8713</v>
      </c>
      <c r="F5616" t="s">
        <v>2066</v>
      </c>
      <c r="G5616" t="s">
        <v>14177</v>
      </c>
      <c r="K5616" t="s">
        <v>14178</v>
      </c>
      <c r="M5616" t="s">
        <v>1634</v>
      </c>
    </row>
    <row r="5617" spans="1:13" x14ac:dyDescent="0.25">
      <c r="A5617">
        <v>6091</v>
      </c>
      <c r="B5617" t="s">
        <v>14179</v>
      </c>
      <c r="C5617" t="s">
        <v>14180</v>
      </c>
      <c r="D5617" t="s">
        <v>1643</v>
      </c>
      <c r="E5617" t="s">
        <v>8713</v>
      </c>
      <c r="F5617" t="s">
        <v>2361</v>
      </c>
      <c r="G5617" t="s">
        <v>2537</v>
      </c>
      <c r="H5617">
        <v>9287594905</v>
      </c>
      <c r="J5617">
        <v>9287594920</v>
      </c>
      <c r="K5617" t="s">
        <v>14181</v>
      </c>
      <c r="L5617" t="s">
        <v>1647</v>
      </c>
      <c r="M5617" t="s">
        <v>1634</v>
      </c>
    </row>
    <row r="5618" spans="1:13" x14ac:dyDescent="0.25">
      <c r="A5618">
        <v>6092</v>
      </c>
      <c r="B5618" t="s">
        <v>14182</v>
      </c>
      <c r="C5618" t="s">
        <v>14183</v>
      </c>
      <c r="D5618" t="s">
        <v>1643</v>
      </c>
      <c r="E5618" t="s">
        <v>8713</v>
      </c>
      <c r="F5618" t="s">
        <v>3068</v>
      </c>
      <c r="G5618" t="s">
        <v>11956</v>
      </c>
      <c r="H5618">
        <v>9287594600</v>
      </c>
      <c r="J5618">
        <v>9287594620</v>
      </c>
      <c r="K5618" t="s">
        <v>14184</v>
      </c>
      <c r="M5618" t="s">
        <v>1634</v>
      </c>
    </row>
    <row r="5619" spans="1:13" x14ac:dyDescent="0.25">
      <c r="A5619">
        <v>6092</v>
      </c>
      <c r="B5619" t="s">
        <v>14182</v>
      </c>
      <c r="C5619" t="s">
        <v>14183</v>
      </c>
      <c r="D5619" t="s">
        <v>1643</v>
      </c>
      <c r="E5619" t="s">
        <v>8713</v>
      </c>
      <c r="F5619" t="s">
        <v>2704</v>
      </c>
      <c r="G5619" t="s">
        <v>3063</v>
      </c>
      <c r="K5619" t="s">
        <v>14185</v>
      </c>
      <c r="M5619" t="s">
        <v>1634</v>
      </c>
    </row>
    <row r="5620" spans="1:13" x14ac:dyDescent="0.25">
      <c r="A5620">
        <v>6093</v>
      </c>
      <c r="B5620" t="s">
        <v>14186</v>
      </c>
      <c r="C5620" t="s">
        <v>14187</v>
      </c>
      <c r="D5620" t="s">
        <v>1643</v>
      </c>
      <c r="E5620" t="s">
        <v>8713</v>
      </c>
      <c r="F5620" t="s">
        <v>10966</v>
      </c>
      <c r="G5620" t="s">
        <v>2969</v>
      </c>
      <c r="H5620">
        <v>9287594400</v>
      </c>
      <c r="J5620">
        <v>9287594420</v>
      </c>
      <c r="K5620" t="s">
        <v>14188</v>
      </c>
      <c r="L5620" t="s">
        <v>1647</v>
      </c>
      <c r="M5620" t="s">
        <v>1634</v>
      </c>
    </row>
    <row r="5621" spans="1:13" x14ac:dyDescent="0.25">
      <c r="A5621">
        <v>6093</v>
      </c>
      <c r="B5621" t="s">
        <v>14186</v>
      </c>
      <c r="C5621" t="s">
        <v>14187</v>
      </c>
      <c r="D5621" t="s">
        <v>1643</v>
      </c>
      <c r="E5621" t="s">
        <v>8713</v>
      </c>
      <c r="F5621" t="s">
        <v>3303</v>
      </c>
      <c r="G5621" t="s">
        <v>1665</v>
      </c>
      <c r="K5621" t="s">
        <v>14176</v>
      </c>
      <c r="M5621" t="s">
        <v>1634</v>
      </c>
    </row>
    <row r="5622" spans="1:13" x14ac:dyDescent="0.25">
      <c r="A5622">
        <v>6093</v>
      </c>
      <c r="B5622" t="s">
        <v>14186</v>
      </c>
      <c r="C5622" t="s">
        <v>14187</v>
      </c>
      <c r="D5622" t="s">
        <v>1643</v>
      </c>
      <c r="E5622" t="s">
        <v>8713</v>
      </c>
      <c r="F5622" t="s">
        <v>2587</v>
      </c>
      <c r="G5622" t="s">
        <v>14189</v>
      </c>
      <c r="H5622">
        <v>9287594400</v>
      </c>
      <c r="J5622">
        <v>9287594420</v>
      </c>
      <c r="L5622" t="s">
        <v>1647</v>
      </c>
      <c r="M5622" t="s">
        <v>1634</v>
      </c>
    </row>
    <row r="5623" spans="1:13" x14ac:dyDescent="0.25">
      <c r="A5623">
        <v>6093</v>
      </c>
      <c r="B5623" t="s">
        <v>14186</v>
      </c>
      <c r="C5623" t="s">
        <v>14187</v>
      </c>
      <c r="D5623" t="s">
        <v>1643</v>
      </c>
      <c r="E5623" t="s">
        <v>8713</v>
      </c>
      <c r="F5623" t="s">
        <v>2587</v>
      </c>
      <c r="G5623" t="s">
        <v>14190</v>
      </c>
      <c r="H5623">
        <v>9287594405</v>
      </c>
      <c r="J5623">
        <v>9287594420</v>
      </c>
      <c r="K5623" t="s">
        <v>14191</v>
      </c>
      <c r="L5623" t="s">
        <v>1647</v>
      </c>
      <c r="M5623" t="s">
        <v>1634</v>
      </c>
    </row>
    <row r="5624" spans="1:13" x14ac:dyDescent="0.25">
      <c r="A5624">
        <v>6094</v>
      </c>
      <c r="B5624" t="s">
        <v>547</v>
      </c>
      <c r="C5624" t="s">
        <v>14192</v>
      </c>
      <c r="D5624" t="s">
        <v>1643</v>
      </c>
      <c r="E5624" t="s">
        <v>8713</v>
      </c>
      <c r="F5624" t="s">
        <v>14193</v>
      </c>
      <c r="G5624" t="s">
        <v>14194</v>
      </c>
      <c r="H5624">
        <v>9287594700</v>
      </c>
      <c r="J5624">
        <v>9287594720</v>
      </c>
      <c r="K5624" t="s">
        <v>14195</v>
      </c>
      <c r="M5624" t="s">
        <v>1634</v>
      </c>
    </row>
    <row r="5625" spans="1:13" x14ac:dyDescent="0.25">
      <c r="A5625">
        <v>6094</v>
      </c>
      <c r="B5625" t="s">
        <v>547</v>
      </c>
      <c r="C5625" t="s">
        <v>14192</v>
      </c>
      <c r="D5625" t="s">
        <v>1643</v>
      </c>
      <c r="E5625" t="s">
        <v>8713</v>
      </c>
      <c r="F5625" t="s">
        <v>3623</v>
      </c>
      <c r="G5625" t="s">
        <v>14196</v>
      </c>
      <c r="H5625">
        <v>9287594736</v>
      </c>
      <c r="K5625" t="s">
        <v>14197</v>
      </c>
      <c r="M5625" t="s">
        <v>1634</v>
      </c>
    </row>
    <row r="5626" spans="1:13" x14ac:dyDescent="0.25">
      <c r="A5626">
        <v>6094</v>
      </c>
      <c r="B5626" t="s">
        <v>547</v>
      </c>
      <c r="C5626" t="s">
        <v>14192</v>
      </c>
      <c r="D5626" t="s">
        <v>1643</v>
      </c>
      <c r="E5626" t="s">
        <v>8713</v>
      </c>
      <c r="F5626" t="s">
        <v>4816</v>
      </c>
      <c r="G5626" t="s">
        <v>14198</v>
      </c>
      <c r="M5626" t="s">
        <v>1634</v>
      </c>
    </row>
    <row r="5627" spans="1:13" x14ac:dyDescent="0.25">
      <c r="A5627">
        <v>6094</v>
      </c>
      <c r="B5627" t="s">
        <v>547</v>
      </c>
      <c r="C5627" t="s">
        <v>14192</v>
      </c>
      <c r="D5627" t="s">
        <v>1643</v>
      </c>
      <c r="E5627" t="s">
        <v>8713</v>
      </c>
      <c r="F5627" t="s">
        <v>4598</v>
      </c>
      <c r="G5627" t="s">
        <v>1817</v>
      </c>
      <c r="H5627">
        <v>5203758602</v>
      </c>
      <c r="K5627" t="s">
        <v>14199</v>
      </c>
      <c r="L5627" t="s">
        <v>1647</v>
      </c>
      <c r="M5627" t="s">
        <v>1634</v>
      </c>
    </row>
    <row r="5628" spans="1:13" x14ac:dyDescent="0.25">
      <c r="A5628">
        <v>6095</v>
      </c>
      <c r="B5628" t="s">
        <v>14200</v>
      </c>
      <c r="C5628" t="s">
        <v>14201</v>
      </c>
      <c r="D5628" t="s">
        <v>1643</v>
      </c>
      <c r="E5628" t="s">
        <v>8713</v>
      </c>
      <c r="F5628" t="s">
        <v>2494</v>
      </c>
      <c r="G5628" t="s">
        <v>14202</v>
      </c>
      <c r="H5628">
        <v>9287594300</v>
      </c>
      <c r="J5628">
        <v>9287594320</v>
      </c>
      <c r="K5628" t="s">
        <v>14203</v>
      </c>
      <c r="L5628" t="s">
        <v>1647</v>
      </c>
      <c r="M5628" t="s">
        <v>1634</v>
      </c>
    </row>
    <row r="5629" spans="1:13" x14ac:dyDescent="0.25">
      <c r="A5629">
        <v>6096</v>
      </c>
      <c r="B5629" t="s">
        <v>14204</v>
      </c>
      <c r="C5629" t="s">
        <v>14205</v>
      </c>
      <c r="D5629" t="s">
        <v>1643</v>
      </c>
      <c r="E5629" t="s">
        <v>8713</v>
      </c>
      <c r="F5629" t="s">
        <v>14206</v>
      </c>
      <c r="G5629" t="s">
        <v>14207</v>
      </c>
      <c r="H5629">
        <v>9287594500</v>
      </c>
      <c r="J5629">
        <v>9287594520</v>
      </c>
      <c r="K5629" t="s">
        <v>14208</v>
      </c>
      <c r="L5629" t="s">
        <v>1647</v>
      </c>
      <c r="M5629" t="s">
        <v>1634</v>
      </c>
    </row>
    <row r="5630" spans="1:13" x14ac:dyDescent="0.25">
      <c r="A5630">
        <v>6096</v>
      </c>
      <c r="B5630" t="s">
        <v>14204</v>
      </c>
      <c r="C5630" t="s">
        <v>14205</v>
      </c>
      <c r="D5630" t="s">
        <v>1643</v>
      </c>
      <c r="E5630" t="s">
        <v>8713</v>
      </c>
      <c r="F5630" t="s">
        <v>14209</v>
      </c>
      <c r="G5630" t="s">
        <v>14210</v>
      </c>
      <c r="K5630" t="s">
        <v>14211</v>
      </c>
      <c r="M5630" t="s">
        <v>1634</v>
      </c>
    </row>
    <row r="5631" spans="1:13" x14ac:dyDescent="0.25">
      <c r="A5631">
        <v>87535</v>
      </c>
      <c r="B5631" t="s">
        <v>14212</v>
      </c>
      <c r="C5631" t="s">
        <v>14213</v>
      </c>
      <c r="D5631" t="s">
        <v>1643</v>
      </c>
      <c r="E5631" t="s">
        <v>8713</v>
      </c>
      <c r="F5631" t="s">
        <v>14214</v>
      </c>
      <c r="G5631" t="s">
        <v>14215</v>
      </c>
      <c r="H5631">
        <v>9287594805</v>
      </c>
      <c r="J5631">
        <v>9287722647</v>
      </c>
      <c r="K5631" t="s">
        <v>14216</v>
      </c>
      <c r="L5631" t="s">
        <v>1647</v>
      </c>
      <c r="M5631" t="s">
        <v>1634</v>
      </c>
    </row>
    <row r="5632" spans="1:13" x14ac:dyDescent="0.25">
      <c r="A5632">
        <v>89839</v>
      </c>
      <c r="B5632" t="s">
        <v>14217</v>
      </c>
      <c r="C5632" t="s">
        <v>14218</v>
      </c>
      <c r="D5632" t="s">
        <v>1643</v>
      </c>
      <c r="E5632" t="s">
        <v>8713</v>
      </c>
    </row>
    <row r="5633" spans="1:13" x14ac:dyDescent="0.25">
      <c r="A5633">
        <v>6097</v>
      </c>
      <c r="B5633" t="s">
        <v>14219</v>
      </c>
      <c r="C5633" t="s">
        <v>14220</v>
      </c>
      <c r="D5633" t="s">
        <v>1643</v>
      </c>
      <c r="E5633" t="s">
        <v>8713</v>
      </c>
      <c r="F5633" t="s">
        <v>2499</v>
      </c>
      <c r="G5633" t="s">
        <v>14221</v>
      </c>
      <c r="K5633" t="s">
        <v>14222</v>
      </c>
      <c r="M5633" t="s">
        <v>1634</v>
      </c>
    </row>
    <row r="5634" spans="1:13" x14ac:dyDescent="0.25">
      <c r="A5634">
        <v>6097</v>
      </c>
      <c r="B5634" t="s">
        <v>14219</v>
      </c>
      <c r="C5634" t="s">
        <v>14220</v>
      </c>
      <c r="D5634" t="s">
        <v>1643</v>
      </c>
      <c r="E5634" t="s">
        <v>8713</v>
      </c>
      <c r="F5634" t="s">
        <v>14223</v>
      </c>
      <c r="G5634" t="s">
        <v>14224</v>
      </c>
      <c r="H5634">
        <v>9287594104</v>
      </c>
      <c r="J5634">
        <v>9287594120</v>
      </c>
      <c r="K5634" t="s">
        <v>14225</v>
      </c>
      <c r="L5634" t="s">
        <v>1647</v>
      </c>
      <c r="M5634" t="s">
        <v>1634</v>
      </c>
    </row>
    <row r="5635" spans="1:13" x14ac:dyDescent="0.25">
      <c r="A5635">
        <v>6097</v>
      </c>
      <c r="B5635" t="s">
        <v>14219</v>
      </c>
      <c r="C5635" t="s">
        <v>14220</v>
      </c>
      <c r="D5635" t="s">
        <v>1643</v>
      </c>
      <c r="E5635" t="s">
        <v>8713</v>
      </c>
      <c r="F5635" t="s">
        <v>2876</v>
      </c>
      <c r="G5635" t="s">
        <v>6511</v>
      </c>
      <c r="H5635">
        <v>9287594040</v>
      </c>
      <c r="J5635">
        <v>9287595180</v>
      </c>
      <c r="K5635" t="s">
        <v>14226</v>
      </c>
      <c r="L5635" t="s">
        <v>6226</v>
      </c>
      <c r="M5635" t="s">
        <v>1634</v>
      </c>
    </row>
    <row r="5636" spans="1:13" x14ac:dyDescent="0.25">
      <c r="A5636">
        <v>87536</v>
      </c>
      <c r="B5636" t="s">
        <v>14227</v>
      </c>
      <c r="C5636" t="s">
        <v>14228</v>
      </c>
      <c r="D5636" t="s">
        <v>1643</v>
      </c>
      <c r="E5636" t="s">
        <v>8713</v>
      </c>
    </row>
    <row r="5637" spans="1:13" x14ac:dyDescent="0.25">
      <c r="A5637">
        <v>4470</v>
      </c>
      <c r="B5637" t="s">
        <v>388</v>
      </c>
      <c r="C5637" t="s">
        <v>14229</v>
      </c>
      <c r="D5637" t="s">
        <v>1628</v>
      </c>
      <c r="E5637" t="s">
        <v>8713</v>
      </c>
      <c r="F5637" t="s">
        <v>3428</v>
      </c>
      <c r="G5637" t="s">
        <v>1853</v>
      </c>
      <c r="H5637">
        <v>9285678011</v>
      </c>
      <c r="K5637" t="s">
        <v>14230</v>
      </c>
      <c r="L5637" t="s">
        <v>14231</v>
      </c>
      <c r="M5637" t="s">
        <v>1634</v>
      </c>
    </row>
    <row r="5638" spans="1:13" x14ac:dyDescent="0.25">
      <c r="A5638">
        <v>4470</v>
      </c>
      <c r="B5638" t="s">
        <v>388</v>
      </c>
      <c r="C5638" t="s">
        <v>14229</v>
      </c>
      <c r="D5638" t="s">
        <v>1628</v>
      </c>
      <c r="E5638" t="s">
        <v>8713</v>
      </c>
      <c r="F5638" t="s">
        <v>3428</v>
      </c>
      <c r="G5638" t="s">
        <v>1853</v>
      </c>
      <c r="H5638">
        <v>9285678011</v>
      </c>
      <c r="K5638" t="s">
        <v>14230</v>
      </c>
      <c r="L5638" t="s">
        <v>14231</v>
      </c>
      <c r="M5638" t="s">
        <v>1765</v>
      </c>
    </row>
    <row r="5639" spans="1:13" x14ac:dyDescent="0.25">
      <c r="A5639">
        <v>6098</v>
      </c>
      <c r="B5639" t="s">
        <v>1331</v>
      </c>
      <c r="C5639" t="s">
        <v>14232</v>
      </c>
      <c r="D5639" t="s">
        <v>1643</v>
      </c>
      <c r="E5639" t="s">
        <v>8713</v>
      </c>
      <c r="F5639" t="s">
        <v>14233</v>
      </c>
      <c r="G5639" t="s">
        <v>14234</v>
      </c>
      <c r="H5639">
        <v>9285678065</v>
      </c>
      <c r="K5639" t="s">
        <v>14235</v>
      </c>
      <c r="L5639" t="s">
        <v>4969</v>
      </c>
      <c r="M5639" t="s">
        <v>1634</v>
      </c>
    </row>
    <row r="5640" spans="1:13" x14ac:dyDescent="0.25">
      <c r="A5640">
        <v>6099</v>
      </c>
      <c r="B5640" t="s">
        <v>389</v>
      </c>
      <c r="C5640" t="s">
        <v>14236</v>
      </c>
      <c r="D5640" t="s">
        <v>1643</v>
      </c>
      <c r="E5640" t="s">
        <v>8713</v>
      </c>
      <c r="F5640" t="s">
        <v>11401</v>
      </c>
      <c r="G5640" t="s">
        <v>12054</v>
      </c>
      <c r="K5640" t="s">
        <v>14237</v>
      </c>
      <c r="L5640" t="s">
        <v>1647</v>
      </c>
      <c r="M5640" t="s">
        <v>1634</v>
      </c>
    </row>
    <row r="5641" spans="1:13" x14ac:dyDescent="0.25">
      <c r="A5641">
        <v>6100</v>
      </c>
      <c r="B5641" t="s">
        <v>14238</v>
      </c>
      <c r="C5641" t="s">
        <v>14239</v>
      </c>
      <c r="D5641" t="s">
        <v>1643</v>
      </c>
      <c r="E5641" t="s">
        <v>8713</v>
      </c>
    </row>
    <row r="5642" spans="1:13" x14ac:dyDescent="0.25">
      <c r="A5642">
        <v>90137</v>
      </c>
      <c r="B5642" t="s">
        <v>14240</v>
      </c>
      <c r="C5642" t="s">
        <v>14241</v>
      </c>
      <c r="D5642" t="s">
        <v>1643</v>
      </c>
      <c r="E5642" t="s">
        <v>8713</v>
      </c>
    </row>
    <row r="5643" spans="1:13" x14ac:dyDescent="0.25">
      <c r="A5643">
        <v>1000257</v>
      </c>
      <c r="B5643" t="s">
        <v>14242</v>
      </c>
      <c r="C5643" t="s">
        <v>14243</v>
      </c>
      <c r="D5643" t="s">
        <v>1643</v>
      </c>
      <c r="E5643" t="s">
        <v>8713</v>
      </c>
    </row>
    <row r="5644" spans="1:13" x14ac:dyDescent="0.25">
      <c r="A5644">
        <v>84659</v>
      </c>
      <c r="B5644" t="s">
        <v>14244</v>
      </c>
      <c r="C5644" t="s">
        <v>14245</v>
      </c>
      <c r="D5644" t="s">
        <v>1643</v>
      </c>
      <c r="E5644" t="s">
        <v>8713</v>
      </c>
    </row>
    <row r="5645" spans="1:13" x14ac:dyDescent="0.25">
      <c r="A5645">
        <v>4471</v>
      </c>
      <c r="B5645" t="s">
        <v>14246</v>
      </c>
      <c r="C5645" t="s">
        <v>14247</v>
      </c>
      <c r="D5645" t="s">
        <v>1628</v>
      </c>
      <c r="E5645" t="s">
        <v>8713</v>
      </c>
      <c r="F5645" t="s">
        <v>7599</v>
      </c>
      <c r="G5645" t="s">
        <v>14248</v>
      </c>
      <c r="H5645">
        <v>9286372561</v>
      </c>
      <c r="I5645">
        <v>111</v>
      </c>
      <c r="J5645">
        <v>9286372623</v>
      </c>
      <c r="K5645" t="s">
        <v>14249</v>
      </c>
      <c r="L5645" t="s">
        <v>1668</v>
      </c>
      <c r="M5645" t="s">
        <v>1634</v>
      </c>
    </row>
    <row r="5646" spans="1:13" x14ac:dyDescent="0.25">
      <c r="A5646">
        <v>4471</v>
      </c>
      <c r="B5646" t="s">
        <v>14246</v>
      </c>
      <c r="C5646" t="s">
        <v>14247</v>
      </c>
      <c r="D5646" t="s">
        <v>1628</v>
      </c>
      <c r="E5646" t="s">
        <v>8713</v>
      </c>
      <c r="F5646" t="s">
        <v>1726</v>
      </c>
      <c r="G5646" t="s">
        <v>14250</v>
      </c>
      <c r="H5646">
        <v>9286372561</v>
      </c>
      <c r="K5646" t="s">
        <v>14251</v>
      </c>
      <c r="M5646" t="s">
        <v>1634</v>
      </c>
    </row>
    <row r="5647" spans="1:13" x14ac:dyDescent="0.25">
      <c r="A5647">
        <v>4471</v>
      </c>
      <c r="B5647" t="s">
        <v>14246</v>
      </c>
      <c r="C5647" t="s">
        <v>14247</v>
      </c>
      <c r="D5647" t="s">
        <v>1628</v>
      </c>
      <c r="E5647" t="s">
        <v>8713</v>
      </c>
      <c r="F5647" t="s">
        <v>2455</v>
      </c>
      <c r="G5647" t="s">
        <v>1723</v>
      </c>
      <c r="I5647">
        <v>103</v>
      </c>
      <c r="K5647" t="s">
        <v>14252</v>
      </c>
      <c r="L5647" t="s">
        <v>14253</v>
      </c>
      <c r="M5647" t="s">
        <v>1634</v>
      </c>
    </row>
    <row r="5648" spans="1:13" x14ac:dyDescent="0.25">
      <c r="A5648">
        <v>4471</v>
      </c>
      <c r="B5648" t="s">
        <v>14246</v>
      </c>
      <c r="C5648" t="s">
        <v>14247</v>
      </c>
      <c r="D5648" t="s">
        <v>1628</v>
      </c>
      <c r="E5648" t="s">
        <v>8713</v>
      </c>
      <c r="F5648" t="s">
        <v>1726</v>
      </c>
      <c r="G5648" t="s">
        <v>14250</v>
      </c>
      <c r="H5648">
        <v>9286372561</v>
      </c>
      <c r="K5648" t="s">
        <v>14251</v>
      </c>
      <c r="M5648" t="s">
        <v>1640</v>
      </c>
    </row>
    <row r="5649" spans="1:13" x14ac:dyDescent="0.25">
      <c r="A5649">
        <v>4471</v>
      </c>
      <c r="B5649" t="s">
        <v>14246</v>
      </c>
      <c r="C5649" t="s">
        <v>14247</v>
      </c>
      <c r="D5649" t="s">
        <v>1628</v>
      </c>
      <c r="E5649" t="s">
        <v>8713</v>
      </c>
      <c r="F5649" t="s">
        <v>2455</v>
      </c>
      <c r="G5649" t="s">
        <v>1723</v>
      </c>
      <c r="I5649">
        <v>103</v>
      </c>
      <c r="K5649" t="s">
        <v>14252</v>
      </c>
      <c r="L5649" t="s">
        <v>14253</v>
      </c>
      <c r="M5649" t="s">
        <v>1765</v>
      </c>
    </row>
    <row r="5650" spans="1:13" x14ac:dyDescent="0.25">
      <c r="A5650">
        <v>6101</v>
      </c>
      <c r="B5650" t="s">
        <v>14254</v>
      </c>
      <c r="C5650" t="s">
        <v>14255</v>
      </c>
      <c r="D5650" t="s">
        <v>1643</v>
      </c>
      <c r="E5650" t="s">
        <v>8713</v>
      </c>
      <c r="F5650" t="s">
        <v>14256</v>
      </c>
      <c r="G5650" t="s">
        <v>7081</v>
      </c>
      <c r="H5650">
        <v>9286372561</v>
      </c>
      <c r="I5650">
        <v>103</v>
      </c>
      <c r="J5650">
        <v>9286372623</v>
      </c>
      <c r="K5650" t="s">
        <v>14257</v>
      </c>
      <c r="L5650" t="s">
        <v>14258</v>
      </c>
      <c r="M5650" t="s">
        <v>1634</v>
      </c>
    </row>
    <row r="5651" spans="1:13" x14ac:dyDescent="0.25">
      <c r="A5651">
        <v>6101</v>
      </c>
      <c r="B5651" t="s">
        <v>14254</v>
      </c>
      <c r="C5651" t="s">
        <v>14255</v>
      </c>
      <c r="D5651" t="s">
        <v>1643</v>
      </c>
      <c r="E5651" t="s">
        <v>8713</v>
      </c>
      <c r="F5651" t="s">
        <v>5079</v>
      </c>
      <c r="G5651" t="s">
        <v>14259</v>
      </c>
      <c r="H5651">
        <v>9286372561</v>
      </c>
      <c r="J5651">
        <v>9286372623</v>
      </c>
      <c r="K5651" t="s">
        <v>14260</v>
      </c>
      <c r="L5651" t="s">
        <v>3620</v>
      </c>
      <c r="M5651" t="s">
        <v>1634</v>
      </c>
    </row>
    <row r="5652" spans="1:13" x14ac:dyDescent="0.25">
      <c r="A5652">
        <v>6101</v>
      </c>
      <c r="B5652" t="s">
        <v>14254</v>
      </c>
      <c r="C5652" t="s">
        <v>14255</v>
      </c>
      <c r="D5652" t="s">
        <v>1643</v>
      </c>
      <c r="E5652" t="s">
        <v>8713</v>
      </c>
      <c r="F5652" t="s">
        <v>3640</v>
      </c>
      <c r="G5652" t="s">
        <v>7081</v>
      </c>
      <c r="H5652">
        <v>9286372561</v>
      </c>
      <c r="I5652">
        <v>106</v>
      </c>
      <c r="J5652">
        <v>9286372623</v>
      </c>
      <c r="K5652" t="s">
        <v>14261</v>
      </c>
      <c r="L5652" t="s">
        <v>6211</v>
      </c>
      <c r="M5652" t="s">
        <v>1765</v>
      </c>
    </row>
    <row r="5653" spans="1:13" x14ac:dyDescent="0.25">
      <c r="A5653">
        <v>6102</v>
      </c>
      <c r="B5653" t="s">
        <v>14262</v>
      </c>
      <c r="C5653" t="s">
        <v>14263</v>
      </c>
      <c r="D5653" t="s">
        <v>1643</v>
      </c>
      <c r="E5653" t="s">
        <v>8713</v>
      </c>
      <c r="F5653" t="s">
        <v>14256</v>
      </c>
      <c r="G5653" t="s">
        <v>7081</v>
      </c>
      <c r="H5653">
        <v>9286372561</v>
      </c>
      <c r="I5653">
        <v>103</v>
      </c>
      <c r="J5653">
        <v>9286372623</v>
      </c>
      <c r="K5653" t="s">
        <v>14257</v>
      </c>
      <c r="L5653" t="s">
        <v>14258</v>
      </c>
      <c r="M5653" t="s">
        <v>1634</v>
      </c>
    </row>
    <row r="5654" spans="1:13" x14ac:dyDescent="0.25">
      <c r="A5654">
        <v>6102</v>
      </c>
      <c r="B5654" t="s">
        <v>14262</v>
      </c>
      <c r="C5654" t="s">
        <v>14263</v>
      </c>
      <c r="D5654" t="s">
        <v>1643</v>
      </c>
      <c r="E5654" t="s">
        <v>8713</v>
      </c>
      <c r="F5654" t="s">
        <v>5079</v>
      </c>
      <c r="G5654" t="s">
        <v>14259</v>
      </c>
      <c r="K5654" t="s">
        <v>14260</v>
      </c>
      <c r="L5654" t="s">
        <v>3620</v>
      </c>
      <c r="M5654" t="s">
        <v>1634</v>
      </c>
    </row>
    <row r="5655" spans="1:13" x14ac:dyDescent="0.25">
      <c r="A5655">
        <v>6102</v>
      </c>
      <c r="B5655" t="s">
        <v>14262</v>
      </c>
      <c r="C5655" t="s">
        <v>14263</v>
      </c>
      <c r="D5655" t="s">
        <v>1643</v>
      </c>
      <c r="E5655" t="s">
        <v>8713</v>
      </c>
      <c r="F5655" t="s">
        <v>3640</v>
      </c>
      <c r="G5655" t="s">
        <v>7081</v>
      </c>
      <c r="H5655">
        <v>9286372561</v>
      </c>
      <c r="I5655">
        <v>106</v>
      </c>
      <c r="J5655">
        <v>9286372623</v>
      </c>
      <c r="K5655" t="s">
        <v>14261</v>
      </c>
      <c r="L5655" t="s">
        <v>6211</v>
      </c>
      <c r="M5655" t="s">
        <v>1765</v>
      </c>
    </row>
    <row r="5656" spans="1:13" x14ac:dyDescent="0.25">
      <c r="A5656">
        <v>6103</v>
      </c>
      <c r="B5656" t="s">
        <v>14264</v>
      </c>
      <c r="C5656" t="s">
        <v>14265</v>
      </c>
      <c r="D5656" t="s">
        <v>1643</v>
      </c>
      <c r="E5656" t="s">
        <v>8713</v>
      </c>
      <c r="F5656" t="s">
        <v>14256</v>
      </c>
      <c r="G5656" t="s">
        <v>7081</v>
      </c>
      <c r="H5656">
        <v>9286372561</v>
      </c>
      <c r="I5656">
        <v>103</v>
      </c>
      <c r="J5656">
        <v>9286372623</v>
      </c>
      <c r="K5656" t="s">
        <v>14257</v>
      </c>
      <c r="L5656" t="s">
        <v>14258</v>
      </c>
      <c r="M5656" t="s">
        <v>1634</v>
      </c>
    </row>
    <row r="5657" spans="1:13" x14ac:dyDescent="0.25">
      <c r="A5657">
        <v>6103</v>
      </c>
      <c r="B5657" t="s">
        <v>14264</v>
      </c>
      <c r="C5657" t="s">
        <v>14265</v>
      </c>
      <c r="D5657" t="s">
        <v>1643</v>
      </c>
      <c r="E5657" t="s">
        <v>8713</v>
      </c>
      <c r="F5657" t="s">
        <v>5079</v>
      </c>
      <c r="G5657" t="s">
        <v>14259</v>
      </c>
      <c r="H5657">
        <v>9286372561</v>
      </c>
      <c r="J5657">
        <v>9286372623</v>
      </c>
      <c r="K5657" t="s">
        <v>14260</v>
      </c>
      <c r="L5657" t="s">
        <v>3620</v>
      </c>
      <c r="M5657" t="s">
        <v>1634</v>
      </c>
    </row>
    <row r="5658" spans="1:13" x14ac:dyDescent="0.25">
      <c r="A5658">
        <v>6103</v>
      </c>
      <c r="B5658" t="s">
        <v>14264</v>
      </c>
      <c r="C5658" t="s">
        <v>14265</v>
      </c>
      <c r="D5658" t="s">
        <v>1643</v>
      </c>
      <c r="E5658" t="s">
        <v>8713</v>
      </c>
      <c r="F5658" t="s">
        <v>3640</v>
      </c>
      <c r="G5658" t="s">
        <v>7081</v>
      </c>
      <c r="H5658">
        <v>9286372561</v>
      </c>
      <c r="I5658">
        <v>106</v>
      </c>
      <c r="J5658">
        <v>9286372623</v>
      </c>
      <c r="K5658" t="s">
        <v>14261</v>
      </c>
      <c r="L5658" t="s">
        <v>6211</v>
      </c>
      <c r="M5658" t="s">
        <v>1765</v>
      </c>
    </row>
    <row r="5659" spans="1:13" x14ac:dyDescent="0.25">
      <c r="A5659">
        <v>4472</v>
      </c>
      <c r="B5659" t="s">
        <v>14266</v>
      </c>
      <c r="C5659" t="s">
        <v>14267</v>
      </c>
      <c r="D5659" t="s">
        <v>1628</v>
      </c>
      <c r="E5659" t="s">
        <v>8713</v>
      </c>
      <c r="F5659" t="s">
        <v>4725</v>
      </c>
      <c r="G5659" t="s">
        <v>14268</v>
      </c>
      <c r="J5659">
        <v>9284223642</v>
      </c>
      <c r="K5659" t="s">
        <v>14269</v>
      </c>
      <c r="L5659" t="s">
        <v>1668</v>
      </c>
      <c r="M5659" t="s">
        <v>1634</v>
      </c>
    </row>
    <row r="5660" spans="1:13" x14ac:dyDescent="0.25">
      <c r="A5660">
        <v>4472</v>
      </c>
      <c r="B5660" t="s">
        <v>14266</v>
      </c>
      <c r="C5660" t="s">
        <v>14267</v>
      </c>
      <c r="D5660" t="s">
        <v>1628</v>
      </c>
      <c r="E5660" t="s">
        <v>8713</v>
      </c>
      <c r="F5660" t="s">
        <v>1723</v>
      </c>
      <c r="G5660" t="s">
        <v>3590</v>
      </c>
      <c r="H5660">
        <v>9282164123</v>
      </c>
      <c r="K5660" t="s">
        <v>14270</v>
      </c>
      <c r="L5660" t="s">
        <v>1668</v>
      </c>
      <c r="M5660" t="s">
        <v>1634</v>
      </c>
    </row>
    <row r="5661" spans="1:13" x14ac:dyDescent="0.25">
      <c r="A5661">
        <v>4472</v>
      </c>
      <c r="B5661" t="s">
        <v>14266</v>
      </c>
      <c r="C5661" t="s">
        <v>14267</v>
      </c>
      <c r="D5661" t="s">
        <v>1628</v>
      </c>
      <c r="E5661" t="s">
        <v>8713</v>
      </c>
      <c r="F5661" t="s">
        <v>6159</v>
      </c>
      <c r="G5661" t="s">
        <v>1909</v>
      </c>
      <c r="H5661">
        <v>9284223233</v>
      </c>
      <c r="J5661">
        <v>9284223642</v>
      </c>
      <c r="K5661" t="s">
        <v>14271</v>
      </c>
      <c r="L5661" t="s">
        <v>1640</v>
      </c>
      <c r="M5661" t="s">
        <v>1640</v>
      </c>
    </row>
    <row r="5662" spans="1:13" x14ac:dyDescent="0.25">
      <c r="A5662">
        <v>6104</v>
      </c>
      <c r="B5662" t="s">
        <v>14272</v>
      </c>
      <c r="C5662" t="s">
        <v>14273</v>
      </c>
      <c r="D5662" t="s">
        <v>1643</v>
      </c>
      <c r="E5662" t="s">
        <v>8713</v>
      </c>
      <c r="F5662" t="s">
        <v>4725</v>
      </c>
      <c r="G5662" t="s">
        <v>14268</v>
      </c>
      <c r="K5662" t="s">
        <v>14269</v>
      </c>
      <c r="L5662" t="s">
        <v>1647</v>
      </c>
      <c r="M5662" t="s">
        <v>1634</v>
      </c>
    </row>
    <row r="5663" spans="1:13" x14ac:dyDescent="0.25">
      <c r="A5663">
        <v>6104</v>
      </c>
      <c r="B5663" t="s">
        <v>14272</v>
      </c>
      <c r="C5663" t="s">
        <v>14273</v>
      </c>
      <c r="D5663" t="s">
        <v>1643</v>
      </c>
      <c r="E5663" t="s">
        <v>8713</v>
      </c>
      <c r="F5663" t="s">
        <v>1723</v>
      </c>
      <c r="G5663" t="s">
        <v>3590</v>
      </c>
      <c r="K5663" t="s">
        <v>14270</v>
      </c>
      <c r="M5663" t="s">
        <v>1634</v>
      </c>
    </row>
    <row r="5664" spans="1:13" x14ac:dyDescent="0.25">
      <c r="A5664">
        <v>6105</v>
      </c>
      <c r="B5664" t="s">
        <v>14274</v>
      </c>
      <c r="C5664" t="s">
        <v>14275</v>
      </c>
      <c r="D5664" t="s">
        <v>1643</v>
      </c>
      <c r="E5664" t="s">
        <v>8713</v>
      </c>
      <c r="F5664" t="s">
        <v>4725</v>
      </c>
      <c r="G5664" t="s">
        <v>14268</v>
      </c>
      <c r="K5664" t="s">
        <v>14269</v>
      </c>
      <c r="L5664" t="s">
        <v>1647</v>
      </c>
      <c r="M5664" t="s">
        <v>1634</v>
      </c>
    </row>
    <row r="5665" spans="1:13" x14ac:dyDescent="0.25">
      <c r="A5665">
        <v>4473</v>
      </c>
      <c r="B5665" t="s">
        <v>901</v>
      </c>
      <c r="C5665" t="s">
        <v>14276</v>
      </c>
      <c r="D5665" t="s">
        <v>1628</v>
      </c>
      <c r="E5665" t="s">
        <v>8713</v>
      </c>
      <c r="F5665" t="s">
        <v>2207</v>
      </c>
      <c r="G5665" t="s">
        <v>14277</v>
      </c>
      <c r="H5665">
        <v>9286421005</v>
      </c>
      <c r="K5665" t="s">
        <v>14278</v>
      </c>
      <c r="L5665" t="s">
        <v>1668</v>
      </c>
      <c r="M5665" t="s">
        <v>1634</v>
      </c>
    </row>
    <row r="5666" spans="1:13" x14ac:dyDescent="0.25">
      <c r="A5666">
        <v>4473</v>
      </c>
      <c r="B5666" t="s">
        <v>901</v>
      </c>
      <c r="C5666" t="s">
        <v>14276</v>
      </c>
      <c r="D5666" t="s">
        <v>1628</v>
      </c>
      <c r="E5666" t="s">
        <v>8713</v>
      </c>
      <c r="F5666" t="s">
        <v>2009</v>
      </c>
      <c r="G5666" t="s">
        <v>14279</v>
      </c>
      <c r="K5666" t="s">
        <v>14280</v>
      </c>
      <c r="L5666" t="s">
        <v>1640</v>
      </c>
      <c r="M5666" t="s">
        <v>1640</v>
      </c>
    </row>
    <row r="5667" spans="1:13" x14ac:dyDescent="0.25">
      <c r="A5667">
        <v>4473</v>
      </c>
      <c r="B5667" t="s">
        <v>901</v>
      </c>
      <c r="C5667" t="s">
        <v>14276</v>
      </c>
      <c r="D5667" t="s">
        <v>1628</v>
      </c>
      <c r="E5667" t="s">
        <v>8713</v>
      </c>
      <c r="F5667" t="s">
        <v>3411</v>
      </c>
      <c r="G5667" t="s">
        <v>2746</v>
      </c>
      <c r="H5667">
        <v>9086421238</v>
      </c>
      <c r="K5667" t="s">
        <v>14281</v>
      </c>
      <c r="M5667" t="s">
        <v>1765</v>
      </c>
    </row>
    <row r="5668" spans="1:13" x14ac:dyDescent="0.25">
      <c r="A5668">
        <v>6107</v>
      </c>
      <c r="B5668" t="s">
        <v>14282</v>
      </c>
      <c r="C5668" t="s">
        <v>14283</v>
      </c>
      <c r="D5668" t="s">
        <v>1643</v>
      </c>
      <c r="E5668" t="s">
        <v>8713</v>
      </c>
      <c r="F5668" t="s">
        <v>5662</v>
      </c>
      <c r="G5668" t="s">
        <v>7040</v>
      </c>
      <c r="H5668">
        <v>9286421100</v>
      </c>
      <c r="J5668">
        <v>9286329610</v>
      </c>
      <c r="K5668" t="s">
        <v>14284</v>
      </c>
      <c r="M5668" t="s">
        <v>1634</v>
      </c>
    </row>
    <row r="5669" spans="1:13" x14ac:dyDescent="0.25">
      <c r="A5669">
        <v>6106</v>
      </c>
      <c r="B5669" t="s">
        <v>902</v>
      </c>
      <c r="C5669" t="s">
        <v>14285</v>
      </c>
      <c r="D5669" t="s">
        <v>1643</v>
      </c>
      <c r="E5669" t="s">
        <v>8713</v>
      </c>
    </row>
    <row r="5670" spans="1:13" x14ac:dyDescent="0.25">
      <c r="A5670">
        <v>4474</v>
      </c>
      <c r="B5670" t="s">
        <v>14286</v>
      </c>
      <c r="C5670" t="s">
        <v>14287</v>
      </c>
      <c r="D5670" t="s">
        <v>1628</v>
      </c>
      <c r="E5670" t="s">
        <v>8713</v>
      </c>
      <c r="F5670" t="s">
        <v>3040</v>
      </c>
      <c r="G5670" t="s">
        <v>11384</v>
      </c>
      <c r="K5670" t="s">
        <v>14288</v>
      </c>
      <c r="L5670" t="s">
        <v>14289</v>
      </c>
      <c r="M5670" t="s">
        <v>1634</v>
      </c>
    </row>
    <row r="5671" spans="1:13" x14ac:dyDescent="0.25">
      <c r="A5671">
        <v>4474</v>
      </c>
      <c r="B5671" t="s">
        <v>14286</v>
      </c>
      <c r="C5671" t="s">
        <v>14287</v>
      </c>
      <c r="D5671" t="s">
        <v>1628</v>
      </c>
      <c r="E5671" t="s">
        <v>8713</v>
      </c>
      <c r="F5671" t="s">
        <v>4495</v>
      </c>
      <c r="G5671" t="s">
        <v>7314</v>
      </c>
      <c r="H5671" t="s">
        <v>14290</v>
      </c>
      <c r="J5671">
        <v>9286366215</v>
      </c>
      <c r="K5671" t="s">
        <v>14291</v>
      </c>
      <c r="L5671" t="s">
        <v>14292</v>
      </c>
      <c r="M5671" t="s">
        <v>1634</v>
      </c>
    </row>
    <row r="5672" spans="1:13" x14ac:dyDescent="0.25">
      <c r="A5672">
        <v>4474</v>
      </c>
      <c r="B5672" t="s">
        <v>14286</v>
      </c>
      <c r="C5672" t="s">
        <v>14287</v>
      </c>
      <c r="D5672" t="s">
        <v>1628</v>
      </c>
      <c r="E5672" t="s">
        <v>8713</v>
      </c>
      <c r="F5672" t="s">
        <v>1787</v>
      </c>
      <c r="G5672" t="s">
        <v>14293</v>
      </c>
      <c r="H5672">
        <v>9286362458</v>
      </c>
      <c r="K5672" t="s">
        <v>14294</v>
      </c>
      <c r="L5672" t="s">
        <v>14295</v>
      </c>
      <c r="M5672" t="s">
        <v>1634</v>
      </c>
    </row>
    <row r="5673" spans="1:13" x14ac:dyDescent="0.25">
      <c r="A5673">
        <v>4474</v>
      </c>
      <c r="B5673" t="s">
        <v>14286</v>
      </c>
      <c r="C5673" t="s">
        <v>14287</v>
      </c>
      <c r="D5673" t="s">
        <v>1628</v>
      </c>
      <c r="E5673" t="s">
        <v>8713</v>
      </c>
      <c r="F5673" t="s">
        <v>14296</v>
      </c>
      <c r="G5673" t="s">
        <v>14297</v>
      </c>
      <c r="J5673">
        <v>9286363897</v>
      </c>
      <c r="K5673" t="s">
        <v>14298</v>
      </c>
      <c r="L5673" t="s">
        <v>14299</v>
      </c>
      <c r="M5673" t="s">
        <v>1640</v>
      </c>
    </row>
    <row r="5674" spans="1:13" x14ac:dyDescent="0.25">
      <c r="A5674">
        <v>4474</v>
      </c>
      <c r="B5674" t="s">
        <v>14286</v>
      </c>
      <c r="C5674" t="s">
        <v>14287</v>
      </c>
      <c r="D5674" t="s">
        <v>1628</v>
      </c>
      <c r="E5674" t="s">
        <v>8713</v>
      </c>
      <c r="F5674" t="s">
        <v>4495</v>
      </c>
      <c r="G5674" t="s">
        <v>7314</v>
      </c>
      <c r="H5674" t="s">
        <v>14290</v>
      </c>
      <c r="J5674">
        <v>9286366215</v>
      </c>
      <c r="K5674" t="s">
        <v>14291</v>
      </c>
      <c r="L5674" t="s">
        <v>14292</v>
      </c>
      <c r="M5674" t="s">
        <v>1765</v>
      </c>
    </row>
    <row r="5675" spans="1:13" x14ac:dyDescent="0.25">
      <c r="A5675">
        <v>6108</v>
      </c>
      <c r="B5675" t="s">
        <v>14300</v>
      </c>
      <c r="C5675" t="s">
        <v>14301</v>
      </c>
      <c r="D5675" t="s">
        <v>1643</v>
      </c>
      <c r="E5675" t="s">
        <v>8713</v>
      </c>
      <c r="F5675" t="s">
        <v>1787</v>
      </c>
      <c r="G5675" t="s">
        <v>14293</v>
      </c>
      <c r="H5675">
        <v>9286362458</v>
      </c>
      <c r="K5675" t="s">
        <v>14294</v>
      </c>
      <c r="L5675" t="s">
        <v>1640</v>
      </c>
      <c r="M5675" t="s">
        <v>1634</v>
      </c>
    </row>
    <row r="5676" spans="1:13" x14ac:dyDescent="0.25">
      <c r="A5676">
        <v>6108</v>
      </c>
      <c r="B5676" t="s">
        <v>14300</v>
      </c>
      <c r="C5676" t="s">
        <v>14301</v>
      </c>
      <c r="D5676" t="s">
        <v>1643</v>
      </c>
      <c r="E5676" t="s">
        <v>8713</v>
      </c>
      <c r="F5676" t="s">
        <v>14296</v>
      </c>
      <c r="G5676" t="s">
        <v>14297</v>
      </c>
      <c r="K5676" t="s">
        <v>14298</v>
      </c>
      <c r="M5676" t="s">
        <v>1640</v>
      </c>
    </row>
    <row r="5677" spans="1:13" x14ac:dyDescent="0.25">
      <c r="A5677">
        <v>6109</v>
      </c>
      <c r="B5677" t="s">
        <v>14302</v>
      </c>
      <c r="C5677" t="s">
        <v>14303</v>
      </c>
      <c r="D5677" t="s">
        <v>1643</v>
      </c>
      <c r="E5677" t="s">
        <v>8713</v>
      </c>
      <c r="F5677" t="s">
        <v>1787</v>
      </c>
      <c r="G5677" t="s">
        <v>14293</v>
      </c>
      <c r="H5677">
        <v>9286362458</v>
      </c>
      <c r="K5677" t="s">
        <v>14294</v>
      </c>
      <c r="M5677" t="s">
        <v>1634</v>
      </c>
    </row>
    <row r="5678" spans="1:13" x14ac:dyDescent="0.25">
      <c r="A5678">
        <v>6109</v>
      </c>
      <c r="B5678" t="s">
        <v>14302</v>
      </c>
      <c r="C5678" t="s">
        <v>14303</v>
      </c>
      <c r="D5678" t="s">
        <v>1643</v>
      </c>
      <c r="E5678" t="s">
        <v>8713</v>
      </c>
      <c r="F5678" t="s">
        <v>14296</v>
      </c>
      <c r="G5678" t="s">
        <v>14297</v>
      </c>
      <c r="K5678" t="s">
        <v>14298</v>
      </c>
      <c r="L5678" t="s">
        <v>1640</v>
      </c>
      <c r="M5678" t="s">
        <v>1640</v>
      </c>
    </row>
    <row r="5679" spans="1:13" x14ac:dyDescent="0.25">
      <c r="A5679">
        <v>78928</v>
      </c>
      <c r="B5679" t="s">
        <v>14304</v>
      </c>
      <c r="C5679" t="s">
        <v>14305</v>
      </c>
      <c r="D5679" t="s">
        <v>1643</v>
      </c>
      <c r="E5679" t="s">
        <v>8713</v>
      </c>
      <c r="F5679" t="s">
        <v>1787</v>
      </c>
      <c r="G5679" t="s">
        <v>14293</v>
      </c>
      <c r="H5679">
        <v>9286362458</v>
      </c>
      <c r="I5679">
        <v>5406</v>
      </c>
      <c r="K5679" t="s">
        <v>14294</v>
      </c>
      <c r="L5679" t="s">
        <v>14295</v>
      </c>
      <c r="M5679" t="s">
        <v>1634</v>
      </c>
    </row>
    <row r="5680" spans="1:13" x14ac:dyDescent="0.25">
      <c r="A5680">
        <v>6110</v>
      </c>
      <c r="B5680" t="s">
        <v>14306</v>
      </c>
      <c r="C5680" t="s">
        <v>14307</v>
      </c>
      <c r="D5680" t="s">
        <v>1643</v>
      </c>
      <c r="E5680" t="s">
        <v>8713</v>
      </c>
      <c r="F5680" t="s">
        <v>14308</v>
      </c>
      <c r="G5680" t="s">
        <v>14309</v>
      </c>
      <c r="K5680" t="s">
        <v>14310</v>
      </c>
      <c r="L5680" t="s">
        <v>1647</v>
      </c>
      <c r="M5680" t="s">
        <v>1634</v>
      </c>
    </row>
    <row r="5681" spans="1:13" x14ac:dyDescent="0.25">
      <c r="A5681">
        <v>4475</v>
      </c>
      <c r="B5681" t="s">
        <v>14311</v>
      </c>
      <c r="C5681" t="s">
        <v>14312</v>
      </c>
      <c r="D5681" t="s">
        <v>1628</v>
      </c>
      <c r="E5681" t="s">
        <v>8713</v>
      </c>
      <c r="F5681" t="s">
        <v>3105</v>
      </c>
      <c r="G5681" t="s">
        <v>14092</v>
      </c>
      <c r="J5681">
        <v>9287713329</v>
      </c>
      <c r="K5681" t="s">
        <v>14093</v>
      </c>
      <c r="L5681" t="s">
        <v>14094</v>
      </c>
      <c r="M5681" t="s">
        <v>1634</v>
      </c>
    </row>
    <row r="5682" spans="1:13" x14ac:dyDescent="0.25">
      <c r="A5682">
        <v>4475</v>
      </c>
      <c r="B5682" t="s">
        <v>14311</v>
      </c>
      <c r="C5682" t="s">
        <v>14312</v>
      </c>
      <c r="D5682" t="s">
        <v>1628</v>
      </c>
      <c r="E5682" t="s">
        <v>8713</v>
      </c>
      <c r="F5682" t="s">
        <v>2156</v>
      </c>
      <c r="G5682" t="s">
        <v>1708</v>
      </c>
      <c r="H5682">
        <v>9288996353</v>
      </c>
      <c r="K5682" t="s">
        <v>14313</v>
      </c>
      <c r="L5682" t="s">
        <v>14314</v>
      </c>
      <c r="M5682" t="s">
        <v>1634</v>
      </c>
    </row>
    <row r="5683" spans="1:13" x14ac:dyDescent="0.25">
      <c r="A5683">
        <v>4475</v>
      </c>
      <c r="B5683" t="s">
        <v>14311</v>
      </c>
      <c r="C5683" t="s">
        <v>14312</v>
      </c>
      <c r="D5683" t="s">
        <v>1628</v>
      </c>
      <c r="E5683" t="s">
        <v>8713</v>
      </c>
      <c r="F5683" t="s">
        <v>2156</v>
      </c>
      <c r="G5683" t="s">
        <v>1708</v>
      </c>
      <c r="H5683">
        <v>9288996353</v>
      </c>
      <c r="K5683" t="s">
        <v>14313</v>
      </c>
      <c r="L5683" t="s">
        <v>14314</v>
      </c>
      <c r="M5683" t="s">
        <v>1640</v>
      </c>
    </row>
    <row r="5684" spans="1:13" x14ac:dyDescent="0.25">
      <c r="A5684">
        <v>4476</v>
      </c>
      <c r="B5684" t="s">
        <v>14315</v>
      </c>
      <c r="C5684" t="s">
        <v>14316</v>
      </c>
      <c r="D5684" t="s">
        <v>1628</v>
      </c>
      <c r="E5684" t="s">
        <v>8713</v>
      </c>
      <c r="F5684" t="s">
        <v>3105</v>
      </c>
      <c r="G5684" t="s">
        <v>14092</v>
      </c>
      <c r="J5684">
        <v>9287713329</v>
      </c>
      <c r="K5684" t="s">
        <v>14093</v>
      </c>
      <c r="L5684" t="s">
        <v>14094</v>
      </c>
      <c r="M5684" t="s">
        <v>1634</v>
      </c>
    </row>
    <row r="5685" spans="1:13" x14ac:dyDescent="0.25">
      <c r="A5685">
        <v>4476</v>
      </c>
      <c r="B5685" t="s">
        <v>14315</v>
      </c>
      <c r="C5685" t="s">
        <v>14316</v>
      </c>
      <c r="D5685" t="s">
        <v>1628</v>
      </c>
      <c r="E5685" t="s">
        <v>8713</v>
      </c>
      <c r="F5685" t="s">
        <v>5231</v>
      </c>
      <c r="G5685" t="s">
        <v>2927</v>
      </c>
      <c r="H5685">
        <v>9284425143</v>
      </c>
      <c r="K5685" t="s">
        <v>14317</v>
      </c>
      <c r="L5685" t="s">
        <v>14318</v>
      </c>
      <c r="M5685" t="s">
        <v>1640</v>
      </c>
    </row>
    <row r="5686" spans="1:13" x14ac:dyDescent="0.25">
      <c r="A5686">
        <v>4478</v>
      </c>
      <c r="B5686" t="s">
        <v>14319</v>
      </c>
      <c r="C5686" t="s">
        <v>14320</v>
      </c>
      <c r="D5686" t="s">
        <v>1628</v>
      </c>
      <c r="E5686" t="s">
        <v>8713</v>
      </c>
      <c r="F5686" t="s">
        <v>3105</v>
      </c>
      <c r="G5686" t="s">
        <v>14092</v>
      </c>
      <c r="J5686">
        <v>9287713329</v>
      </c>
      <c r="K5686" t="s">
        <v>14093</v>
      </c>
      <c r="L5686" t="s">
        <v>14094</v>
      </c>
      <c r="M5686" t="s">
        <v>1634</v>
      </c>
    </row>
    <row r="5687" spans="1:13" x14ac:dyDescent="0.25">
      <c r="A5687">
        <v>4478</v>
      </c>
      <c r="B5687" t="s">
        <v>14319</v>
      </c>
      <c r="C5687" t="s">
        <v>14320</v>
      </c>
      <c r="D5687" t="s">
        <v>1628</v>
      </c>
      <c r="E5687" t="s">
        <v>8713</v>
      </c>
      <c r="F5687" t="s">
        <v>5369</v>
      </c>
      <c r="G5687" t="s">
        <v>14321</v>
      </c>
      <c r="K5687" t="s">
        <v>14322</v>
      </c>
      <c r="L5687" t="s">
        <v>7330</v>
      </c>
      <c r="M5687" t="s">
        <v>1634</v>
      </c>
    </row>
    <row r="5688" spans="1:13" x14ac:dyDescent="0.25">
      <c r="A5688">
        <v>4478</v>
      </c>
      <c r="B5688" t="s">
        <v>14319</v>
      </c>
      <c r="C5688" t="s">
        <v>14320</v>
      </c>
      <c r="D5688" t="s">
        <v>1628</v>
      </c>
      <c r="E5688" t="s">
        <v>8713</v>
      </c>
      <c r="F5688" t="s">
        <v>3826</v>
      </c>
      <c r="G5688" t="s">
        <v>14323</v>
      </c>
      <c r="K5688" t="s">
        <v>14324</v>
      </c>
      <c r="M5688" t="s">
        <v>1634</v>
      </c>
    </row>
    <row r="5689" spans="1:13" x14ac:dyDescent="0.25">
      <c r="A5689">
        <v>4478</v>
      </c>
      <c r="B5689" t="s">
        <v>14319</v>
      </c>
      <c r="C5689" t="s">
        <v>14320</v>
      </c>
      <c r="D5689" t="s">
        <v>1628</v>
      </c>
      <c r="E5689" t="s">
        <v>8713</v>
      </c>
      <c r="F5689" t="s">
        <v>4443</v>
      </c>
      <c r="G5689" t="s">
        <v>14325</v>
      </c>
      <c r="H5689">
        <v>9284425144</v>
      </c>
      <c r="K5689" t="s">
        <v>14326</v>
      </c>
      <c r="L5689" t="s">
        <v>14327</v>
      </c>
      <c r="M5689" t="s">
        <v>1640</v>
      </c>
    </row>
    <row r="5690" spans="1:13" x14ac:dyDescent="0.25">
      <c r="A5690">
        <v>6113</v>
      </c>
      <c r="B5690" t="s">
        <v>14328</v>
      </c>
      <c r="C5690" t="s">
        <v>14329</v>
      </c>
      <c r="D5690" t="s">
        <v>1643</v>
      </c>
      <c r="E5690" t="s">
        <v>8713</v>
      </c>
    </row>
    <row r="5691" spans="1:13" x14ac:dyDescent="0.25">
      <c r="A5691">
        <v>4479</v>
      </c>
      <c r="B5691" t="s">
        <v>14330</v>
      </c>
      <c r="C5691" t="s">
        <v>14331</v>
      </c>
      <c r="D5691" t="s">
        <v>1628</v>
      </c>
      <c r="E5691" t="s">
        <v>8713</v>
      </c>
      <c r="F5691" t="s">
        <v>2876</v>
      </c>
      <c r="G5691" t="s">
        <v>1918</v>
      </c>
      <c r="H5691">
        <v>9284279850</v>
      </c>
      <c r="J5691">
        <v>9284279840</v>
      </c>
      <c r="K5691" t="s">
        <v>14332</v>
      </c>
      <c r="L5691" t="s">
        <v>2030</v>
      </c>
      <c r="M5691" t="s">
        <v>1634</v>
      </c>
    </row>
    <row r="5692" spans="1:13" x14ac:dyDescent="0.25">
      <c r="A5692">
        <v>4479</v>
      </c>
      <c r="B5692" t="s">
        <v>14330</v>
      </c>
      <c r="C5692" t="s">
        <v>14331</v>
      </c>
      <c r="D5692" t="s">
        <v>1628</v>
      </c>
      <c r="E5692" t="s">
        <v>8713</v>
      </c>
      <c r="F5692" t="s">
        <v>2330</v>
      </c>
      <c r="G5692" t="s">
        <v>11436</v>
      </c>
      <c r="H5692">
        <v>9284279850</v>
      </c>
      <c r="K5692" t="s">
        <v>14333</v>
      </c>
      <c r="L5692" t="s">
        <v>14334</v>
      </c>
      <c r="M5692" t="s">
        <v>1640</v>
      </c>
    </row>
    <row r="5693" spans="1:13" x14ac:dyDescent="0.25">
      <c r="A5693">
        <v>6114</v>
      </c>
      <c r="B5693" t="s">
        <v>14335</v>
      </c>
      <c r="C5693" t="s">
        <v>14336</v>
      </c>
      <c r="D5693" t="s">
        <v>1643</v>
      </c>
      <c r="E5693" t="s">
        <v>8713</v>
      </c>
      <c r="F5693" t="s">
        <v>2876</v>
      </c>
      <c r="G5693" t="s">
        <v>1918</v>
      </c>
      <c r="H5693">
        <v>9284279850</v>
      </c>
      <c r="K5693" t="s">
        <v>14332</v>
      </c>
      <c r="L5693" t="s">
        <v>1647</v>
      </c>
      <c r="M5693" t="s">
        <v>1634</v>
      </c>
    </row>
    <row r="5694" spans="1:13" x14ac:dyDescent="0.25">
      <c r="A5694">
        <v>4480</v>
      </c>
      <c r="B5694" t="s">
        <v>14337</v>
      </c>
      <c r="C5694" t="s">
        <v>14338</v>
      </c>
      <c r="D5694" t="s">
        <v>1628</v>
      </c>
      <c r="E5694" t="s">
        <v>8713</v>
      </c>
      <c r="F5694" t="s">
        <v>2376</v>
      </c>
      <c r="G5694" t="s">
        <v>14259</v>
      </c>
      <c r="K5694" t="s">
        <v>14339</v>
      </c>
      <c r="L5694" t="s">
        <v>7330</v>
      </c>
      <c r="M5694" t="s">
        <v>1634</v>
      </c>
    </row>
    <row r="5695" spans="1:13" x14ac:dyDescent="0.25">
      <c r="A5695">
        <v>4480</v>
      </c>
      <c r="B5695" t="s">
        <v>14337</v>
      </c>
      <c r="C5695" t="s">
        <v>14338</v>
      </c>
      <c r="D5695" t="s">
        <v>1628</v>
      </c>
      <c r="E5695" t="s">
        <v>8713</v>
      </c>
      <c r="F5695" t="s">
        <v>2376</v>
      </c>
      <c r="G5695" t="s">
        <v>14259</v>
      </c>
      <c r="K5695" t="s">
        <v>14339</v>
      </c>
      <c r="L5695" t="s">
        <v>7330</v>
      </c>
      <c r="M5695" t="s">
        <v>1640</v>
      </c>
    </row>
    <row r="5696" spans="1:13" x14ac:dyDescent="0.25">
      <c r="A5696">
        <v>6115</v>
      </c>
      <c r="B5696" t="s">
        <v>14340</v>
      </c>
      <c r="C5696" t="s">
        <v>14341</v>
      </c>
      <c r="D5696" t="s">
        <v>1643</v>
      </c>
      <c r="E5696" t="s">
        <v>8713</v>
      </c>
      <c r="F5696" t="s">
        <v>2376</v>
      </c>
      <c r="G5696" t="s">
        <v>14259</v>
      </c>
      <c r="K5696" t="s">
        <v>14339</v>
      </c>
      <c r="L5696" t="s">
        <v>1647</v>
      </c>
      <c r="M5696" t="s">
        <v>1634</v>
      </c>
    </row>
    <row r="5697" spans="1:13" x14ac:dyDescent="0.25">
      <c r="A5697">
        <v>4481</v>
      </c>
      <c r="B5697" t="s">
        <v>14342</v>
      </c>
      <c r="C5697" t="s">
        <v>14343</v>
      </c>
      <c r="D5697" t="s">
        <v>1628</v>
      </c>
      <c r="E5697" t="s">
        <v>8713</v>
      </c>
      <c r="F5697" t="s">
        <v>14344</v>
      </c>
      <c r="G5697" t="s">
        <v>3336</v>
      </c>
      <c r="I5697">
        <v>1001</v>
      </c>
      <c r="K5697" t="s">
        <v>14345</v>
      </c>
      <c r="L5697" t="s">
        <v>1668</v>
      </c>
      <c r="M5697" t="s">
        <v>1634</v>
      </c>
    </row>
    <row r="5698" spans="1:13" x14ac:dyDescent="0.25">
      <c r="A5698">
        <v>4481</v>
      </c>
      <c r="B5698" t="s">
        <v>14342</v>
      </c>
      <c r="C5698" t="s">
        <v>14343</v>
      </c>
      <c r="D5698" t="s">
        <v>1628</v>
      </c>
      <c r="E5698" t="s">
        <v>8713</v>
      </c>
      <c r="F5698" t="s">
        <v>14346</v>
      </c>
      <c r="G5698" t="s">
        <v>14347</v>
      </c>
      <c r="H5698">
        <v>9285674631</v>
      </c>
      <c r="K5698" t="s">
        <v>14348</v>
      </c>
      <c r="L5698" t="s">
        <v>7725</v>
      </c>
      <c r="M5698" t="s">
        <v>1634</v>
      </c>
    </row>
    <row r="5699" spans="1:13" x14ac:dyDescent="0.25">
      <c r="A5699">
        <v>4481</v>
      </c>
      <c r="B5699" t="s">
        <v>14342</v>
      </c>
      <c r="C5699" t="s">
        <v>14343</v>
      </c>
      <c r="D5699" t="s">
        <v>1628</v>
      </c>
      <c r="E5699" t="s">
        <v>8713</v>
      </c>
      <c r="F5699" t="s">
        <v>14344</v>
      </c>
      <c r="G5699" t="s">
        <v>3336</v>
      </c>
      <c r="I5699">
        <v>1001</v>
      </c>
      <c r="K5699" t="s">
        <v>14345</v>
      </c>
      <c r="L5699" t="s">
        <v>1668</v>
      </c>
      <c r="M5699" t="s">
        <v>1640</v>
      </c>
    </row>
    <row r="5700" spans="1:13" x14ac:dyDescent="0.25">
      <c r="A5700">
        <v>6116</v>
      </c>
      <c r="B5700" t="s">
        <v>14349</v>
      </c>
      <c r="C5700" t="s">
        <v>14350</v>
      </c>
      <c r="D5700" t="s">
        <v>1643</v>
      </c>
      <c r="E5700" t="s">
        <v>8713</v>
      </c>
      <c r="F5700" t="s">
        <v>14344</v>
      </c>
      <c r="G5700" t="s">
        <v>3336</v>
      </c>
      <c r="J5700">
        <v>9285675347</v>
      </c>
      <c r="K5700" t="s">
        <v>14345</v>
      </c>
      <c r="L5700" t="s">
        <v>14351</v>
      </c>
      <c r="M5700" t="s">
        <v>1634</v>
      </c>
    </row>
    <row r="5701" spans="1:13" x14ac:dyDescent="0.25">
      <c r="A5701">
        <v>6116</v>
      </c>
      <c r="B5701" t="s">
        <v>14349</v>
      </c>
      <c r="C5701" t="s">
        <v>14350</v>
      </c>
      <c r="D5701" t="s">
        <v>1643</v>
      </c>
      <c r="E5701" t="s">
        <v>8713</v>
      </c>
      <c r="F5701" t="s">
        <v>14352</v>
      </c>
      <c r="G5701" t="s">
        <v>14353</v>
      </c>
      <c r="K5701" t="s">
        <v>14354</v>
      </c>
      <c r="M5701" t="s">
        <v>1765</v>
      </c>
    </row>
    <row r="5702" spans="1:13" x14ac:dyDescent="0.25">
      <c r="A5702">
        <v>4482</v>
      </c>
      <c r="B5702" t="s">
        <v>14355</v>
      </c>
      <c r="C5702" t="s">
        <v>14356</v>
      </c>
      <c r="D5702" t="s">
        <v>1628</v>
      </c>
      <c r="E5702" t="s">
        <v>8713</v>
      </c>
      <c r="F5702" t="s">
        <v>3105</v>
      </c>
      <c r="G5702" t="s">
        <v>14092</v>
      </c>
      <c r="J5702">
        <v>9287713329</v>
      </c>
      <c r="K5702" t="s">
        <v>14093</v>
      </c>
      <c r="L5702" t="s">
        <v>14094</v>
      </c>
      <c r="M5702" t="s">
        <v>1634</v>
      </c>
    </row>
    <row r="5703" spans="1:13" x14ac:dyDescent="0.25">
      <c r="A5703">
        <v>4482</v>
      </c>
      <c r="B5703" t="s">
        <v>14355</v>
      </c>
      <c r="C5703" t="s">
        <v>14356</v>
      </c>
      <c r="D5703" t="s">
        <v>1628</v>
      </c>
      <c r="E5703" t="s">
        <v>8713</v>
      </c>
      <c r="F5703" t="s">
        <v>5752</v>
      </c>
      <c r="G5703" t="s">
        <v>14357</v>
      </c>
      <c r="H5703">
        <v>9284423416</v>
      </c>
      <c r="J5703">
        <v>9284429591</v>
      </c>
      <c r="K5703" t="s">
        <v>14358</v>
      </c>
      <c r="L5703" t="s">
        <v>14359</v>
      </c>
      <c r="M5703" t="s">
        <v>1634</v>
      </c>
    </row>
    <row r="5704" spans="1:13" x14ac:dyDescent="0.25">
      <c r="A5704">
        <v>4482</v>
      </c>
      <c r="B5704" t="s">
        <v>14355</v>
      </c>
      <c r="C5704" t="s">
        <v>14356</v>
      </c>
      <c r="D5704" t="s">
        <v>1628</v>
      </c>
      <c r="E5704" t="s">
        <v>8713</v>
      </c>
      <c r="F5704" t="s">
        <v>14360</v>
      </c>
      <c r="G5704" t="s">
        <v>1853</v>
      </c>
      <c r="H5704">
        <v>9288994118</v>
      </c>
      <c r="K5704" t="s">
        <v>14361</v>
      </c>
      <c r="M5704" t="s">
        <v>1634</v>
      </c>
    </row>
    <row r="5705" spans="1:13" x14ac:dyDescent="0.25">
      <c r="A5705">
        <v>4482</v>
      </c>
      <c r="B5705" t="s">
        <v>14355</v>
      </c>
      <c r="C5705" t="s">
        <v>14356</v>
      </c>
      <c r="D5705" t="s">
        <v>1628</v>
      </c>
      <c r="E5705" t="s">
        <v>8713</v>
      </c>
      <c r="F5705" t="s">
        <v>3105</v>
      </c>
      <c r="G5705" t="s">
        <v>14092</v>
      </c>
      <c r="J5705">
        <v>9287713329</v>
      </c>
      <c r="K5705" t="s">
        <v>14093</v>
      </c>
      <c r="L5705" t="s">
        <v>14094</v>
      </c>
      <c r="M5705" t="s">
        <v>1640</v>
      </c>
    </row>
    <row r="5706" spans="1:13" x14ac:dyDescent="0.25">
      <c r="A5706">
        <v>4482</v>
      </c>
      <c r="B5706" t="s">
        <v>14355</v>
      </c>
      <c r="C5706" t="s">
        <v>14356</v>
      </c>
      <c r="D5706" t="s">
        <v>1628</v>
      </c>
      <c r="E5706" t="s">
        <v>8713</v>
      </c>
      <c r="F5706" t="s">
        <v>14360</v>
      </c>
      <c r="G5706" t="s">
        <v>1853</v>
      </c>
      <c r="H5706">
        <v>9288994118</v>
      </c>
      <c r="K5706" t="s">
        <v>14361</v>
      </c>
      <c r="M5706" t="s">
        <v>1640</v>
      </c>
    </row>
    <row r="5707" spans="1:13" x14ac:dyDescent="0.25">
      <c r="A5707">
        <v>4482</v>
      </c>
      <c r="B5707" t="s">
        <v>14355</v>
      </c>
      <c r="C5707" t="s">
        <v>14356</v>
      </c>
      <c r="D5707" t="s">
        <v>1628</v>
      </c>
      <c r="E5707" t="s">
        <v>8713</v>
      </c>
      <c r="F5707" t="s">
        <v>14362</v>
      </c>
      <c r="G5707" t="s">
        <v>14363</v>
      </c>
      <c r="H5707">
        <v>9284423416</v>
      </c>
      <c r="K5707" t="s">
        <v>14364</v>
      </c>
      <c r="L5707" t="s">
        <v>4430</v>
      </c>
      <c r="M5707" t="s">
        <v>1765</v>
      </c>
    </row>
    <row r="5708" spans="1:13" x14ac:dyDescent="0.25">
      <c r="A5708">
        <v>6117</v>
      </c>
      <c r="B5708" t="s">
        <v>14365</v>
      </c>
      <c r="C5708" t="s">
        <v>14366</v>
      </c>
      <c r="D5708" t="s">
        <v>1643</v>
      </c>
      <c r="E5708" t="s">
        <v>8713</v>
      </c>
    </row>
    <row r="5709" spans="1:13" x14ac:dyDescent="0.25">
      <c r="A5709">
        <v>4483</v>
      </c>
      <c r="B5709" t="s">
        <v>14367</v>
      </c>
      <c r="C5709" t="s">
        <v>14368</v>
      </c>
      <c r="D5709" t="s">
        <v>1628</v>
      </c>
      <c r="E5709" t="s">
        <v>8713</v>
      </c>
      <c r="F5709" t="s">
        <v>3105</v>
      </c>
      <c r="G5709" t="s">
        <v>14092</v>
      </c>
      <c r="J5709">
        <v>9287713329</v>
      </c>
      <c r="K5709" t="s">
        <v>14093</v>
      </c>
      <c r="L5709" t="s">
        <v>14094</v>
      </c>
      <c r="M5709" t="s">
        <v>1634</v>
      </c>
    </row>
    <row r="5710" spans="1:13" x14ac:dyDescent="0.25">
      <c r="A5710">
        <v>4483</v>
      </c>
      <c r="B5710" t="s">
        <v>14367</v>
      </c>
      <c r="C5710" t="s">
        <v>14368</v>
      </c>
      <c r="D5710" t="s">
        <v>1628</v>
      </c>
      <c r="E5710" t="s">
        <v>8713</v>
      </c>
      <c r="F5710" t="s">
        <v>14369</v>
      </c>
      <c r="G5710" t="s">
        <v>14370</v>
      </c>
      <c r="K5710" t="s">
        <v>14371</v>
      </c>
      <c r="M5710" t="s">
        <v>1634</v>
      </c>
    </row>
    <row r="5711" spans="1:13" x14ac:dyDescent="0.25">
      <c r="A5711">
        <v>4483</v>
      </c>
      <c r="B5711" t="s">
        <v>14367</v>
      </c>
      <c r="C5711" t="s">
        <v>14368</v>
      </c>
      <c r="D5711" t="s">
        <v>1628</v>
      </c>
      <c r="E5711" t="s">
        <v>8713</v>
      </c>
      <c r="F5711" t="s">
        <v>1726</v>
      </c>
      <c r="G5711" t="s">
        <v>14372</v>
      </c>
      <c r="H5711">
        <v>9286325207</v>
      </c>
      <c r="K5711" t="s">
        <v>14371</v>
      </c>
      <c r="L5711" t="s">
        <v>3338</v>
      </c>
      <c r="M5711" t="s">
        <v>1640</v>
      </c>
    </row>
    <row r="5712" spans="1:13" x14ac:dyDescent="0.25">
      <c r="A5712">
        <v>6118</v>
      </c>
      <c r="B5712" t="s">
        <v>14373</v>
      </c>
      <c r="C5712" t="s">
        <v>14374</v>
      </c>
      <c r="D5712" t="s">
        <v>1643</v>
      </c>
      <c r="E5712" t="s">
        <v>8713</v>
      </c>
      <c r="F5712" t="s">
        <v>1917</v>
      </c>
      <c r="G5712" t="s">
        <v>5860</v>
      </c>
      <c r="H5712">
        <v>9286325207</v>
      </c>
      <c r="J5712">
        <v>9286325207</v>
      </c>
      <c r="K5712" t="s">
        <v>14371</v>
      </c>
      <c r="M5712" t="s">
        <v>1634</v>
      </c>
    </row>
    <row r="5713" spans="1:13" x14ac:dyDescent="0.25">
      <c r="A5713">
        <v>6118</v>
      </c>
      <c r="B5713" t="s">
        <v>14373</v>
      </c>
      <c r="C5713" t="s">
        <v>14374</v>
      </c>
      <c r="D5713" t="s">
        <v>1643</v>
      </c>
      <c r="E5713" t="s">
        <v>8713</v>
      </c>
      <c r="F5713" t="s">
        <v>2521</v>
      </c>
      <c r="G5713" t="s">
        <v>14372</v>
      </c>
      <c r="H5713">
        <v>9286325207</v>
      </c>
      <c r="K5713" t="s">
        <v>14371</v>
      </c>
      <c r="L5713" t="s">
        <v>1640</v>
      </c>
      <c r="M5713" t="s">
        <v>1640</v>
      </c>
    </row>
    <row r="5714" spans="1:13" x14ac:dyDescent="0.25">
      <c r="A5714">
        <v>6118</v>
      </c>
      <c r="B5714" t="s">
        <v>14373</v>
      </c>
      <c r="C5714" t="s">
        <v>14374</v>
      </c>
      <c r="D5714" t="s">
        <v>1643</v>
      </c>
      <c r="E5714" t="s">
        <v>8713</v>
      </c>
      <c r="F5714" t="s">
        <v>2610</v>
      </c>
      <c r="G5714" t="s">
        <v>14375</v>
      </c>
      <c r="H5714">
        <v>9286325207</v>
      </c>
      <c r="K5714" t="s">
        <v>14371</v>
      </c>
      <c r="L5714" t="s">
        <v>14376</v>
      </c>
      <c r="M5714" t="s">
        <v>1765</v>
      </c>
    </row>
    <row r="5715" spans="1:13" x14ac:dyDescent="0.25">
      <c r="A5715">
        <v>4484</v>
      </c>
      <c r="B5715" t="s">
        <v>1496</v>
      </c>
      <c r="C5715" t="s">
        <v>14377</v>
      </c>
      <c r="D5715" t="s">
        <v>1628</v>
      </c>
      <c r="E5715" t="s">
        <v>8713</v>
      </c>
      <c r="F5715" t="s">
        <v>2189</v>
      </c>
      <c r="G5715" t="s">
        <v>14378</v>
      </c>
      <c r="K5715" t="s">
        <v>14379</v>
      </c>
      <c r="L5715" t="s">
        <v>1668</v>
      </c>
      <c r="M5715" t="s">
        <v>1634</v>
      </c>
    </row>
    <row r="5716" spans="1:13" x14ac:dyDescent="0.25">
      <c r="A5716">
        <v>4484</v>
      </c>
      <c r="B5716" t="s">
        <v>1496</v>
      </c>
      <c r="C5716" t="s">
        <v>14377</v>
      </c>
      <c r="D5716" t="s">
        <v>1628</v>
      </c>
      <c r="E5716" t="s">
        <v>8713</v>
      </c>
      <c r="F5716" t="s">
        <v>2536</v>
      </c>
      <c r="G5716" t="s">
        <v>14380</v>
      </c>
      <c r="H5716">
        <v>6233745588</v>
      </c>
      <c r="K5716" t="s">
        <v>14381</v>
      </c>
      <c r="L5716" t="s">
        <v>1640</v>
      </c>
      <c r="M5716" t="s">
        <v>1640</v>
      </c>
    </row>
    <row r="5717" spans="1:13" x14ac:dyDescent="0.25">
      <c r="A5717">
        <v>4484</v>
      </c>
      <c r="B5717" t="s">
        <v>1496</v>
      </c>
      <c r="C5717" t="s">
        <v>14377</v>
      </c>
      <c r="D5717" t="s">
        <v>1628</v>
      </c>
      <c r="E5717" t="s">
        <v>8713</v>
      </c>
      <c r="F5717" t="s">
        <v>3018</v>
      </c>
      <c r="G5717" t="s">
        <v>14382</v>
      </c>
      <c r="H5717">
        <v>6233745588</v>
      </c>
      <c r="K5717" t="s">
        <v>14383</v>
      </c>
      <c r="M5717" t="s">
        <v>1765</v>
      </c>
    </row>
    <row r="5718" spans="1:13" x14ac:dyDescent="0.25">
      <c r="A5718">
        <v>6119</v>
      </c>
      <c r="B5718" t="s">
        <v>1497</v>
      </c>
      <c r="C5718" t="s">
        <v>14384</v>
      </c>
      <c r="D5718" t="s">
        <v>1643</v>
      </c>
      <c r="E5718" t="s">
        <v>8713</v>
      </c>
      <c r="F5718" t="s">
        <v>2788</v>
      </c>
      <c r="G5718" t="s">
        <v>4179</v>
      </c>
      <c r="H5718">
        <v>6233745588</v>
      </c>
      <c r="J5718">
        <v>6233745045</v>
      </c>
      <c r="K5718" t="s">
        <v>14385</v>
      </c>
      <c r="L5718" t="s">
        <v>1647</v>
      </c>
      <c r="M5718" t="s">
        <v>1634</v>
      </c>
    </row>
    <row r="5719" spans="1:13" x14ac:dyDescent="0.25">
      <c r="A5719">
        <v>4485</v>
      </c>
      <c r="B5719" t="s">
        <v>14386</v>
      </c>
      <c r="C5719" t="s">
        <v>14387</v>
      </c>
      <c r="D5719" t="s">
        <v>1628</v>
      </c>
      <c r="E5719" t="s">
        <v>8713</v>
      </c>
      <c r="F5719" t="s">
        <v>3105</v>
      </c>
      <c r="G5719" t="s">
        <v>14092</v>
      </c>
      <c r="J5719">
        <v>9287713329</v>
      </c>
      <c r="K5719" t="s">
        <v>14093</v>
      </c>
      <c r="L5719" t="s">
        <v>14094</v>
      </c>
      <c r="M5719" t="s">
        <v>1634</v>
      </c>
    </row>
    <row r="5720" spans="1:13" x14ac:dyDescent="0.25">
      <c r="A5720">
        <v>4485</v>
      </c>
      <c r="B5720" t="s">
        <v>14386</v>
      </c>
      <c r="C5720" t="s">
        <v>14387</v>
      </c>
      <c r="D5720" t="s">
        <v>1628</v>
      </c>
      <c r="E5720" t="s">
        <v>8713</v>
      </c>
      <c r="F5720" t="s">
        <v>1935</v>
      </c>
      <c r="G5720" t="s">
        <v>14388</v>
      </c>
      <c r="H5720">
        <v>9284273347</v>
      </c>
      <c r="K5720" t="s">
        <v>14389</v>
      </c>
      <c r="L5720" t="s">
        <v>5764</v>
      </c>
      <c r="M5720" t="s">
        <v>1634</v>
      </c>
    </row>
    <row r="5721" spans="1:13" x14ac:dyDescent="0.25">
      <c r="A5721">
        <v>4485</v>
      </c>
      <c r="B5721" t="s">
        <v>14386</v>
      </c>
      <c r="C5721" t="s">
        <v>14387</v>
      </c>
      <c r="D5721" t="s">
        <v>1628</v>
      </c>
      <c r="E5721" t="s">
        <v>8713</v>
      </c>
      <c r="F5721" t="s">
        <v>1935</v>
      </c>
      <c r="G5721" t="s">
        <v>14388</v>
      </c>
      <c r="H5721">
        <v>9284273347</v>
      </c>
      <c r="K5721" t="s">
        <v>14389</v>
      </c>
      <c r="L5721" t="s">
        <v>5764</v>
      </c>
      <c r="M5721" t="s">
        <v>1640</v>
      </c>
    </row>
    <row r="5722" spans="1:13" x14ac:dyDescent="0.25">
      <c r="A5722">
        <v>6121</v>
      </c>
      <c r="B5722" t="s">
        <v>14390</v>
      </c>
      <c r="C5722" t="s">
        <v>14391</v>
      </c>
      <c r="D5722" t="s">
        <v>1643</v>
      </c>
      <c r="E5722" t="s">
        <v>8713</v>
      </c>
      <c r="F5722" t="s">
        <v>2253</v>
      </c>
      <c r="G5722" t="s">
        <v>1909</v>
      </c>
      <c r="K5722" t="s">
        <v>14392</v>
      </c>
      <c r="M5722" t="s">
        <v>1634</v>
      </c>
    </row>
    <row r="5723" spans="1:13" x14ac:dyDescent="0.25">
      <c r="A5723">
        <v>4486</v>
      </c>
      <c r="B5723" t="s">
        <v>14393</v>
      </c>
      <c r="C5723" t="s">
        <v>14394</v>
      </c>
      <c r="D5723" t="s">
        <v>1628</v>
      </c>
      <c r="E5723" t="s">
        <v>8713</v>
      </c>
      <c r="F5723" t="s">
        <v>14395</v>
      </c>
      <c r="G5723" t="s">
        <v>14396</v>
      </c>
      <c r="H5723">
        <v>9286345035</v>
      </c>
      <c r="I5723">
        <v>341</v>
      </c>
      <c r="K5723" t="s">
        <v>14397</v>
      </c>
      <c r="L5723" t="s">
        <v>14398</v>
      </c>
      <c r="M5723" t="s">
        <v>1634</v>
      </c>
    </row>
    <row r="5724" spans="1:13" x14ac:dyDescent="0.25">
      <c r="A5724">
        <v>4486</v>
      </c>
      <c r="B5724" t="s">
        <v>14393</v>
      </c>
      <c r="C5724" t="s">
        <v>14394</v>
      </c>
      <c r="D5724" t="s">
        <v>1628</v>
      </c>
      <c r="E5724" t="s">
        <v>8713</v>
      </c>
      <c r="F5724" t="s">
        <v>6887</v>
      </c>
      <c r="G5724" t="s">
        <v>10146</v>
      </c>
      <c r="H5724">
        <v>9286345035</v>
      </c>
      <c r="I5724">
        <v>307</v>
      </c>
      <c r="K5724" t="s">
        <v>14399</v>
      </c>
      <c r="L5724" t="s">
        <v>1640</v>
      </c>
      <c r="M5724" t="s">
        <v>1640</v>
      </c>
    </row>
    <row r="5725" spans="1:13" x14ac:dyDescent="0.25">
      <c r="A5725">
        <v>6122</v>
      </c>
      <c r="B5725" t="s">
        <v>14400</v>
      </c>
      <c r="C5725" t="s">
        <v>14401</v>
      </c>
      <c r="D5725" t="s">
        <v>1643</v>
      </c>
      <c r="E5725" t="s">
        <v>8713</v>
      </c>
      <c r="F5725" t="s">
        <v>4495</v>
      </c>
      <c r="G5725" t="s">
        <v>14402</v>
      </c>
      <c r="J5725">
        <v>9286390917</v>
      </c>
      <c r="K5725" t="s">
        <v>14403</v>
      </c>
      <c r="L5725" t="s">
        <v>2030</v>
      </c>
      <c r="M5725" t="s">
        <v>1634</v>
      </c>
    </row>
    <row r="5726" spans="1:13" x14ac:dyDescent="0.25">
      <c r="A5726">
        <v>4487</v>
      </c>
      <c r="B5726" t="s">
        <v>14404</v>
      </c>
      <c r="C5726" t="s">
        <v>14405</v>
      </c>
      <c r="D5726" t="s">
        <v>1628</v>
      </c>
      <c r="E5726" t="s">
        <v>8713</v>
      </c>
      <c r="F5726" t="s">
        <v>2355</v>
      </c>
      <c r="G5726" t="s">
        <v>10815</v>
      </c>
      <c r="K5726" t="s">
        <v>14406</v>
      </c>
      <c r="M5726" t="s">
        <v>1634</v>
      </c>
    </row>
    <row r="5727" spans="1:13" x14ac:dyDescent="0.25">
      <c r="A5727">
        <v>4487</v>
      </c>
      <c r="B5727" t="s">
        <v>14404</v>
      </c>
      <c r="C5727" t="s">
        <v>14405</v>
      </c>
      <c r="D5727" t="s">
        <v>1628</v>
      </c>
      <c r="E5727" t="s">
        <v>8713</v>
      </c>
      <c r="F5727" t="s">
        <v>2027</v>
      </c>
      <c r="G5727" t="s">
        <v>3674</v>
      </c>
      <c r="H5727">
        <v>9286342288</v>
      </c>
      <c r="I5727">
        <v>1113</v>
      </c>
      <c r="J5727">
        <v>9286342309</v>
      </c>
      <c r="K5727" t="s">
        <v>14407</v>
      </c>
      <c r="L5727" t="s">
        <v>1668</v>
      </c>
      <c r="M5727" t="s">
        <v>1634</v>
      </c>
    </row>
    <row r="5728" spans="1:13" x14ac:dyDescent="0.25">
      <c r="A5728">
        <v>4487</v>
      </c>
      <c r="B5728" t="s">
        <v>14404</v>
      </c>
      <c r="C5728" t="s">
        <v>14405</v>
      </c>
      <c r="D5728" t="s">
        <v>1628</v>
      </c>
      <c r="E5728" t="s">
        <v>8713</v>
      </c>
      <c r="F5728" t="s">
        <v>1707</v>
      </c>
      <c r="G5728" t="s">
        <v>14408</v>
      </c>
      <c r="H5728">
        <v>9286342288</v>
      </c>
      <c r="K5728" t="s">
        <v>14409</v>
      </c>
      <c r="L5728" t="s">
        <v>3210</v>
      </c>
      <c r="M5728" t="s">
        <v>1640</v>
      </c>
    </row>
    <row r="5729" spans="1:13" x14ac:dyDescent="0.25">
      <c r="A5729">
        <v>4487</v>
      </c>
      <c r="B5729" t="s">
        <v>14404</v>
      </c>
      <c r="C5729" t="s">
        <v>14405</v>
      </c>
      <c r="D5729" t="s">
        <v>1628</v>
      </c>
      <c r="E5729" t="s">
        <v>8713</v>
      </c>
      <c r="F5729" t="s">
        <v>6159</v>
      </c>
      <c r="G5729" t="s">
        <v>14410</v>
      </c>
      <c r="H5729">
        <v>9286342288</v>
      </c>
      <c r="K5729" t="s">
        <v>14411</v>
      </c>
      <c r="L5729" t="s">
        <v>10972</v>
      </c>
      <c r="M5729" t="s">
        <v>1765</v>
      </c>
    </row>
    <row r="5730" spans="1:13" x14ac:dyDescent="0.25">
      <c r="A5730">
        <v>4487</v>
      </c>
      <c r="B5730" t="s">
        <v>14404</v>
      </c>
      <c r="C5730" t="s">
        <v>14405</v>
      </c>
      <c r="D5730" t="s">
        <v>1628</v>
      </c>
      <c r="E5730" t="s">
        <v>8713</v>
      </c>
      <c r="F5730" t="s">
        <v>2355</v>
      </c>
      <c r="G5730" t="s">
        <v>10815</v>
      </c>
      <c r="K5730" t="s">
        <v>14406</v>
      </c>
      <c r="M5730" t="s">
        <v>1765</v>
      </c>
    </row>
    <row r="5731" spans="1:13" x14ac:dyDescent="0.25">
      <c r="A5731">
        <v>4487</v>
      </c>
      <c r="B5731" t="s">
        <v>14404</v>
      </c>
      <c r="C5731" t="s">
        <v>14405</v>
      </c>
      <c r="D5731" t="s">
        <v>1628</v>
      </c>
      <c r="E5731" t="s">
        <v>8713</v>
      </c>
      <c r="F5731" t="s">
        <v>1732</v>
      </c>
      <c r="G5731" t="s">
        <v>14412</v>
      </c>
      <c r="H5731">
        <v>9286342288</v>
      </c>
      <c r="K5731" t="s">
        <v>14413</v>
      </c>
      <c r="L5731" t="s">
        <v>14414</v>
      </c>
      <c r="M5731" t="s">
        <v>1765</v>
      </c>
    </row>
    <row r="5732" spans="1:13" x14ac:dyDescent="0.25">
      <c r="A5732">
        <v>91289</v>
      </c>
      <c r="B5732" t="s">
        <v>14415</v>
      </c>
      <c r="C5732" t="s">
        <v>14416</v>
      </c>
      <c r="D5732" t="s">
        <v>1643</v>
      </c>
      <c r="E5732" t="s">
        <v>8713</v>
      </c>
      <c r="F5732" t="s">
        <v>14417</v>
      </c>
      <c r="G5732" t="s">
        <v>14418</v>
      </c>
      <c r="H5732">
        <v>9286342288</v>
      </c>
      <c r="K5732" t="s">
        <v>14419</v>
      </c>
      <c r="M5732" t="s">
        <v>1634</v>
      </c>
    </row>
    <row r="5733" spans="1:13" x14ac:dyDescent="0.25">
      <c r="A5733">
        <v>6123</v>
      </c>
      <c r="B5733" t="s">
        <v>14420</v>
      </c>
      <c r="C5733" t="s">
        <v>14421</v>
      </c>
      <c r="D5733" t="s">
        <v>1643</v>
      </c>
      <c r="E5733" t="s">
        <v>8713</v>
      </c>
      <c r="F5733" t="s">
        <v>2361</v>
      </c>
      <c r="G5733" t="s">
        <v>14422</v>
      </c>
      <c r="H5733">
        <v>9286342191</v>
      </c>
      <c r="K5733" t="s">
        <v>14423</v>
      </c>
      <c r="L5733" t="s">
        <v>1647</v>
      </c>
      <c r="M5733" t="s">
        <v>1634</v>
      </c>
    </row>
    <row r="5734" spans="1:13" x14ac:dyDescent="0.25">
      <c r="A5734">
        <v>6123</v>
      </c>
      <c r="B5734" t="s">
        <v>14420</v>
      </c>
      <c r="C5734" t="s">
        <v>14421</v>
      </c>
      <c r="D5734" t="s">
        <v>1643</v>
      </c>
      <c r="E5734" t="s">
        <v>8713</v>
      </c>
      <c r="F5734" t="s">
        <v>1707</v>
      </c>
      <c r="G5734" t="s">
        <v>14408</v>
      </c>
      <c r="H5734">
        <v>9286342288</v>
      </c>
      <c r="J5734">
        <v>9286342309</v>
      </c>
      <c r="K5734" t="s">
        <v>14409</v>
      </c>
      <c r="L5734" t="s">
        <v>3210</v>
      </c>
      <c r="M5734" t="s">
        <v>1640</v>
      </c>
    </row>
    <row r="5735" spans="1:13" x14ac:dyDescent="0.25">
      <c r="A5735">
        <v>6125</v>
      </c>
      <c r="B5735" t="s">
        <v>14424</v>
      </c>
      <c r="C5735" t="s">
        <v>14425</v>
      </c>
      <c r="D5735" t="s">
        <v>1643</v>
      </c>
      <c r="E5735" t="s">
        <v>8713</v>
      </c>
      <c r="F5735" t="s">
        <v>2355</v>
      </c>
      <c r="G5735" t="s">
        <v>13283</v>
      </c>
      <c r="K5735" t="s">
        <v>14426</v>
      </c>
      <c r="L5735" t="s">
        <v>1647</v>
      </c>
      <c r="M5735" t="s">
        <v>1634</v>
      </c>
    </row>
    <row r="5736" spans="1:13" x14ac:dyDescent="0.25">
      <c r="A5736">
        <v>90934</v>
      </c>
      <c r="B5736" t="s">
        <v>14427</v>
      </c>
      <c r="C5736" t="s">
        <v>14428</v>
      </c>
      <c r="D5736" t="s">
        <v>1643</v>
      </c>
      <c r="E5736" t="s">
        <v>8713</v>
      </c>
      <c r="F5736" t="s">
        <v>2876</v>
      </c>
      <c r="G5736" t="s">
        <v>1901</v>
      </c>
      <c r="H5736">
        <v>9286498144</v>
      </c>
      <c r="J5736">
        <v>9286498145</v>
      </c>
      <c r="K5736" t="s">
        <v>14429</v>
      </c>
      <c r="L5736" t="s">
        <v>1647</v>
      </c>
      <c r="M5736" t="s">
        <v>1634</v>
      </c>
    </row>
    <row r="5737" spans="1:13" x14ac:dyDescent="0.25">
      <c r="A5737">
        <v>1000158</v>
      </c>
      <c r="B5737" t="s">
        <v>14430</v>
      </c>
      <c r="C5737" t="s">
        <v>14431</v>
      </c>
      <c r="D5737" t="s">
        <v>1643</v>
      </c>
      <c r="E5737" t="s">
        <v>8713</v>
      </c>
    </row>
    <row r="5738" spans="1:13" x14ac:dyDescent="0.25">
      <c r="A5738">
        <v>1000161</v>
      </c>
      <c r="B5738" t="s">
        <v>14432</v>
      </c>
      <c r="C5738" t="s">
        <v>14433</v>
      </c>
      <c r="D5738" t="s">
        <v>1643</v>
      </c>
      <c r="E5738" t="s">
        <v>8713</v>
      </c>
    </row>
    <row r="5739" spans="1:13" x14ac:dyDescent="0.25">
      <c r="A5739">
        <v>4488</v>
      </c>
      <c r="B5739" t="s">
        <v>14434</v>
      </c>
      <c r="C5739" t="s">
        <v>14435</v>
      </c>
      <c r="D5739" t="s">
        <v>1628</v>
      </c>
      <c r="E5739" t="s">
        <v>8713</v>
      </c>
      <c r="F5739" t="s">
        <v>14436</v>
      </c>
      <c r="G5739" t="s">
        <v>14437</v>
      </c>
      <c r="H5739">
        <v>9286494415</v>
      </c>
      <c r="K5739" t="s">
        <v>14438</v>
      </c>
      <c r="L5739" t="s">
        <v>2584</v>
      </c>
      <c r="M5739" t="s">
        <v>1634</v>
      </c>
    </row>
    <row r="5740" spans="1:13" x14ac:dyDescent="0.25">
      <c r="A5740">
        <v>4488</v>
      </c>
      <c r="B5740" t="s">
        <v>14434</v>
      </c>
      <c r="C5740" t="s">
        <v>14435</v>
      </c>
      <c r="D5740" t="s">
        <v>1628</v>
      </c>
      <c r="E5740" t="s">
        <v>8713</v>
      </c>
      <c r="F5740" t="s">
        <v>2222</v>
      </c>
      <c r="G5740" t="s">
        <v>14439</v>
      </c>
      <c r="H5740">
        <v>9286348901</v>
      </c>
      <c r="K5740" t="s">
        <v>14440</v>
      </c>
      <c r="L5740" t="s">
        <v>1634</v>
      </c>
      <c r="M5740" t="s">
        <v>1634</v>
      </c>
    </row>
    <row r="5741" spans="1:13" x14ac:dyDescent="0.25">
      <c r="A5741">
        <v>4488</v>
      </c>
      <c r="B5741" t="s">
        <v>14434</v>
      </c>
      <c r="C5741" t="s">
        <v>14435</v>
      </c>
      <c r="D5741" t="s">
        <v>1628</v>
      </c>
      <c r="E5741" t="s">
        <v>8713</v>
      </c>
      <c r="F5741" t="s">
        <v>2009</v>
      </c>
      <c r="G5741" t="s">
        <v>6147</v>
      </c>
      <c r="H5741">
        <v>9286342941</v>
      </c>
      <c r="K5741" t="s">
        <v>14441</v>
      </c>
      <c r="M5741" t="s">
        <v>1640</v>
      </c>
    </row>
    <row r="5742" spans="1:13" x14ac:dyDescent="0.25">
      <c r="A5742">
        <v>4488</v>
      </c>
      <c r="B5742" t="s">
        <v>14434</v>
      </c>
      <c r="C5742" t="s">
        <v>14435</v>
      </c>
      <c r="D5742" t="s">
        <v>1628</v>
      </c>
      <c r="E5742" t="s">
        <v>8713</v>
      </c>
      <c r="F5742" t="s">
        <v>2222</v>
      </c>
      <c r="G5742" t="s">
        <v>14439</v>
      </c>
      <c r="H5742">
        <v>9286348901</v>
      </c>
      <c r="K5742" t="s">
        <v>14440</v>
      </c>
      <c r="L5742" t="s">
        <v>1634</v>
      </c>
      <c r="M5742" t="s">
        <v>1640</v>
      </c>
    </row>
    <row r="5743" spans="1:13" x14ac:dyDescent="0.25">
      <c r="A5743">
        <v>4488</v>
      </c>
      <c r="B5743" t="s">
        <v>14434</v>
      </c>
      <c r="C5743" t="s">
        <v>14435</v>
      </c>
      <c r="D5743" t="s">
        <v>1628</v>
      </c>
      <c r="E5743" t="s">
        <v>8713</v>
      </c>
      <c r="F5743" t="s">
        <v>6342</v>
      </c>
      <c r="G5743" t="s">
        <v>14442</v>
      </c>
      <c r="H5743">
        <v>9286491470</v>
      </c>
      <c r="K5743" t="s">
        <v>14443</v>
      </c>
      <c r="M5743" t="s">
        <v>1765</v>
      </c>
    </row>
    <row r="5744" spans="1:13" x14ac:dyDescent="0.25">
      <c r="A5744">
        <v>6127</v>
      </c>
      <c r="B5744" t="s">
        <v>14444</v>
      </c>
      <c r="C5744" t="s">
        <v>14445</v>
      </c>
      <c r="D5744" t="s">
        <v>1643</v>
      </c>
      <c r="E5744" t="s">
        <v>8713</v>
      </c>
    </row>
    <row r="5745" spans="1:13" x14ac:dyDescent="0.25">
      <c r="A5745">
        <v>91320</v>
      </c>
      <c r="B5745" t="s">
        <v>14446</v>
      </c>
      <c r="C5745" t="s">
        <v>14447</v>
      </c>
      <c r="D5745" t="s">
        <v>1643</v>
      </c>
      <c r="E5745" t="s">
        <v>8713</v>
      </c>
      <c r="F5745" t="s">
        <v>14436</v>
      </c>
      <c r="G5745" t="s">
        <v>14437</v>
      </c>
      <c r="H5745">
        <v>6026494415</v>
      </c>
      <c r="K5745" t="s">
        <v>14438</v>
      </c>
      <c r="M5745" t="s">
        <v>1634</v>
      </c>
    </row>
    <row r="5746" spans="1:13" x14ac:dyDescent="0.25">
      <c r="A5746">
        <v>79397</v>
      </c>
      <c r="B5746" t="s">
        <v>14448</v>
      </c>
      <c r="C5746" t="s">
        <v>14449</v>
      </c>
      <c r="D5746" t="s">
        <v>1628</v>
      </c>
      <c r="E5746" t="s">
        <v>8713</v>
      </c>
      <c r="F5746" t="s">
        <v>1820</v>
      </c>
      <c r="G5746" t="s">
        <v>14450</v>
      </c>
      <c r="H5746">
        <v>9286347131</v>
      </c>
      <c r="J5746">
        <v>9286491775</v>
      </c>
      <c r="K5746" t="s">
        <v>14451</v>
      </c>
      <c r="L5746" t="s">
        <v>1668</v>
      </c>
      <c r="M5746" t="s">
        <v>1634</v>
      </c>
    </row>
    <row r="5747" spans="1:13" x14ac:dyDescent="0.25">
      <c r="A5747">
        <v>79397</v>
      </c>
      <c r="B5747" t="s">
        <v>14448</v>
      </c>
      <c r="C5747" t="s">
        <v>14449</v>
      </c>
      <c r="D5747" t="s">
        <v>1628</v>
      </c>
      <c r="E5747" t="s">
        <v>8713</v>
      </c>
      <c r="F5747" t="s">
        <v>2351</v>
      </c>
      <c r="G5747" t="s">
        <v>3489</v>
      </c>
      <c r="J5747">
        <v>9286491775</v>
      </c>
      <c r="K5747" t="s">
        <v>12530</v>
      </c>
      <c r="L5747" t="s">
        <v>1640</v>
      </c>
      <c r="M5747" t="s">
        <v>1640</v>
      </c>
    </row>
    <row r="5748" spans="1:13" x14ac:dyDescent="0.25">
      <c r="A5748">
        <v>79397</v>
      </c>
      <c r="B5748" t="s">
        <v>14448</v>
      </c>
      <c r="C5748" t="s">
        <v>14449</v>
      </c>
      <c r="D5748" t="s">
        <v>1628</v>
      </c>
      <c r="E5748" t="s">
        <v>8713</v>
      </c>
      <c r="F5748" t="s">
        <v>2085</v>
      </c>
      <c r="G5748" t="s">
        <v>1690</v>
      </c>
      <c r="M5748" t="s">
        <v>1765</v>
      </c>
    </row>
    <row r="5749" spans="1:13" x14ac:dyDescent="0.25">
      <c r="A5749">
        <v>79398</v>
      </c>
      <c r="B5749" t="s">
        <v>14452</v>
      </c>
      <c r="C5749" t="s">
        <v>14453</v>
      </c>
      <c r="D5749" t="s">
        <v>1643</v>
      </c>
      <c r="E5749" t="s">
        <v>8713</v>
      </c>
      <c r="F5749" t="s">
        <v>14454</v>
      </c>
      <c r="G5749" t="s">
        <v>14455</v>
      </c>
      <c r="H5749">
        <v>9286391281</v>
      </c>
      <c r="J5749">
        <v>9286491775</v>
      </c>
      <c r="K5749" t="s">
        <v>14456</v>
      </c>
      <c r="M5749" t="s">
        <v>1634</v>
      </c>
    </row>
    <row r="5750" spans="1:13" x14ac:dyDescent="0.25">
      <c r="A5750">
        <v>79625</v>
      </c>
      <c r="B5750" t="s">
        <v>14457</v>
      </c>
      <c r="C5750" t="s">
        <v>14458</v>
      </c>
      <c r="D5750" t="s">
        <v>1643</v>
      </c>
      <c r="E5750" t="s">
        <v>8713</v>
      </c>
      <c r="F5750" t="s">
        <v>13236</v>
      </c>
      <c r="G5750" t="s">
        <v>14459</v>
      </c>
      <c r="H5750">
        <v>9286347131</v>
      </c>
      <c r="J5750">
        <v>9286491775</v>
      </c>
      <c r="K5750" t="s">
        <v>14460</v>
      </c>
      <c r="L5750" t="s">
        <v>14461</v>
      </c>
      <c r="M5750" t="s">
        <v>1634</v>
      </c>
    </row>
    <row r="5751" spans="1:13" x14ac:dyDescent="0.25">
      <c r="A5751">
        <v>79626</v>
      </c>
      <c r="B5751" t="s">
        <v>14462</v>
      </c>
      <c r="C5751" t="s">
        <v>14463</v>
      </c>
      <c r="D5751" t="s">
        <v>1643</v>
      </c>
      <c r="E5751" t="s">
        <v>8713</v>
      </c>
      <c r="F5751" t="s">
        <v>13236</v>
      </c>
      <c r="G5751" t="s">
        <v>14459</v>
      </c>
      <c r="H5751">
        <v>9286347131</v>
      </c>
      <c r="J5751">
        <v>9286491775</v>
      </c>
      <c r="K5751" t="s">
        <v>14460</v>
      </c>
      <c r="M5751" t="s">
        <v>1634</v>
      </c>
    </row>
    <row r="5752" spans="1:13" x14ac:dyDescent="0.25">
      <c r="A5752">
        <v>79627</v>
      </c>
      <c r="B5752" t="s">
        <v>14464</v>
      </c>
      <c r="C5752" t="s">
        <v>14465</v>
      </c>
      <c r="D5752" t="s">
        <v>1643</v>
      </c>
      <c r="E5752" t="s">
        <v>8713</v>
      </c>
      <c r="F5752" t="s">
        <v>13236</v>
      </c>
      <c r="G5752" t="s">
        <v>14459</v>
      </c>
      <c r="H5752">
        <v>9286347131</v>
      </c>
      <c r="J5752">
        <v>9286491775</v>
      </c>
      <c r="K5752" t="s">
        <v>14460</v>
      </c>
      <c r="M5752" t="s">
        <v>1634</v>
      </c>
    </row>
    <row r="5753" spans="1:13" x14ac:dyDescent="0.25">
      <c r="A5753">
        <v>79628</v>
      </c>
      <c r="B5753" t="s">
        <v>14466</v>
      </c>
      <c r="C5753" t="s">
        <v>14467</v>
      </c>
      <c r="D5753" t="s">
        <v>1643</v>
      </c>
      <c r="E5753" t="s">
        <v>8713</v>
      </c>
      <c r="F5753" t="s">
        <v>13236</v>
      </c>
      <c r="G5753" t="s">
        <v>14459</v>
      </c>
      <c r="H5753">
        <v>9286347131</v>
      </c>
      <c r="J5753">
        <v>9286491775</v>
      </c>
      <c r="K5753" t="s">
        <v>14460</v>
      </c>
      <c r="M5753" t="s">
        <v>1634</v>
      </c>
    </row>
    <row r="5754" spans="1:13" x14ac:dyDescent="0.25">
      <c r="A5754">
        <v>88061</v>
      </c>
      <c r="B5754" t="s">
        <v>14468</v>
      </c>
      <c r="C5754" t="s">
        <v>14469</v>
      </c>
      <c r="D5754" t="s">
        <v>1643</v>
      </c>
      <c r="E5754" t="s">
        <v>8713</v>
      </c>
      <c r="F5754" t="s">
        <v>14454</v>
      </c>
      <c r="G5754" t="s">
        <v>14455</v>
      </c>
      <c r="H5754">
        <v>9286347131</v>
      </c>
      <c r="I5754">
        <v>13</v>
      </c>
      <c r="J5754">
        <v>9286491775</v>
      </c>
      <c r="K5754" t="s">
        <v>14456</v>
      </c>
      <c r="L5754" t="s">
        <v>1668</v>
      </c>
      <c r="M5754" t="s">
        <v>1634</v>
      </c>
    </row>
    <row r="5755" spans="1:13" x14ac:dyDescent="0.25">
      <c r="A5755">
        <v>1000154</v>
      </c>
      <c r="B5755" t="s">
        <v>14470</v>
      </c>
      <c r="C5755" t="s">
        <v>14471</v>
      </c>
      <c r="D5755" t="s">
        <v>1643</v>
      </c>
      <c r="E5755" t="s">
        <v>8713</v>
      </c>
    </row>
    <row r="5756" spans="1:13" x14ac:dyDescent="0.25">
      <c r="A5756">
        <v>90090</v>
      </c>
      <c r="B5756" t="s">
        <v>14472</v>
      </c>
      <c r="C5756" t="s">
        <v>14473</v>
      </c>
      <c r="D5756" t="s">
        <v>1628</v>
      </c>
      <c r="E5756" t="s">
        <v>8713</v>
      </c>
      <c r="F5756" t="s">
        <v>3105</v>
      </c>
      <c r="G5756" t="s">
        <v>14092</v>
      </c>
      <c r="J5756">
        <v>9287713329</v>
      </c>
      <c r="K5756" t="s">
        <v>14093</v>
      </c>
      <c r="L5756" t="s">
        <v>14094</v>
      </c>
      <c r="M5756" t="s">
        <v>1634</v>
      </c>
    </row>
    <row r="5757" spans="1:13" x14ac:dyDescent="0.25">
      <c r="A5757">
        <v>90090</v>
      </c>
      <c r="B5757" t="s">
        <v>14472</v>
      </c>
      <c r="C5757" t="s">
        <v>14473</v>
      </c>
      <c r="D5757" t="s">
        <v>1628</v>
      </c>
      <c r="E5757" t="s">
        <v>8713</v>
      </c>
      <c r="F5757" t="s">
        <v>3910</v>
      </c>
      <c r="G5757" t="s">
        <v>14474</v>
      </c>
      <c r="H5757">
        <v>9287710791</v>
      </c>
      <c r="I5757">
        <v>1001</v>
      </c>
      <c r="K5757" t="s">
        <v>14475</v>
      </c>
      <c r="L5757" t="s">
        <v>14476</v>
      </c>
      <c r="M5757" t="s">
        <v>1634</v>
      </c>
    </row>
    <row r="5758" spans="1:13" x14ac:dyDescent="0.25">
      <c r="A5758">
        <v>90407</v>
      </c>
      <c r="B5758" t="s">
        <v>14477</v>
      </c>
      <c r="C5758" t="s">
        <v>14478</v>
      </c>
      <c r="D5758" t="s">
        <v>1643</v>
      </c>
      <c r="E5758" t="s">
        <v>8713</v>
      </c>
    </row>
    <row r="5759" spans="1:13" x14ac:dyDescent="0.25">
      <c r="A5759">
        <v>90405</v>
      </c>
      <c r="B5759" t="s">
        <v>14479</v>
      </c>
      <c r="C5759" t="s">
        <v>14480</v>
      </c>
      <c r="D5759" t="s">
        <v>1643</v>
      </c>
      <c r="E5759" t="s">
        <v>8713</v>
      </c>
    </row>
    <row r="5760" spans="1:13" x14ac:dyDescent="0.25">
      <c r="A5760">
        <v>90408</v>
      </c>
      <c r="B5760" t="s">
        <v>14481</v>
      </c>
      <c r="C5760" t="s">
        <v>14482</v>
      </c>
      <c r="D5760" t="s">
        <v>1643</v>
      </c>
      <c r="E5760" t="s">
        <v>8713</v>
      </c>
    </row>
    <row r="5761" spans="1:13" x14ac:dyDescent="0.25">
      <c r="A5761">
        <v>90412</v>
      </c>
      <c r="B5761" t="s">
        <v>14483</v>
      </c>
      <c r="C5761" t="s">
        <v>14484</v>
      </c>
      <c r="D5761" t="s">
        <v>1643</v>
      </c>
      <c r="E5761" t="s">
        <v>8713</v>
      </c>
    </row>
    <row r="5762" spans="1:13" x14ac:dyDescent="0.25">
      <c r="A5762">
        <v>90410</v>
      </c>
      <c r="B5762" t="s">
        <v>14485</v>
      </c>
      <c r="C5762" t="s">
        <v>14486</v>
      </c>
      <c r="D5762" t="s">
        <v>1643</v>
      </c>
      <c r="E5762" t="s">
        <v>8713</v>
      </c>
    </row>
    <row r="5763" spans="1:13" x14ac:dyDescent="0.25">
      <c r="A5763">
        <v>90409</v>
      </c>
      <c r="B5763" t="s">
        <v>14487</v>
      </c>
      <c r="C5763" t="s">
        <v>14488</v>
      </c>
      <c r="D5763" t="s">
        <v>1643</v>
      </c>
      <c r="E5763" t="s">
        <v>8713</v>
      </c>
    </row>
    <row r="5764" spans="1:13" x14ac:dyDescent="0.25">
      <c r="A5764">
        <v>90411</v>
      </c>
      <c r="B5764" t="s">
        <v>14489</v>
      </c>
      <c r="C5764" t="s">
        <v>14490</v>
      </c>
      <c r="D5764" t="s">
        <v>1643</v>
      </c>
      <c r="E5764" t="s">
        <v>8713</v>
      </c>
    </row>
    <row r="5765" spans="1:13" x14ac:dyDescent="0.25">
      <c r="A5765">
        <v>90406</v>
      </c>
      <c r="B5765" t="s">
        <v>14491</v>
      </c>
      <c r="C5765" t="s">
        <v>14492</v>
      </c>
      <c r="D5765" t="s">
        <v>1643</v>
      </c>
      <c r="E5765" t="s">
        <v>8713</v>
      </c>
    </row>
    <row r="5766" spans="1:13" x14ac:dyDescent="0.25">
      <c r="A5766">
        <v>1000157</v>
      </c>
      <c r="B5766" t="s">
        <v>14493</v>
      </c>
      <c r="C5766" t="s">
        <v>14494</v>
      </c>
      <c r="D5766" t="s">
        <v>1643</v>
      </c>
      <c r="E5766" t="s">
        <v>8713</v>
      </c>
    </row>
    <row r="5767" spans="1:13" x14ac:dyDescent="0.25">
      <c r="A5767">
        <v>1000159</v>
      </c>
      <c r="B5767" t="s">
        <v>14495</v>
      </c>
      <c r="C5767" t="s">
        <v>14496</v>
      </c>
      <c r="D5767" t="s">
        <v>1643</v>
      </c>
      <c r="E5767" t="s">
        <v>8713</v>
      </c>
    </row>
    <row r="5768" spans="1:13" x14ac:dyDescent="0.25">
      <c r="A5768">
        <v>1000195</v>
      </c>
      <c r="B5768" t="s">
        <v>14497</v>
      </c>
      <c r="C5768" t="s">
        <v>14498</v>
      </c>
      <c r="D5768" t="s">
        <v>1643</v>
      </c>
      <c r="E5768" t="s">
        <v>8713</v>
      </c>
    </row>
    <row r="5769" spans="1:13" x14ac:dyDescent="0.25">
      <c r="A5769">
        <v>1000197</v>
      </c>
      <c r="B5769" t="s">
        <v>14499</v>
      </c>
      <c r="C5769" t="s">
        <v>14500</v>
      </c>
      <c r="D5769" t="s">
        <v>1643</v>
      </c>
      <c r="E5769" t="s">
        <v>8713</v>
      </c>
    </row>
    <row r="5770" spans="1:13" x14ac:dyDescent="0.25">
      <c r="A5770">
        <v>90533</v>
      </c>
      <c r="B5770" t="s">
        <v>14501</v>
      </c>
      <c r="C5770" t="s">
        <v>14502</v>
      </c>
      <c r="D5770" t="s">
        <v>2596</v>
      </c>
      <c r="E5770" t="s">
        <v>8713</v>
      </c>
      <c r="F5770" t="s">
        <v>2307</v>
      </c>
      <c r="G5770" t="s">
        <v>14503</v>
      </c>
      <c r="H5770">
        <v>9287173272</v>
      </c>
      <c r="K5770" t="s">
        <v>14504</v>
      </c>
      <c r="L5770" t="s">
        <v>3124</v>
      </c>
      <c r="M5770" t="s">
        <v>1634</v>
      </c>
    </row>
    <row r="5771" spans="1:13" x14ac:dyDescent="0.25">
      <c r="A5771">
        <v>90533</v>
      </c>
      <c r="B5771" t="s">
        <v>14501</v>
      </c>
      <c r="C5771" t="s">
        <v>14502</v>
      </c>
      <c r="D5771" t="s">
        <v>2596</v>
      </c>
      <c r="E5771" t="s">
        <v>8713</v>
      </c>
      <c r="F5771" t="s">
        <v>3253</v>
      </c>
      <c r="G5771" t="s">
        <v>14505</v>
      </c>
      <c r="H5771">
        <v>9287173272</v>
      </c>
      <c r="J5771">
        <v>9285412294</v>
      </c>
      <c r="K5771" t="s">
        <v>14506</v>
      </c>
      <c r="M5771" t="s">
        <v>1640</v>
      </c>
    </row>
    <row r="5772" spans="1:13" x14ac:dyDescent="0.25">
      <c r="A5772">
        <v>88388</v>
      </c>
      <c r="B5772" t="s">
        <v>14507</v>
      </c>
      <c r="C5772" t="s">
        <v>14508</v>
      </c>
      <c r="D5772" t="s">
        <v>2605</v>
      </c>
      <c r="E5772" t="s">
        <v>8713</v>
      </c>
      <c r="F5772" t="s">
        <v>2307</v>
      </c>
      <c r="G5772" t="s">
        <v>14503</v>
      </c>
      <c r="H5772">
        <v>9287173272</v>
      </c>
      <c r="K5772" t="s">
        <v>14504</v>
      </c>
      <c r="M5772" t="s">
        <v>1634</v>
      </c>
    </row>
    <row r="5773" spans="1:13" x14ac:dyDescent="0.25">
      <c r="A5773">
        <v>90900</v>
      </c>
      <c r="B5773" t="s">
        <v>14509</v>
      </c>
      <c r="C5773" t="s">
        <v>14510</v>
      </c>
      <c r="D5773" t="s">
        <v>2596</v>
      </c>
      <c r="E5773" t="s">
        <v>8713</v>
      </c>
      <c r="F5773" t="s">
        <v>14511</v>
      </c>
      <c r="G5773" t="s">
        <v>14512</v>
      </c>
      <c r="H5773">
        <v>9284455100</v>
      </c>
      <c r="K5773" t="s">
        <v>14513</v>
      </c>
      <c r="L5773" t="s">
        <v>14514</v>
      </c>
      <c r="M5773" t="s">
        <v>1634</v>
      </c>
    </row>
    <row r="5774" spans="1:13" x14ac:dyDescent="0.25">
      <c r="A5774">
        <v>90900</v>
      </c>
      <c r="B5774" t="s">
        <v>14509</v>
      </c>
      <c r="C5774" t="s">
        <v>14510</v>
      </c>
      <c r="D5774" t="s">
        <v>2596</v>
      </c>
      <c r="E5774" t="s">
        <v>8713</v>
      </c>
      <c r="F5774" t="s">
        <v>6887</v>
      </c>
      <c r="G5774" t="s">
        <v>10146</v>
      </c>
      <c r="H5774">
        <v>9288211255</v>
      </c>
      <c r="M5774" t="s">
        <v>1634</v>
      </c>
    </row>
    <row r="5775" spans="1:13" x14ac:dyDescent="0.25">
      <c r="A5775">
        <v>91151</v>
      </c>
      <c r="B5775" t="s">
        <v>14515</v>
      </c>
      <c r="C5775" t="s">
        <v>14516</v>
      </c>
      <c r="D5775" t="s">
        <v>2605</v>
      </c>
      <c r="E5775" t="s">
        <v>8713</v>
      </c>
    </row>
    <row r="5776" spans="1:13" x14ac:dyDescent="0.25">
      <c r="A5776">
        <v>81052</v>
      </c>
      <c r="B5776" t="s">
        <v>640</v>
      </c>
      <c r="C5776" t="s">
        <v>14517</v>
      </c>
      <c r="D5776" t="s">
        <v>2596</v>
      </c>
      <c r="E5776" t="s">
        <v>8713</v>
      </c>
      <c r="F5776" t="s">
        <v>4154</v>
      </c>
      <c r="G5776" t="s">
        <v>6980</v>
      </c>
      <c r="I5776">
        <v>10632</v>
      </c>
      <c r="K5776" t="s">
        <v>8354</v>
      </c>
      <c r="L5776" t="s">
        <v>8355</v>
      </c>
      <c r="M5776" t="s">
        <v>1634</v>
      </c>
    </row>
    <row r="5777" spans="1:13" x14ac:dyDescent="0.25">
      <c r="A5777">
        <v>81052</v>
      </c>
      <c r="B5777" t="s">
        <v>640</v>
      </c>
      <c r="C5777" t="s">
        <v>14517</v>
      </c>
      <c r="D5777" t="s">
        <v>2596</v>
      </c>
      <c r="E5777" t="s">
        <v>8713</v>
      </c>
      <c r="F5777" t="s">
        <v>2082</v>
      </c>
      <c r="G5777" t="s">
        <v>8356</v>
      </c>
      <c r="H5777">
        <v>4804613200</v>
      </c>
      <c r="K5777" t="s">
        <v>8357</v>
      </c>
      <c r="L5777" t="s">
        <v>8358</v>
      </c>
      <c r="M5777" t="s">
        <v>1634</v>
      </c>
    </row>
    <row r="5778" spans="1:13" x14ac:dyDescent="0.25">
      <c r="A5778">
        <v>81052</v>
      </c>
      <c r="B5778" t="s">
        <v>640</v>
      </c>
      <c r="C5778" t="s">
        <v>14517</v>
      </c>
      <c r="D5778" t="s">
        <v>2596</v>
      </c>
      <c r="E5778" t="s">
        <v>8713</v>
      </c>
      <c r="F5778" t="s">
        <v>9509</v>
      </c>
      <c r="G5778" t="s">
        <v>3346</v>
      </c>
      <c r="J5778">
        <v>4806490747</v>
      </c>
      <c r="K5778" t="s">
        <v>9510</v>
      </c>
      <c r="L5778" t="s">
        <v>2946</v>
      </c>
      <c r="M5778" t="s">
        <v>1640</v>
      </c>
    </row>
    <row r="5779" spans="1:13" x14ac:dyDescent="0.25">
      <c r="A5779">
        <v>89920</v>
      </c>
      <c r="B5779" t="s">
        <v>641</v>
      </c>
      <c r="C5779" t="s">
        <v>14518</v>
      </c>
      <c r="D5779" t="s">
        <v>2605</v>
      </c>
      <c r="E5779" t="s">
        <v>1273</v>
      </c>
    </row>
    <row r="5780" spans="1:13" x14ac:dyDescent="0.25">
      <c r="A5780">
        <v>4492</v>
      </c>
      <c r="B5780" t="s">
        <v>14519</v>
      </c>
      <c r="C5780" t="s">
        <v>14520</v>
      </c>
      <c r="D5780" t="s">
        <v>2596</v>
      </c>
      <c r="E5780" t="s">
        <v>8713</v>
      </c>
      <c r="F5780" t="s">
        <v>3701</v>
      </c>
      <c r="G5780" t="s">
        <v>14521</v>
      </c>
      <c r="J5780">
        <v>9282046486</v>
      </c>
      <c r="K5780" t="s">
        <v>14522</v>
      </c>
      <c r="L5780" t="s">
        <v>1640</v>
      </c>
      <c r="M5780" t="s">
        <v>1634</v>
      </c>
    </row>
    <row r="5781" spans="1:13" x14ac:dyDescent="0.25">
      <c r="A5781">
        <v>4492</v>
      </c>
      <c r="B5781" t="s">
        <v>14519</v>
      </c>
      <c r="C5781" t="s">
        <v>14520</v>
      </c>
      <c r="D5781" t="s">
        <v>2596</v>
      </c>
      <c r="E5781" t="s">
        <v>8713</v>
      </c>
      <c r="F5781" t="s">
        <v>5391</v>
      </c>
      <c r="G5781" t="s">
        <v>14523</v>
      </c>
      <c r="H5781">
        <v>9288218837</v>
      </c>
      <c r="K5781" t="s">
        <v>14524</v>
      </c>
      <c r="L5781" t="s">
        <v>3043</v>
      </c>
      <c r="M5781" t="s">
        <v>1634</v>
      </c>
    </row>
    <row r="5782" spans="1:13" x14ac:dyDescent="0.25">
      <c r="A5782">
        <v>4492</v>
      </c>
      <c r="B5782" t="s">
        <v>14519</v>
      </c>
      <c r="C5782" t="s">
        <v>14520</v>
      </c>
      <c r="D5782" t="s">
        <v>2596</v>
      </c>
      <c r="E5782" t="s">
        <v>8713</v>
      </c>
      <c r="F5782" t="s">
        <v>3701</v>
      </c>
      <c r="G5782" t="s">
        <v>14521</v>
      </c>
      <c r="J5782">
        <v>9282046486</v>
      </c>
      <c r="K5782" t="s">
        <v>14522</v>
      </c>
      <c r="L5782" t="s">
        <v>1640</v>
      </c>
      <c r="M5782" t="s">
        <v>1640</v>
      </c>
    </row>
    <row r="5783" spans="1:13" x14ac:dyDescent="0.25">
      <c r="A5783">
        <v>6132</v>
      </c>
      <c r="B5783" t="s">
        <v>14525</v>
      </c>
      <c r="C5783" t="s">
        <v>14526</v>
      </c>
      <c r="D5783" t="s">
        <v>2605</v>
      </c>
      <c r="E5783" t="s">
        <v>8713</v>
      </c>
      <c r="F5783" t="s">
        <v>3701</v>
      </c>
      <c r="G5783" t="s">
        <v>14521</v>
      </c>
      <c r="J5783">
        <v>9282046486</v>
      </c>
      <c r="K5783" t="s">
        <v>14522</v>
      </c>
      <c r="L5783" t="s">
        <v>1640</v>
      </c>
      <c r="M5783" t="s">
        <v>1640</v>
      </c>
    </row>
    <row r="5784" spans="1:13" x14ac:dyDescent="0.25">
      <c r="A5784">
        <v>4493</v>
      </c>
      <c r="B5784" t="s">
        <v>14527</v>
      </c>
      <c r="C5784" t="s">
        <v>14528</v>
      </c>
      <c r="D5784" t="s">
        <v>2596</v>
      </c>
      <c r="E5784" t="s">
        <v>8713</v>
      </c>
      <c r="F5784" t="s">
        <v>2704</v>
      </c>
      <c r="G5784" t="s">
        <v>7125</v>
      </c>
      <c r="K5784" t="s">
        <v>14529</v>
      </c>
      <c r="L5784" t="s">
        <v>3124</v>
      </c>
      <c r="M5784" t="s">
        <v>1634</v>
      </c>
    </row>
    <row r="5785" spans="1:13" x14ac:dyDescent="0.25">
      <c r="A5785">
        <v>4493</v>
      </c>
      <c r="B5785" t="s">
        <v>14527</v>
      </c>
      <c r="C5785" t="s">
        <v>14528</v>
      </c>
      <c r="D5785" t="s">
        <v>2596</v>
      </c>
      <c r="E5785" t="s">
        <v>8713</v>
      </c>
      <c r="F5785" t="s">
        <v>2217</v>
      </c>
      <c r="G5785" t="s">
        <v>14530</v>
      </c>
      <c r="H5785">
        <v>9286364766</v>
      </c>
      <c r="I5785">
        <v>102</v>
      </c>
      <c r="K5785" t="s">
        <v>14531</v>
      </c>
      <c r="L5785" t="s">
        <v>1923</v>
      </c>
      <c r="M5785" t="s">
        <v>1640</v>
      </c>
    </row>
    <row r="5786" spans="1:13" x14ac:dyDescent="0.25">
      <c r="A5786">
        <v>4493</v>
      </c>
      <c r="B5786" t="s">
        <v>14527</v>
      </c>
      <c r="C5786" t="s">
        <v>14528</v>
      </c>
      <c r="D5786" t="s">
        <v>2596</v>
      </c>
      <c r="E5786" t="s">
        <v>8713</v>
      </c>
      <c r="F5786" t="s">
        <v>2745</v>
      </c>
      <c r="G5786" t="s">
        <v>2647</v>
      </c>
      <c r="K5786" t="s">
        <v>8637</v>
      </c>
      <c r="M5786" t="s">
        <v>1640</v>
      </c>
    </row>
    <row r="5787" spans="1:13" x14ac:dyDescent="0.25">
      <c r="A5787">
        <v>4493</v>
      </c>
      <c r="B5787" t="s">
        <v>14527</v>
      </c>
      <c r="C5787" t="s">
        <v>14528</v>
      </c>
      <c r="D5787" t="s">
        <v>2596</v>
      </c>
      <c r="E5787" t="s">
        <v>8713</v>
      </c>
      <c r="F5787" t="s">
        <v>2704</v>
      </c>
      <c r="G5787" t="s">
        <v>7125</v>
      </c>
      <c r="K5787" t="s">
        <v>14529</v>
      </c>
      <c r="L5787" t="s">
        <v>3124</v>
      </c>
      <c r="M5787" t="s">
        <v>1765</v>
      </c>
    </row>
    <row r="5788" spans="1:13" x14ac:dyDescent="0.25">
      <c r="A5788">
        <v>6133</v>
      </c>
      <c r="B5788" t="s">
        <v>14527</v>
      </c>
      <c r="C5788" t="s">
        <v>14532</v>
      </c>
      <c r="D5788" t="s">
        <v>2605</v>
      </c>
      <c r="E5788" t="s">
        <v>8713</v>
      </c>
      <c r="F5788" t="s">
        <v>2704</v>
      </c>
      <c r="G5788" t="s">
        <v>7125</v>
      </c>
      <c r="K5788" t="s">
        <v>14529</v>
      </c>
      <c r="L5788" t="s">
        <v>3124</v>
      </c>
      <c r="M5788" t="s">
        <v>1634</v>
      </c>
    </row>
    <row r="5789" spans="1:13" x14ac:dyDescent="0.25">
      <c r="A5789">
        <v>6133</v>
      </c>
      <c r="B5789" t="s">
        <v>14527</v>
      </c>
      <c r="C5789" t="s">
        <v>14532</v>
      </c>
      <c r="D5789" t="s">
        <v>2605</v>
      </c>
      <c r="E5789" t="s">
        <v>8713</v>
      </c>
      <c r="F5789" t="s">
        <v>2745</v>
      </c>
      <c r="G5789" t="s">
        <v>2647</v>
      </c>
      <c r="I5789">
        <v>2020</v>
      </c>
      <c r="M5789" t="s">
        <v>1640</v>
      </c>
    </row>
    <row r="5790" spans="1:13" x14ac:dyDescent="0.25">
      <c r="A5790">
        <v>88321</v>
      </c>
      <c r="B5790" t="s">
        <v>14533</v>
      </c>
      <c r="C5790" t="s">
        <v>14534</v>
      </c>
      <c r="D5790" t="s">
        <v>2596</v>
      </c>
      <c r="E5790" t="s">
        <v>8713</v>
      </c>
      <c r="F5790" t="s">
        <v>1917</v>
      </c>
      <c r="G5790" t="s">
        <v>14535</v>
      </c>
      <c r="J5790">
        <v>9282849565</v>
      </c>
      <c r="K5790" t="s">
        <v>14536</v>
      </c>
      <c r="L5790" t="s">
        <v>13230</v>
      </c>
      <c r="M5790" t="s">
        <v>1634</v>
      </c>
    </row>
    <row r="5791" spans="1:13" x14ac:dyDescent="0.25">
      <c r="A5791">
        <v>88322</v>
      </c>
      <c r="B5791" t="s">
        <v>14537</v>
      </c>
      <c r="C5791" t="s">
        <v>14538</v>
      </c>
      <c r="D5791" t="s">
        <v>2605</v>
      </c>
      <c r="E5791" t="s">
        <v>8713</v>
      </c>
      <c r="F5791" t="s">
        <v>1917</v>
      </c>
      <c r="G5791" t="s">
        <v>14535</v>
      </c>
      <c r="J5791">
        <v>9282849565</v>
      </c>
      <c r="K5791" t="s">
        <v>14536</v>
      </c>
      <c r="L5791" t="s">
        <v>2446</v>
      </c>
      <c r="M5791" t="s">
        <v>1634</v>
      </c>
    </row>
    <row r="5792" spans="1:13" x14ac:dyDescent="0.25">
      <c r="A5792">
        <v>4495</v>
      </c>
      <c r="B5792" t="s">
        <v>775</v>
      </c>
      <c r="C5792" t="s">
        <v>14539</v>
      </c>
      <c r="D5792" t="s">
        <v>2596</v>
      </c>
      <c r="E5792" t="s">
        <v>8713</v>
      </c>
      <c r="F5792" t="s">
        <v>3040</v>
      </c>
      <c r="G5792" t="s">
        <v>5860</v>
      </c>
      <c r="H5792">
        <v>9287756747</v>
      </c>
      <c r="J5792">
        <v>9287756740</v>
      </c>
      <c r="K5792" t="s">
        <v>14540</v>
      </c>
      <c r="L5792" t="s">
        <v>1668</v>
      </c>
      <c r="M5792" t="s">
        <v>1634</v>
      </c>
    </row>
    <row r="5793" spans="1:13" x14ac:dyDescent="0.25">
      <c r="A5793">
        <v>4495</v>
      </c>
      <c r="B5793" t="s">
        <v>775</v>
      </c>
      <c r="C5793" t="s">
        <v>14539</v>
      </c>
      <c r="D5793" t="s">
        <v>2596</v>
      </c>
      <c r="E5793" t="s">
        <v>8713</v>
      </c>
      <c r="F5793" t="s">
        <v>2977</v>
      </c>
      <c r="G5793" t="s">
        <v>8432</v>
      </c>
      <c r="H5793">
        <v>9287756747</v>
      </c>
      <c r="J5793">
        <v>9287756740</v>
      </c>
      <c r="K5793" t="s">
        <v>8433</v>
      </c>
      <c r="L5793" t="s">
        <v>1647</v>
      </c>
      <c r="M5793" t="s">
        <v>1634</v>
      </c>
    </row>
    <row r="5794" spans="1:13" x14ac:dyDescent="0.25">
      <c r="A5794">
        <v>4495</v>
      </c>
      <c r="B5794" t="s">
        <v>775</v>
      </c>
      <c r="C5794" t="s">
        <v>14539</v>
      </c>
      <c r="D5794" t="s">
        <v>2596</v>
      </c>
      <c r="E5794" t="s">
        <v>8713</v>
      </c>
      <c r="F5794" t="s">
        <v>3391</v>
      </c>
      <c r="G5794" t="s">
        <v>8436</v>
      </c>
      <c r="H5794">
        <v>9287756747</v>
      </c>
      <c r="J5794">
        <v>9287756740</v>
      </c>
      <c r="K5794" t="s">
        <v>8431</v>
      </c>
      <c r="L5794" t="s">
        <v>1640</v>
      </c>
      <c r="M5794" t="s">
        <v>1640</v>
      </c>
    </row>
    <row r="5795" spans="1:13" x14ac:dyDescent="0.25">
      <c r="A5795">
        <v>6140</v>
      </c>
      <c r="B5795" t="s">
        <v>14541</v>
      </c>
      <c r="C5795" t="s">
        <v>14542</v>
      </c>
      <c r="D5795" t="s">
        <v>2605</v>
      </c>
      <c r="E5795" t="s">
        <v>8713</v>
      </c>
      <c r="F5795" t="s">
        <v>3040</v>
      </c>
      <c r="G5795" t="s">
        <v>5860</v>
      </c>
      <c r="H5795">
        <v>9287756747</v>
      </c>
      <c r="J5795">
        <v>9287756740</v>
      </c>
      <c r="K5795" t="s">
        <v>8431</v>
      </c>
      <c r="L5795" t="s">
        <v>1668</v>
      </c>
      <c r="M5795" t="s">
        <v>1634</v>
      </c>
    </row>
    <row r="5796" spans="1:13" x14ac:dyDescent="0.25">
      <c r="A5796">
        <v>6140</v>
      </c>
      <c r="B5796" t="s">
        <v>14541</v>
      </c>
      <c r="C5796" t="s">
        <v>14542</v>
      </c>
      <c r="D5796" t="s">
        <v>2605</v>
      </c>
      <c r="E5796" t="s">
        <v>8713</v>
      </c>
      <c r="F5796" t="s">
        <v>2977</v>
      </c>
      <c r="G5796" t="s">
        <v>8432</v>
      </c>
      <c r="H5796">
        <v>9287756747</v>
      </c>
      <c r="J5796">
        <v>9287756740</v>
      </c>
      <c r="K5796" t="s">
        <v>14543</v>
      </c>
      <c r="L5796" t="s">
        <v>1647</v>
      </c>
      <c r="M5796" t="s">
        <v>1634</v>
      </c>
    </row>
    <row r="5797" spans="1:13" x14ac:dyDescent="0.25">
      <c r="A5797">
        <v>6140</v>
      </c>
      <c r="B5797" t="s">
        <v>14541</v>
      </c>
      <c r="C5797" t="s">
        <v>14542</v>
      </c>
      <c r="D5797" t="s">
        <v>2605</v>
      </c>
      <c r="E5797" t="s">
        <v>8713</v>
      </c>
      <c r="F5797" t="s">
        <v>4967</v>
      </c>
      <c r="G5797" t="s">
        <v>1724</v>
      </c>
      <c r="H5797">
        <v>9287756747</v>
      </c>
      <c r="J5797">
        <v>9287756740</v>
      </c>
      <c r="K5797" t="s">
        <v>14544</v>
      </c>
      <c r="L5797" t="s">
        <v>2096</v>
      </c>
      <c r="M5797" t="s">
        <v>1634</v>
      </c>
    </row>
    <row r="5798" spans="1:13" x14ac:dyDescent="0.25">
      <c r="A5798">
        <v>6140</v>
      </c>
      <c r="B5798" t="s">
        <v>14541</v>
      </c>
      <c r="C5798" t="s">
        <v>14542</v>
      </c>
      <c r="D5798" t="s">
        <v>2605</v>
      </c>
      <c r="E5798" t="s">
        <v>8713</v>
      </c>
      <c r="F5798" t="s">
        <v>2458</v>
      </c>
      <c r="G5798" t="s">
        <v>7686</v>
      </c>
      <c r="K5798" t="s">
        <v>8434</v>
      </c>
      <c r="L5798" t="s">
        <v>8435</v>
      </c>
      <c r="M5798" t="s">
        <v>1634</v>
      </c>
    </row>
    <row r="5799" spans="1:13" x14ac:dyDescent="0.25">
      <c r="A5799">
        <v>6140</v>
      </c>
      <c r="B5799" t="s">
        <v>14541</v>
      </c>
      <c r="C5799" t="s">
        <v>14542</v>
      </c>
      <c r="D5799" t="s">
        <v>2605</v>
      </c>
      <c r="E5799" t="s">
        <v>8713</v>
      </c>
      <c r="F5799" t="s">
        <v>3391</v>
      </c>
      <c r="G5799" t="s">
        <v>8436</v>
      </c>
      <c r="H5799">
        <v>9287756747</v>
      </c>
      <c r="J5799">
        <v>9287756740</v>
      </c>
      <c r="K5799" t="s">
        <v>8431</v>
      </c>
      <c r="L5799" t="s">
        <v>1640</v>
      </c>
      <c r="M5799" t="s">
        <v>1640</v>
      </c>
    </row>
    <row r="5800" spans="1:13" x14ac:dyDescent="0.25">
      <c r="A5800">
        <v>4496</v>
      </c>
      <c r="B5800" t="s">
        <v>14545</v>
      </c>
      <c r="C5800" t="s">
        <v>14546</v>
      </c>
      <c r="D5800" t="s">
        <v>2596</v>
      </c>
      <c r="E5800" t="s">
        <v>8713</v>
      </c>
      <c r="F5800" t="s">
        <v>14547</v>
      </c>
      <c r="G5800" t="s">
        <v>11376</v>
      </c>
      <c r="H5800">
        <v>9287761730</v>
      </c>
      <c r="K5800" t="s">
        <v>14548</v>
      </c>
      <c r="L5800" t="s">
        <v>3124</v>
      </c>
      <c r="M5800" t="s">
        <v>1634</v>
      </c>
    </row>
    <row r="5801" spans="1:13" x14ac:dyDescent="0.25">
      <c r="A5801">
        <v>4496</v>
      </c>
      <c r="B5801" t="s">
        <v>14545</v>
      </c>
      <c r="C5801" t="s">
        <v>14546</v>
      </c>
      <c r="D5801" t="s">
        <v>2596</v>
      </c>
      <c r="E5801" t="s">
        <v>8713</v>
      </c>
      <c r="F5801" t="s">
        <v>14549</v>
      </c>
      <c r="G5801" t="s">
        <v>3773</v>
      </c>
      <c r="H5801">
        <v>9287761730</v>
      </c>
      <c r="K5801" t="s">
        <v>14550</v>
      </c>
      <c r="L5801" t="s">
        <v>6030</v>
      </c>
      <c r="M5801" t="s">
        <v>1640</v>
      </c>
    </row>
    <row r="5802" spans="1:13" x14ac:dyDescent="0.25">
      <c r="A5802">
        <v>4496</v>
      </c>
      <c r="B5802" t="s">
        <v>14545</v>
      </c>
      <c r="C5802" t="s">
        <v>14546</v>
      </c>
      <c r="D5802" t="s">
        <v>2596</v>
      </c>
      <c r="E5802" t="s">
        <v>8713</v>
      </c>
      <c r="F5802" t="s">
        <v>6887</v>
      </c>
      <c r="G5802" t="s">
        <v>10146</v>
      </c>
      <c r="H5802" t="s">
        <v>10147</v>
      </c>
      <c r="K5802" t="s">
        <v>10148</v>
      </c>
      <c r="L5802" t="s">
        <v>14551</v>
      </c>
      <c r="M5802" t="s">
        <v>1640</v>
      </c>
    </row>
    <row r="5803" spans="1:13" x14ac:dyDescent="0.25">
      <c r="A5803">
        <v>6141</v>
      </c>
      <c r="B5803" t="s">
        <v>14552</v>
      </c>
      <c r="C5803" t="s">
        <v>14553</v>
      </c>
      <c r="D5803" t="s">
        <v>2605</v>
      </c>
      <c r="E5803" t="s">
        <v>8713</v>
      </c>
      <c r="F5803" t="s">
        <v>1787</v>
      </c>
      <c r="G5803" t="s">
        <v>14554</v>
      </c>
      <c r="H5803">
        <v>9287761730</v>
      </c>
      <c r="J5803">
        <v>9287761742</v>
      </c>
      <c r="K5803" t="s">
        <v>14555</v>
      </c>
      <c r="M5803" t="s">
        <v>1634</v>
      </c>
    </row>
    <row r="5804" spans="1:13" x14ac:dyDescent="0.25">
      <c r="A5804">
        <v>6141</v>
      </c>
      <c r="B5804" t="s">
        <v>14552</v>
      </c>
      <c r="C5804" t="s">
        <v>14553</v>
      </c>
      <c r="D5804" t="s">
        <v>2605</v>
      </c>
      <c r="E5804" t="s">
        <v>8713</v>
      </c>
      <c r="F5804" t="s">
        <v>14549</v>
      </c>
      <c r="G5804" t="s">
        <v>3773</v>
      </c>
      <c r="H5804">
        <v>9287761730</v>
      </c>
      <c r="K5804" t="s">
        <v>14550</v>
      </c>
      <c r="M5804" t="s">
        <v>1640</v>
      </c>
    </row>
    <row r="5805" spans="1:13" x14ac:dyDescent="0.25">
      <c r="A5805">
        <v>6365</v>
      </c>
      <c r="B5805" t="s">
        <v>14556</v>
      </c>
      <c r="C5805" t="s">
        <v>14557</v>
      </c>
      <c r="D5805" t="s">
        <v>2596</v>
      </c>
      <c r="E5805" t="s">
        <v>8713</v>
      </c>
      <c r="F5805" t="s">
        <v>2082</v>
      </c>
      <c r="G5805" t="s">
        <v>8356</v>
      </c>
      <c r="H5805">
        <v>4804613200</v>
      </c>
      <c r="K5805" t="s">
        <v>8357</v>
      </c>
      <c r="L5805" t="s">
        <v>8358</v>
      </c>
      <c r="M5805" t="s">
        <v>1634</v>
      </c>
    </row>
    <row r="5806" spans="1:13" x14ac:dyDescent="0.25">
      <c r="A5806">
        <v>6365</v>
      </c>
      <c r="B5806" t="s">
        <v>14556</v>
      </c>
      <c r="C5806" t="s">
        <v>14557</v>
      </c>
      <c r="D5806" t="s">
        <v>2596</v>
      </c>
      <c r="E5806" t="s">
        <v>8713</v>
      </c>
      <c r="F5806" t="s">
        <v>9509</v>
      </c>
      <c r="G5806" t="s">
        <v>3346</v>
      </c>
      <c r="K5806" t="s">
        <v>9510</v>
      </c>
      <c r="L5806" t="s">
        <v>1640</v>
      </c>
      <c r="M5806" t="s">
        <v>1640</v>
      </c>
    </row>
    <row r="5807" spans="1:13" x14ac:dyDescent="0.25">
      <c r="A5807">
        <v>6365</v>
      </c>
      <c r="B5807" t="s">
        <v>14556</v>
      </c>
      <c r="C5807" t="s">
        <v>14557</v>
      </c>
      <c r="D5807" t="s">
        <v>2596</v>
      </c>
      <c r="E5807" t="s">
        <v>8713</v>
      </c>
      <c r="F5807" t="s">
        <v>4410</v>
      </c>
      <c r="G5807" t="s">
        <v>14558</v>
      </c>
      <c r="H5807">
        <v>4804613200</v>
      </c>
      <c r="K5807" t="s">
        <v>14559</v>
      </c>
      <c r="M5807" t="s">
        <v>1765</v>
      </c>
    </row>
    <row r="5808" spans="1:13" x14ac:dyDescent="0.25">
      <c r="A5808">
        <v>6366</v>
      </c>
      <c r="B5808" t="s">
        <v>14560</v>
      </c>
      <c r="C5808" t="s">
        <v>14561</v>
      </c>
      <c r="D5808" t="s">
        <v>2605</v>
      </c>
      <c r="E5808" t="s">
        <v>8713</v>
      </c>
    </row>
    <row r="5809" spans="1:13" x14ac:dyDescent="0.25">
      <c r="A5809">
        <v>88201</v>
      </c>
      <c r="B5809" t="s">
        <v>14562</v>
      </c>
      <c r="C5809" t="s">
        <v>14563</v>
      </c>
      <c r="D5809" t="s">
        <v>2605</v>
      </c>
      <c r="E5809" t="s">
        <v>8713</v>
      </c>
    </row>
    <row r="5810" spans="1:13" x14ac:dyDescent="0.25">
      <c r="A5810">
        <v>10970</v>
      </c>
      <c r="B5810" t="s">
        <v>14564</v>
      </c>
      <c r="C5810" t="s">
        <v>14565</v>
      </c>
      <c r="D5810" t="s">
        <v>2596</v>
      </c>
      <c r="E5810" t="s">
        <v>8713</v>
      </c>
      <c r="F5810" t="s">
        <v>1856</v>
      </c>
      <c r="G5810" t="s">
        <v>14566</v>
      </c>
      <c r="K5810" t="s">
        <v>14567</v>
      </c>
      <c r="L5810" t="s">
        <v>6852</v>
      </c>
      <c r="M5810" t="s">
        <v>1634</v>
      </c>
    </row>
    <row r="5811" spans="1:13" x14ac:dyDescent="0.25">
      <c r="A5811">
        <v>10970</v>
      </c>
      <c r="B5811" t="s">
        <v>14564</v>
      </c>
      <c r="C5811" t="s">
        <v>14565</v>
      </c>
      <c r="D5811" t="s">
        <v>2596</v>
      </c>
      <c r="E5811" t="s">
        <v>8713</v>
      </c>
      <c r="F5811" t="s">
        <v>3838</v>
      </c>
      <c r="G5811" t="s">
        <v>14568</v>
      </c>
      <c r="K5811" t="s">
        <v>14569</v>
      </c>
      <c r="L5811" t="s">
        <v>8508</v>
      </c>
      <c r="M5811" t="s">
        <v>1634</v>
      </c>
    </row>
    <row r="5812" spans="1:13" x14ac:dyDescent="0.25">
      <c r="A5812">
        <v>10970</v>
      </c>
      <c r="B5812" t="s">
        <v>14564</v>
      </c>
      <c r="C5812" t="s">
        <v>14565</v>
      </c>
      <c r="D5812" t="s">
        <v>2596</v>
      </c>
      <c r="E5812" t="s">
        <v>8713</v>
      </c>
      <c r="F5812" t="s">
        <v>9881</v>
      </c>
      <c r="G5812" t="s">
        <v>9882</v>
      </c>
      <c r="K5812" t="s">
        <v>14570</v>
      </c>
      <c r="L5812" t="s">
        <v>14571</v>
      </c>
      <c r="M5812" t="s">
        <v>1634</v>
      </c>
    </row>
    <row r="5813" spans="1:13" x14ac:dyDescent="0.25">
      <c r="A5813">
        <v>10970</v>
      </c>
      <c r="B5813" t="s">
        <v>14564</v>
      </c>
      <c r="C5813" t="s">
        <v>14565</v>
      </c>
      <c r="D5813" t="s">
        <v>2596</v>
      </c>
      <c r="E5813" t="s">
        <v>8713</v>
      </c>
      <c r="F5813" t="s">
        <v>9881</v>
      </c>
      <c r="G5813" t="s">
        <v>9882</v>
      </c>
      <c r="K5813" t="s">
        <v>14570</v>
      </c>
      <c r="L5813" t="s">
        <v>14571</v>
      </c>
      <c r="M5813" t="s">
        <v>1640</v>
      </c>
    </row>
    <row r="5814" spans="1:13" x14ac:dyDescent="0.25">
      <c r="A5814">
        <v>78816</v>
      </c>
      <c r="B5814" t="s">
        <v>14572</v>
      </c>
      <c r="C5814" t="s">
        <v>14573</v>
      </c>
      <c r="D5814" t="s">
        <v>2605</v>
      </c>
      <c r="E5814" t="s">
        <v>8713</v>
      </c>
      <c r="F5814" t="s">
        <v>4879</v>
      </c>
      <c r="G5814" t="s">
        <v>14574</v>
      </c>
      <c r="H5814">
        <v>6028647731</v>
      </c>
      <c r="K5814" t="s">
        <v>14575</v>
      </c>
      <c r="L5814" t="s">
        <v>1668</v>
      </c>
      <c r="M5814" t="s">
        <v>1634</v>
      </c>
    </row>
    <row r="5815" spans="1:13" x14ac:dyDescent="0.25">
      <c r="A5815">
        <v>78816</v>
      </c>
      <c r="B5815" t="s">
        <v>14572</v>
      </c>
      <c r="C5815" t="s">
        <v>14573</v>
      </c>
      <c r="D5815" t="s">
        <v>2605</v>
      </c>
      <c r="E5815" t="s">
        <v>8713</v>
      </c>
      <c r="F5815" t="s">
        <v>14576</v>
      </c>
      <c r="G5815" t="s">
        <v>14577</v>
      </c>
      <c r="H5815">
        <v>6028641211</v>
      </c>
      <c r="J5815">
        <v>6028414260</v>
      </c>
      <c r="K5815" t="s">
        <v>14578</v>
      </c>
      <c r="L5815" t="s">
        <v>1640</v>
      </c>
      <c r="M5815" t="s">
        <v>1640</v>
      </c>
    </row>
    <row r="5816" spans="1:13" x14ac:dyDescent="0.25">
      <c r="A5816">
        <v>92234</v>
      </c>
      <c r="B5816" t="s">
        <v>14579</v>
      </c>
      <c r="C5816" t="s">
        <v>14580</v>
      </c>
      <c r="D5816" t="s">
        <v>2605</v>
      </c>
      <c r="E5816" t="s">
        <v>8713</v>
      </c>
      <c r="F5816" t="s">
        <v>4879</v>
      </c>
      <c r="G5816" t="s">
        <v>14574</v>
      </c>
      <c r="H5816">
        <v>6028641211</v>
      </c>
      <c r="J5816">
        <v>6028414260</v>
      </c>
      <c r="K5816" t="s">
        <v>14581</v>
      </c>
      <c r="L5816" t="s">
        <v>1668</v>
      </c>
      <c r="M5816" t="s">
        <v>1634</v>
      </c>
    </row>
    <row r="5817" spans="1:13" x14ac:dyDescent="0.25">
      <c r="A5817">
        <v>10967</v>
      </c>
      <c r="B5817" t="s">
        <v>14582</v>
      </c>
      <c r="C5817" t="s">
        <v>14583</v>
      </c>
      <c r="D5817" t="s">
        <v>2596</v>
      </c>
      <c r="E5817" t="s">
        <v>8713</v>
      </c>
      <c r="F5817" t="s">
        <v>1779</v>
      </c>
      <c r="G5817" t="s">
        <v>10202</v>
      </c>
      <c r="H5817">
        <v>9287761212</v>
      </c>
      <c r="I5817">
        <v>114</v>
      </c>
      <c r="K5817" t="s">
        <v>14584</v>
      </c>
      <c r="L5817" t="s">
        <v>3124</v>
      </c>
      <c r="M5817" t="s">
        <v>1634</v>
      </c>
    </row>
    <row r="5818" spans="1:13" x14ac:dyDescent="0.25">
      <c r="A5818">
        <v>10967</v>
      </c>
      <c r="B5818" t="s">
        <v>14582</v>
      </c>
      <c r="C5818" t="s">
        <v>14583</v>
      </c>
      <c r="D5818" t="s">
        <v>2596</v>
      </c>
      <c r="E5818" t="s">
        <v>8713</v>
      </c>
      <c r="F5818" t="s">
        <v>1779</v>
      </c>
      <c r="G5818" t="s">
        <v>10202</v>
      </c>
      <c r="H5818">
        <v>9287761212</v>
      </c>
      <c r="I5818">
        <v>114</v>
      </c>
      <c r="K5818" t="s">
        <v>14584</v>
      </c>
      <c r="L5818" t="s">
        <v>3124</v>
      </c>
      <c r="M5818" t="s">
        <v>1765</v>
      </c>
    </row>
    <row r="5819" spans="1:13" x14ac:dyDescent="0.25">
      <c r="A5819">
        <v>78815</v>
      </c>
      <c r="B5819" t="s">
        <v>14585</v>
      </c>
      <c r="C5819" t="s">
        <v>14586</v>
      </c>
      <c r="D5819" t="s">
        <v>2605</v>
      </c>
      <c r="E5819" t="s">
        <v>8713</v>
      </c>
      <c r="F5819" t="s">
        <v>1779</v>
      </c>
      <c r="G5819" t="s">
        <v>10202</v>
      </c>
      <c r="H5819">
        <v>9287761212</v>
      </c>
      <c r="I5819">
        <v>114</v>
      </c>
      <c r="K5819" t="s">
        <v>14584</v>
      </c>
      <c r="L5819" t="s">
        <v>3124</v>
      </c>
      <c r="M5819" t="s">
        <v>1634</v>
      </c>
    </row>
    <row r="5820" spans="1:13" x14ac:dyDescent="0.25">
      <c r="A5820">
        <v>78815</v>
      </c>
      <c r="B5820" t="s">
        <v>14585</v>
      </c>
      <c r="C5820" t="s">
        <v>14586</v>
      </c>
      <c r="D5820" t="s">
        <v>2605</v>
      </c>
      <c r="E5820" t="s">
        <v>8713</v>
      </c>
      <c r="F5820" t="s">
        <v>1779</v>
      </c>
      <c r="G5820" t="s">
        <v>10202</v>
      </c>
      <c r="H5820">
        <v>9287761212</v>
      </c>
      <c r="I5820">
        <v>114</v>
      </c>
      <c r="K5820" t="s">
        <v>14584</v>
      </c>
      <c r="L5820" t="s">
        <v>3124</v>
      </c>
      <c r="M5820" t="s">
        <v>1640</v>
      </c>
    </row>
    <row r="5821" spans="1:13" x14ac:dyDescent="0.25">
      <c r="A5821">
        <v>10965</v>
      </c>
      <c r="B5821" t="s">
        <v>14587</v>
      </c>
      <c r="C5821" t="s">
        <v>14588</v>
      </c>
      <c r="D5821" t="s">
        <v>2596</v>
      </c>
      <c r="E5821" t="s">
        <v>8713</v>
      </c>
      <c r="F5821" t="s">
        <v>14589</v>
      </c>
      <c r="G5821" t="s">
        <v>14590</v>
      </c>
      <c r="H5821">
        <v>9287770403</v>
      </c>
      <c r="J5821">
        <v>9287083951</v>
      </c>
      <c r="K5821" t="s">
        <v>14591</v>
      </c>
      <c r="L5821" t="s">
        <v>10673</v>
      </c>
      <c r="M5821" t="s">
        <v>1634</v>
      </c>
    </row>
    <row r="5822" spans="1:13" x14ac:dyDescent="0.25">
      <c r="A5822">
        <v>10965</v>
      </c>
      <c r="B5822" t="s">
        <v>14587</v>
      </c>
      <c r="C5822" t="s">
        <v>14588</v>
      </c>
      <c r="D5822" t="s">
        <v>2596</v>
      </c>
      <c r="E5822" t="s">
        <v>8713</v>
      </c>
      <c r="F5822" t="s">
        <v>2401</v>
      </c>
      <c r="G5822" t="s">
        <v>14592</v>
      </c>
      <c r="H5822">
        <v>9287770403</v>
      </c>
      <c r="K5822" t="s">
        <v>14593</v>
      </c>
      <c r="L5822" t="s">
        <v>2535</v>
      </c>
      <c r="M5822" t="s">
        <v>1634</v>
      </c>
    </row>
    <row r="5823" spans="1:13" x14ac:dyDescent="0.25">
      <c r="A5823">
        <v>78821</v>
      </c>
      <c r="B5823" t="s">
        <v>14594</v>
      </c>
      <c r="C5823" t="s">
        <v>14595</v>
      </c>
      <c r="D5823" t="s">
        <v>2605</v>
      </c>
      <c r="E5823" t="s">
        <v>8713</v>
      </c>
      <c r="F5823" t="s">
        <v>14589</v>
      </c>
      <c r="G5823" t="s">
        <v>14590</v>
      </c>
      <c r="H5823">
        <v>9287770403</v>
      </c>
      <c r="J5823">
        <v>9287770402</v>
      </c>
      <c r="K5823" t="s">
        <v>14596</v>
      </c>
      <c r="L5823" t="s">
        <v>8508</v>
      </c>
      <c r="M5823" t="s">
        <v>1634</v>
      </c>
    </row>
    <row r="5824" spans="1:13" x14ac:dyDescent="0.25">
      <c r="A5824">
        <v>79068</v>
      </c>
      <c r="B5824" t="s">
        <v>14597</v>
      </c>
      <c r="C5824" t="s">
        <v>14598</v>
      </c>
      <c r="D5824" t="s">
        <v>2596</v>
      </c>
      <c r="E5824" t="s">
        <v>8713</v>
      </c>
      <c r="F5824" t="s">
        <v>1679</v>
      </c>
      <c r="G5824" t="s">
        <v>14599</v>
      </c>
      <c r="H5824">
        <v>9283005378</v>
      </c>
      <c r="I5824">
        <v>7101</v>
      </c>
      <c r="J5824">
        <v>9286499750</v>
      </c>
      <c r="K5824" t="s">
        <v>14600</v>
      </c>
      <c r="L5824" t="s">
        <v>14601</v>
      </c>
      <c r="M5824" t="s">
        <v>1634</v>
      </c>
    </row>
    <row r="5825" spans="1:13" x14ac:dyDescent="0.25">
      <c r="A5825">
        <v>79068</v>
      </c>
      <c r="B5825" t="s">
        <v>14597</v>
      </c>
      <c r="C5825" t="s">
        <v>14598</v>
      </c>
      <c r="D5825" t="s">
        <v>2596</v>
      </c>
      <c r="E5825" t="s">
        <v>8713</v>
      </c>
      <c r="F5825" t="s">
        <v>14602</v>
      </c>
      <c r="G5825" t="s">
        <v>9389</v>
      </c>
      <c r="H5825">
        <v>9283015484</v>
      </c>
      <c r="K5825" t="s">
        <v>14603</v>
      </c>
      <c r="L5825" t="s">
        <v>10174</v>
      </c>
      <c r="M5825" t="s">
        <v>1634</v>
      </c>
    </row>
    <row r="5826" spans="1:13" x14ac:dyDescent="0.25">
      <c r="A5826">
        <v>79068</v>
      </c>
      <c r="B5826" t="s">
        <v>14597</v>
      </c>
      <c r="C5826" t="s">
        <v>14598</v>
      </c>
      <c r="D5826" t="s">
        <v>2596</v>
      </c>
      <c r="E5826" t="s">
        <v>8713</v>
      </c>
      <c r="F5826" t="s">
        <v>14604</v>
      </c>
      <c r="G5826" t="s">
        <v>1691</v>
      </c>
      <c r="H5826">
        <v>9287759675</v>
      </c>
      <c r="K5826" t="s">
        <v>14605</v>
      </c>
      <c r="L5826" t="s">
        <v>1647</v>
      </c>
      <c r="M5826" t="s">
        <v>1634</v>
      </c>
    </row>
    <row r="5827" spans="1:13" x14ac:dyDescent="0.25">
      <c r="A5827">
        <v>79068</v>
      </c>
      <c r="B5827" t="s">
        <v>14597</v>
      </c>
      <c r="C5827" t="s">
        <v>14598</v>
      </c>
      <c r="D5827" t="s">
        <v>2596</v>
      </c>
      <c r="E5827" t="s">
        <v>8713</v>
      </c>
      <c r="F5827" t="s">
        <v>1679</v>
      </c>
      <c r="G5827" t="s">
        <v>14599</v>
      </c>
      <c r="H5827">
        <v>9283005378</v>
      </c>
      <c r="I5827">
        <v>7101</v>
      </c>
      <c r="J5827">
        <v>9286499750</v>
      </c>
      <c r="K5827" t="s">
        <v>14600</v>
      </c>
      <c r="L5827" t="s">
        <v>14601</v>
      </c>
      <c r="M5827" t="s">
        <v>1640</v>
      </c>
    </row>
    <row r="5828" spans="1:13" x14ac:dyDescent="0.25">
      <c r="A5828">
        <v>79068</v>
      </c>
      <c r="B5828" t="s">
        <v>14597</v>
      </c>
      <c r="C5828" t="s">
        <v>14598</v>
      </c>
      <c r="D5828" t="s">
        <v>2596</v>
      </c>
      <c r="E5828" t="s">
        <v>8713</v>
      </c>
      <c r="F5828" t="s">
        <v>14602</v>
      </c>
      <c r="G5828" t="s">
        <v>9389</v>
      </c>
      <c r="H5828">
        <v>9283015484</v>
      </c>
      <c r="K5828" t="s">
        <v>14603</v>
      </c>
      <c r="L5828" t="s">
        <v>10174</v>
      </c>
      <c r="M5828" t="s">
        <v>1640</v>
      </c>
    </row>
    <row r="5829" spans="1:13" x14ac:dyDescent="0.25">
      <c r="A5829">
        <v>79068</v>
      </c>
      <c r="B5829" t="s">
        <v>14597</v>
      </c>
      <c r="C5829" t="s">
        <v>14598</v>
      </c>
      <c r="D5829" t="s">
        <v>2596</v>
      </c>
      <c r="E5829" t="s">
        <v>8713</v>
      </c>
      <c r="F5829" t="s">
        <v>1679</v>
      </c>
      <c r="G5829" t="s">
        <v>14599</v>
      </c>
      <c r="H5829">
        <v>9283005378</v>
      </c>
      <c r="I5829">
        <v>7101</v>
      </c>
      <c r="J5829">
        <v>9286499750</v>
      </c>
      <c r="K5829" t="s">
        <v>14600</v>
      </c>
      <c r="L5829" t="s">
        <v>14601</v>
      </c>
      <c r="M5829" t="s">
        <v>1765</v>
      </c>
    </row>
    <row r="5830" spans="1:13" x14ac:dyDescent="0.25">
      <c r="A5830">
        <v>79108</v>
      </c>
      <c r="B5830" t="s">
        <v>14606</v>
      </c>
      <c r="C5830" t="s">
        <v>14607</v>
      </c>
      <c r="D5830" t="s">
        <v>2605</v>
      </c>
      <c r="E5830" t="s">
        <v>8713</v>
      </c>
      <c r="F5830" t="s">
        <v>1679</v>
      </c>
      <c r="G5830" t="s">
        <v>14599</v>
      </c>
      <c r="H5830">
        <v>9283005378</v>
      </c>
      <c r="K5830" t="s">
        <v>14600</v>
      </c>
      <c r="L5830" t="s">
        <v>14608</v>
      </c>
      <c r="M5830" t="s">
        <v>1634</v>
      </c>
    </row>
    <row r="5831" spans="1:13" x14ac:dyDescent="0.25">
      <c r="A5831">
        <v>79108</v>
      </c>
      <c r="B5831" t="s">
        <v>14606</v>
      </c>
      <c r="C5831" t="s">
        <v>14607</v>
      </c>
      <c r="D5831" t="s">
        <v>2605</v>
      </c>
      <c r="E5831" t="s">
        <v>8713</v>
      </c>
      <c r="F5831" t="s">
        <v>14602</v>
      </c>
      <c r="G5831" t="s">
        <v>9389</v>
      </c>
      <c r="H5831">
        <v>9287750719</v>
      </c>
      <c r="J5831">
        <v>9283005378</v>
      </c>
      <c r="M5831" t="s">
        <v>1640</v>
      </c>
    </row>
    <row r="5832" spans="1:13" x14ac:dyDescent="0.25">
      <c r="A5832">
        <v>79108</v>
      </c>
      <c r="B5832" t="s">
        <v>14606</v>
      </c>
      <c r="C5832" t="s">
        <v>14607</v>
      </c>
      <c r="D5832" t="s">
        <v>2605</v>
      </c>
      <c r="E5832" t="s">
        <v>8713</v>
      </c>
      <c r="F5832" t="s">
        <v>2381</v>
      </c>
      <c r="G5832" t="s">
        <v>1901</v>
      </c>
      <c r="H5832">
        <v>6028812483</v>
      </c>
      <c r="L5832" t="s">
        <v>12286</v>
      </c>
      <c r="M5832" t="s">
        <v>1640</v>
      </c>
    </row>
    <row r="5833" spans="1:13" x14ac:dyDescent="0.25">
      <c r="A5833">
        <v>79065</v>
      </c>
      <c r="B5833" t="s">
        <v>14609</v>
      </c>
      <c r="C5833" t="s">
        <v>14610</v>
      </c>
      <c r="D5833" t="s">
        <v>2596</v>
      </c>
      <c r="E5833" t="s">
        <v>1273</v>
      </c>
      <c r="F5833" t="s">
        <v>2997</v>
      </c>
      <c r="G5833" t="s">
        <v>8527</v>
      </c>
      <c r="K5833" t="s">
        <v>8528</v>
      </c>
      <c r="L5833" t="s">
        <v>3124</v>
      </c>
      <c r="M5833" t="s">
        <v>1634</v>
      </c>
    </row>
    <row r="5834" spans="1:13" x14ac:dyDescent="0.25">
      <c r="A5834">
        <v>79065</v>
      </c>
      <c r="B5834" t="s">
        <v>14609</v>
      </c>
      <c r="C5834" t="s">
        <v>14610</v>
      </c>
      <c r="D5834" t="s">
        <v>2596</v>
      </c>
      <c r="E5834" t="s">
        <v>1273</v>
      </c>
      <c r="F5834" t="s">
        <v>2256</v>
      </c>
      <c r="G5834" t="s">
        <v>11175</v>
      </c>
      <c r="H5834">
        <v>6029736018</v>
      </c>
      <c r="K5834" t="s">
        <v>14611</v>
      </c>
      <c r="L5834" t="s">
        <v>14612</v>
      </c>
      <c r="M5834" t="s">
        <v>1634</v>
      </c>
    </row>
    <row r="5835" spans="1:13" x14ac:dyDescent="0.25">
      <c r="A5835">
        <v>79065</v>
      </c>
      <c r="B5835" t="s">
        <v>14609</v>
      </c>
      <c r="C5835" t="s">
        <v>14610</v>
      </c>
      <c r="D5835" t="s">
        <v>2596</v>
      </c>
      <c r="E5835" t="s">
        <v>1273</v>
      </c>
      <c r="F5835" t="s">
        <v>1974</v>
      </c>
      <c r="G5835" t="s">
        <v>3680</v>
      </c>
      <c r="K5835" t="s">
        <v>14613</v>
      </c>
      <c r="L5835" t="s">
        <v>1647</v>
      </c>
      <c r="M5835" t="s">
        <v>1634</v>
      </c>
    </row>
    <row r="5836" spans="1:13" x14ac:dyDescent="0.25">
      <c r="A5836">
        <v>79065</v>
      </c>
      <c r="B5836" t="s">
        <v>14609</v>
      </c>
      <c r="C5836" t="s">
        <v>14610</v>
      </c>
      <c r="D5836" t="s">
        <v>2596</v>
      </c>
      <c r="E5836" t="s">
        <v>1273</v>
      </c>
      <c r="F5836" t="s">
        <v>4799</v>
      </c>
      <c r="G5836" t="s">
        <v>8535</v>
      </c>
      <c r="H5836">
        <v>6028991133</v>
      </c>
      <c r="K5836" t="s">
        <v>9008</v>
      </c>
      <c r="L5836" t="s">
        <v>14614</v>
      </c>
      <c r="M5836" t="s">
        <v>1634</v>
      </c>
    </row>
    <row r="5837" spans="1:13" x14ac:dyDescent="0.25">
      <c r="A5837">
        <v>79065</v>
      </c>
      <c r="B5837" t="s">
        <v>14609</v>
      </c>
      <c r="C5837" t="s">
        <v>14610</v>
      </c>
      <c r="D5837" t="s">
        <v>2596</v>
      </c>
      <c r="E5837" t="s">
        <v>1273</v>
      </c>
      <c r="F5837" t="s">
        <v>4799</v>
      </c>
      <c r="G5837" t="s">
        <v>8535</v>
      </c>
      <c r="H5837">
        <v>6028991133</v>
      </c>
      <c r="K5837" t="s">
        <v>9008</v>
      </c>
      <c r="L5837" t="s">
        <v>14614</v>
      </c>
      <c r="M5837" t="s">
        <v>1765</v>
      </c>
    </row>
    <row r="5838" spans="1:13" x14ac:dyDescent="0.25">
      <c r="A5838">
        <v>79111</v>
      </c>
      <c r="B5838" t="s">
        <v>14615</v>
      </c>
      <c r="C5838" t="s">
        <v>14616</v>
      </c>
      <c r="D5838" t="s">
        <v>2605</v>
      </c>
      <c r="E5838" t="s">
        <v>8713</v>
      </c>
      <c r="F5838" t="s">
        <v>1779</v>
      </c>
      <c r="G5838" t="s">
        <v>14347</v>
      </c>
      <c r="H5838">
        <v>9285411090</v>
      </c>
      <c r="J5838">
        <v>9285419939</v>
      </c>
      <c r="K5838" t="s">
        <v>14617</v>
      </c>
      <c r="L5838" t="s">
        <v>14618</v>
      </c>
      <c r="M5838" t="s">
        <v>1634</v>
      </c>
    </row>
    <row r="5839" spans="1:13" x14ac:dyDescent="0.25">
      <c r="A5839">
        <v>79111</v>
      </c>
      <c r="B5839" t="s">
        <v>14615</v>
      </c>
      <c r="C5839" t="s">
        <v>14616</v>
      </c>
      <c r="D5839" t="s">
        <v>2605</v>
      </c>
      <c r="E5839" t="s">
        <v>8713</v>
      </c>
      <c r="F5839" t="s">
        <v>1679</v>
      </c>
      <c r="G5839" t="s">
        <v>8530</v>
      </c>
      <c r="K5839" t="s">
        <v>8531</v>
      </c>
      <c r="L5839" t="s">
        <v>2052</v>
      </c>
      <c r="M5839" t="s">
        <v>1634</v>
      </c>
    </row>
    <row r="5840" spans="1:13" x14ac:dyDescent="0.25">
      <c r="A5840">
        <v>79437</v>
      </c>
      <c r="B5840" t="s">
        <v>14619</v>
      </c>
      <c r="C5840" t="s">
        <v>14620</v>
      </c>
      <c r="D5840" t="s">
        <v>2596</v>
      </c>
      <c r="E5840" t="s">
        <v>8713</v>
      </c>
      <c r="F5840" t="s">
        <v>3551</v>
      </c>
      <c r="G5840" t="s">
        <v>1853</v>
      </c>
      <c r="H5840">
        <v>9287725778</v>
      </c>
      <c r="J5840">
        <v>9287758654</v>
      </c>
      <c r="K5840" t="s">
        <v>14621</v>
      </c>
      <c r="L5840" t="s">
        <v>14622</v>
      </c>
      <c r="M5840" t="s">
        <v>1634</v>
      </c>
    </row>
    <row r="5841" spans="1:13" x14ac:dyDescent="0.25">
      <c r="A5841">
        <v>79437</v>
      </c>
      <c r="B5841" t="s">
        <v>14619</v>
      </c>
      <c r="C5841" t="s">
        <v>14620</v>
      </c>
      <c r="D5841" t="s">
        <v>2596</v>
      </c>
      <c r="E5841" t="s">
        <v>8713</v>
      </c>
      <c r="F5841" t="s">
        <v>14623</v>
      </c>
      <c r="G5841" t="s">
        <v>14624</v>
      </c>
      <c r="H5841">
        <v>9287750238</v>
      </c>
      <c r="K5841" t="s">
        <v>14625</v>
      </c>
      <c r="M5841" t="s">
        <v>1634</v>
      </c>
    </row>
    <row r="5842" spans="1:13" x14ac:dyDescent="0.25">
      <c r="A5842">
        <v>79437</v>
      </c>
      <c r="B5842" t="s">
        <v>14619</v>
      </c>
      <c r="C5842" t="s">
        <v>14620</v>
      </c>
      <c r="D5842" t="s">
        <v>2596</v>
      </c>
      <c r="E5842" t="s">
        <v>8713</v>
      </c>
      <c r="F5842" t="s">
        <v>1779</v>
      </c>
      <c r="G5842" t="s">
        <v>14626</v>
      </c>
      <c r="K5842" t="s">
        <v>14627</v>
      </c>
      <c r="M5842" t="s">
        <v>1765</v>
      </c>
    </row>
    <row r="5843" spans="1:13" x14ac:dyDescent="0.25">
      <c r="A5843">
        <v>79438</v>
      </c>
      <c r="B5843" t="s">
        <v>14619</v>
      </c>
      <c r="C5843" t="s">
        <v>14628</v>
      </c>
      <c r="D5843" t="s">
        <v>2605</v>
      </c>
      <c r="E5843" t="s">
        <v>8713</v>
      </c>
    </row>
    <row r="5844" spans="1:13" x14ac:dyDescent="0.25">
      <c r="A5844">
        <v>88180</v>
      </c>
      <c r="B5844" t="s">
        <v>14629</v>
      </c>
      <c r="C5844" t="s">
        <v>14630</v>
      </c>
      <c r="D5844" t="s">
        <v>2605</v>
      </c>
      <c r="E5844" t="s">
        <v>8713</v>
      </c>
    </row>
    <row r="5845" spans="1:13" x14ac:dyDescent="0.25">
      <c r="A5845">
        <v>78873</v>
      </c>
      <c r="B5845" t="s">
        <v>14631</v>
      </c>
      <c r="C5845" t="s">
        <v>14632</v>
      </c>
      <c r="D5845" t="s">
        <v>2596</v>
      </c>
      <c r="E5845" t="s">
        <v>8713</v>
      </c>
      <c r="F5845" t="s">
        <v>3551</v>
      </c>
      <c r="G5845" t="s">
        <v>3041</v>
      </c>
      <c r="H5845">
        <v>9285417700</v>
      </c>
      <c r="K5845" t="s">
        <v>14633</v>
      </c>
      <c r="L5845" t="s">
        <v>3124</v>
      </c>
      <c r="M5845" t="s">
        <v>1634</v>
      </c>
    </row>
    <row r="5846" spans="1:13" x14ac:dyDescent="0.25">
      <c r="A5846">
        <v>78873</v>
      </c>
      <c r="B5846" t="s">
        <v>14631</v>
      </c>
      <c r="C5846" t="s">
        <v>14632</v>
      </c>
      <c r="D5846" t="s">
        <v>2596</v>
      </c>
      <c r="E5846" t="s">
        <v>8713</v>
      </c>
      <c r="F5846" t="s">
        <v>14634</v>
      </c>
      <c r="G5846" t="s">
        <v>14635</v>
      </c>
      <c r="H5846">
        <v>9285417700</v>
      </c>
      <c r="K5846" t="s">
        <v>14636</v>
      </c>
      <c r="L5846" t="s">
        <v>14637</v>
      </c>
      <c r="M5846" t="s">
        <v>1634</v>
      </c>
    </row>
    <row r="5847" spans="1:13" x14ac:dyDescent="0.25">
      <c r="A5847">
        <v>78873</v>
      </c>
      <c r="B5847" t="s">
        <v>14631</v>
      </c>
      <c r="C5847" t="s">
        <v>14632</v>
      </c>
      <c r="D5847" t="s">
        <v>2596</v>
      </c>
      <c r="E5847" t="s">
        <v>8713</v>
      </c>
      <c r="F5847" t="s">
        <v>1775</v>
      </c>
      <c r="G5847" t="s">
        <v>14638</v>
      </c>
      <c r="H5847">
        <v>9285417700</v>
      </c>
      <c r="K5847" t="s">
        <v>14639</v>
      </c>
      <c r="L5847" t="s">
        <v>9084</v>
      </c>
      <c r="M5847" t="s">
        <v>1634</v>
      </c>
    </row>
    <row r="5848" spans="1:13" x14ac:dyDescent="0.25">
      <c r="A5848">
        <v>78873</v>
      </c>
      <c r="B5848" t="s">
        <v>14631</v>
      </c>
      <c r="C5848" t="s">
        <v>14632</v>
      </c>
      <c r="D5848" t="s">
        <v>2596</v>
      </c>
      <c r="E5848" t="s">
        <v>8713</v>
      </c>
      <c r="F5848" t="s">
        <v>1726</v>
      </c>
      <c r="G5848" t="s">
        <v>14640</v>
      </c>
      <c r="H5848">
        <v>9285417700</v>
      </c>
      <c r="K5848" t="s">
        <v>14641</v>
      </c>
      <c r="L5848" t="s">
        <v>14637</v>
      </c>
      <c r="M5848" t="s">
        <v>1634</v>
      </c>
    </row>
    <row r="5849" spans="1:13" x14ac:dyDescent="0.25">
      <c r="A5849">
        <v>78873</v>
      </c>
      <c r="B5849" t="s">
        <v>14631</v>
      </c>
      <c r="C5849" t="s">
        <v>14632</v>
      </c>
      <c r="D5849" t="s">
        <v>2596</v>
      </c>
      <c r="E5849" t="s">
        <v>8713</v>
      </c>
      <c r="F5849" t="s">
        <v>2361</v>
      </c>
      <c r="G5849" t="s">
        <v>14642</v>
      </c>
      <c r="H5849">
        <v>9285417700</v>
      </c>
      <c r="K5849" t="s">
        <v>14643</v>
      </c>
      <c r="L5849" t="s">
        <v>6030</v>
      </c>
      <c r="M5849" t="s">
        <v>1634</v>
      </c>
    </row>
    <row r="5850" spans="1:13" x14ac:dyDescent="0.25">
      <c r="A5850">
        <v>78873</v>
      </c>
      <c r="B5850" t="s">
        <v>14631</v>
      </c>
      <c r="C5850" t="s">
        <v>14632</v>
      </c>
      <c r="D5850" t="s">
        <v>2596</v>
      </c>
      <c r="E5850" t="s">
        <v>8713</v>
      </c>
      <c r="F5850" t="s">
        <v>6887</v>
      </c>
      <c r="G5850" t="s">
        <v>10146</v>
      </c>
      <c r="H5850" t="s">
        <v>10147</v>
      </c>
      <c r="K5850" t="s">
        <v>10148</v>
      </c>
      <c r="L5850" t="s">
        <v>14644</v>
      </c>
      <c r="M5850" t="s">
        <v>1640</v>
      </c>
    </row>
    <row r="5851" spans="1:13" x14ac:dyDescent="0.25">
      <c r="A5851">
        <v>78873</v>
      </c>
      <c r="B5851" t="s">
        <v>14631</v>
      </c>
      <c r="C5851" t="s">
        <v>14632</v>
      </c>
      <c r="D5851" t="s">
        <v>2596</v>
      </c>
      <c r="E5851" t="s">
        <v>8713</v>
      </c>
      <c r="F5851" t="s">
        <v>2361</v>
      </c>
      <c r="G5851" t="s">
        <v>14642</v>
      </c>
      <c r="H5851">
        <v>9285417700</v>
      </c>
      <c r="K5851" t="s">
        <v>14643</v>
      </c>
      <c r="L5851" t="s">
        <v>6030</v>
      </c>
      <c r="M5851" t="s">
        <v>1640</v>
      </c>
    </row>
    <row r="5852" spans="1:13" x14ac:dyDescent="0.25">
      <c r="A5852">
        <v>78873</v>
      </c>
      <c r="B5852" t="s">
        <v>14631</v>
      </c>
      <c r="C5852" t="s">
        <v>14632</v>
      </c>
      <c r="D5852" t="s">
        <v>2596</v>
      </c>
      <c r="E5852" t="s">
        <v>8713</v>
      </c>
      <c r="F5852" t="s">
        <v>2361</v>
      </c>
      <c r="G5852" t="s">
        <v>14642</v>
      </c>
      <c r="H5852">
        <v>9285417700</v>
      </c>
      <c r="K5852" t="s">
        <v>14643</v>
      </c>
      <c r="L5852" t="s">
        <v>6030</v>
      </c>
      <c r="M5852" t="s">
        <v>1765</v>
      </c>
    </row>
    <row r="5853" spans="1:13" x14ac:dyDescent="0.25">
      <c r="A5853">
        <v>78874</v>
      </c>
      <c r="B5853" t="s">
        <v>14645</v>
      </c>
      <c r="C5853" t="s">
        <v>14646</v>
      </c>
      <c r="D5853" t="s">
        <v>2605</v>
      </c>
      <c r="E5853" t="s">
        <v>8713</v>
      </c>
      <c r="F5853" t="s">
        <v>3551</v>
      </c>
      <c r="G5853" t="s">
        <v>3041</v>
      </c>
      <c r="K5853" t="s">
        <v>14633</v>
      </c>
      <c r="M5853" t="s">
        <v>1634</v>
      </c>
    </row>
    <row r="5854" spans="1:13" x14ac:dyDescent="0.25">
      <c r="A5854">
        <v>78874</v>
      </c>
      <c r="B5854" t="s">
        <v>14645</v>
      </c>
      <c r="C5854" t="s">
        <v>14646</v>
      </c>
      <c r="D5854" t="s">
        <v>2605</v>
      </c>
      <c r="E5854" t="s">
        <v>8713</v>
      </c>
      <c r="F5854" t="s">
        <v>4816</v>
      </c>
      <c r="G5854" t="s">
        <v>14647</v>
      </c>
      <c r="H5854">
        <v>9285417700</v>
      </c>
      <c r="K5854" t="s">
        <v>14648</v>
      </c>
      <c r="M5854" t="s">
        <v>1634</v>
      </c>
    </row>
    <row r="5855" spans="1:13" x14ac:dyDescent="0.25">
      <c r="A5855">
        <v>78874</v>
      </c>
      <c r="B5855" t="s">
        <v>14645</v>
      </c>
      <c r="C5855" t="s">
        <v>14646</v>
      </c>
      <c r="D5855" t="s">
        <v>2605</v>
      </c>
      <c r="E5855" t="s">
        <v>8713</v>
      </c>
      <c r="F5855" t="s">
        <v>1726</v>
      </c>
      <c r="G5855" t="s">
        <v>14640</v>
      </c>
      <c r="H5855">
        <v>9285417700</v>
      </c>
      <c r="K5855" t="s">
        <v>14641</v>
      </c>
      <c r="L5855" t="s">
        <v>14637</v>
      </c>
      <c r="M5855" t="s">
        <v>1634</v>
      </c>
    </row>
    <row r="5856" spans="1:13" x14ac:dyDescent="0.25">
      <c r="A5856">
        <v>78874</v>
      </c>
      <c r="B5856" t="s">
        <v>14645</v>
      </c>
      <c r="C5856" t="s">
        <v>14646</v>
      </c>
      <c r="D5856" t="s">
        <v>2605</v>
      </c>
      <c r="E5856" t="s">
        <v>8713</v>
      </c>
      <c r="F5856" t="s">
        <v>2361</v>
      </c>
      <c r="G5856" t="s">
        <v>14642</v>
      </c>
      <c r="H5856">
        <v>9285417700</v>
      </c>
      <c r="K5856" t="s">
        <v>14643</v>
      </c>
      <c r="L5856" t="s">
        <v>9084</v>
      </c>
      <c r="M5856" t="s">
        <v>1634</v>
      </c>
    </row>
    <row r="5857" spans="1:13" x14ac:dyDescent="0.25">
      <c r="A5857">
        <v>78874</v>
      </c>
      <c r="B5857" t="s">
        <v>14645</v>
      </c>
      <c r="C5857" t="s">
        <v>14646</v>
      </c>
      <c r="D5857" t="s">
        <v>2605</v>
      </c>
      <c r="E5857" t="s">
        <v>8713</v>
      </c>
      <c r="F5857" t="s">
        <v>4816</v>
      </c>
      <c r="G5857" t="s">
        <v>14647</v>
      </c>
      <c r="H5857">
        <v>9285417700</v>
      </c>
      <c r="K5857" t="s">
        <v>14648</v>
      </c>
      <c r="M5857" t="s">
        <v>1765</v>
      </c>
    </row>
    <row r="5858" spans="1:13" x14ac:dyDescent="0.25">
      <c r="A5858">
        <v>91131</v>
      </c>
      <c r="B5858" t="s">
        <v>8676</v>
      </c>
      <c r="C5858" t="s">
        <v>14649</v>
      </c>
      <c r="D5858" t="s">
        <v>2596</v>
      </c>
      <c r="E5858" t="s">
        <v>8713</v>
      </c>
      <c r="F5858" t="s">
        <v>2865</v>
      </c>
      <c r="G5858" t="s">
        <v>8603</v>
      </c>
      <c r="J5858">
        <v>6022978540</v>
      </c>
      <c r="K5858" t="s">
        <v>8604</v>
      </c>
      <c r="L5858" t="s">
        <v>3609</v>
      </c>
      <c r="M5858" t="s">
        <v>1634</v>
      </c>
    </row>
    <row r="5859" spans="1:13" x14ac:dyDescent="0.25">
      <c r="A5859">
        <v>91131</v>
      </c>
      <c r="B5859" t="s">
        <v>8676</v>
      </c>
      <c r="C5859" t="s">
        <v>14649</v>
      </c>
      <c r="D5859" t="s">
        <v>2596</v>
      </c>
      <c r="E5859" t="s">
        <v>8713</v>
      </c>
      <c r="F5859" t="s">
        <v>9161</v>
      </c>
      <c r="G5859" t="s">
        <v>9162</v>
      </c>
      <c r="K5859" t="s">
        <v>9163</v>
      </c>
      <c r="L5859" t="s">
        <v>5727</v>
      </c>
      <c r="M5859" t="s">
        <v>1765</v>
      </c>
    </row>
    <row r="5860" spans="1:13" x14ac:dyDescent="0.25">
      <c r="A5860">
        <v>91132</v>
      </c>
      <c r="B5860" t="s">
        <v>14650</v>
      </c>
      <c r="C5860" t="s">
        <v>14651</v>
      </c>
      <c r="D5860" t="s">
        <v>2605</v>
      </c>
      <c r="E5860" t="s">
        <v>8713</v>
      </c>
    </row>
    <row r="5861" spans="1:13" x14ac:dyDescent="0.25">
      <c r="A5861">
        <v>92320</v>
      </c>
      <c r="B5861" t="s">
        <v>3049</v>
      </c>
      <c r="C5861" t="s">
        <v>14652</v>
      </c>
      <c r="D5861" t="s">
        <v>2596</v>
      </c>
      <c r="E5861" t="s">
        <v>8713</v>
      </c>
      <c r="F5861" t="s">
        <v>3051</v>
      </c>
      <c r="G5861" t="s">
        <v>3052</v>
      </c>
      <c r="I5861">
        <v>109</v>
      </c>
      <c r="J5861">
        <v>5202196006</v>
      </c>
      <c r="K5861" t="s">
        <v>8191</v>
      </c>
      <c r="L5861" t="s">
        <v>8192</v>
      </c>
      <c r="M5861" t="s">
        <v>1634</v>
      </c>
    </row>
    <row r="5862" spans="1:13" x14ac:dyDescent="0.25">
      <c r="A5862">
        <v>92320</v>
      </c>
      <c r="B5862" t="s">
        <v>3049</v>
      </c>
      <c r="C5862" t="s">
        <v>14652</v>
      </c>
      <c r="D5862" t="s">
        <v>2596</v>
      </c>
      <c r="E5862" t="s">
        <v>8713</v>
      </c>
      <c r="F5862" t="s">
        <v>3057</v>
      </c>
      <c r="G5862" t="s">
        <v>2969</v>
      </c>
      <c r="H5862">
        <v>4802892088</v>
      </c>
      <c r="K5862" t="s">
        <v>3058</v>
      </c>
      <c r="L5862" t="s">
        <v>3059</v>
      </c>
      <c r="M5862" t="s">
        <v>1634</v>
      </c>
    </row>
    <row r="5863" spans="1:13" x14ac:dyDescent="0.25">
      <c r="A5863">
        <v>92320</v>
      </c>
      <c r="B5863" t="s">
        <v>3049</v>
      </c>
      <c r="C5863" t="s">
        <v>14652</v>
      </c>
      <c r="D5863" t="s">
        <v>2596</v>
      </c>
      <c r="E5863" t="s">
        <v>8713</v>
      </c>
      <c r="F5863" t="s">
        <v>1848</v>
      </c>
      <c r="G5863" t="s">
        <v>3060</v>
      </c>
      <c r="K5863" t="s">
        <v>3061</v>
      </c>
      <c r="L5863" t="s">
        <v>3062</v>
      </c>
      <c r="M5863" t="s">
        <v>1634</v>
      </c>
    </row>
    <row r="5864" spans="1:13" x14ac:dyDescent="0.25">
      <c r="A5864">
        <v>92320</v>
      </c>
      <c r="B5864" t="s">
        <v>3049</v>
      </c>
      <c r="C5864" t="s">
        <v>14652</v>
      </c>
      <c r="D5864" t="s">
        <v>2596</v>
      </c>
      <c r="E5864" t="s">
        <v>8713</v>
      </c>
      <c r="F5864" t="s">
        <v>2261</v>
      </c>
      <c r="G5864" t="s">
        <v>3063</v>
      </c>
      <c r="K5864" t="s">
        <v>3064</v>
      </c>
      <c r="L5864" t="s">
        <v>3065</v>
      </c>
      <c r="M5864" t="s">
        <v>1634</v>
      </c>
    </row>
    <row r="5865" spans="1:13" x14ac:dyDescent="0.25">
      <c r="A5865">
        <v>92321</v>
      </c>
      <c r="B5865" t="s">
        <v>14653</v>
      </c>
      <c r="C5865" t="s">
        <v>14654</v>
      </c>
      <c r="D5865" t="s">
        <v>2605</v>
      </c>
      <c r="E5865" t="s">
        <v>8713</v>
      </c>
    </row>
    <row r="5866" spans="1:13" x14ac:dyDescent="0.25">
      <c r="A5866">
        <v>4499</v>
      </c>
      <c r="B5866" t="s">
        <v>513</v>
      </c>
      <c r="C5866" t="s">
        <v>14655</v>
      </c>
      <c r="D5866" t="s">
        <v>1628</v>
      </c>
      <c r="E5866" t="s">
        <v>496</v>
      </c>
      <c r="F5866" t="s">
        <v>14656</v>
      </c>
      <c r="G5866" t="s">
        <v>4410</v>
      </c>
      <c r="H5866" t="s">
        <v>14657</v>
      </c>
      <c r="K5866" t="s">
        <v>14658</v>
      </c>
      <c r="L5866" t="s">
        <v>14659</v>
      </c>
      <c r="M5866" t="s">
        <v>1634</v>
      </c>
    </row>
    <row r="5867" spans="1:13" x14ac:dyDescent="0.25">
      <c r="A5867">
        <v>4499</v>
      </c>
      <c r="B5867" t="s">
        <v>513</v>
      </c>
      <c r="C5867" t="s">
        <v>14655</v>
      </c>
      <c r="D5867" t="s">
        <v>1628</v>
      </c>
      <c r="E5867" t="s">
        <v>496</v>
      </c>
      <c r="F5867" t="s">
        <v>1962</v>
      </c>
      <c r="G5867" t="s">
        <v>14660</v>
      </c>
      <c r="H5867">
        <v>9285024391</v>
      </c>
      <c r="K5867" t="s">
        <v>14661</v>
      </c>
      <c r="L5867" t="s">
        <v>3157</v>
      </c>
      <c r="M5867" t="s">
        <v>1634</v>
      </c>
    </row>
    <row r="5868" spans="1:13" x14ac:dyDescent="0.25">
      <c r="A5868">
        <v>4499</v>
      </c>
      <c r="B5868" t="s">
        <v>513</v>
      </c>
      <c r="C5868" t="s">
        <v>14655</v>
      </c>
      <c r="D5868" t="s">
        <v>1628</v>
      </c>
      <c r="E5868" t="s">
        <v>496</v>
      </c>
      <c r="F5868" t="s">
        <v>3701</v>
      </c>
      <c r="G5868" t="s">
        <v>14662</v>
      </c>
      <c r="H5868">
        <v>9285024303</v>
      </c>
      <c r="K5868" t="s">
        <v>14663</v>
      </c>
      <c r="L5868" t="s">
        <v>6341</v>
      </c>
      <c r="M5868" t="s">
        <v>1634</v>
      </c>
    </row>
    <row r="5869" spans="1:13" x14ac:dyDescent="0.25">
      <c r="A5869">
        <v>4499</v>
      </c>
      <c r="B5869" t="s">
        <v>513</v>
      </c>
      <c r="C5869" t="s">
        <v>14655</v>
      </c>
      <c r="D5869" t="s">
        <v>1628</v>
      </c>
      <c r="E5869" t="s">
        <v>496</v>
      </c>
      <c r="F5869" t="s">
        <v>2865</v>
      </c>
      <c r="G5869" t="s">
        <v>6006</v>
      </c>
      <c r="H5869">
        <v>9285027751</v>
      </c>
      <c r="K5869" t="s">
        <v>14664</v>
      </c>
      <c r="L5869" t="s">
        <v>14665</v>
      </c>
      <c r="M5869" t="s">
        <v>1634</v>
      </c>
    </row>
    <row r="5870" spans="1:13" x14ac:dyDescent="0.25">
      <c r="A5870">
        <v>4499</v>
      </c>
      <c r="B5870" t="s">
        <v>513</v>
      </c>
      <c r="C5870" t="s">
        <v>14655</v>
      </c>
      <c r="D5870" t="s">
        <v>1628</v>
      </c>
      <c r="E5870" t="s">
        <v>496</v>
      </c>
      <c r="F5870" t="s">
        <v>1723</v>
      </c>
      <c r="G5870" t="s">
        <v>14666</v>
      </c>
      <c r="K5870" t="s">
        <v>14667</v>
      </c>
      <c r="L5870" t="s">
        <v>1668</v>
      </c>
      <c r="M5870" t="s">
        <v>1634</v>
      </c>
    </row>
    <row r="5871" spans="1:13" x14ac:dyDescent="0.25">
      <c r="A5871">
        <v>4499</v>
      </c>
      <c r="B5871" t="s">
        <v>513</v>
      </c>
      <c r="C5871" t="s">
        <v>14655</v>
      </c>
      <c r="D5871" t="s">
        <v>1628</v>
      </c>
      <c r="E5871" t="s">
        <v>496</v>
      </c>
      <c r="F5871" t="s">
        <v>10349</v>
      </c>
      <c r="G5871" t="s">
        <v>14668</v>
      </c>
      <c r="H5871">
        <v>9285024271</v>
      </c>
      <c r="I5871">
        <v>4283</v>
      </c>
      <c r="K5871" t="s">
        <v>14669</v>
      </c>
      <c r="L5871" t="s">
        <v>14659</v>
      </c>
      <c r="M5871" t="s">
        <v>1765</v>
      </c>
    </row>
    <row r="5872" spans="1:13" x14ac:dyDescent="0.25">
      <c r="A5872">
        <v>6147</v>
      </c>
      <c r="B5872" t="s">
        <v>14670</v>
      </c>
      <c r="C5872" t="s">
        <v>14671</v>
      </c>
      <c r="D5872" t="s">
        <v>1643</v>
      </c>
      <c r="E5872" t="s">
        <v>496</v>
      </c>
      <c r="F5872" t="s">
        <v>14672</v>
      </c>
      <c r="G5872" t="s">
        <v>14673</v>
      </c>
      <c r="H5872">
        <v>9287829585</v>
      </c>
      <c r="J5872">
        <v>9287821942</v>
      </c>
      <c r="K5872" t="s">
        <v>14674</v>
      </c>
      <c r="L5872" t="s">
        <v>1647</v>
      </c>
      <c r="M5872" t="s">
        <v>1634</v>
      </c>
    </row>
    <row r="5873" spans="1:13" x14ac:dyDescent="0.25">
      <c r="A5873">
        <v>6148</v>
      </c>
      <c r="B5873" t="s">
        <v>516</v>
      </c>
      <c r="C5873" t="s">
        <v>14675</v>
      </c>
      <c r="D5873" t="s">
        <v>1643</v>
      </c>
      <c r="E5873" t="s">
        <v>496</v>
      </c>
      <c r="F5873" t="s">
        <v>3879</v>
      </c>
      <c r="G5873" t="s">
        <v>14676</v>
      </c>
      <c r="H5873">
        <v>9285027600</v>
      </c>
      <c r="J5873">
        <v>9287824094</v>
      </c>
      <c r="K5873" t="s">
        <v>14677</v>
      </c>
      <c r="M5873" t="s">
        <v>1634</v>
      </c>
    </row>
    <row r="5874" spans="1:13" x14ac:dyDescent="0.25">
      <c r="A5874">
        <v>6149</v>
      </c>
      <c r="B5874" t="s">
        <v>1509</v>
      </c>
      <c r="C5874" t="s">
        <v>14678</v>
      </c>
      <c r="D5874" t="s">
        <v>1643</v>
      </c>
      <c r="E5874" t="s">
        <v>496</v>
      </c>
      <c r="F5874" t="s">
        <v>14679</v>
      </c>
      <c r="G5874" t="s">
        <v>2506</v>
      </c>
      <c r="H5874">
        <v>9285027700</v>
      </c>
      <c r="K5874" t="s">
        <v>14680</v>
      </c>
      <c r="L5874" t="s">
        <v>1647</v>
      </c>
      <c r="M5874" t="s">
        <v>1634</v>
      </c>
    </row>
    <row r="5875" spans="1:13" x14ac:dyDescent="0.25">
      <c r="A5875">
        <v>6150</v>
      </c>
      <c r="B5875" t="s">
        <v>14681</v>
      </c>
      <c r="C5875" t="s">
        <v>14682</v>
      </c>
      <c r="D5875" t="s">
        <v>1643</v>
      </c>
      <c r="E5875" t="s">
        <v>496</v>
      </c>
      <c r="F5875" t="s">
        <v>2085</v>
      </c>
      <c r="G5875" t="s">
        <v>14683</v>
      </c>
      <c r="K5875" t="s">
        <v>14684</v>
      </c>
      <c r="M5875" t="s">
        <v>1634</v>
      </c>
    </row>
    <row r="5876" spans="1:13" x14ac:dyDescent="0.25">
      <c r="A5876">
        <v>6152</v>
      </c>
      <c r="B5876" t="s">
        <v>14685</v>
      </c>
      <c r="C5876" t="s">
        <v>14686</v>
      </c>
      <c r="D5876" t="s">
        <v>1643</v>
      </c>
      <c r="E5876" t="s">
        <v>496</v>
      </c>
      <c r="F5876" t="s">
        <v>2142</v>
      </c>
      <c r="G5876" t="s">
        <v>14048</v>
      </c>
      <c r="M5876" t="s">
        <v>1634</v>
      </c>
    </row>
    <row r="5877" spans="1:13" x14ac:dyDescent="0.25">
      <c r="A5877">
        <v>6152</v>
      </c>
      <c r="B5877" t="s">
        <v>14685</v>
      </c>
      <c r="C5877" t="s">
        <v>14686</v>
      </c>
      <c r="D5877" t="s">
        <v>1643</v>
      </c>
      <c r="E5877" t="s">
        <v>496</v>
      </c>
      <c r="F5877" t="s">
        <v>3855</v>
      </c>
      <c r="G5877" t="s">
        <v>14687</v>
      </c>
      <c r="M5877" t="s">
        <v>1634</v>
      </c>
    </row>
    <row r="5878" spans="1:13" x14ac:dyDescent="0.25">
      <c r="A5878">
        <v>6152</v>
      </c>
      <c r="B5878" t="s">
        <v>14685</v>
      </c>
      <c r="C5878" t="s">
        <v>14686</v>
      </c>
      <c r="D5878" t="s">
        <v>1643</v>
      </c>
      <c r="E5878" t="s">
        <v>496</v>
      </c>
      <c r="F5878" t="s">
        <v>2189</v>
      </c>
      <c r="G5878" t="s">
        <v>14688</v>
      </c>
      <c r="H5878">
        <v>9285027820</v>
      </c>
      <c r="K5878" t="s">
        <v>14689</v>
      </c>
      <c r="L5878" t="s">
        <v>1647</v>
      </c>
      <c r="M5878" t="s">
        <v>1634</v>
      </c>
    </row>
    <row r="5879" spans="1:13" x14ac:dyDescent="0.25">
      <c r="A5879">
        <v>6153</v>
      </c>
      <c r="B5879" t="s">
        <v>14690</v>
      </c>
      <c r="C5879" t="s">
        <v>14691</v>
      </c>
      <c r="D5879" t="s">
        <v>1643</v>
      </c>
      <c r="E5879" t="s">
        <v>496</v>
      </c>
      <c r="F5879" t="s">
        <v>2734</v>
      </c>
      <c r="G5879" t="s">
        <v>14692</v>
      </c>
      <c r="H5879">
        <v>9285028000</v>
      </c>
      <c r="J5879">
        <v>9283140685</v>
      </c>
      <c r="K5879" t="s">
        <v>14693</v>
      </c>
      <c r="L5879" t="s">
        <v>1647</v>
      </c>
      <c r="M5879" t="s">
        <v>1634</v>
      </c>
    </row>
    <row r="5880" spans="1:13" x14ac:dyDescent="0.25">
      <c r="A5880">
        <v>6153</v>
      </c>
      <c r="B5880" t="s">
        <v>14690</v>
      </c>
      <c r="C5880" t="s">
        <v>14691</v>
      </c>
      <c r="D5880" t="s">
        <v>1643</v>
      </c>
      <c r="E5880" t="s">
        <v>496</v>
      </c>
      <c r="F5880" t="s">
        <v>14694</v>
      </c>
      <c r="G5880" t="s">
        <v>14695</v>
      </c>
      <c r="L5880" t="s">
        <v>9269</v>
      </c>
      <c r="M5880" t="s">
        <v>1634</v>
      </c>
    </row>
    <row r="5881" spans="1:13" x14ac:dyDescent="0.25">
      <c r="A5881">
        <v>6154</v>
      </c>
      <c r="B5881" t="s">
        <v>514</v>
      </c>
      <c r="C5881" t="s">
        <v>14696</v>
      </c>
      <c r="D5881" t="s">
        <v>1643</v>
      </c>
      <c r="E5881" t="s">
        <v>496</v>
      </c>
      <c r="F5881" t="s">
        <v>4924</v>
      </c>
      <c r="G5881" t="s">
        <v>13939</v>
      </c>
      <c r="H5881">
        <v>9285028050</v>
      </c>
      <c r="K5881" t="s">
        <v>14697</v>
      </c>
      <c r="L5881" t="s">
        <v>1647</v>
      </c>
      <c r="M5881" t="s">
        <v>1634</v>
      </c>
    </row>
    <row r="5882" spans="1:13" x14ac:dyDescent="0.25">
      <c r="A5882">
        <v>6154</v>
      </c>
      <c r="B5882" t="s">
        <v>514</v>
      </c>
      <c r="C5882" t="s">
        <v>14696</v>
      </c>
      <c r="D5882" t="s">
        <v>1643</v>
      </c>
      <c r="E5882" t="s">
        <v>496</v>
      </c>
      <c r="F5882" t="s">
        <v>9431</v>
      </c>
      <c r="G5882" t="s">
        <v>14698</v>
      </c>
      <c r="H5882">
        <v>9285028053</v>
      </c>
      <c r="K5882" t="s">
        <v>14699</v>
      </c>
      <c r="L5882" t="s">
        <v>1647</v>
      </c>
      <c r="M5882" t="s">
        <v>1634</v>
      </c>
    </row>
    <row r="5883" spans="1:13" x14ac:dyDescent="0.25">
      <c r="A5883">
        <v>6155</v>
      </c>
      <c r="B5883" t="s">
        <v>518</v>
      </c>
      <c r="C5883" t="s">
        <v>14700</v>
      </c>
      <c r="D5883" t="s">
        <v>1643</v>
      </c>
      <c r="E5883" t="s">
        <v>496</v>
      </c>
      <c r="F5883" t="s">
        <v>2896</v>
      </c>
      <c r="G5883" t="s">
        <v>6075</v>
      </c>
      <c r="H5883">
        <v>9285028150</v>
      </c>
      <c r="J5883">
        <v>9285028228</v>
      </c>
      <c r="K5883" t="s">
        <v>14701</v>
      </c>
      <c r="L5883" t="s">
        <v>1647</v>
      </c>
      <c r="M5883" t="s">
        <v>1634</v>
      </c>
    </row>
    <row r="5884" spans="1:13" x14ac:dyDescent="0.25">
      <c r="A5884">
        <v>6156</v>
      </c>
      <c r="B5884" t="s">
        <v>14702</v>
      </c>
      <c r="C5884" t="s">
        <v>14703</v>
      </c>
      <c r="D5884" t="s">
        <v>1643</v>
      </c>
      <c r="E5884" t="s">
        <v>496</v>
      </c>
      <c r="F5884" t="s">
        <v>2082</v>
      </c>
      <c r="G5884" t="s">
        <v>6723</v>
      </c>
      <c r="K5884" t="s">
        <v>14704</v>
      </c>
      <c r="L5884" t="s">
        <v>2476</v>
      </c>
      <c r="M5884" t="s">
        <v>1634</v>
      </c>
    </row>
    <row r="5885" spans="1:13" x14ac:dyDescent="0.25">
      <c r="A5885">
        <v>6156</v>
      </c>
      <c r="B5885" t="s">
        <v>14702</v>
      </c>
      <c r="C5885" t="s">
        <v>14703</v>
      </c>
      <c r="D5885" t="s">
        <v>1643</v>
      </c>
      <c r="E5885" t="s">
        <v>496</v>
      </c>
      <c r="F5885" t="s">
        <v>14705</v>
      </c>
      <c r="G5885" t="s">
        <v>14706</v>
      </c>
      <c r="H5885">
        <v>9285028232</v>
      </c>
      <c r="K5885" t="s">
        <v>14707</v>
      </c>
      <c r="L5885" t="s">
        <v>1647</v>
      </c>
      <c r="M5885" t="s">
        <v>1634</v>
      </c>
    </row>
    <row r="5886" spans="1:13" x14ac:dyDescent="0.25">
      <c r="A5886">
        <v>6158</v>
      </c>
      <c r="B5886" t="s">
        <v>14708</v>
      </c>
      <c r="C5886" t="s">
        <v>14709</v>
      </c>
      <c r="D5886" t="s">
        <v>1643</v>
      </c>
      <c r="E5886" t="s">
        <v>496</v>
      </c>
      <c r="F5886" t="s">
        <v>2204</v>
      </c>
      <c r="G5886" t="s">
        <v>14710</v>
      </c>
      <c r="K5886" t="s">
        <v>14711</v>
      </c>
      <c r="M5886" t="s">
        <v>1634</v>
      </c>
    </row>
    <row r="5887" spans="1:13" x14ac:dyDescent="0.25">
      <c r="A5887">
        <v>6159</v>
      </c>
      <c r="B5887" t="s">
        <v>14712</v>
      </c>
      <c r="C5887" t="s">
        <v>14713</v>
      </c>
      <c r="D5887" t="s">
        <v>1643</v>
      </c>
      <c r="E5887" t="s">
        <v>496</v>
      </c>
      <c r="F5887" t="s">
        <v>14714</v>
      </c>
      <c r="G5887" t="s">
        <v>14715</v>
      </c>
      <c r="H5887">
        <v>9283419700</v>
      </c>
      <c r="J5887">
        <v>9283419800</v>
      </c>
      <c r="K5887" t="s">
        <v>14716</v>
      </c>
      <c r="L5887" t="s">
        <v>1647</v>
      </c>
      <c r="M5887" t="s">
        <v>1634</v>
      </c>
    </row>
    <row r="5888" spans="1:13" x14ac:dyDescent="0.25">
      <c r="A5888">
        <v>6159</v>
      </c>
      <c r="B5888" t="s">
        <v>14712</v>
      </c>
      <c r="C5888" t="s">
        <v>14713</v>
      </c>
      <c r="D5888" t="s">
        <v>1643</v>
      </c>
      <c r="E5888" t="s">
        <v>496</v>
      </c>
      <c r="F5888" t="s">
        <v>2192</v>
      </c>
      <c r="G5888" t="s">
        <v>14717</v>
      </c>
      <c r="H5888">
        <v>9285028601</v>
      </c>
      <c r="K5888" t="s">
        <v>14718</v>
      </c>
      <c r="L5888" t="s">
        <v>1647</v>
      </c>
      <c r="M5888" t="s">
        <v>1634</v>
      </c>
    </row>
    <row r="5889" spans="1:13" x14ac:dyDescent="0.25">
      <c r="A5889">
        <v>87622</v>
      </c>
      <c r="B5889" t="s">
        <v>5466</v>
      </c>
      <c r="C5889" t="s">
        <v>14719</v>
      </c>
      <c r="D5889" t="s">
        <v>1643</v>
      </c>
      <c r="E5889" t="s">
        <v>496</v>
      </c>
      <c r="F5889" t="s">
        <v>1820</v>
      </c>
      <c r="G5889" t="s">
        <v>14720</v>
      </c>
      <c r="K5889" t="s">
        <v>14721</v>
      </c>
      <c r="M5889" t="s">
        <v>1634</v>
      </c>
    </row>
    <row r="5890" spans="1:13" x14ac:dyDescent="0.25">
      <c r="A5890">
        <v>1000268</v>
      </c>
      <c r="B5890" t="s">
        <v>14722</v>
      </c>
      <c r="C5890" t="s">
        <v>14723</v>
      </c>
      <c r="D5890" t="s">
        <v>1643</v>
      </c>
      <c r="E5890" t="s">
        <v>496</v>
      </c>
    </row>
    <row r="5891" spans="1:13" x14ac:dyDescent="0.25">
      <c r="A5891">
        <v>6160</v>
      </c>
      <c r="B5891" t="s">
        <v>1459</v>
      </c>
      <c r="C5891" t="s">
        <v>14724</v>
      </c>
      <c r="D5891" t="s">
        <v>1643</v>
      </c>
      <c r="E5891" t="s">
        <v>496</v>
      </c>
      <c r="F5891" t="s">
        <v>2632</v>
      </c>
      <c r="G5891" t="s">
        <v>14725</v>
      </c>
      <c r="H5891">
        <v>9285027002</v>
      </c>
      <c r="K5891" t="s">
        <v>14726</v>
      </c>
      <c r="L5891" t="s">
        <v>1647</v>
      </c>
      <c r="M5891" t="s">
        <v>1634</v>
      </c>
    </row>
    <row r="5892" spans="1:13" x14ac:dyDescent="0.25">
      <c r="A5892">
        <v>6161</v>
      </c>
      <c r="B5892" t="s">
        <v>14727</v>
      </c>
      <c r="C5892" t="s">
        <v>14728</v>
      </c>
      <c r="D5892" t="s">
        <v>1643</v>
      </c>
      <c r="E5892" t="s">
        <v>496</v>
      </c>
      <c r="F5892" t="s">
        <v>14729</v>
      </c>
      <c r="G5892" t="s">
        <v>14730</v>
      </c>
      <c r="H5892">
        <v>9287825174</v>
      </c>
      <c r="J5892">
        <v>9287821483</v>
      </c>
      <c r="K5892" t="s">
        <v>14731</v>
      </c>
      <c r="M5892" t="s">
        <v>1634</v>
      </c>
    </row>
    <row r="5893" spans="1:13" x14ac:dyDescent="0.25">
      <c r="A5893">
        <v>6161</v>
      </c>
      <c r="B5893" t="s">
        <v>14727</v>
      </c>
      <c r="C5893" t="s">
        <v>14728</v>
      </c>
      <c r="D5893" t="s">
        <v>1643</v>
      </c>
      <c r="E5893" t="s">
        <v>496</v>
      </c>
      <c r="F5893" t="s">
        <v>14732</v>
      </c>
      <c r="G5893" t="s">
        <v>3336</v>
      </c>
      <c r="K5893" t="s">
        <v>14733</v>
      </c>
      <c r="L5893" t="s">
        <v>1647</v>
      </c>
      <c r="M5893" t="s">
        <v>1634</v>
      </c>
    </row>
    <row r="5894" spans="1:13" x14ac:dyDescent="0.25">
      <c r="A5894">
        <v>6162</v>
      </c>
      <c r="B5894" t="s">
        <v>14734</v>
      </c>
      <c r="C5894" t="s">
        <v>14735</v>
      </c>
      <c r="D5894" t="s">
        <v>1643</v>
      </c>
      <c r="E5894" t="s">
        <v>496</v>
      </c>
      <c r="F5894" t="s">
        <v>2253</v>
      </c>
      <c r="G5894" t="s">
        <v>14736</v>
      </c>
      <c r="H5894">
        <v>9285027408</v>
      </c>
      <c r="K5894" t="s">
        <v>14737</v>
      </c>
      <c r="L5894" t="s">
        <v>1647</v>
      </c>
      <c r="M5894" t="s">
        <v>1634</v>
      </c>
    </row>
    <row r="5895" spans="1:13" x14ac:dyDescent="0.25">
      <c r="A5895">
        <v>6162</v>
      </c>
      <c r="B5895" t="s">
        <v>14734</v>
      </c>
      <c r="C5895" t="s">
        <v>14735</v>
      </c>
      <c r="D5895" t="s">
        <v>1643</v>
      </c>
      <c r="E5895" t="s">
        <v>496</v>
      </c>
      <c r="F5895" t="s">
        <v>7018</v>
      </c>
      <c r="G5895" t="s">
        <v>14738</v>
      </c>
      <c r="L5895" t="s">
        <v>2879</v>
      </c>
      <c r="M5895" t="s">
        <v>1634</v>
      </c>
    </row>
    <row r="5896" spans="1:13" x14ac:dyDescent="0.25">
      <c r="A5896">
        <v>6163</v>
      </c>
      <c r="B5896" t="s">
        <v>14739</v>
      </c>
      <c r="C5896" t="s">
        <v>14740</v>
      </c>
      <c r="D5896" t="s">
        <v>1643</v>
      </c>
      <c r="E5896" t="s">
        <v>496</v>
      </c>
      <c r="F5896" t="s">
        <v>1935</v>
      </c>
      <c r="G5896" t="s">
        <v>14741</v>
      </c>
      <c r="K5896" t="s">
        <v>14742</v>
      </c>
      <c r="L5896" t="s">
        <v>1738</v>
      </c>
      <c r="M5896" t="s">
        <v>1634</v>
      </c>
    </row>
    <row r="5897" spans="1:13" x14ac:dyDescent="0.25">
      <c r="A5897">
        <v>6163</v>
      </c>
      <c r="B5897" t="s">
        <v>14739</v>
      </c>
      <c r="C5897" t="s">
        <v>14740</v>
      </c>
      <c r="D5897" t="s">
        <v>1643</v>
      </c>
      <c r="E5897" t="s">
        <v>496</v>
      </c>
      <c r="F5897" t="s">
        <v>11401</v>
      </c>
      <c r="G5897" t="s">
        <v>7081</v>
      </c>
      <c r="L5897" t="s">
        <v>5067</v>
      </c>
      <c r="M5897" t="s">
        <v>1634</v>
      </c>
    </row>
    <row r="5898" spans="1:13" x14ac:dyDescent="0.25">
      <c r="A5898">
        <v>85840</v>
      </c>
      <c r="B5898" t="s">
        <v>14743</v>
      </c>
      <c r="C5898" t="s">
        <v>14744</v>
      </c>
      <c r="D5898" t="s">
        <v>1643</v>
      </c>
      <c r="E5898" t="s">
        <v>496</v>
      </c>
      <c r="F5898" t="s">
        <v>1732</v>
      </c>
      <c r="G5898" t="s">
        <v>5860</v>
      </c>
      <c r="H5898">
        <v>9285027400</v>
      </c>
      <c r="J5898">
        <v>9285027403</v>
      </c>
      <c r="K5898" t="s">
        <v>14745</v>
      </c>
      <c r="L5898" t="s">
        <v>1647</v>
      </c>
      <c r="M5898" t="s">
        <v>1634</v>
      </c>
    </row>
    <row r="5899" spans="1:13" x14ac:dyDescent="0.25">
      <c r="A5899">
        <v>85840</v>
      </c>
      <c r="B5899" t="s">
        <v>14743</v>
      </c>
      <c r="C5899" t="s">
        <v>14744</v>
      </c>
      <c r="D5899" t="s">
        <v>1643</v>
      </c>
      <c r="E5899" t="s">
        <v>496</v>
      </c>
      <c r="F5899" t="s">
        <v>2253</v>
      </c>
      <c r="G5899" t="s">
        <v>14736</v>
      </c>
      <c r="H5899">
        <v>9285027408</v>
      </c>
      <c r="K5899" t="s">
        <v>14737</v>
      </c>
      <c r="M5899" t="s">
        <v>1634</v>
      </c>
    </row>
    <row r="5900" spans="1:13" x14ac:dyDescent="0.25">
      <c r="A5900">
        <v>92641</v>
      </c>
      <c r="B5900" t="s">
        <v>14746</v>
      </c>
      <c r="C5900" t="s">
        <v>14747</v>
      </c>
      <c r="D5900" t="s">
        <v>1643</v>
      </c>
      <c r="E5900" t="s">
        <v>496</v>
      </c>
    </row>
    <row r="5901" spans="1:13" x14ac:dyDescent="0.25">
      <c r="A5901">
        <v>4500</v>
      </c>
      <c r="B5901" t="s">
        <v>14748</v>
      </c>
      <c r="C5901" t="s">
        <v>14749</v>
      </c>
      <c r="D5901" t="s">
        <v>1628</v>
      </c>
      <c r="E5901" t="s">
        <v>496</v>
      </c>
      <c r="F5901" t="s">
        <v>2307</v>
      </c>
      <c r="G5901" t="s">
        <v>14750</v>
      </c>
      <c r="H5901">
        <v>9283416012</v>
      </c>
      <c r="K5901" t="s">
        <v>14751</v>
      </c>
      <c r="L5901" t="s">
        <v>1640</v>
      </c>
      <c r="M5901" t="s">
        <v>1640</v>
      </c>
    </row>
    <row r="5902" spans="1:13" x14ac:dyDescent="0.25">
      <c r="A5902">
        <v>6164</v>
      </c>
      <c r="B5902" t="s">
        <v>14752</v>
      </c>
      <c r="C5902" t="s">
        <v>14753</v>
      </c>
      <c r="D5902" t="s">
        <v>1643</v>
      </c>
      <c r="E5902" t="s">
        <v>496</v>
      </c>
      <c r="F5902" t="s">
        <v>2632</v>
      </c>
      <c r="G5902" t="s">
        <v>3399</v>
      </c>
      <c r="H5902">
        <v>9283416100</v>
      </c>
      <c r="K5902" t="s">
        <v>14754</v>
      </c>
      <c r="L5902" t="s">
        <v>1647</v>
      </c>
      <c r="M5902" t="s">
        <v>1634</v>
      </c>
    </row>
    <row r="5903" spans="1:13" x14ac:dyDescent="0.25">
      <c r="A5903">
        <v>6165</v>
      </c>
      <c r="B5903" t="s">
        <v>14755</v>
      </c>
      <c r="C5903" t="s">
        <v>14756</v>
      </c>
      <c r="D5903" t="s">
        <v>1643</v>
      </c>
      <c r="E5903" t="s">
        <v>496</v>
      </c>
      <c r="F5903" t="s">
        <v>1750</v>
      </c>
      <c r="G5903" t="s">
        <v>14757</v>
      </c>
      <c r="H5903">
        <v>9283416200</v>
      </c>
      <c r="K5903" t="s">
        <v>14758</v>
      </c>
      <c r="L5903" t="s">
        <v>1647</v>
      </c>
      <c r="M5903" t="s">
        <v>1634</v>
      </c>
    </row>
    <row r="5904" spans="1:13" x14ac:dyDescent="0.25">
      <c r="A5904">
        <v>6166</v>
      </c>
      <c r="B5904" t="s">
        <v>14759</v>
      </c>
      <c r="C5904" t="s">
        <v>14760</v>
      </c>
      <c r="D5904" t="s">
        <v>1643</v>
      </c>
      <c r="E5904" t="s">
        <v>496</v>
      </c>
      <c r="F5904" t="s">
        <v>6078</v>
      </c>
      <c r="G5904" t="s">
        <v>14761</v>
      </c>
      <c r="H5904">
        <v>9283416300</v>
      </c>
      <c r="K5904" t="s">
        <v>14762</v>
      </c>
      <c r="L5904" t="s">
        <v>1647</v>
      </c>
      <c r="M5904" t="s">
        <v>1634</v>
      </c>
    </row>
    <row r="5905" spans="1:13" x14ac:dyDescent="0.25">
      <c r="A5905">
        <v>6167</v>
      </c>
      <c r="B5905" t="s">
        <v>14763</v>
      </c>
      <c r="C5905" t="s">
        <v>14764</v>
      </c>
      <c r="D5905" t="s">
        <v>1643</v>
      </c>
      <c r="E5905" t="s">
        <v>496</v>
      </c>
      <c r="F5905" t="s">
        <v>14765</v>
      </c>
      <c r="G5905" t="s">
        <v>12870</v>
      </c>
      <c r="H5905">
        <v>9283416400</v>
      </c>
      <c r="K5905" t="s">
        <v>14766</v>
      </c>
      <c r="L5905" t="s">
        <v>1738</v>
      </c>
      <c r="M5905" t="s">
        <v>1634</v>
      </c>
    </row>
    <row r="5906" spans="1:13" x14ac:dyDescent="0.25">
      <c r="A5906">
        <v>87330</v>
      </c>
      <c r="B5906" t="s">
        <v>14767</v>
      </c>
      <c r="C5906" t="s">
        <v>14768</v>
      </c>
      <c r="D5906" t="s">
        <v>1643</v>
      </c>
      <c r="E5906" t="s">
        <v>496</v>
      </c>
      <c r="F5906" t="s">
        <v>14769</v>
      </c>
      <c r="G5906" t="s">
        <v>6263</v>
      </c>
      <c r="H5906">
        <v>9283416705</v>
      </c>
      <c r="K5906" t="s">
        <v>14770</v>
      </c>
      <c r="L5906" t="s">
        <v>1647</v>
      </c>
      <c r="M5906" t="s">
        <v>1634</v>
      </c>
    </row>
    <row r="5907" spans="1:13" x14ac:dyDescent="0.25">
      <c r="A5907">
        <v>4501</v>
      </c>
      <c r="B5907" t="s">
        <v>509</v>
      </c>
      <c r="C5907" t="s">
        <v>14771</v>
      </c>
      <c r="D5907" t="s">
        <v>1628</v>
      </c>
      <c r="E5907" t="s">
        <v>496</v>
      </c>
      <c r="F5907" t="s">
        <v>1779</v>
      </c>
      <c r="G5907" t="s">
        <v>14772</v>
      </c>
      <c r="K5907" t="s">
        <v>14773</v>
      </c>
      <c r="L5907" t="s">
        <v>2358</v>
      </c>
      <c r="M5907" t="s">
        <v>1634</v>
      </c>
    </row>
    <row r="5908" spans="1:13" x14ac:dyDescent="0.25">
      <c r="A5908">
        <v>4501</v>
      </c>
      <c r="B5908" t="s">
        <v>509</v>
      </c>
      <c r="C5908" t="s">
        <v>14771</v>
      </c>
      <c r="D5908" t="s">
        <v>1628</v>
      </c>
      <c r="E5908" t="s">
        <v>496</v>
      </c>
      <c r="F5908" t="s">
        <v>2556</v>
      </c>
      <c r="G5908" t="s">
        <v>1992</v>
      </c>
      <c r="J5908">
        <v>9287826831</v>
      </c>
      <c r="K5908" t="s">
        <v>14774</v>
      </c>
      <c r="L5908" t="s">
        <v>2358</v>
      </c>
      <c r="M5908" t="s">
        <v>1640</v>
      </c>
    </row>
    <row r="5909" spans="1:13" x14ac:dyDescent="0.25">
      <c r="A5909">
        <v>6168</v>
      </c>
      <c r="B5909" t="s">
        <v>4534</v>
      </c>
      <c r="C5909" t="s">
        <v>14775</v>
      </c>
      <c r="D5909" t="s">
        <v>1643</v>
      </c>
      <c r="E5909" t="s">
        <v>496</v>
      </c>
      <c r="F5909" t="s">
        <v>5137</v>
      </c>
      <c r="G5909" t="s">
        <v>4341</v>
      </c>
      <c r="H5909">
        <v>9283733601</v>
      </c>
      <c r="K5909" t="s">
        <v>14776</v>
      </c>
      <c r="L5909" t="s">
        <v>1647</v>
      </c>
      <c r="M5909" t="s">
        <v>1634</v>
      </c>
    </row>
    <row r="5910" spans="1:13" x14ac:dyDescent="0.25">
      <c r="A5910">
        <v>6168</v>
      </c>
      <c r="B5910" t="s">
        <v>4534</v>
      </c>
      <c r="C5910" t="s">
        <v>14775</v>
      </c>
      <c r="D5910" t="s">
        <v>1643</v>
      </c>
      <c r="E5910" t="s">
        <v>496</v>
      </c>
      <c r="F5910" t="s">
        <v>3673</v>
      </c>
      <c r="G5910" t="s">
        <v>14777</v>
      </c>
      <c r="M5910" t="s">
        <v>1634</v>
      </c>
    </row>
    <row r="5911" spans="1:13" x14ac:dyDescent="0.25">
      <c r="A5911">
        <v>6172</v>
      </c>
      <c r="B5911" t="s">
        <v>14778</v>
      </c>
      <c r="C5911" t="s">
        <v>14779</v>
      </c>
      <c r="D5911" t="s">
        <v>1643</v>
      </c>
      <c r="E5911" t="s">
        <v>496</v>
      </c>
      <c r="F5911" t="s">
        <v>2240</v>
      </c>
      <c r="G5911" t="s">
        <v>14780</v>
      </c>
      <c r="K5911" t="s">
        <v>14781</v>
      </c>
      <c r="L5911" t="s">
        <v>1721</v>
      </c>
      <c r="M5911" t="s">
        <v>1634</v>
      </c>
    </row>
    <row r="5912" spans="1:13" x14ac:dyDescent="0.25">
      <c r="A5912">
        <v>6173</v>
      </c>
      <c r="B5912" t="s">
        <v>14782</v>
      </c>
      <c r="C5912" t="s">
        <v>14783</v>
      </c>
      <c r="D5912" t="s">
        <v>1643</v>
      </c>
      <c r="E5912" t="s">
        <v>496</v>
      </c>
      <c r="F5912" t="s">
        <v>2142</v>
      </c>
      <c r="G5912" t="s">
        <v>4946</v>
      </c>
      <c r="H5912">
        <v>9283733701</v>
      </c>
      <c r="J5912">
        <v>9287832635</v>
      </c>
      <c r="K5912" t="s">
        <v>14784</v>
      </c>
      <c r="L5912" t="s">
        <v>1647</v>
      </c>
      <c r="M5912" t="s">
        <v>1634</v>
      </c>
    </row>
    <row r="5913" spans="1:13" x14ac:dyDescent="0.25">
      <c r="A5913">
        <v>6173</v>
      </c>
      <c r="B5913" t="s">
        <v>14782</v>
      </c>
      <c r="C5913" t="s">
        <v>14783</v>
      </c>
      <c r="D5913" t="s">
        <v>1643</v>
      </c>
      <c r="E5913" t="s">
        <v>496</v>
      </c>
      <c r="F5913" t="s">
        <v>3673</v>
      </c>
      <c r="G5913" t="s">
        <v>14777</v>
      </c>
      <c r="M5913" t="s">
        <v>1634</v>
      </c>
    </row>
    <row r="5914" spans="1:13" x14ac:dyDescent="0.25">
      <c r="A5914">
        <v>6174</v>
      </c>
      <c r="B5914" t="s">
        <v>14785</v>
      </c>
      <c r="C5914" t="s">
        <v>14786</v>
      </c>
      <c r="D5914" t="s">
        <v>1643</v>
      </c>
      <c r="E5914" t="s">
        <v>496</v>
      </c>
      <c r="F5914" t="s">
        <v>12248</v>
      </c>
      <c r="G5914" t="s">
        <v>14787</v>
      </c>
      <c r="L5914" t="s">
        <v>1647</v>
      </c>
      <c r="M5914" t="s">
        <v>1634</v>
      </c>
    </row>
    <row r="5915" spans="1:13" x14ac:dyDescent="0.25">
      <c r="A5915">
        <v>6174</v>
      </c>
      <c r="B5915" t="s">
        <v>14785</v>
      </c>
      <c r="C5915" t="s">
        <v>14786</v>
      </c>
      <c r="D5915" t="s">
        <v>1643</v>
      </c>
      <c r="E5915" t="s">
        <v>496</v>
      </c>
      <c r="F5915" t="s">
        <v>3673</v>
      </c>
      <c r="G5915" t="s">
        <v>14777</v>
      </c>
      <c r="M5915" t="s">
        <v>1634</v>
      </c>
    </row>
    <row r="5916" spans="1:13" x14ac:dyDescent="0.25">
      <c r="A5916">
        <v>6175</v>
      </c>
      <c r="B5916" t="s">
        <v>14788</v>
      </c>
      <c r="C5916" t="s">
        <v>14789</v>
      </c>
      <c r="D5916" t="s">
        <v>1643</v>
      </c>
      <c r="E5916" t="s">
        <v>496</v>
      </c>
      <c r="F5916" t="s">
        <v>1775</v>
      </c>
      <c r="G5916" t="s">
        <v>2444</v>
      </c>
      <c r="H5916">
        <v>9283734002</v>
      </c>
      <c r="J5916">
        <v>9283290504</v>
      </c>
      <c r="K5916" t="s">
        <v>14790</v>
      </c>
      <c r="L5916" t="s">
        <v>1647</v>
      </c>
      <c r="M5916" t="s">
        <v>1634</v>
      </c>
    </row>
    <row r="5917" spans="1:13" x14ac:dyDescent="0.25">
      <c r="A5917">
        <v>6175</v>
      </c>
      <c r="B5917" t="s">
        <v>14788</v>
      </c>
      <c r="C5917" t="s">
        <v>14789</v>
      </c>
      <c r="D5917" t="s">
        <v>1643</v>
      </c>
      <c r="E5917" t="s">
        <v>496</v>
      </c>
      <c r="F5917" t="s">
        <v>3673</v>
      </c>
      <c r="G5917" t="s">
        <v>14777</v>
      </c>
      <c r="M5917" t="s">
        <v>1634</v>
      </c>
    </row>
    <row r="5918" spans="1:13" x14ac:dyDescent="0.25">
      <c r="A5918">
        <v>6175</v>
      </c>
      <c r="B5918" t="s">
        <v>14788</v>
      </c>
      <c r="C5918" t="s">
        <v>14789</v>
      </c>
      <c r="D5918" t="s">
        <v>1643</v>
      </c>
      <c r="E5918" t="s">
        <v>496</v>
      </c>
      <c r="F5918" t="s">
        <v>3040</v>
      </c>
      <c r="G5918" t="s">
        <v>14791</v>
      </c>
      <c r="H5918">
        <v>9283734002</v>
      </c>
      <c r="K5918" t="s">
        <v>14792</v>
      </c>
      <c r="L5918" t="s">
        <v>9269</v>
      </c>
      <c r="M5918" t="s">
        <v>1640</v>
      </c>
    </row>
    <row r="5919" spans="1:13" x14ac:dyDescent="0.25">
      <c r="A5919">
        <v>78935</v>
      </c>
      <c r="B5919" t="s">
        <v>14793</v>
      </c>
      <c r="C5919" t="s">
        <v>14794</v>
      </c>
      <c r="D5919" t="s">
        <v>1643</v>
      </c>
      <c r="E5919" t="s">
        <v>496</v>
      </c>
      <c r="F5919" t="s">
        <v>1865</v>
      </c>
      <c r="G5919" t="s">
        <v>14795</v>
      </c>
      <c r="K5919" t="s">
        <v>14796</v>
      </c>
      <c r="L5919" t="s">
        <v>1647</v>
      </c>
      <c r="M5919" t="s">
        <v>1634</v>
      </c>
    </row>
    <row r="5920" spans="1:13" x14ac:dyDescent="0.25">
      <c r="A5920">
        <v>78935</v>
      </c>
      <c r="B5920" t="s">
        <v>14793</v>
      </c>
      <c r="C5920" t="s">
        <v>14794</v>
      </c>
      <c r="D5920" t="s">
        <v>1643</v>
      </c>
      <c r="E5920" t="s">
        <v>496</v>
      </c>
      <c r="F5920" t="s">
        <v>3673</v>
      </c>
      <c r="G5920" t="s">
        <v>14777</v>
      </c>
      <c r="M5920" t="s">
        <v>1634</v>
      </c>
    </row>
    <row r="5921" spans="1:13" x14ac:dyDescent="0.25">
      <c r="A5921">
        <v>85833</v>
      </c>
      <c r="B5921" t="s">
        <v>14797</v>
      </c>
      <c r="C5921" t="s">
        <v>14798</v>
      </c>
      <c r="D5921" t="s">
        <v>1643</v>
      </c>
      <c r="E5921" t="s">
        <v>496</v>
      </c>
      <c r="F5921" t="s">
        <v>2156</v>
      </c>
      <c r="G5921" t="s">
        <v>14799</v>
      </c>
      <c r="K5921" t="s">
        <v>14800</v>
      </c>
      <c r="L5921" t="s">
        <v>1647</v>
      </c>
      <c r="M5921" t="s">
        <v>1634</v>
      </c>
    </row>
    <row r="5922" spans="1:13" x14ac:dyDescent="0.25">
      <c r="A5922">
        <v>85833</v>
      </c>
      <c r="B5922" t="s">
        <v>14797</v>
      </c>
      <c r="C5922" t="s">
        <v>14798</v>
      </c>
      <c r="D5922" t="s">
        <v>1643</v>
      </c>
      <c r="E5922" t="s">
        <v>496</v>
      </c>
      <c r="F5922" t="s">
        <v>3673</v>
      </c>
      <c r="G5922" t="s">
        <v>14777</v>
      </c>
      <c r="M5922" t="s">
        <v>1634</v>
      </c>
    </row>
    <row r="5923" spans="1:13" x14ac:dyDescent="0.25">
      <c r="A5923">
        <v>85834</v>
      </c>
      <c r="B5923" t="s">
        <v>510</v>
      </c>
      <c r="C5923" t="s">
        <v>14801</v>
      </c>
      <c r="D5923" t="s">
        <v>1643</v>
      </c>
      <c r="E5923" t="s">
        <v>496</v>
      </c>
      <c r="F5923" t="s">
        <v>14802</v>
      </c>
      <c r="G5923" t="s">
        <v>7083</v>
      </c>
      <c r="K5923" t="s">
        <v>14803</v>
      </c>
      <c r="L5923" t="s">
        <v>1647</v>
      </c>
      <c r="M5923" t="s">
        <v>1634</v>
      </c>
    </row>
    <row r="5924" spans="1:13" x14ac:dyDescent="0.25">
      <c r="A5924">
        <v>85834</v>
      </c>
      <c r="B5924" t="s">
        <v>510</v>
      </c>
      <c r="C5924" t="s">
        <v>14801</v>
      </c>
      <c r="D5924" t="s">
        <v>1643</v>
      </c>
      <c r="E5924" t="s">
        <v>496</v>
      </c>
      <c r="F5924" t="s">
        <v>3673</v>
      </c>
      <c r="G5924" t="s">
        <v>14777</v>
      </c>
      <c r="M5924" t="s">
        <v>1634</v>
      </c>
    </row>
    <row r="5925" spans="1:13" x14ac:dyDescent="0.25">
      <c r="A5925">
        <v>87486</v>
      </c>
      <c r="B5925" t="s">
        <v>14804</v>
      </c>
      <c r="C5925" t="s">
        <v>14805</v>
      </c>
      <c r="D5925" t="s">
        <v>1643</v>
      </c>
      <c r="E5925" t="s">
        <v>496</v>
      </c>
    </row>
    <row r="5926" spans="1:13" x14ac:dyDescent="0.25">
      <c r="A5926">
        <v>89582</v>
      </c>
      <c r="B5926" t="s">
        <v>14806</v>
      </c>
      <c r="C5926" t="s">
        <v>14807</v>
      </c>
      <c r="D5926" t="s">
        <v>1643</v>
      </c>
      <c r="E5926" t="s">
        <v>496</v>
      </c>
      <c r="F5926" t="s">
        <v>2094</v>
      </c>
      <c r="G5926" t="s">
        <v>14808</v>
      </c>
      <c r="L5926" t="s">
        <v>1721</v>
      </c>
      <c r="M5926" t="s">
        <v>1634</v>
      </c>
    </row>
    <row r="5927" spans="1:13" x14ac:dyDescent="0.25">
      <c r="A5927">
        <v>89582</v>
      </c>
      <c r="B5927" t="s">
        <v>14806</v>
      </c>
      <c r="C5927" t="s">
        <v>14807</v>
      </c>
      <c r="D5927" t="s">
        <v>1643</v>
      </c>
      <c r="E5927" t="s">
        <v>496</v>
      </c>
      <c r="F5927" t="s">
        <v>3673</v>
      </c>
      <c r="G5927" t="s">
        <v>14777</v>
      </c>
      <c r="M5927" t="s">
        <v>1634</v>
      </c>
    </row>
    <row r="5928" spans="1:13" x14ac:dyDescent="0.25">
      <c r="A5928">
        <v>89582</v>
      </c>
      <c r="B5928" t="s">
        <v>14806</v>
      </c>
      <c r="C5928" t="s">
        <v>14807</v>
      </c>
      <c r="D5928" t="s">
        <v>1643</v>
      </c>
      <c r="E5928" t="s">
        <v>496</v>
      </c>
      <c r="F5928" t="s">
        <v>2085</v>
      </c>
      <c r="G5928" t="s">
        <v>1846</v>
      </c>
      <c r="H5928">
        <v>9283734104</v>
      </c>
      <c r="J5928">
        <v>9283734199</v>
      </c>
      <c r="K5928" t="s">
        <v>14809</v>
      </c>
      <c r="L5928" t="s">
        <v>1647</v>
      </c>
      <c r="M5928" t="s">
        <v>1634</v>
      </c>
    </row>
    <row r="5929" spans="1:13" x14ac:dyDescent="0.25">
      <c r="A5929">
        <v>91908</v>
      </c>
      <c r="B5929" t="s">
        <v>14810</v>
      </c>
      <c r="C5929" t="s">
        <v>14811</v>
      </c>
      <c r="D5929" t="s">
        <v>1643</v>
      </c>
      <c r="E5929" t="s">
        <v>496</v>
      </c>
      <c r="F5929" t="s">
        <v>4816</v>
      </c>
      <c r="G5929" t="s">
        <v>14812</v>
      </c>
      <c r="H5929">
        <v>9285391200</v>
      </c>
      <c r="K5929" t="s">
        <v>14813</v>
      </c>
      <c r="L5929" t="s">
        <v>1647</v>
      </c>
      <c r="M5929" t="s">
        <v>1634</v>
      </c>
    </row>
    <row r="5930" spans="1:13" x14ac:dyDescent="0.25">
      <c r="A5930">
        <v>91908</v>
      </c>
      <c r="B5930" t="s">
        <v>14810</v>
      </c>
      <c r="C5930" t="s">
        <v>14811</v>
      </c>
      <c r="D5930" t="s">
        <v>1643</v>
      </c>
      <c r="E5930" t="s">
        <v>496</v>
      </c>
      <c r="F5930" t="s">
        <v>2556</v>
      </c>
      <c r="G5930" t="s">
        <v>1992</v>
      </c>
      <c r="J5930">
        <v>9287826831</v>
      </c>
      <c r="K5930" t="s">
        <v>14774</v>
      </c>
      <c r="L5930" t="s">
        <v>2358</v>
      </c>
      <c r="M5930" t="s">
        <v>1640</v>
      </c>
    </row>
    <row r="5931" spans="1:13" x14ac:dyDescent="0.25">
      <c r="A5931">
        <v>778305</v>
      </c>
      <c r="B5931" t="s">
        <v>14814</v>
      </c>
      <c r="C5931" t="s">
        <v>14815</v>
      </c>
      <c r="D5931" t="s">
        <v>1643</v>
      </c>
      <c r="E5931" t="s">
        <v>496</v>
      </c>
      <c r="F5931" t="s">
        <v>10405</v>
      </c>
      <c r="G5931" t="s">
        <v>2444</v>
      </c>
      <c r="H5931">
        <v>9287826831</v>
      </c>
      <c r="K5931" t="s">
        <v>14790</v>
      </c>
      <c r="M5931" t="s">
        <v>1634</v>
      </c>
    </row>
    <row r="5932" spans="1:13" x14ac:dyDescent="0.25">
      <c r="A5932">
        <v>4502</v>
      </c>
      <c r="B5932" t="s">
        <v>14816</v>
      </c>
      <c r="C5932" t="s">
        <v>14817</v>
      </c>
      <c r="D5932" t="s">
        <v>1628</v>
      </c>
      <c r="E5932" t="s">
        <v>496</v>
      </c>
      <c r="F5932" t="s">
        <v>1787</v>
      </c>
      <c r="G5932" t="s">
        <v>14818</v>
      </c>
      <c r="J5932">
        <v>9284542217</v>
      </c>
      <c r="K5932" t="s">
        <v>14819</v>
      </c>
      <c r="L5932" t="s">
        <v>1668</v>
      </c>
      <c r="M5932" t="s">
        <v>1634</v>
      </c>
    </row>
    <row r="5933" spans="1:13" x14ac:dyDescent="0.25">
      <c r="A5933">
        <v>4502</v>
      </c>
      <c r="B5933" t="s">
        <v>14816</v>
      </c>
      <c r="C5933" t="s">
        <v>14817</v>
      </c>
      <c r="D5933" t="s">
        <v>1628</v>
      </c>
      <c r="E5933" t="s">
        <v>496</v>
      </c>
      <c r="F5933" t="s">
        <v>1787</v>
      </c>
      <c r="G5933" t="s">
        <v>14818</v>
      </c>
      <c r="J5933">
        <v>9284542217</v>
      </c>
      <c r="K5933" t="s">
        <v>14819</v>
      </c>
      <c r="L5933" t="s">
        <v>1668</v>
      </c>
      <c r="M5933" t="s">
        <v>1640</v>
      </c>
    </row>
    <row r="5934" spans="1:13" x14ac:dyDescent="0.25">
      <c r="A5934">
        <v>4502</v>
      </c>
      <c r="B5934" t="s">
        <v>14816</v>
      </c>
      <c r="C5934" t="s">
        <v>14817</v>
      </c>
      <c r="D5934" t="s">
        <v>1628</v>
      </c>
      <c r="E5934" t="s">
        <v>496</v>
      </c>
      <c r="F5934" t="s">
        <v>1925</v>
      </c>
      <c r="G5934" t="s">
        <v>3278</v>
      </c>
      <c r="H5934">
        <v>9283731190</v>
      </c>
      <c r="J5934">
        <v>9283292008</v>
      </c>
      <c r="K5934" t="s">
        <v>14820</v>
      </c>
      <c r="L5934" t="s">
        <v>14821</v>
      </c>
      <c r="M5934" t="s">
        <v>1640</v>
      </c>
    </row>
    <row r="5935" spans="1:13" x14ac:dyDescent="0.25">
      <c r="A5935">
        <v>4502</v>
      </c>
      <c r="B5935" t="s">
        <v>14816</v>
      </c>
      <c r="C5935" t="s">
        <v>14817</v>
      </c>
      <c r="D5935" t="s">
        <v>1628</v>
      </c>
      <c r="E5935" t="s">
        <v>496</v>
      </c>
      <c r="F5935" t="s">
        <v>14822</v>
      </c>
      <c r="G5935" t="s">
        <v>14823</v>
      </c>
      <c r="H5935">
        <v>9284542242</v>
      </c>
      <c r="K5935" t="s">
        <v>14824</v>
      </c>
      <c r="M5935" t="s">
        <v>1765</v>
      </c>
    </row>
    <row r="5936" spans="1:13" x14ac:dyDescent="0.25">
      <c r="A5936">
        <v>6180</v>
      </c>
      <c r="B5936" t="s">
        <v>14825</v>
      </c>
      <c r="C5936" t="s">
        <v>14826</v>
      </c>
      <c r="D5936" t="s">
        <v>1643</v>
      </c>
      <c r="E5936" t="s">
        <v>496</v>
      </c>
      <c r="F5936" t="s">
        <v>1787</v>
      </c>
      <c r="G5936" t="s">
        <v>14818</v>
      </c>
      <c r="H5936">
        <v>9284542242</v>
      </c>
      <c r="J5936">
        <v>9284542217</v>
      </c>
      <c r="K5936" t="s">
        <v>14827</v>
      </c>
      <c r="M5936" t="s">
        <v>1634</v>
      </c>
    </row>
    <row r="5937" spans="1:13" x14ac:dyDescent="0.25">
      <c r="A5937">
        <v>4503</v>
      </c>
      <c r="B5937" t="s">
        <v>1276</v>
      </c>
      <c r="C5937" t="s">
        <v>14828</v>
      </c>
      <c r="D5937" t="s">
        <v>1628</v>
      </c>
      <c r="E5937" t="s">
        <v>496</v>
      </c>
      <c r="F5937" t="s">
        <v>14829</v>
      </c>
      <c r="G5937" t="s">
        <v>1853</v>
      </c>
      <c r="J5937">
        <v>9287859496</v>
      </c>
      <c r="K5937" t="s">
        <v>14830</v>
      </c>
      <c r="L5937" t="s">
        <v>14831</v>
      </c>
      <c r="M5937" t="s">
        <v>1634</v>
      </c>
    </row>
    <row r="5938" spans="1:13" x14ac:dyDescent="0.25">
      <c r="A5938">
        <v>4503</v>
      </c>
      <c r="B5938" t="s">
        <v>1276</v>
      </c>
      <c r="C5938" t="s">
        <v>14828</v>
      </c>
      <c r="D5938" t="s">
        <v>1628</v>
      </c>
      <c r="E5938" t="s">
        <v>496</v>
      </c>
      <c r="F5938" t="s">
        <v>14832</v>
      </c>
      <c r="G5938" t="s">
        <v>14833</v>
      </c>
      <c r="H5938">
        <v>9287854942</v>
      </c>
      <c r="I5938">
        <v>333</v>
      </c>
      <c r="K5938" t="s">
        <v>14834</v>
      </c>
      <c r="M5938" t="s">
        <v>1634</v>
      </c>
    </row>
    <row r="5939" spans="1:13" x14ac:dyDescent="0.25">
      <c r="A5939">
        <v>4503</v>
      </c>
      <c r="B5939" t="s">
        <v>1276</v>
      </c>
      <c r="C5939" t="s">
        <v>14828</v>
      </c>
      <c r="D5939" t="s">
        <v>1628</v>
      </c>
      <c r="E5939" t="s">
        <v>496</v>
      </c>
      <c r="F5939" t="s">
        <v>13213</v>
      </c>
      <c r="G5939" t="s">
        <v>11709</v>
      </c>
      <c r="J5939">
        <v>9287859496</v>
      </c>
      <c r="K5939" t="s">
        <v>14835</v>
      </c>
      <c r="L5939" t="s">
        <v>1640</v>
      </c>
      <c r="M5939" t="s">
        <v>1640</v>
      </c>
    </row>
    <row r="5940" spans="1:13" x14ac:dyDescent="0.25">
      <c r="A5940">
        <v>4503</v>
      </c>
      <c r="B5940" t="s">
        <v>1276</v>
      </c>
      <c r="C5940" t="s">
        <v>14828</v>
      </c>
      <c r="D5940" t="s">
        <v>1628</v>
      </c>
      <c r="E5940" t="s">
        <v>496</v>
      </c>
      <c r="F5940" t="s">
        <v>6036</v>
      </c>
      <c r="G5940" t="s">
        <v>9586</v>
      </c>
      <c r="H5940">
        <v>6028262351</v>
      </c>
      <c r="K5940" t="s">
        <v>13754</v>
      </c>
      <c r="L5940" t="s">
        <v>13755</v>
      </c>
      <c r="M5940" t="s">
        <v>1640</v>
      </c>
    </row>
    <row r="5941" spans="1:13" x14ac:dyDescent="0.25">
      <c r="A5941">
        <v>6181</v>
      </c>
      <c r="B5941" t="s">
        <v>1277</v>
      </c>
      <c r="C5941" t="s">
        <v>14836</v>
      </c>
      <c r="D5941" t="s">
        <v>1643</v>
      </c>
      <c r="E5941" t="s">
        <v>496</v>
      </c>
      <c r="F5941" t="s">
        <v>14837</v>
      </c>
      <c r="G5941" t="s">
        <v>2109</v>
      </c>
      <c r="H5941">
        <v>9287854942</v>
      </c>
      <c r="J5941">
        <v>9287859496</v>
      </c>
      <c r="K5941" t="s">
        <v>14838</v>
      </c>
      <c r="M5941" t="s">
        <v>1634</v>
      </c>
    </row>
    <row r="5942" spans="1:13" x14ac:dyDescent="0.25">
      <c r="A5942">
        <v>6181</v>
      </c>
      <c r="B5942" t="s">
        <v>1277</v>
      </c>
      <c r="C5942" t="s">
        <v>14836</v>
      </c>
      <c r="D5942" t="s">
        <v>1643</v>
      </c>
      <c r="E5942" t="s">
        <v>496</v>
      </c>
      <c r="F5942" t="s">
        <v>4443</v>
      </c>
      <c r="G5942" t="s">
        <v>3634</v>
      </c>
      <c r="H5942">
        <v>9287854942</v>
      </c>
      <c r="K5942" t="s">
        <v>14839</v>
      </c>
      <c r="M5942" t="s">
        <v>1640</v>
      </c>
    </row>
    <row r="5943" spans="1:13" x14ac:dyDescent="0.25">
      <c r="A5943">
        <v>4504</v>
      </c>
      <c r="B5943" t="s">
        <v>14840</v>
      </c>
      <c r="C5943" t="s">
        <v>14841</v>
      </c>
      <c r="D5943" t="s">
        <v>1628</v>
      </c>
      <c r="E5943" t="s">
        <v>496</v>
      </c>
      <c r="F5943" t="s">
        <v>2587</v>
      </c>
      <c r="G5943" t="s">
        <v>14842</v>
      </c>
      <c r="I5943">
        <v>304</v>
      </c>
      <c r="K5943" t="s">
        <v>14843</v>
      </c>
      <c r="L5943" t="s">
        <v>1634</v>
      </c>
      <c r="M5943" t="s">
        <v>1634</v>
      </c>
    </row>
    <row r="5944" spans="1:13" x14ac:dyDescent="0.25">
      <c r="A5944">
        <v>4504</v>
      </c>
      <c r="B5944" t="s">
        <v>14840</v>
      </c>
      <c r="C5944" t="s">
        <v>14841</v>
      </c>
      <c r="D5944" t="s">
        <v>1628</v>
      </c>
      <c r="E5944" t="s">
        <v>496</v>
      </c>
      <c r="F5944" t="s">
        <v>5979</v>
      </c>
      <c r="G5944" t="s">
        <v>14844</v>
      </c>
      <c r="H5944">
        <v>9287853311</v>
      </c>
      <c r="K5944" t="s">
        <v>14845</v>
      </c>
      <c r="M5944" t="s">
        <v>1640</v>
      </c>
    </row>
    <row r="5945" spans="1:13" x14ac:dyDescent="0.25">
      <c r="A5945">
        <v>4504</v>
      </c>
      <c r="B5945" t="s">
        <v>14840</v>
      </c>
      <c r="C5945" t="s">
        <v>14841</v>
      </c>
      <c r="D5945" t="s">
        <v>1628</v>
      </c>
      <c r="E5945" t="s">
        <v>496</v>
      </c>
      <c r="F5945" t="s">
        <v>1925</v>
      </c>
      <c r="G5945" t="s">
        <v>3278</v>
      </c>
      <c r="H5945">
        <v>9283731190</v>
      </c>
      <c r="J5945">
        <v>9283292008</v>
      </c>
      <c r="K5945" t="s">
        <v>14820</v>
      </c>
      <c r="L5945" t="s">
        <v>14821</v>
      </c>
      <c r="M5945" t="s">
        <v>1640</v>
      </c>
    </row>
    <row r="5946" spans="1:13" x14ac:dyDescent="0.25">
      <c r="A5946">
        <v>4504</v>
      </c>
      <c r="B5946" t="s">
        <v>14840</v>
      </c>
      <c r="C5946" t="s">
        <v>14841</v>
      </c>
      <c r="D5946" t="s">
        <v>1628</v>
      </c>
      <c r="E5946" t="s">
        <v>496</v>
      </c>
      <c r="F5946" t="s">
        <v>2688</v>
      </c>
      <c r="G5946" t="s">
        <v>14846</v>
      </c>
      <c r="K5946" t="s">
        <v>14847</v>
      </c>
      <c r="L5946" t="s">
        <v>14659</v>
      </c>
      <c r="M5946" t="s">
        <v>1765</v>
      </c>
    </row>
    <row r="5947" spans="1:13" x14ac:dyDescent="0.25">
      <c r="A5947">
        <v>6182</v>
      </c>
      <c r="B5947" t="s">
        <v>14848</v>
      </c>
      <c r="C5947" t="s">
        <v>14849</v>
      </c>
      <c r="D5947" t="s">
        <v>1643</v>
      </c>
      <c r="E5947" t="s">
        <v>496</v>
      </c>
      <c r="F5947" t="s">
        <v>2587</v>
      </c>
      <c r="G5947" t="s">
        <v>14842</v>
      </c>
      <c r="K5947" t="s">
        <v>14843</v>
      </c>
      <c r="L5947" t="s">
        <v>1668</v>
      </c>
      <c r="M5947" t="s">
        <v>1634</v>
      </c>
    </row>
    <row r="5948" spans="1:13" x14ac:dyDescent="0.25">
      <c r="A5948">
        <v>4505</v>
      </c>
      <c r="B5948" t="s">
        <v>354</v>
      </c>
      <c r="C5948" t="s">
        <v>14850</v>
      </c>
      <c r="D5948" t="s">
        <v>1628</v>
      </c>
      <c r="E5948" t="s">
        <v>496</v>
      </c>
      <c r="F5948" t="s">
        <v>7023</v>
      </c>
      <c r="G5948" t="s">
        <v>11433</v>
      </c>
      <c r="H5948">
        <v>9286276540</v>
      </c>
      <c r="J5948">
        <v>9286273635</v>
      </c>
      <c r="K5948" t="s">
        <v>14851</v>
      </c>
      <c r="L5948" t="s">
        <v>1668</v>
      </c>
      <c r="M5948" t="s">
        <v>1634</v>
      </c>
    </row>
    <row r="5949" spans="1:13" x14ac:dyDescent="0.25">
      <c r="A5949">
        <v>4505</v>
      </c>
      <c r="B5949" t="s">
        <v>354</v>
      </c>
      <c r="C5949" t="s">
        <v>14850</v>
      </c>
      <c r="D5949" t="s">
        <v>1628</v>
      </c>
      <c r="E5949" t="s">
        <v>496</v>
      </c>
      <c r="F5949" t="s">
        <v>7130</v>
      </c>
      <c r="G5949" t="s">
        <v>14852</v>
      </c>
      <c r="H5949" t="s">
        <v>14853</v>
      </c>
      <c r="K5949" t="s">
        <v>14854</v>
      </c>
      <c r="L5949" t="s">
        <v>14855</v>
      </c>
      <c r="M5949" t="s">
        <v>1634</v>
      </c>
    </row>
    <row r="5950" spans="1:13" x14ac:dyDescent="0.25">
      <c r="A5950">
        <v>4505</v>
      </c>
      <c r="B5950" t="s">
        <v>354</v>
      </c>
      <c r="C5950" t="s">
        <v>14850</v>
      </c>
      <c r="D5950" t="s">
        <v>1628</v>
      </c>
      <c r="E5950" t="s">
        <v>496</v>
      </c>
      <c r="F5950" t="s">
        <v>2610</v>
      </c>
      <c r="G5950" t="s">
        <v>11900</v>
      </c>
      <c r="H5950">
        <v>9286276553</v>
      </c>
      <c r="K5950" t="s">
        <v>14856</v>
      </c>
      <c r="M5950" t="s">
        <v>1634</v>
      </c>
    </row>
    <row r="5951" spans="1:13" x14ac:dyDescent="0.25">
      <c r="A5951">
        <v>4505</v>
      </c>
      <c r="B5951" t="s">
        <v>354</v>
      </c>
      <c r="C5951" t="s">
        <v>14850</v>
      </c>
      <c r="D5951" t="s">
        <v>1628</v>
      </c>
      <c r="E5951" t="s">
        <v>496</v>
      </c>
      <c r="F5951" t="s">
        <v>1820</v>
      </c>
      <c r="G5951" t="s">
        <v>14857</v>
      </c>
      <c r="H5951" t="s">
        <v>14858</v>
      </c>
      <c r="J5951">
        <v>9286273635</v>
      </c>
      <c r="K5951" t="s">
        <v>14859</v>
      </c>
      <c r="L5951" t="s">
        <v>14860</v>
      </c>
      <c r="M5951" t="s">
        <v>1640</v>
      </c>
    </row>
    <row r="5952" spans="1:13" x14ac:dyDescent="0.25">
      <c r="A5952">
        <v>4505</v>
      </c>
      <c r="B5952" t="s">
        <v>354</v>
      </c>
      <c r="C5952" t="s">
        <v>14850</v>
      </c>
      <c r="D5952" t="s">
        <v>1628</v>
      </c>
      <c r="E5952" t="s">
        <v>496</v>
      </c>
      <c r="F5952" t="s">
        <v>2817</v>
      </c>
      <c r="G5952" t="s">
        <v>2647</v>
      </c>
      <c r="K5952" t="s">
        <v>14861</v>
      </c>
      <c r="M5952" t="s">
        <v>1640</v>
      </c>
    </row>
    <row r="5953" spans="1:13" x14ac:dyDescent="0.25">
      <c r="A5953">
        <v>4505</v>
      </c>
      <c r="B5953" t="s">
        <v>354</v>
      </c>
      <c r="C5953" t="s">
        <v>14850</v>
      </c>
      <c r="D5953" t="s">
        <v>1628</v>
      </c>
      <c r="E5953" t="s">
        <v>496</v>
      </c>
      <c r="F5953" t="s">
        <v>1925</v>
      </c>
      <c r="G5953" t="s">
        <v>3278</v>
      </c>
      <c r="H5953">
        <v>9283731190</v>
      </c>
      <c r="J5953">
        <v>9283292008</v>
      </c>
      <c r="K5953" t="s">
        <v>14820</v>
      </c>
      <c r="L5953" t="s">
        <v>14821</v>
      </c>
      <c r="M5953" t="s">
        <v>1640</v>
      </c>
    </row>
    <row r="5954" spans="1:13" x14ac:dyDescent="0.25">
      <c r="A5954">
        <v>4505</v>
      </c>
      <c r="B5954" t="s">
        <v>354</v>
      </c>
      <c r="C5954" t="s">
        <v>14850</v>
      </c>
      <c r="D5954" t="s">
        <v>1628</v>
      </c>
      <c r="E5954" t="s">
        <v>496</v>
      </c>
      <c r="F5954" t="s">
        <v>13030</v>
      </c>
      <c r="G5954" t="s">
        <v>6075</v>
      </c>
      <c r="H5954">
        <v>9286276556</v>
      </c>
      <c r="K5954" t="s">
        <v>14862</v>
      </c>
      <c r="L5954" t="s">
        <v>12426</v>
      </c>
      <c r="M5954" t="s">
        <v>1765</v>
      </c>
    </row>
    <row r="5955" spans="1:13" x14ac:dyDescent="0.25">
      <c r="A5955">
        <v>4505</v>
      </c>
      <c r="B5955" t="s">
        <v>354</v>
      </c>
      <c r="C5955" t="s">
        <v>14850</v>
      </c>
      <c r="D5955" t="s">
        <v>1628</v>
      </c>
      <c r="E5955" t="s">
        <v>496</v>
      </c>
      <c r="F5955" t="s">
        <v>1820</v>
      </c>
      <c r="G5955" t="s">
        <v>14857</v>
      </c>
      <c r="H5955" t="s">
        <v>14858</v>
      </c>
      <c r="J5955">
        <v>9286273635</v>
      </c>
      <c r="K5955" t="s">
        <v>14859</v>
      </c>
      <c r="L5955" t="s">
        <v>14860</v>
      </c>
      <c r="M5955" t="s">
        <v>1765</v>
      </c>
    </row>
    <row r="5956" spans="1:13" x14ac:dyDescent="0.25">
      <c r="A5956">
        <v>6183</v>
      </c>
      <c r="B5956" t="s">
        <v>504</v>
      </c>
      <c r="C5956" t="s">
        <v>14863</v>
      </c>
      <c r="D5956" t="s">
        <v>1643</v>
      </c>
      <c r="E5956" t="s">
        <v>496</v>
      </c>
      <c r="F5956" t="s">
        <v>7342</v>
      </c>
      <c r="G5956" t="s">
        <v>14864</v>
      </c>
      <c r="H5956">
        <v>9286277063</v>
      </c>
      <c r="K5956" t="s">
        <v>14865</v>
      </c>
      <c r="L5956" t="s">
        <v>1721</v>
      </c>
      <c r="M5956" t="s">
        <v>1634</v>
      </c>
    </row>
    <row r="5957" spans="1:13" x14ac:dyDescent="0.25">
      <c r="A5957">
        <v>6184</v>
      </c>
      <c r="B5957" t="s">
        <v>497</v>
      </c>
      <c r="C5957" t="s">
        <v>14866</v>
      </c>
      <c r="D5957" t="s">
        <v>1643</v>
      </c>
      <c r="E5957" t="s">
        <v>496</v>
      </c>
    </row>
    <row r="5958" spans="1:13" x14ac:dyDescent="0.25">
      <c r="A5958">
        <v>6185</v>
      </c>
      <c r="B5958" t="s">
        <v>500</v>
      </c>
      <c r="C5958" t="s">
        <v>14867</v>
      </c>
      <c r="D5958" t="s">
        <v>1643</v>
      </c>
      <c r="E5958" t="s">
        <v>496</v>
      </c>
      <c r="F5958" t="s">
        <v>14868</v>
      </c>
      <c r="G5958" t="s">
        <v>14869</v>
      </c>
      <c r="H5958">
        <v>9286276932</v>
      </c>
      <c r="K5958" t="s">
        <v>14870</v>
      </c>
      <c r="L5958" t="s">
        <v>14871</v>
      </c>
      <c r="M5958" t="s">
        <v>1634</v>
      </c>
    </row>
    <row r="5959" spans="1:13" x14ac:dyDescent="0.25">
      <c r="A5959">
        <v>6186</v>
      </c>
      <c r="B5959" t="s">
        <v>14872</v>
      </c>
      <c r="C5959" t="s">
        <v>14873</v>
      </c>
      <c r="D5959" t="s">
        <v>1643</v>
      </c>
      <c r="E5959" t="s">
        <v>496</v>
      </c>
    </row>
    <row r="5960" spans="1:13" x14ac:dyDescent="0.25">
      <c r="A5960">
        <v>6187</v>
      </c>
      <c r="B5960" t="s">
        <v>502</v>
      </c>
      <c r="C5960" t="s">
        <v>14874</v>
      </c>
      <c r="D5960" t="s">
        <v>1643</v>
      </c>
      <c r="E5960" t="s">
        <v>496</v>
      </c>
      <c r="F5960" t="s">
        <v>2636</v>
      </c>
      <c r="G5960" t="s">
        <v>10227</v>
      </c>
      <c r="H5960">
        <v>9286276948</v>
      </c>
      <c r="K5960" t="s">
        <v>14875</v>
      </c>
      <c r="L5960" t="s">
        <v>1721</v>
      </c>
      <c r="M5960" t="s">
        <v>1634</v>
      </c>
    </row>
    <row r="5961" spans="1:13" x14ac:dyDescent="0.25">
      <c r="A5961">
        <v>79724</v>
      </c>
      <c r="B5961" t="s">
        <v>14876</v>
      </c>
      <c r="C5961" t="s">
        <v>14877</v>
      </c>
      <c r="D5961" t="s">
        <v>1643</v>
      </c>
      <c r="E5961" t="s">
        <v>496</v>
      </c>
      <c r="F5961" t="s">
        <v>7318</v>
      </c>
      <c r="G5961" t="s">
        <v>2310</v>
      </c>
      <c r="H5961">
        <v>9286274134</v>
      </c>
      <c r="K5961" t="s">
        <v>14878</v>
      </c>
      <c r="L5961" t="s">
        <v>4099</v>
      </c>
      <c r="M5961" t="s">
        <v>1634</v>
      </c>
    </row>
    <row r="5962" spans="1:13" x14ac:dyDescent="0.25">
      <c r="A5962">
        <v>81105</v>
      </c>
      <c r="B5962" t="s">
        <v>14879</v>
      </c>
      <c r="C5962" t="s">
        <v>14880</v>
      </c>
      <c r="D5962" t="s">
        <v>1643</v>
      </c>
      <c r="E5962" t="s">
        <v>496</v>
      </c>
    </row>
    <row r="5963" spans="1:13" x14ac:dyDescent="0.25">
      <c r="A5963">
        <v>81096</v>
      </c>
      <c r="B5963" t="s">
        <v>14881</v>
      </c>
      <c r="C5963" t="s">
        <v>14882</v>
      </c>
      <c r="D5963" t="s">
        <v>1643</v>
      </c>
      <c r="E5963" t="s">
        <v>496</v>
      </c>
    </row>
    <row r="5964" spans="1:13" x14ac:dyDescent="0.25">
      <c r="A5964">
        <v>81106</v>
      </c>
      <c r="B5964" t="s">
        <v>14883</v>
      </c>
      <c r="C5964" t="s">
        <v>14884</v>
      </c>
      <c r="D5964" t="s">
        <v>1643</v>
      </c>
      <c r="E5964" t="s">
        <v>496</v>
      </c>
    </row>
    <row r="5965" spans="1:13" x14ac:dyDescent="0.25">
      <c r="A5965">
        <v>4506</v>
      </c>
      <c r="B5965" t="s">
        <v>14885</v>
      </c>
      <c r="C5965" t="s">
        <v>14886</v>
      </c>
      <c r="D5965" t="s">
        <v>1628</v>
      </c>
      <c r="E5965" t="s">
        <v>496</v>
      </c>
      <c r="F5965" t="s">
        <v>5321</v>
      </c>
      <c r="G5965" t="s">
        <v>1992</v>
      </c>
      <c r="H5965">
        <v>9287854041</v>
      </c>
      <c r="K5965" t="s">
        <v>14887</v>
      </c>
      <c r="L5965" t="s">
        <v>1640</v>
      </c>
      <c r="M5965" t="s">
        <v>1634</v>
      </c>
    </row>
    <row r="5966" spans="1:13" x14ac:dyDescent="0.25">
      <c r="A5966">
        <v>4506</v>
      </c>
      <c r="B5966" t="s">
        <v>14885</v>
      </c>
      <c r="C5966" t="s">
        <v>14886</v>
      </c>
      <c r="D5966" t="s">
        <v>1628</v>
      </c>
      <c r="E5966" t="s">
        <v>496</v>
      </c>
      <c r="F5966" t="s">
        <v>2253</v>
      </c>
      <c r="G5966" t="s">
        <v>14888</v>
      </c>
      <c r="H5966">
        <v>9287854041</v>
      </c>
      <c r="I5966">
        <v>4401</v>
      </c>
      <c r="K5966" t="s">
        <v>14889</v>
      </c>
      <c r="L5966" t="s">
        <v>1640</v>
      </c>
      <c r="M5966" t="s">
        <v>1634</v>
      </c>
    </row>
    <row r="5967" spans="1:13" x14ac:dyDescent="0.25">
      <c r="A5967">
        <v>4506</v>
      </c>
      <c r="B5967" t="s">
        <v>14885</v>
      </c>
      <c r="C5967" t="s">
        <v>14886</v>
      </c>
      <c r="D5967" t="s">
        <v>1628</v>
      </c>
      <c r="E5967" t="s">
        <v>496</v>
      </c>
      <c r="F5967" t="s">
        <v>5734</v>
      </c>
      <c r="G5967" t="s">
        <v>2465</v>
      </c>
      <c r="H5967">
        <v>6028823394</v>
      </c>
      <c r="K5967" t="s">
        <v>14890</v>
      </c>
      <c r="L5967" t="s">
        <v>1668</v>
      </c>
      <c r="M5967" t="s">
        <v>1634</v>
      </c>
    </row>
    <row r="5968" spans="1:13" x14ac:dyDescent="0.25">
      <c r="A5968">
        <v>4506</v>
      </c>
      <c r="B5968" t="s">
        <v>14885</v>
      </c>
      <c r="C5968" t="s">
        <v>14886</v>
      </c>
      <c r="D5968" t="s">
        <v>1628</v>
      </c>
      <c r="E5968" t="s">
        <v>496</v>
      </c>
      <c r="F5968" t="s">
        <v>2253</v>
      </c>
      <c r="G5968" t="s">
        <v>14888</v>
      </c>
      <c r="H5968">
        <v>9287854041</v>
      </c>
      <c r="I5968">
        <v>4401</v>
      </c>
      <c r="K5968" t="s">
        <v>14889</v>
      </c>
      <c r="L5968" t="s">
        <v>1640</v>
      </c>
      <c r="M5968" t="s">
        <v>1640</v>
      </c>
    </row>
    <row r="5969" spans="1:13" x14ac:dyDescent="0.25">
      <c r="A5969">
        <v>92739</v>
      </c>
      <c r="B5969" t="s">
        <v>14891</v>
      </c>
      <c r="C5969" t="s">
        <v>14892</v>
      </c>
      <c r="D5969" t="s">
        <v>1643</v>
      </c>
      <c r="E5969" t="s">
        <v>496</v>
      </c>
    </row>
    <row r="5970" spans="1:13" x14ac:dyDescent="0.25">
      <c r="A5970">
        <v>6188</v>
      </c>
      <c r="B5970" t="s">
        <v>14893</v>
      </c>
      <c r="C5970" t="s">
        <v>14894</v>
      </c>
      <c r="D5970" t="s">
        <v>1643</v>
      </c>
      <c r="E5970" t="s">
        <v>496</v>
      </c>
      <c r="F5970" t="s">
        <v>14895</v>
      </c>
      <c r="G5970" t="s">
        <v>14896</v>
      </c>
      <c r="H5970">
        <v>9287853344</v>
      </c>
      <c r="J5970">
        <v>9287859566</v>
      </c>
      <c r="K5970" t="s">
        <v>14897</v>
      </c>
      <c r="M5970" t="s">
        <v>1634</v>
      </c>
    </row>
    <row r="5971" spans="1:13" x14ac:dyDescent="0.25">
      <c r="A5971">
        <v>4507</v>
      </c>
      <c r="B5971" t="s">
        <v>906</v>
      </c>
      <c r="C5971" t="s">
        <v>14898</v>
      </c>
      <c r="D5971" t="s">
        <v>1628</v>
      </c>
      <c r="E5971" t="s">
        <v>496</v>
      </c>
      <c r="F5971" t="s">
        <v>2587</v>
      </c>
      <c r="G5971" t="s">
        <v>2705</v>
      </c>
      <c r="J5971">
        <v>9283432582</v>
      </c>
      <c r="K5971" t="s">
        <v>14899</v>
      </c>
      <c r="L5971" t="s">
        <v>3157</v>
      </c>
      <c r="M5971" t="s">
        <v>1634</v>
      </c>
    </row>
    <row r="5972" spans="1:13" x14ac:dyDescent="0.25">
      <c r="A5972">
        <v>4507</v>
      </c>
      <c r="B5972" t="s">
        <v>906</v>
      </c>
      <c r="C5972" t="s">
        <v>14898</v>
      </c>
      <c r="D5972" t="s">
        <v>1628</v>
      </c>
      <c r="E5972" t="s">
        <v>496</v>
      </c>
      <c r="F5972" t="s">
        <v>3994</v>
      </c>
      <c r="G5972" t="s">
        <v>1840</v>
      </c>
      <c r="H5972">
        <v>9285024671</v>
      </c>
      <c r="K5972" t="s">
        <v>14900</v>
      </c>
      <c r="L5972" t="s">
        <v>3157</v>
      </c>
      <c r="M5972" t="s">
        <v>1634</v>
      </c>
    </row>
    <row r="5973" spans="1:13" x14ac:dyDescent="0.25">
      <c r="A5973">
        <v>4507</v>
      </c>
      <c r="B5973" t="s">
        <v>906</v>
      </c>
      <c r="C5973" t="s">
        <v>14898</v>
      </c>
      <c r="D5973" t="s">
        <v>1628</v>
      </c>
      <c r="E5973" t="s">
        <v>496</v>
      </c>
      <c r="F5973" t="s">
        <v>1775</v>
      </c>
      <c r="G5973" t="s">
        <v>14901</v>
      </c>
      <c r="H5973">
        <v>9285025000</v>
      </c>
      <c r="K5973" t="s">
        <v>14902</v>
      </c>
      <c r="L5973" t="s">
        <v>1647</v>
      </c>
      <c r="M5973" t="s">
        <v>1634</v>
      </c>
    </row>
    <row r="5974" spans="1:13" x14ac:dyDescent="0.25">
      <c r="A5974">
        <v>4507</v>
      </c>
      <c r="B5974" t="s">
        <v>906</v>
      </c>
      <c r="C5974" t="s">
        <v>14898</v>
      </c>
      <c r="D5974" t="s">
        <v>1628</v>
      </c>
      <c r="E5974" t="s">
        <v>496</v>
      </c>
      <c r="F5974" t="s">
        <v>14549</v>
      </c>
      <c r="G5974" t="s">
        <v>14903</v>
      </c>
      <c r="H5974">
        <v>9285024668</v>
      </c>
      <c r="K5974" t="s">
        <v>14904</v>
      </c>
      <c r="L5974" t="s">
        <v>14905</v>
      </c>
      <c r="M5974" t="s">
        <v>1640</v>
      </c>
    </row>
    <row r="5975" spans="1:13" x14ac:dyDescent="0.25">
      <c r="A5975">
        <v>4507</v>
      </c>
      <c r="B5975" t="s">
        <v>906</v>
      </c>
      <c r="C5975" t="s">
        <v>14898</v>
      </c>
      <c r="D5975" t="s">
        <v>1628</v>
      </c>
      <c r="E5975" t="s">
        <v>496</v>
      </c>
      <c r="F5975" t="s">
        <v>4816</v>
      </c>
      <c r="G5975" t="s">
        <v>14906</v>
      </c>
      <c r="H5975">
        <v>9285024326</v>
      </c>
      <c r="J5975">
        <v>9285024444</v>
      </c>
      <c r="K5975" t="s">
        <v>14907</v>
      </c>
      <c r="L5975" t="s">
        <v>14908</v>
      </c>
      <c r="M5975" t="s">
        <v>1640</v>
      </c>
    </row>
    <row r="5976" spans="1:13" x14ac:dyDescent="0.25">
      <c r="A5976">
        <v>4507</v>
      </c>
      <c r="B5976" t="s">
        <v>906</v>
      </c>
      <c r="C5976" t="s">
        <v>14898</v>
      </c>
      <c r="D5976" t="s">
        <v>1628</v>
      </c>
      <c r="E5976" t="s">
        <v>496</v>
      </c>
      <c r="F5976" t="s">
        <v>10349</v>
      </c>
      <c r="G5976" t="s">
        <v>14668</v>
      </c>
      <c r="H5976">
        <v>9285024283</v>
      </c>
      <c r="K5976" t="s">
        <v>14669</v>
      </c>
      <c r="L5976" t="s">
        <v>14909</v>
      </c>
      <c r="M5976" t="s">
        <v>1765</v>
      </c>
    </row>
    <row r="5977" spans="1:13" x14ac:dyDescent="0.25">
      <c r="A5977">
        <v>6189</v>
      </c>
      <c r="B5977" t="s">
        <v>1565</v>
      </c>
      <c r="C5977" t="s">
        <v>14910</v>
      </c>
      <c r="D5977" t="s">
        <v>1643</v>
      </c>
      <c r="E5977" t="s">
        <v>496</v>
      </c>
      <c r="F5977" t="s">
        <v>2046</v>
      </c>
      <c r="G5977" t="s">
        <v>14911</v>
      </c>
      <c r="H5977">
        <v>9285025013</v>
      </c>
      <c r="J5977">
        <v>9285025338</v>
      </c>
      <c r="K5977" t="s">
        <v>14912</v>
      </c>
      <c r="M5977" t="s">
        <v>1634</v>
      </c>
    </row>
    <row r="5978" spans="1:13" x14ac:dyDescent="0.25">
      <c r="A5978">
        <v>6189</v>
      </c>
      <c r="B5978" t="s">
        <v>1565</v>
      </c>
      <c r="C5978" t="s">
        <v>14910</v>
      </c>
      <c r="D5978" t="s">
        <v>1643</v>
      </c>
      <c r="E5978" t="s">
        <v>496</v>
      </c>
      <c r="F5978" t="s">
        <v>2997</v>
      </c>
      <c r="G5978" t="s">
        <v>14913</v>
      </c>
      <c r="H5978">
        <v>9285025001</v>
      </c>
      <c r="K5978" t="s">
        <v>14914</v>
      </c>
      <c r="L5978" t="s">
        <v>1647</v>
      </c>
      <c r="M5978" t="s">
        <v>1634</v>
      </c>
    </row>
    <row r="5979" spans="1:13" x14ac:dyDescent="0.25">
      <c r="A5979">
        <v>6190</v>
      </c>
      <c r="B5979" t="s">
        <v>14915</v>
      </c>
      <c r="C5979" t="s">
        <v>14916</v>
      </c>
      <c r="D5979" t="s">
        <v>1643</v>
      </c>
      <c r="E5979" t="s">
        <v>496</v>
      </c>
      <c r="F5979" t="s">
        <v>1775</v>
      </c>
      <c r="G5979" t="s">
        <v>6519</v>
      </c>
      <c r="H5979">
        <v>9285025351</v>
      </c>
      <c r="K5979" t="s">
        <v>14917</v>
      </c>
      <c r="L5979" t="s">
        <v>1647</v>
      </c>
      <c r="M5979" t="s">
        <v>1634</v>
      </c>
    </row>
    <row r="5980" spans="1:13" x14ac:dyDescent="0.25">
      <c r="A5980">
        <v>6190</v>
      </c>
      <c r="B5980" t="s">
        <v>14915</v>
      </c>
      <c r="C5980" t="s">
        <v>14916</v>
      </c>
      <c r="D5980" t="s">
        <v>1643</v>
      </c>
      <c r="E5980" t="s">
        <v>496</v>
      </c>
      <c r="F5980" t="s">
        <v>1761</v>
      </c>
      <c r="G5980" t="s">
        <v>14918</v>
      </c>
      <c r="K5980" t="s">
        <v>14919</v>
      </c>
      <c r="L5980" t="s">
        <v>14920</v>
      </c>
      <c r="M5980" t="s">
        <v>1634</v>
      </c>
    </row>
    <row r="5981" spans="1:13" x14ac:dyDescent="0.25">
      <c r="A5981">
        <v>6190</v>
      </c>
      <c r="B5981" t="s">
        <v>14915</v>
      </c>
      <c r="C5981" t="s">
        <v>14916</v>
      </c>
      <c r="D5981" t="s">
        <v>1643</v>
      </c>
      <c r="E5981" t="s">
        <v>496</v>
      </c>
      <c r="F5981" t="s">
        <v>13213</v>
      </c>
      <c r="G5981" t="s">
        <v>14921</v>
      </c>
      <c r="K5981" t="s">
        <v>14922</v>
      </c>
      <c r="L5981" t="s">
        <v>14923</v>
      </c>
      <c r="M5981" t="s">
        <v>1634</v>
      </c>
    </row>
    <row r="5982" spans="1:13" x14ac:dyDescent="0.25">
      <c r="A5982">
        <v>6190</v>
      </c>
      <c r="B5982" t="s">
        <v>14915</v>
      </c>
      <c r="C5982" t="s">
        <v>14916</v>
      </c>
      <c r="D5982" t="s">
        <v>1643</v>
      </c>
      <c r="E5982" t="s">
        <v>496</v>
      </c>
      <c r="F5982" t="s">
        <v>3387</v>
      </c>
      <c r="G5982" t="s">
        <v>8036</v>
      </c>
      <c r="H5982">
        <v>9285025400</v>
      </c>
      <c r="I5982">
        <v>5367</v>
      </c>
      <c r="K5982" t="s">
        <v>14924</v>
      </c>
      <c r="L5982" t="s">
        <v>1738</v>
      </c>
      <c r="M5982" t="s">
        <v>1634</v>
      </c>
    </row>
    <row r="5983" spans="1:13" x14ac:dyDescent="0.25">
      <c r="A5983">
        <v>6191</v>
      </c>
      <c r="B5983" t="s">
        <v>14925</v>
      </c>
      <c r="C5983" t="s">
        <v>14926</v>
      </c>
      <c r="D5983" t="s">
        <v>1643</v>
      </c>
      <c r="E5983" t="s">
        <v>496</v>
      </c>
      <c r="F5983" t="s">
        <v>1775</v>
      </c>
      <c r="G5983" t="s">
        <v>14901</v>
      </c>
      <c r="H5983">
        <v>9285025705</v>
      </c>
      <c r="K5983" t="s">
        <v>14927</v>
      </c>
      <c r="L5983" t="s">
        <v>1738</v>
      </c>
      <c r="M5983" t="s">
        <v>1634</v>
      </c>
    </row>
    <row r="5984" spans="1:13" x14ac:dyDescent="0.25">
      <c r="A5984">
        <v>6191</v>
      </c>
      <c r="B5984" t="s">
        <v>14925</v>
      </c>
      <c r="C5984" t="s">
        <v>14926</v>
      </c>
      <c r="D5984" t="s">
        <v>1643</v>
      </c>
      <c r="E5984" t="s">
        <v>496</v>
      </c>
      <c r="F5984" t="s">
        <v>4874</v>
      </c>
      <c r="G5984" t="s">
        <v>14772</v>
      </c>
      <c r="H5984">
        <v>9285025701</v>
      </c>
      <c r="K5984" t="s">
        <v>14928</v>
      </c>
      <c r="L5984" t="s">
        <v>1647</v>
      </c>
      <c r="M5984" t="s">
        <v>1634</v>
      </c>
    </row>
    <row r="5985" spans="1:13" x14ac:dyDescent="0.25">
      <c r="A5985">
        <v>6302</v>
      </c>
      <c r="B5985" t="s">
        <v>14929</v>
      </c>
      <c r="C5985" t="s">
        <v>14930</v>
      </c>
      <c r="D5985" t="s">
        <v>1643</v>
      </c>
      <c r="E5985" t="s">
        <v>496</v>
      </c>
      <c r="F5985" t="s">
        <v>2156</v>
      </c>
      <c r="G5985" t="s">
        <v>3204</v>
      </c>
      <c r="J5985">
        <v>9283432582</v>
      </c>
      <c r="K5985" t="s">
        <v>14931</v>
      </c>
      <c r="L5985" t="s">
        <v>1647</v>
      </c>
      <c r="M5985" t="s">
        <v>1634</v>
      </c>
    </row>
    <row r="5986" spans="1:13" x14ac:dyDescent="0.25">
      <c r="A5986">
        <v>80409</v>
      </c>
      <c r="B5986" t="s">
        <v>907</v>
      </c>
      <c r="C5986" t="s">
        <v>14932</v>
      </c>
      <c r="D5986" t="s">
        <v>1643</v>
      </c>
      <c r="E5986" t="s">
        <v>496</v>
      </c>
      <c r="F5986" t="s">
        <v>2429</v>
      </c>
      <c r="G5986" t="s">
        <v>2037</v>
      </c>
      <c r="K5986" t="s">
        <v>14933</v>
      </c>
      <c r="L5986" t="s">
        <v>1647</v>
      </c>
      <c r="M5986" t="s">
        <v>1634</v>
      </c>
    </row>
    <row r="5987" spans="1:13" x14ac:dyDescent="0.25">
      <c r="A5987">
        <v>80409</v>
      </c>
      <c r="B5987" t="s">
        <v>907</v>
      </c>
      <c r="C5987" t="s">
        <v>14932</v>
      </c>
      <c r="D5987" t="s">
        <v>1643</v>
      </c>
      <c r="E5987" t="s">
        <v>496</v>
      </c>
      <c r="F5987" t="s">
        <v>14934</v>
      </c>
      <c r="G5987" t="s">
        <v>14864</v>
      </c>
      <c r="H5987">
        <v>9285026054</v>
      </c>
      <c r="K5987" t="s">
        <v>14935</v>
      </c>
      <c r="L5987" t="s">
        <v>1647</v>
      </c>
      <c r="M5987" t="s">
        <v>1634</v>
      </c>
    </row>
    <row r="5988" spans="1:13" x14ac:dyDescent="0.25">
      <c r="A5988">
        <v>89576</v>
      </c>
      <c r="B5988" t="s">
        <v>14936</v>
      </c>
      <c r="C5988" t="s">
        <v>14937</v>
      </c>
      <c r="D5988" t="s">
        <v>1643</v>
      </c>
      <c r="E5988" t="s">
        <v>496</v>
      </c>
      <c r="F5988" t="s">
        <v>4022</v>
      </c>
      <c r="G5988" t="s">
        <v>14938</v>
      </c>
      <c r="H5988">
        <v>9285026404</v>
      </c>
      <c r="J5988">
        <v>9285026749</v>
      </c>
      <c r="K5988" t="s">
        <v>14939</v>
      </c>
      <c r="L5988" t="s">
        <v>1647</v>
      </c>
      <c r="M5988" t="s">
        <v>1634</v>
      </c>
    </row>
    <row r="5989" spans="1:13" x14ac:dyDescent="0.25">
      <c r="A5989">
        <v>89576</v>
      </c>
      <c r="B5989" t="s">
        <v>14936</v>
      </c>
      <c r="C5989" t="s">
        <v>14937</v>
      </c>
      <c r="D5989" t="s">
        <v>1643</v>
      </c>
      <c r="E5989" t="s">
        <v>496</v>
      </c>
      <c r="F5989" t="s">
        <v>4874</v>
      </c>
      <c r="G5989" t="s">
        <v>14772</v>
      </c>
      <c r="K5989" t="s">
        <v>14928</v>
      </c>
      <c r="L5989" t="s">
        <v>14923</v>
      </c>
      <c r="M5989" t="s">
        <v>1634</v>
      </c>
    </row>
    <row r="5990" spans="1:13" x14ac:dyDescent="0.25">
      <c r="A5990">
        <v>89576</v>
      </c>
      <c r="B5990" t="s">
        <v>14936</v>
      </c>
      <c r="C5990" t="s">
        <v>14937</v>
      </c>
      <c r="D5990" t="s">
        <v>1643</v>
      </c>
      <c r="E5990" t="s">
        <v>496</v>
      </c>
      <c r="F5990" t="s">
        <v>2997</v>
      </c>
      <c r="G5990" t="s">
        <v>2705</v>
      </c>
      <c r="K5990" t="s">
        <v>14940</v>
      </c>
      <c r="L5990" t="s">
        <v>14941</v>
      </c>
      <c r="M5990" t="s">
        <v>1634</v>
      </c>
    </row>
    <row r="5991" spans="1:13" x14ac:dyDescent="0.25">
      <c r="A5991">
        <v>89576</v>
      </c>
      <c r="B5991" t="s">
        <v>14936</v>
      </c>
      <c r="C5991" t="s">
        <v>14937</v>
      </c>
      <c r="D5991" t="s">
        <v>1643</v>
      </c>
      <c r="E5991" t="s">
        <v>496</v>
      </c>
      <c r="F5991" t="s">
        <v>14942</v>
      </c>
      <c r="G5991" t="s">
        <v>14943</v>
      </c>
      <c r="H5991">
        <v>9285026404</v>
      </c>
      <c r="K5991" t="s">
        <v>14944</v>
      </c>
      <c r="L5991" t="s">
        <v>1738</v>
      </c>
      <c r="M5991" t="s">
        <v>1634</v>
      </c>
    </row>
    <row r="5992" spans="1:13" x14ac:dyDescent="0.25">
      <c r="A5992">
        <v>91316</v>
      </c>
      <c r="B5992" t="s">
        <v>14945</v>
      </c>
      <c r="C5992" t="s">
        <v>14946</v>
      </c>
      <c r="D5992" t="s">
        <v>1643</v>
      </c>
      <c r="E5992" t="s">
        <v>496</v>
      </c>
      <c r="F5992" t="s">
        <v>3000</v>
      </c>
      <c r="G5992" t="s">
        <v>14947</v>
      </c>
      <c r="H5992">
        <v>9285024605</v>
      </c>
      <c r="K5992" t="s">
        <v>14948</v>
      </c>
      <c r="L5992" t="s">
        <v>1668</v>
      </c>
      <c r="M5992" t="s">
        <v>1634</v>
      </c>
    </row>
    <row r="5993" spans="1:13" x14ac:dyDescent="0.25">
      <c r="A5993">
        <v>92705</v>
      </c>
      <c r="B5993" t="s">
        <v>14949</v>
      </c>
      <c r="C5993" t="s">
        <v>14950</v>
      </c>
      <c r="D5993" t="s">
        <v>1628</v>
      </c>
      <c r="E5993" t="s">
        <v>496</v>
      </c>
      <c r="F5993" t="s">
        <v>1761</v>
      </c>
      <c r="G5993" t="s">
        <v>14951</v>
      </c>
      <c r="H5993" t="s">
        <v>14952</v>
      </c>
      <c r="K5993" t="s">
        <v>14953</v>
      </c>
      <c r="L5993" t="s">
        <v>1633</v>
      </c>
      <c r="M5993" t="s">
        <v>1634</v>
      </c>
    </row>
    <row r="5994" spans="1:13" x14ac:dyDescent="0.25">
      <c r="A5994">
        <v>92705</v>
      </c>
      <c r="B5994" t="s">
        <v>14949</v>
      </c>
      <c r="C5994" t="s">
        <v>14950</v>
      </c>
      <c r="D5994" t="s">
        <v>1628</v>
      </c>
      <c r="E5994" t="s">
        <v>496</v>
      </c>
      <c r="F5994" t="s">
        <v>14954</v>
      </c>
      <c r="G5994" t="s">
        <v>6263</v>
      </c>
      <c r="K5994" t="s">
        <v>14955</v>
      </c>
      <c r="L5994" t="s">
        <v>1640</v>
      </c>
      <c r="M5994" t="s">
        <v>1640</v>
      </c>
    </row>
    <row r="5995" spans="1:13" x14ac:dyDescent="0.25">
      <c r="A5995">
        <v>92934</v>
      </c>
      <c r="B5995" t="s">
        <v>14956</v>
      </c>
      <c r="C5995" t="s">
        <v>14957</v>
      </c>
      <c r="D5995" t="s">
        <v>1643</v>
      </c>
      <c r="E5995" t="s">
        <v>496</v>
      </c>
      <c r="F5995" t="s">
        <v>2977</v>
      </c>
      <c r="G5995" t="s">
        <v>2978</v>
      </c>
      <c r="H5995">
        <v>9286608015</v>
      </c>
      <c r="K5995" t="s">
        <v>14958</v>
      </c>
      <c r="L5995" t="s">
        <v>2358</v>
      </c>
      <c r="M5995" t="s">
        <v>1634</v>
      </c>
    </row>
    <row r="5996" spans="1:13" x14ac:dyDescent="0.25">
      <c r="A5996">
        <v>92935</v>
      </c>
      <c r="B5996" t="s">
        <v>14959</v>
      </c>
      <c r="C5996" t="s">
        <v>14960</v>
      </c>
      <c r="D5996" t="s">
        <v>1643</v>
      </c>
      <c r="E5996" t="s">
        <v>496</v>
      </c>
      <c r="F5996" t="s">
        <v>2977</v>
      </c>
      <c r="G5996" t="s">
        <v>2978</v>
      </c>
      <c r="H5996">
        <v>9283731182</v>
      </c>
      <c r="K5996" t="s">
        <v>14958</v>
      </c>
      <c r="L5996" t="s">
        <v>2358</v>
      </c>
      <c r="M5996" t="s">
        <v>1634</v>
      </c>
    </row>
    <row r="5997" spans="1:13" x14ac:dyDescent="0.25">
      <c r="A5997">
        <v>92936</v>
      </c>
      <c r="B5997" t="s">
        <v>14961</v>
      </c>
      <c r="C5997" t="s">
        <v>14962</v>
      </c>
      <c r="D5997" t="s">
        <v>1643</v>
      </c>
      <c r="E5997" t="s">
        <v>496</v>
      </c>
      <c r="F5997" t="s">
        <v>2977</v>
      </c>
      <c r="G5997" t="s">
        <v>2978</v>
      </c>
      <c r="H5997">
        <v>9283731182</v>
      </c>
      <c r="J5997">
        <v>9287827413</v>
      </c>
      <c r="K5997" t="s">
        <v>14958</v>
      </c>
      <c r="L5997" t="s">
        <v>2358</v>
      </c>
      <c r="M5997" t="s">
        <v>1634</v>
      </c>
    </row>
    <row r="5998" spans="1:13" x14ac:dyDescent="0.25">
      <c r="A5998">
        <v>92937</v>
      </c>
      <c r="B5998" t="s">
        <v>14963</v>
      </c>
      <c r="C5998" t="s">
        <v>14964</v>
      </c>
      <c r="D5998" t="s">
        <v>1643</v>
      </c>
      <c r="E5998" t="s">
        <v>496</v>
      </c>
      <c r="F5998" t="s">
        <v>2977</v>
      </c>
      <c r="G5998" t="s">
        <v>2978</v>
      </c>
      <c r="H5998">
        <v>9283731182</v>
      </c>
      <c r="J5998">
        <v>9287827413</v>
      </c>
      <c r="K5998" t="s">
        <v>14958</v>
      </c>
      <c r="L5998" t="s">
        <v>2358</v>
      </c>
      <c r="M5998" t="s">
        <v>1634</v>
      </c>
    </row>
    <row r="5999" spans="1:13" x14ac:dyDescent="0.25">
      <c r="A5999">
        <v>92938</v>
      </c>
      <c r="B5999" t="s">
        <v>14965</v>
      </c>
      <c r="C5999" t="s">
        <v>14966</v>
      </c>
      <c r="D5999" t="s">
        <v>1643</v>
      </c>
      <c r="E5999" t="s">
        <v>496</v>
      </c>
      <c r="F5999" t="s">
        <v>2977</v>
      </c>
      <c r="G5999" t="s">
        <v>2978</v>
      </c>
      <c r="H5999">
        <v>9283731182</v>
      </c>
      <c r="J5999">
        <v>9287827413</v>
      </c>
      <c r="K5999" t="s">
        <v>14958</v>
      </c>
      <c r="L5999" t="s">
        <v>2358</v>
      </c>
      <c r="M5999" t="s">
        <v>1634</v>
      </c>
    </row>
    <row r="6000" spans="1:13" x14ac:dyDescent="0.25">
      <c r="A6000">
        <v>92939</v>
      </c>
      <c r="B6000" t="s">
        <v>14967</v>
      </c>
      <c r="C6000" t="s">
        <v>14968</v>
      </c>
      <c r="D6000" t="s">
        <v>1643</v>
      </c>
      <c r="E6000" t="s">
        <v>496</v>
      </c>
      <c r="F6000" t="s">
        <v>2977</v>
      </c>
      <c r="G6000" t="s">
        <v>2978</v>
      </c>
      <c r="H6000">
        <v>9283731182</v>
      </c>
      <c r="J6000">
        <v>9287827413</v>
      </c>
      <c r="K6000" t="s">
        <v>14958</v>
      </c>
      <c r="L6000" t="s">
        <v>2358</v>
      </c>
      <c r="M6000" t="s">
        <v>1634</v>
      </c>
    </row>
    <row r="6001" spans="1:13" x14ac:dyDescent="0.25">
      <c r="A6001">
        <v>92940</v>
      </c>
      <c r="B6001" t="s">
        <v>14969</v>
      </c>
      <c r="C6001" t="s">
        <v>14970</v>
      </c>
      <c r="D6001" t="s">
        <v>1643</v>
      </c>
      <c r="E6001" t="s">
        <v>496</v>
      </c>
      <c r="F6001" t="s">
        <v>2977</v>
      </c>
      <c r="G6001" t="s">
        <v>2978</v>
      </c>
      <c r="H6001">
        <v>9283731182</v>
      </c>
      <c r="J6001">
        <v>9287827413</v>
      </c>
      <c r="K6001" t="s">
        <v>14958</v>
      </c>
      <c r="L6001" t="s">
        <v>2358</v>
      </c>
      <c r="M6001" t="s">
        <v>1634</v>
      </c>
    </row>
    <row r="6002" spans="1:13" x14ac:dyDescent="0.25">
      <c r="A6002">
        <v>664373</v>
      </c>
      <c r="B6002" t="s">
        <v>14971</v>
      </c>
      <c r="C6002" t="s">
        <v>14972</v>
      </c>
      <c r="D6002" t="s">
        <v>1643</v>
      </c>
      <c r="E6002" t="s">
        <v>496</v>
      </c>
    </row>
    <row r="6003" spans="1:13" x14ac:dyDescent="0.25">
      <c r="A6003">
        <v>350183</v>
      </c>
      <c r="B6003" t="s">
        <v>14973</v>
      </c>
      <c r="C6003" t="s">
        <v>14974</v>
      </c>
      <c r="D6003" t="s">
        <v>1643</v>
      </c>
      <c r="E6003" t="s">
        <v>496</v>
      </c>
    </row>
    <row r="6004" spans="1:13" x14ac:dyDescent="0.25">
      <c r="A6004">
        <v>947339</v>
      </c>
      <c r="B6004" t="s">
        <v>14975</v>
      </c>
      <c r="C6004" t="s">
        <v>14976</v>
      </c>
      <c r="D6004" t="s">
        <v>1643</v>
      </c>
      <c r="E6004" t="s">
        <v>496</v>
      </c>
      <c r="F6004" t="s">
        <v>1761</v>
      </c>
      <c r="G6004" t="s">
        <v>14951</v>
      </c>
      <c r="H6004" t="s">
        <v>14952</v>
      </c>
      <c r="K6004" t="s">
        <v>14977</v>
      </c>
      <c r="L6004" t="s">
        <v>1668</v>
      </c>
      <c r="M6004" t="s">
        <v>1634</v>
      </c>
    </row>
    <row r="6005" spans="1:13" x14ac:dyDescent="0.25">
      <c r="A6005">
        <v>1001382</v>
      </c>
      <c r="B6005" t="s">
        <v>14978</v>
      </c>
      <c r="C6005" t="s">
        <v>14979</v>
      </c>
      <c r="D6005" t="s">
        <v>1643</v>
      </c>
      <c r="E6005" t="s">
        <v>496</v>
      </c>
    </row>
    <row r="6006" spans="1:13" x14ac:dyDescent="0.25">
      <c r="A6006">
        <v>4508</v>
      </c>
      <c r="B6006" t="s">
        <v>14980</v>
      </c>
      <c r="C6006" t="s">
        <v>14981</v>
      </c>
      <c r="D6006" t="s">
        <v>2596</v>
      </c>
      <c r="E6006" t="s">
        <v>496</v>
      </c>
      <c r="F6006" t="s">
        <v>3387</v>
      </c>
      <c r="G6006" t="s">
        <v>1807</v>
      </c>
      <c r="H6006">
        <v>9283141813</v>
      </c>
      <c r="J6006">
        <v>9283172981</v>
      </c>
      <c r="K6006" t="s">
        <v>14982</v>
      </c>
      <c r="L6006" t="s">
        <v>14983</v>
      </c>
      <c r="M6006" t="s">
        <v>1634</v>
      </c>
    </row>
    <row r="6007" spans="1:13" x14ac:dyDescent="0.25">
      <c r="A6007">
        <v>4508</v>
      </c>
      <c r="B6007" t="s">
        <v>14980</v>
      </c>
      <c r="C6007" t="s">
        <v>14981</v>
      </c>
      <c r="D6007" t="s">
        <v>2596</v>
      </c>
      <c r="E6007" t="s">
        <v>496</v>
      </c>
      <c r="F6007" t="s">
        <v>2997</v>
      </c>
      <c r="G6007" t="s">
        <v>14913</v>
      </c>
      <c r="L6007" t="s">
        <v>1721</v>
      </c>
      <c r="M6007" t="s">
        <v>1634</v>
      </c>
    </row>
    <row r="6008" spans="1:13" x14ac:dyDescent="0.25">
      <c r="A6008">
        <v>4508</v>
      </c>
      <c r="B6008" t="s">
        <v>14980</v>
      </c>
      <c r="C6008" t="s">
        <v>14981</v>
      </c>
      <c r="D6008" t="s">
        <v>2596</v>
      </c>
      <c r="E6008" t="s">
        <v>496</v>
      </c>
      <c r="F6008" t="s">
        <v>14984</v>
      </c>
      <c r="G6008" t="s">
        <v>14985</v>
      </c>
      <c r="H6008">
        <v>9283141885</v>
      </c>
      <c r="K6008" t="s">
        <v>14986</v>
      </c>
      <c r="L6008" t="s">
        <v>1746</v>
      </c>
      <c r="M6008" t="s">
        <v>1634</v>
      </c>
    </row>
    <row r="6009" spans="1:13" x14ac:dyDescent="0.25">
      <c r="A6009">
        <v>4508</v>
      </c>
      <c r="B6009" t="s">
        <v>14980</v>
      </c>
      <c r="C6009" t="s">
        <v>14981</v>
      </c>
      <c r="D6009" t="s">
        <v>2596</v>
      </c>
      <c r="E6009" t="s">
        <v>496</v>
      </c>
      <c r="F6009" t="s">
        <v>14987</v>
      </c>
      <c r="G6009" t="s">
        <v>3151</v>
      </c>
      <c r="H6009">
        <v>9283141900</v>
      </c>
      <c r="K6009" t="s">
        <v>14988</v>
      </c>
      <c r="L6009" t="s">
        <v>1640</v>
      </c>
      <c r="M6009" t="s">
        <v>1640</v>
      </c>
    </row>
    <row r="6010" spans="1:13" x14ac:dyDescent="0.25">
      <c r="A6010">
        <v>4508</v>
      </c>
      <c r="B6010" t="s">
        <v>14980</v>
      </c>
      <c r="C6010" t="s">
        <v>14981</v>
      </c>
      <c r="D6010" t="s">
        <v>2596</v>
      </c>
      <c r="E6010" t="s">
        <v>496</v>
      </c>
      <c r="F6010" t="s">
        <v>2699</v>
      </c>
      <c r="G6010" t="s">
        <v>5498</v>
      </c>
      <c r="H6010">
        <v>9283141918</v>
      </c>
      <c r="K6010" t="s">
        <v>14989</v>
      </c>
      <c r="L6010" t="s">
        <v>1765</v>
      </c>
      <c r="M6010" t="s">
        <v>1765</v>
      </c>
    </row>
    <row r="6011" spans="1:13" x14ac:dyDescent="0.25">
      <c r="A6011">
        <v>6192</v>
      </c>
      <c r="B6011" t="s">
        <v>14990</v>
      </c>
      <c r="C6011" t="s">
        <v>14991</v>
      </c>
      <c r="D6011" t="s">
        <v>2605</v>
      </c>
      <c r="E6011" t="s">
        <v>496</v>
      </c>
      <c r="F6011" t="s">
        <v>2997</v>
      </c>
      <c r="G6011" t="s">
        <v>14913</v>
      </c>
      <c r="H6011">
        <v>9283141917</v>
      </c>
      <c r="J6011">
        <v>9087262826</v>
      </c>
      <c r="K6011" t="s">
        <v>14992</v>
      </c>
      <c r="L6011" t="s">
        <v>1647</v>
      </c>
      <c r="M6011" t="s">
        <v>1634</v>
      </c>
    </row>
    <row r="6012" spans="1:13" x14ac:dyDescent="0.25">
      <c r="A6012">
        <v>6192</v>
      </c>
      <c r="B6012" t="s">
        <v>14990</v>
      </c>
      <c r="C6012" t="s">
        <v>14991</v>
      </c>
      <c r="D6012" t="s">
        <v>2605</v>
      </c>
      <c r="E6012" t="s">
        <v>496</v>
      </c>
      <c r="F6012" t="s">
        <v>14993</v>
      </c>
      <c r="G6012" t="s">
        <v>14994</v>
      </c>
      <c r="H6012">
        <v>9283141918</v>
      </c>
      <c r="L6012" t="s">
        <v>14995</v>
      </c>
      <c r="M6012" t="s">
        <v>1765</v>
      </c>
    </row>
    <row r="6013" spans="1:13" x14ac:dyDescent="0.25">
      <c r="A6013">
        <v>4509</v>
      </c>
      <c r="B6013" t="s">
        <v>14996</v>
      </c>
      <c r="C6013" t="s">
        <v>14997</v>
      </c>
      <c r="D6013" t="s">
        <v>2596</v>
      </c>
      <c r="E6013" t="s">
        <v>496</v>
      </c>
      <c r="F6013" t="s">
        <v>4581</v>
      </c>
      <c r="G6013" t="s">
        <v>14998</v>
      </c>
      <c r="H6013">
        <v>9283290990</v>
      </c>
      <c r="I6013">
        <v>141</v>
      </c>
      <c r="K6013" t="s">
        <v>14999</v>
      </c>
      <c r="L6013" t="s">
        <v>9084</v>
      </c>
      <c r="M6013" t="s">
        <v>1634</v>
      </c>
    </row>
    <row r="6014" spans="1:13" x14ac:dyDescent="0.25">
      <c r="A6014">
        <v>4509</v>
      </c>
      <c r="B6014" t="s">
        <v>14996</v>
      </c>
      <c r="C6014" t="s">
        <v>14997</v>
      </c>
      <c r="D6014" t="s">
        <v>2596</v>
      </c>
      <c r="E6014" t="s">
        <v>496</v>
      </c>
      <c r="F6014" t="s">
        <v>1914</v>
      </c>
      <c r="G6014" t="s">
        <v>6184</v>
      </c>
      <c r="H6014">
        <v>9283290990</v>
      </c>
      <c r="K6014" t="s">
        <v>15000</v>
      </c>
      <c r="L6014" t="s">
        <v>15001</v>
      </c>
      <c r="M6014" t="s">
        <v>1640</v>
      </c>
    </row>
    <row r="6015" spans="1:13" x14ac:dyDescent="0.25">
      <c r="A6015">
        <v>4509</v>
      </c>
      <c r="B6015" t="s">
        <v>14996</v>
      </c>
      <c r="C6015" t="s">
        <v>14997</v>
      </c>
      <c r="D6015" t="s">
        <v>2596</v>
      </c>
      <c r="E6015" t="s">
        <v>496</v>
      </c>
      <c r="F6015" t="s">
        <v>3193</v>
      </c>
      <c r="G6015" t="s">
        <v>15002</v>
      </c>
      <c r="J6015">
        <v>9283299377</v>
      </c>
      <c r="K6015" t="s">
        <v>15003</v>
      </c>
      <c r="L6015" t="s">
        <v>15004</v>
      </c>
      <c r="M6015" t="s">
        <v>1640</v>
      </c>
    </row>
    <row r="6016" spans="1:13" x14ac:dyDescent="0.25">
      <c r="A6016">
        <v>4509</v>
      </c>
      <c r="B6016" t="s">
        <v>14996</v>
      </c>
      <c r="C6016" t="s">
        <v>14997</v>
      </c>
      <c r="D6016" t="s">
        <v>2596</v>
      </c>
      <c r="E6016" t="s">
        <v>496</v>
      </c>
      <c r="F6016" t="s">
        <v>3193</v>
      </c>
      <c r="G6016" t="s">
        <v>15002</v>
      </c>
      <c r="J6016">
        <v>9283299377</v>
      </c>
      <c r="K6016" t="s">
        <v>15003</v>
      </c>
      <c r="L6016" t="s">
        <v>15004</v>
      </c>
      <c r="M6016" t="s">
        <v>1765</v>
      </c>
    </row>
    <row r="6017" spans="1:13" x14ac:dyDescent="0.25">
      <c r="A6017">
        <v>6193</v>
      </c>
      <c r="B6017" t="s">
        <v>15005</v>
      </c>
      <c r="C6017" t="s">
        <v>15006</v>
      </c>
      <c r="D6017" t="s">
        <v>2605</v>
      </c>
      <c r="E6017" t="s">
        <v>496</v>
      </c>
      <c r="F6017" t="s">
        <v>3193</v>
      </c>
      <c r="G6017" t="s">
        <v>15002</v>
      </c>
      <c r="I6017">
        <v>131</v>
      </c>
      <c r="J6017">
        <v>9287829558</v>
      </c>
      <c r="K6017" t="s">
        <v>15003</v>
      </c>
      <c r="M6017" t="s">
        <v>1634</v>
      </c>
    </row>
    <row r="6018" spans="1:13" x14ac:dyDescent="0.25">
      <c r="A6018">
        <v>79064</v>
      </c>
      <c r="B6018" t="s">
        <v>15007</v>
      </c>
      <c r="C6018" t="s">
        <v>15008</v>
      </c>
      <c r="D6018" t="s">
        <v>2596</v>
      </c>
      <c r="E6018" t="s">
        <v>496</v>
      </c>
      <c r="F6018" t="s">
        <v>2756</v>
      </c>
      <c r="G6018" t="s">
        <v>15009</v>
      </c>
      <c r="H6018">
        <v>9288178060</v>
      </c>
      <c r="J6018">
        <v>9287833473</v>
      </c>
      <c r="K6018" t="s">
        <v>15010</v>
      </c>
      <c r="L6018" t="s">
        <v>11191</v>
      </c>
      <c r="M6018" t="s">
        <v>1640</v>
      </c>
    </row>
    <row r="6019" spans="1:13" x14ac:dyDescent="0.25">
      <c r="A6019">
        <v>79112</v>
      </c>
      <c r="B6019" t="s">
        <v>15011</v>
      </c>
      <c r="C6019" t="s">
        <v>15012</v>
      </c>
      <c r="D6019" t="s">
        <v>2605</v>
      </c>
      <c r="E6019" t="s">
        <v>496</v>
      </c>
      <c r="F6019" t="s">
        <v>2788</v>
      </c>
      <c r="G6019" t="s">
        <v>15013</v>
      </c>
      <c r="H6019">
        <v>9283141102</v>
      </c>
      <c r="J6019">
        <v>9283141086</v>
      </c>
      <c r="K6019" t="s">
        <v>15014</v>
      </c>
      <c r="M6019" t="s">
        <v>1634</v>
      </c>
    </row>
    <row r="6020" spans="1:13" x14ac:dyDescent="0.25">
      <c r="A6020">
        <v>79112</v>
      </c>
      <c r="B6020" t="s">
        <v>15011</v>
      </c>
      <c r="C6020" t="s">
        <v>15012</v>
      </c>
      <c r="D6020" t="s">
        <v>2605</v>
      </c>
      <c r="E6020" t="s">
        <v>496</v>
      </c>
      <c r="F6020" t="s">
        <v>3879</v>
      </c>
      <c r="G6020" t="s">
        <v>15015</v>
      </c>
      <c r="L6020" t="s">
        <v>1721</v>
      </c>
      <c r="M6020" t="s">
        <v>1634</v>
      </c>
    </row>
    <row r="6021" spans="1:13" x14ac:dyDescent="0.25">
      <c r="A6021">
        <v>79501</v>
      </c>
      <c r="B6021" t="s">
        <v>15016</v>
      </c>
      <c r="C6021" t="s">
        <v>15017</v>
      </c>
      <c r="D6021" t="s">
        <v>2596</v>
      </c>
      <c r="E6021" t="s">
        <v>496</v>
      </c>
      <c r="F6021" t="s">
        <v>2330</v>
      </c>
      <c r="G6021" t="s">
        <v>12233</v>
      </c>
      <c r="H6021">
        <v>9287836266</v>
      </c>
      <c r="J6021">
        <v>9283178166</v>
      </c>
      <c r="K6021" t="s">
        <v>15018</v>
      </c>
      <c r="L6021" t="s">
        <v>15019</v>
      </c>
      <c r="M6021" t="s">
        <v>1634</v>
      </c>
    </row>
    <row r="6022" spans="1:13" x14ac:dyDescent="0.25">
      <c r="A6022">
        <v>79501</v>
      </c>
      <c r="B6022" t="s">
        <v>15016</v>
      </c>
      <c r="C6022" t="s">
        <v>15017</v>
      </c>
      <c r="D6022" t="s">
        <v>2596</v>
      </c>
      <c r="E6022" t="s">
        <v>496</v>
      </c>
      <c r="F6022" t="s">
        <v>15020</v>
      </c>
      <c r="G6022" t="s">
        <v>15021</v>
      </c>
      <c r="H6022">
        <v>9287822052</v>
      </c>
      <c r="K6022" t="s">
        <v>15022</v>
      </c>
      <c r="L6022" t="s">
        <v>15023</v>
      </c>
      <c r="M6022" t="s">
        <v>1634</v>
      </c>
    </row>
    <row r="6023" spans="1:13" x14ac:dyDescent="0.25">
      <c r="A6023">
        <v>79501</v>
      </c>
      <c r="B6023" t="s">
        <v>15016</v>
      </c>
      <c r="C6023" t="s">
        <v>15017</v>
      </c>
      <c r="D6023" t="s">
        <v>2596</v>
      </c>
      <c r="E6023" t="s">
        <v>496</v>
      </c>
      <c r="F6023" t="s">
        <v>2099</v>
      </c>
      <c r="G6023" t="s">
        <v>12371</v>
      </c>
      <c r="K6023" t="s">
        <v>15024</v>
      </c>
      <c r="L6023" t="s">
        <v>14154</v>
      </c>
      <c r="M6023" t="s">
        <v>1640</v>
      </c>
    </row>
    <row r="6024" spans="1:13" x14ac:dyDescent="0.25">
      <c r="A6024">
        <v>79513</v>
      </c>
      <c r="B6024" t="s">
        <v>15025</v>
      </c>
      <c r="C6024" t="s">
        <v>15026</v>
      </c>
      <c r="D6024" t="s">
        <v>2605</v>
      </c>
      <c r="E6024" t="s">
        <v>496</v>
      </c>
      <c r="F6024" t="s">
        <v>2330</v>
      </c>
      <c r="G6024" t="s">
        <v>12233</v>
      </c>
      <c r="H6024">
        <v>9287822052</v>
      </c>
      <c r="J6024">
        <v>9287834543</v>
      </c>
      <c r="K6024" t="s">
        <v>15018</v>
      </c>
      <c r="M6024" t="s">
        <v>1634</v>
      </c>
    </row>
    <row r="6025" spans="1:13" x14ac:dyDescent="0.25">
      <c r="A6025">
        <v>90277</v>
      </c>
      <c r="B6025" t="s">
        <v>15027</v>
      </c>
      <c r="C6025" t="s">
        <v>15028</v>
      </c>
      <c r="D6025" t="s">
        <v>2605</v>
      </c>
      <c r="E6025" t="s">
        <v>496</v>
      </c>
    </row>
    <row r="6026" spans="1:13" x14ac:dyDescent="0.25">
      <c r="A6026">
        <v>92523</v>
      </c>
      <c r="B6026" t="s">
        <v>15029</v>
      </c>
      <c r="C6026" t="s">
        <v>15030</v>
      </c>
      <c r="D6026" t="s">
        <v>2605</v>
      </c>
      <c r="E6026" t="s">
        <v>496</v>
      </c>
      <c r="F6026" t="s">
        <v>9455</v>
      </c>
      <c r="G6026" t="s">
        <v>15031</v>
      </c>
      <c r="H6026">
        <v>6027082334</v>
      </c>
      <c r="J6026">
        <v>6022363248</v>
      </c>
      <c r="L6026" t="s">
        <v>1647</v>
      </c>
      <c r="M6026" t="s">
        <v>1634</v>
      </c>
    </row>
    <row r="6027" spans="1:13" x14ac:dyDescent="0.25">
      <c r="A6027">
        <v>80001</v>
      </c>
      <c r="B6027" t="s">
        <v>15032</v>
      </c>
      <c r="C6027" t="s">
        <v>15033</v>
      </c>
      <c r="D6027" t="s">
        <v>2596</v>
      </c>
      <c r="E6027" t="s">
        <v>496</v>
      </c>
      <c r="F6027" t="s">
        <v>2788</v>
      </c>
      <c r="G6027" t="s">
        <v>15013</v>
      </c>
      <c r="H6027">
        <v>9288178060</v>
      </c>
      <c r="J6027">
        <v>9283173113</v>
      </c>
      <c r="K6027" t="s">
        <v>15014</v>
      </c>
      <c r="L6027" t="s">
        <v>3043</v>
      </c>
      <c r="M6027" t="s">
        <v>1634</v>
      </c>
    </row>
    <row r="6028" spans="1:13" x14ac:dyDescent="0.25">
      <c r="A6028">
        <v>80001</v>
      </c>
      <c r="B6028" t="s">
        <v>15032</v>
      </c>
      <c r="C6028" t="s">
        <v>15033</v>
      </c>
      <c r="D6028" t="s">
        <v>2596</v>
      </c>
      <c r="E6028" t="s">
        <v>496</v>
      </c>
      <c r="F6028" t="s">
        <v>2756</v>
      </c>
      <c r="G6028" t="s">
        <v>15009</v>
      </c>
      <c r="H6028">
        <v>9288178060</v>
      </c>
      <c r="J6028">
        <v>9287833473</v>
      </c>
      <c r="K6028" t="s">
        <v>15010</v>
      </c>
      <c r="L6028" t="s">
        <v>15034</v>
      </c>
      <c r="M6028" t="s">
        <v>1640</v>
      </c>
    </row>
    <row r="6029" spans="1:13" x14ac:dyDescent="0.25">
      <c r="A6029">
        <v>80002</v>
      </c>
      <c r="B6029" t="s">
        <v>15035</v>
      </c>
      <c r="C6029" t="s">
        <v>15036</v>
      </c>
      <c r="D6029" t="s">
        <v>2605</v>
      </c>
      <c r="E6029" t="s">
        <v>496</v>
      </c>
      <c r="F6029" t="s">
        <v>2788</v>
      </c>
      <c r="G6029" t="s">
        <v>15013</v>
      </c>
      <c r="H6029">
        <v>9283173113</v>
      </c>
      <c r="J6029">
        <v>9283170828</v>
      </c>
      <c r="K6029" t="s">
        <v>15037</v>
      </c>
      <c r="M6029" t="s">
        <v>1634</v>
      </c>
    </row>
    <row r="6030" spans="1:13" x14ac:dyDescent="0.25">
      <c r="A6030">
        <v>80002</v>
      </c>
      <c r="B6030" t="s">
        <v>15035</v>
      </c>
      <c r="C6030" t="s">
        <v>15036</v>
      </c>
      <c r="D6030" t="s">
        <v>2605</v>
      </c>
      <c r="E6030" t="s">
        <v>496</v>
      </c>
      <c r="F6030" t="s">
        <v>1652</v>
      </c>
      <c r="G6030" t="s">
        <v>15038</v>
      </c>
      <c r="H6030">
        <v>9283173113</v>
      </c>
      <c r="L6030" t="s">
        <v>1647</v>
      </c>
      <c r="M6030" t="s">
        <v>1634</v>
      </c>
    </row>
    <row r="6031" spans="1:13" x14ac:dyDescent="0.25">
      <c r="A6031">
        <v>80002</v>
      </c>
      <c r="B6031" t="s">
        <v>15035</v>
      </c>
      <c r="C6031" t="s">
        <v>15036</v>
      </c>
      <c r="D6031" t="s">
        <v>2605</v>
      </c>
      <c r="E6031" t="s">
        <v>496</v>
      </c>
      <c r="F6031" t="s">
        <v>15039</v>
      </c>
      <c r="G6031" t="s">
        <v>5522</v>
      </c>
      <c r="H6031">
        <v>9283173113</v>
      </c>
      <c r="K6031" t="s">
        <v>15040</v>
      </c>
      <c r="L6031" t="s">
        <v>1647</v>
      </c>
      <c r="M6031" t="s">
        <v>1634</v>
      </c>
    </row>
    <row r="6032" spans="1:13" x14ac:dyDescent="0.25">
      <c r="A6032">
        <v>80002</v>
      </c>
      <c r="B6032" t="s">
        <v>15035</v>
      </c>
      <c r="C6032" t="s">
        <v>15036</v>
      </c>
      <c r="D6032" t="s">
        <v>2605</v>
      </c>
      <c r="E6032" t="s">
        <v>496</v>
      </c>
      <c r="F6032" t="s">
        <v>2756</v>
      </c>
      <c r="G6032" t="s">
        <v>15009</v>
      </c>
      <c r="H6032">
        <v>9283173113</v>
      </c>
      <c r="J6032">
        <v>9287833473</v>
      </c>
      <c r="K6032" t="s">
        <v>15010</v>
      </c>
      <c r="L6032" t="s">
        <v>1640</v>
      </c>
      <c r="M6032" t="s">
        <v>1640</v>
      </c>
    </row>
    <row r="6033" spans="1:13" x14ac:dyDescent="0.25">
      <c r="A6033">
        <v>89656</v>
      </c>
      <c r="B6033" t="s">
        <v>15041</v>
      </c>
      <c r="C6033" t="s">
        <v>15042</v>
      </c>
      <c r="D6033" t="s">
        <v>2605</v>
      </c>
      <c r="E6033" t="s">
        <v>496</v>
      </c>
      <c r="F6033" t="s">
        <v>2756</v>
      </c>
      <c r="G6033" t="s">
        <v>15009</v>
      </c>
      <c r="H6033">
        <v>9283173113</v>
      </c>
      <c r="K6033" t="s">
        <v>15043</v>
      </c>
      <c r="M6033" t="s">
        <v>1634</v>
      </c>
    </row>
    <row r="6034" spans="1:13" x14ac:dyDescent="0.25">
      <c r="A6034">
        <v>4510</v>
      </c>
      <c r="B6034" t="s">
        <v>361</v>
      </c>
      <c r="C6034" t="s">
        <v>15044</v>
      </c>
      <c r="D6034" t="s">
        <v>1628</v>
      </c>
      <c r="E6034" t="s">
        <v>15045</v>
      </c>
      <c r="F6034" t="s">
        <v>4334</v>
      </c>
      <c r="G6034" t="s">
        <v>15046</v>
      </c>
      <c r="H6034">
        <v>9286699244</v>
      </c>
      <c r="J6034">
        <v>9286692515</v>
      </c>
      <c r="K6034" t="s">
        <v>15047</v>
      </c>
      <c r="L6034" t="s">
        <v>1668</v>
      </c>
      <c r="M6034" t="s">
        <v>1634</v>
      </c>
    </row>
    <row r="6035" spans="1:13" x14ac:dyDescent="0.25">
      <c r="A6035">
        <v>4510</v>
      </c>
      <c r="B6035" t="s">
        <v>361</v>
      </c>
      <c r="C6035" t="s">
        <v>15044</v>
      </c>
      <c r="D6035" t="s">
        <v>1628</v>
      </c>
      <c r="E6035" t="s">
        <v>15045</v>
      </c>
      <c r="F6035" t="s">
        <v>3533</v>
      </c>
      <c r="G6035" t="s">
        <v>12371</v>
      </c>
      <c r="K6035" t="s">
        <v>15048</v>
      </c>
      <c r="L6035" t="s">
        <v>1640</v>
      </c>
      <c r="M6035" t="s">
        <v>1640</v>
      </c>
    </row>
    <row r="6036" spans="1:13" x14ac:dyDescent="0.25">
      <c r="A6036">
        <v>4510</v>
      </c>
      <c r="B6036" t="s">
        <v>361</v>
      </c>
      <c r="C6036" t="s">
        <v>15044</v>
      </c>
      <c r="D6036" t="s">
        <v>1628</v>
      </c>
      <c r="E6036" t="s">
        <v>15045</v>
      </c>
      <c r="F6036" t="s">
        <v>3999</v>
      </c>
      <c r="G6036" t="s">
        <v>15049</v>
      </c>
      <c r="I6036">
        <v>1400</v>
      </c>
      <c r="J6036">
        <v>9286692515</v>
      </c>
      <c r="K6036" t="s">
        <v>15050</v>
      </c>
      <c r="L6036" t="s">
        <v>15051</v>
      </c>
      <c r="M6036" t="s">
        <v>1765</v>
      </c>
    </row>
    <row r="6037" spans="1:13" x14ac:dyDescent="0.25">
      <c r="A6037">
        <v>6194</v>
      </c>
      <c r="B6037" t="s">
        <v>15052</v>
      </c>
      <c r="C6037" t="s">
        <v>15053</v>
      </c>
      <c r="D6037" t="s">
        <v>1643</v>
      </c>
      <c r="E6037" t="s">
        <v>15045</v>
      </c>
      <c r="F6037" t="s">
        <v>4273</v>
      </c>
      <c r="G6037" t="s">
        <v>15054</v>
      </c>
      <c r="K6037" t="s">
        <v>15055</v>
      </c>
      <c r="L6037" t="s">
        <v>1647</v>
      </c>
      <c r="M6037" t="s">
        <v>1634</v>
      </c>
    </row>
    <row r="6038" spans="1:13" x14ac:dyDescent="0.25">
      <c r="A6038">
        <v>6195</v>
      </c>
      <c r="B6038" t="s">
        <v>15056</v>
      </c>
      <c r="C6038" t="s">
        <v>15057</v>
      </c>
      <c r="D6038" t="s">
        <v>1643</v>
      </c>
      <c r="E6038" t="s">
        <v>15045</v>
      </c>
      <c r="F6038" t="s">
        <v>4334</v>
      </c>
      <c r="G6038" t="s">
        <v>15046</v>
      </c>
      <c r="K6038" t="s">
        <v>15047</v>
      </c>
      <c r="L6038" t="s">
        <v>1647</v>
      </c>
      <c r="M6038" t="s">
        <v>1634</v>
      </c>
    </row>
    <row r="6039" spans="1:13" x14ac:dyDescent="0.25">
      <c r="A6039">
        <v>6195</v>
      </c>
      <c r="B6039" t="s">
        <v>15056</v>
      </c>
      <c r="C6039" t="s">
        <v>15057</v>
      </c>
      <c r="D6039" t="s">
        <v>1643</v>
      </c>
      <c r="E6039" t="s">
        <v>15045</v>
      </c>
      <c r="F6039" t="s">
        <v>1943</v>
      </c>
      <c r="G6039" t="s">
        <v>15058</v>
      </c>
      <c r="K6039" t="s">
        <v>15059</v>
      </c>
      <c r="L6039" t="s">
        <v>1647</v>
      </c>
      <c r="M6039" t="s">
        <v>1634</v>
      </c>
    </row>
    <row r="6040" spans="1:13" x14ac:dyDescent="0.25">
      <c r="A6040">
        <v>6195</v>
      </c>
      <c r="B6040" t="s">
        <v>15056</v>
      </c>
      <c r="C6040" t="s">
        <v>15057</v>
      </c>
      <c r="D6040" t="s">
        <v>1643</v>
      </c>
      <c r="E6040" t="s">
        <v>15045</v>
      </c>
      <c r="F6040" t="s">
        <v>1692</v>
      </c>
      <c r="G6040" t="s">
        <v>3454</v>
      </c>
      <c r="H6040">
        <v>9286692141</v>
      </c>
      <c r="K6040" t="s">
        <v>15060</v>
      </c>
      <c r="M6040" t="s">
        <v>1634</v>
      </c>
    </row>
    <row r="6041" spans="1:13" x14ac:dyDescent="0.25">
      <c r="A6041">
        <v>6196</v>
      </c>
      <c r="B6041" t="s">
        <v>362</v>
      </c>
      <c r="C6041" t="s">
        <v>15061</v>
      </c>
      <c r="D6041" t="s">
        <v>1643</v>
      </c>
      <c r="E6041" t="s">
        <v>15045</v>
      </c>
      <c r="F6041" t="s">
        <v>1723</v>
      </c>
      <c r="G6041" t="s">
        <v>12972</v>
      </c>
      <c r="H6041">
        <v>9286694306</v>
      </c>
      <c r="K6041" t="s">
        <v>15062</v>
      </c>
      <c r="M6041" t="s">
        <v>1634</v>
      </c>
    </row>
    <row r="6042" spans="1:13" x14ac:dyDescent="0.25">
      <c r="A6042">
        <v>6196</v>
      </c>
      <c r="B6042" t="s">
        <v>362</v>
      </c>
      <c r="C6042" t="s">
        <v>15061</v>
      </c>
      <c r="D6042" t="s">
        <v>1643</v>
      </c>
      <c r="E6042" t="s">
        <v>15045</v>
      </c>
      <c r="F6042" t="s">
        <v>4334</v>
      </c>
      <c r="G6042" t="s">
        <v>15046</v>
      </c>
      <c r="K6042" t="s">
        <v>15047</v>
      </c>
      <c r="L6042" t="s">
        <v>1647</v>
      </c>
      <c r="M6042" t="s">
        <v>1634</v>
      </c>
    </row>
    <row r="6043" spans="1:13" x14ac:dyDescent="0.25">
      <c r="A6043">
        <v>6196</v>
      </c>
      <c r="B6043" t="s">
        <v>362</v>
      </c>
      <c r="C6043" t="s">
        <v>15061</v>
      </c>
      <c r="D6043" t="s">
        <v>1643</v>
      </c>
      <c r="E6043" t="s">
        <v>15045</v>
      </c>
      <c r="F6043" t="s">
        <v>3193</v>
      </c>
      <c r="G6043" t="s">
        <v>15063</v>
      </c>
      <c r="H6043">
        <v>9286624306</v>
      </c>
      <c r="K6043" t="s">
        <v>15064</v>
      </c>
      <c r="L6043" t="s">
        <v>1721</v>
      </c>
      <c r="M6043" t="s">
        <v>1634</v>
      </c>
    </row>
    <row r="6044" spans="1:13" x14ac:dyDescent="0.25">
      <c r="A6044">
        <v>78929</v>
      </c>
      <c r="B6044" t="s">
        <v>15065</v>
      </c>
      <c r="C6044" t="s">
        <v>15066</v>
      </c>
      <c r="D6044" t="s">
        <v>1643</v>
      </c>
      <c r="E6044" t="s">
        <v>15045</v>
      </c>
      <c r="F6044" t="s">
        <v>3003</v>
      </c>
      <c r="G6044" t="s">
        <v>15067</v>
      </c>
      <c r="H6044">
        <v>9286692141</v>
      </c>
      <c r="I6044">
        <v>1203</v>
      </c>
      <c r="J6044">
        <v>9286692515</v>
      </c>
      <c r="K6044" t="s">
        <v>15068</v>
      </c>
      <c r="M6044" t="s">
        <v>1634</v>
      </c>
    </row>
    <row r="6045" spans="1:13" x14ac:dyDescent="0.25">
      <c r="A6045">
        <v>78929</v>
      </c>
      <c r="B6045" t="s">
        <v>15065</v>
      </c>
      <c r="C6045" t="s">
        <v>15066</v>
      </c>
      <c r="D6045" t="s">
        <v>1643</v>
      </c>
      <c r="E6045" t="s">
        <v>15045</v>
      </c>
      <c r="F6045" t="s">
        <v>15069</v>
      </c>
      <c r="G6045" t="s">
        <v>15070</v>
      </c>
      <c r="H6045">
        <v>9286692141</v>
      </c>
      <c r="K6045" t="s">
        <v>15071</v>
      </c>
      <c r="M6045" t="s">
        <v>1634</v>
      </c>
    </row>
    <row r="6046" spans="1:13" x14ac:dyDescent="0.25">
      <c r="A6046">
        <v>78929</v>
      </c>
      <c r="B6046" t="s">
        <v>15065</v>
      </c>
      <c r="C6046" t="s">
        <v>15066</v>
      </c>
      <c r="D6046" t="s">
        <v>1643</v>
      </c>
      <c r="E6046" t="s">
        <v>15045</v>
      </c>
      <c r="F6046" t="s">
        <v>4334</v>
      </c>
      <c r="G6046" t="s">
        <v>15046</v>
      </c>
      <c r="H6046">
        <v>9286699244</v>
      </c>
      <c r="J6046">
        <v>9286692515</v>
      </c>
      <c r="K6046" t="s">
        <v>15047</v>
      </c>
      <c r="L6046" t="s">
        <v>2613</v>
      </c>
      <c r="M6046" t="s">
        <v>1634</v>
      </c>
    </row>
    <row r="6047" spans="1:13" x14ac:dyDescent="0.25">
      <c r="A6047">
        <v>78929</v>
      </c>
      <c r="B6047" t="s">
        <v>15065</v>
      </c>
      <c r="C6047" t="s">
        <v>15066</v>
      </c>
      <c r="D6047" t="s">
        <v>1643</v>
      </c>
      <c r="E6047" t="s">
        <v>15045</v>
      </c>
      <c r="F6047" t="s">
        <v>1723</v>
      </c>
      <c r="G6047" t="s">
        <v>15072</v>
      </c>
      <c r="K6047" t="s">
        <v>15073</v>
      </c>
      <c r="L6047" t="s">
        <v>2584</v>
      </c>
      <c r="M6047" t="s">
        <v>1634</v>
      </c>
    </row>
    <row r="6048" spans="1:13" x14ac:dyDescent="0.25">
      <c r="A6048">
        <v>78929</v>
      </c>
      <c r="B6048" t="s">
        <v>15065</v>
      </c>
      <c r="C6048" t="s">
        <v>15066</v>
      </c>
      <c r="D6048" t="s">
        <v>1643</v>
      </c>
      <c r="E6048" t="s">
        <v>15045</v>
      </c>
      <c r="F6048" t="s">
        <v>5697</v>
      </c>
      <c r="G6048" t="s">
        <v>12176</v>
      </c>
      <c r="H6048">
        <v>9286692141</v>
      </c>
      <c r="K6048" t="s">
        <v>15074</v>
      </c>
      <c r="L6048" t="s">
        <v>1728</v>
      </c>
      <c r="M6048" t="s">
        <v>1634</v>
      </c>
    </row>
    <row r="6049" spans="1:13" x14ac:dyDescent="0.25">
      <c r="A6049">
        <v>6197</v>
      </c>
      <c r="B6049" t="s">
        <v>15075</v>
      </c>
      <c r="C6049" t="s">
        <v>15076</v>
      </c>
      <c r="D6049" t="s">
        <v>1643</v>
      </c>
      <c r="E6049" t="s">
        <v>15045</v>
      </c>
      <c r="F6049" t="s">
        <v>15077</v>
      </c>
      <c r="G6049" t="s">
        <v>15078</v>
      </c>
      <c r="H6049">
        <v>9286692202</v>
      </c>
      <c r="J6049">
        <v>9286692315</v>
      </c>
      <c r="K6049" t="s">
        <v>15079</v>
      </c>
      <c r="M6049" t="s">
        <v>1634</v>
      </c>
    </row>
    <row r="6050" spans="1:13" x14ac:dyDescent="0.25">
      <c r="A6050">
        <v>80408</v>
      </c>
      <c r="B6050" t="s">
        <v>15080</v>
      </c>
      <c r="C6050" t="s">
        <v>15081</v>
      </c>
      <c r="D6050" t="s">
        <v>1643</v>
      </c>
      <c r="E6050" t="s">
        <v>15045</v>
      </c>
      <c r="F6050" t="s">
        <v>15077</v>
      </c>
      <c r="G6050" t="s">
        <v>15078</v>
      </c>
      <c r="H6050">
        <v>9286692197</v>
      </c>
      <c r="J6050">
        <v>9286692197</v>
      </c>
      <c r="K6050" t="s">
        <v>15079</v>
      </c>
      <c r="M6050" t="s">
        <v>1634</v>
      </c>
    </row>
    <row r="6051" spans="1:13" x14ac:dyDescent="0.25">
      <c r="A6051">
        <v>4511</v>
      </c>
      <c r="B6051" t="s">
        <v>15082</v>
      </c>
      <c r="C6051" t="s">
        <v>15083</v>
      </c>
      <c r="D6051" t="s">
        <v>1628</v>
      </c>
      <c r="E6051" t="s">
        <v>15045</v>
      </c>
      <c r="F6051" t="s">
        <v>4868</v>
      </c>
      <c r="G6051" t="s">
        <v>10827</v>
      </c>
      <c r="K6051" t="s">
        <v>15084</v>
      </c>
      <c r="L6051" t="s">
        <v>1668</v>
      </c>
      <c r="M6051" t="s">
        <v>1634</v>
      </c>
    </row>
    <row r="6052" spans="1:13" x14ac:dyDescent="0.25">
      <c r="A6052">
        <v>4511</v>
      </c>
      <c r="B6052" t="s">
        <v>15082</v>
      </c>
      <c r="C6052" t="s">
        <v>15083</v>
      </c>
      <c r="D6052" t="s">
        <v>1628</v>
      </c>
      <c r="E6052" t="s">
        <v>15045</v>
      </c>
      <c r="F6052" t="s">
        <v>3842</v>
      </c>
      <c r="G6052" t="s">
        <v>15085</v>
      </c>
      <c r="K6052" t="s">
        <v>15086</v>
      </c>
      <c r="L6052" t="s">
        <v>1668</v>
      </c>
      <c r="M6052" t="s">
        <v>1634</v>
      </c>
    </row>
    <row r="6053" spans="1:13" x14ac:dyDescent="0.25">
      <c r="A6053">
        <v>4511</v>
      </c>
      <c r="B6053" t="s">
        <v>15082</v>
      </c>
      <c r="C6053" t="s">
        <v>15083</v>
      </c>
      <c r="D6053" t="s">
        <v>1628</v>
      </c>
      <c r="E6053" t="s">
        <v>15045</v>
      </c>
      <c r="F6053" t="s">
        <v>13454</v>
      </c>
      <c r="G6053" t="s">
        <v>10975</v>
      </c>
      <c r="J6053">
        <v>9289238908</v>
      </c>
      <c r="K6053" t="s">
        <v>15087</v>
      </c>
      <c r="L6053" t="s">
        <v>1640</v>
      </c>
      <c r="M6053" t="s">
        <v>1640</v>
      </c>
    </row>
    <row r="6054" spans="1:13" x14ac:dyDescent="0.25">
      <c r="A6054">
        <v>6198</v>
      </c>
      <c r="B6054" t="s">
        <v>15088</v>
      </c>
      <c r="C6054" t="s">
        <v>15089</v>
      </c>
      <c r="D6054" t="s">
        <v>1643</v>
      </c>
      <c r="E6054" t="s">
        <v>15045</v>
      </c>
      <c r="F6054" t="s">
        <v>15090</v>
      </c>
      <c r="G6054" t="s">
        <v>6505</v>
      </c>
      <c r="L6054" t="s">
        <v>1647</v>
      </c>
      <c r="M6054" t="s">
        <v>1634</v>
      </c>
    </row>
    <row r="6055" spans="1:13" x14ac:dyDescent="0.25">
      <c r="A6055">
        <v>6198</v>
      </c>
      <c r="B6055" t="s">
        <v>15088</v>
      </c>
      <c r="C6055" t="s">
        <v>15089</v>
      </c>
      <c r="D6055" t="s">
        <v>1643</v>
      </c>
      <c r="E6055" t="s">
        <v>15045</v>
      </c>
      <c r="F6055" t="s">
        <v>4868</v>
      </c>
      <c r="G6055" t="s">
        <v>10827</v>
      </c>
      <c r="K6055" t="s">
        <v>15084</v>
      </c>
      <c r="M6055" t="s">
        <v>1634</v>
      </c>
    </row>
    <row r="6056" spans="1:13" x14ac:dyDescent="0.25">
      <c r="A6056">
        <v>6199</v>
      </c>
      <c r="B6056" t="s">
        <v>15091</v>
      </c>
      <c r="C6056" t="s">
        <v>15092</v>
      </c>
      <c r="D6056" t="s">
        <v>1643</v>
      </c>
      <c r="E6056" t="s">
        <v>15045</v>
      </c>
      <c r="F6056" t="s">
        <v>15090</v>
      </c>
      <c r="G6056" t="s">
        <v>6505</v>
      </c>
      <c r="L6056" t="s">
        <v>1647</v>
      </c>
      <c r="M6056" t="s">
        <v>1634</v>
      </c>
    </row>
    <row r="6057" spans="1:13" x14ac:dyDescent="0.25">
      <c r="A6057">
        <v>4512</v>
      </c>
      <c r="B6057" t="s">
        <v>326</v>
      </c>
      <c r="C6057" t="s">
        <v>15093</v>
      </c>
      <c r="D6057" t="s">
        <v>1628</v>
      </c>
      <c r="E6057" t="s">
        <v>15045</v>
      </c>
      <c r="F6057" t="s">
        <v>7538</v>
      </c>
      <c r="G6057" t="s">
        <v>2207</v>
      </c>
      <c r="H6057">
        <v>9288593806</v>
      </c>
      <c r="J6057">
        <v>9288593958</v>
      </c>
      <c r="K6057" t="s">
        <v>15094</v>
      </c>
      <c r="L6057" t="s">
        <v>1633</v>
      </c>
      <c r="M6057" t="s">
        <v>1634</v>
      </c>
    </row>
    <row r="6058" spans="1:13" x14ac:dyDescent="0.25">
      <c r="A6058">
        <v>4512</v>
      </c>
      <c r="B6058" t="s">
        <v>326</v>
      </c>
      <c r="C6058" t="s">
        <v>15093</v>
      </c>
      <c r="D6058" t="s">
        <v>1628</v>
      </c>
      <c r="E6058" t="s">
        <v>15045</v>
      </c>
      <c r="F6058" t="s">
        <v>2729</v>
      </c>
      <c r="G6058" t="s">
        <v>2921</v>
      </c>
      <c r="H6058">
        <v>9288593806</v>
      </c>
      <c r="I6058">
        <v>24</v>
      </c>
      <c r="J6058">
        <v>9288593958</v>
      </c>
      <c r="K6058" t="s">
        <v>15095</v>
      </c>
      <c r="L6058" t="s">
        <v>2535</v>
      </c>
      <c r="M6058" t="s">
        <v>1640</v>
      </c>
    </row>
    <row r="6059" spans="1:13" x14ac:dyDescent="0.25">
      <c r="A6059">
        <v>6200</v>
      </c>
      <c r="B6059" t="s">
        <v>1407</v>
      </c>
      <c r="C6059" t="s">
        <v>15096</v>
      </c>
      <c r="D6059" t="s">
        <v>1643</v>
      </c>
      <c r="E6059" t="s">
        <v>15045</v>
      </c>
      <c r="F6059" t="s">
        <v>7538</v>
      </c>
      <c r="G6059" t="s">
        <v>2207</v>
      </c>
      <c r="H6059">
        <v>9288593806</v>
      </c>
      <c r="K6059" t="s">
        <v>15094</v>
      </c>
      <c r="L6059" t="s">
        <v>1647</v>
      </c>
      <c r="M6059" t="s">
        <v>1634</v>
      </c>
    </row>
    <row r="6060" spans="1:13" x14ac:dyDescent="0.25">
      <c r="A6060">
        <v>4513</v>
      </c>
      <c r="B6060" t="s">
        <v>15097</v>
      </c>
      <c r="C6060" t="s">
        <v>15098</v>
      </c>
      <c r="D6060" t="s">
        <v>1628</v>
      </c>
      <c r="E6060" t="s">
        <v>15045</v>
      </c>
      <c r="F6060" t="s">
        <v>1941</v>
      </c>
      <c r="G6060" t="s">
        <v>4946</v>
      </c>
      <c r="I6060">
        <v>112</v>
      </c>
      <c r="K6060" t="s">
        <v>15099</v>
      </c>
      <c r="L6060" t="s">
        <v>15100</v>
      </c>
      <c r="M6060" t="s">
        <v>1634</v>
      </c>
    </row>
    <row r="6061" spans="1:13" x14ac:dyDescent="0.25">
      <c r="A6061">
        <v>4513</v>
      </c>
      <c r="B6061" t="s">
        <v>15097</v>
      </c>
      <c r="C6061" t="s">
        <v>15098</v>
      </c>
      <c r="D6061" t="s">
        <v>1628</v>
      </c>
      <c r="E6061" t="s">
        <v>15045</v>
      </c>
      <c r="F6061" t="s">
        <v>15101</v>
      </c>
      <c r="G6061" t="s">
        <v>7466</v>
      </c>
      <c r="K6061" t="s">
        <v>15102</v>
      </c>
      <c r="L6061" t="s">
        <v>5764</v>
      </c>
      <c r="M6061" t="s">
        <v>1634</v>
      </c>
    </row>
    <row r="6062" spans="1:13" x14ac:dyDescent="0.25">
      <c r="A6062">
        <v>6201</v>
      </c>
      <c r="B6062" t="s">
        <v>15103</v>
      </c>
      <c r="C6062" t="s">
        <v>15104</v>
      </c>
      <c r="D6062" t="s">
        <v>1643</v>
      </c>
      <c r="E6062" t="s">
        <v>15045</v>
      </c>
      <c r="F6062" t="s">
        <v>2307</v>
      </c>
      <c r="G6062" t="s">
        <v>2927</v>
      </c>
      <c r="H6062">
        <v>9288512213</v>
      </c>
      <c r="J6062">
        <v>9288512986</v>
      </c>
      <c r="K6062" t="s">
        <v>15105</v>
      </c>
      <c r="M6062" t="s">
        <v>1634</v>
      </c>
    </row>
    <row r="6063" spans="1:13" x14ac:dyDescent="0.25">
      <c r="A6063">
        <v>6201</v>
      </c>
      <c r="B6063" t="s">
        <v>15103</v>
      </c>
      <c r="C6063" t="s">
        <v>15104</v>
      </c>
      <c r="D6063" t="s">
        <v>1643</v>
      </c>
      <c r="E6063" t="s">
        <v>15045</v>
      </c>
      <c r="F6063" t="s">
        <v>3870</v>
      </c>
      <c r="G6063" t="s">
        <v>5735</v>
      </c>
      <c r="M6063" t="s">
        <v>1634</v>
      </c>
    </row>
    <row r="6064" spans="1:13" x14ac:dyDescent="0.25">
      <c r="A6064">
        <v>4514</v>
      </c>
      <c r="B6064" t="s">
        <v>366</v>
      </c>
      <c r="C6064" t="s">
        <v>15106</v>
      </c>
      <c r="D6064" t="s">
        <v>1628</v>
      </c>
      <c r="E6064" t="s">
        <v>15045</v>
      </c>
      <c r="F6064" t="s">
        <v>4834</v>
      </c>
      <c r="G6064" t="s">
        <v>2207</v>
      </c>
      <c r="J6064">
        <v>9288593085</v>
      </c>
      <c r="K6064" t="s">
        <v>15107</v>
      </c>
      <c r="L6064" t="s">
        <v>15108</v>
      </c>
      <c r="M6064" t="s">
        <v>1634</v>
      </c>
    </row>
    <row r="6065" spans="1:13" x14ac:dyDescent="0.25">
      <c r="A6065">
        <v>4514</v>
      </c>
      <c r="B6065" t="s">
        <v>366</v>
      </c>
      <c r="C6065" t="s">
        <v>15106</v>
      </c>
      <c r="D6065" t="s">
        <v>1628</v>
      </c>
      <c r="E6065" t="s">
        <v>15045</v>
      </c>
      <c r="F6065" t="s">
        <v>15109</v>
      </c>
      <c r="G6065" t="s">
        <v>15110</v>
      </c>
      <c r="H6065">
        <v>9288593339</v>
      </c>
      <c r="J6065">
        <v>9288593085</v>
      </c>
      <c r="K6065" t="s">
        <v>15111</v>
      </c>
      <c r="L6065" t="s">
        <v>1640</v>
      </c>
      <c r="M6065" t="s">
        <v>1640</v>
      </c>
    </row>
    <row r="6066" spans="1:13" x14ac:dyDescent="0.25">
      <c r="A6066">
        <v>6202</v>
      </c>
      <c r="B6066" t="s">
        <v>367</v>
      </c>
      <c r="C6066" t="s">
        <v>15112</v>
      </c>
      <c r="D6066" t="s">
        <v>1643</v>
      </c>
      <c r="E6066" t="s">
        <v>15045</v>
      </c>
      <c r="F6066" t="s">
        <v>4834</v>
      </c>
      <c r="G6066" t="s">
        <v>2207</v>
      </c>
      <c r="J6066">
        <v>9288593085</v>
      </c>
      <c r="K6066" t="s">
        <v>15107</v>
      </c>
      <c r="L6066" t="s">
        <v>7330</v>
      </c>
      <c r="M6066" t="s">
        <v>1634</v>
      </c>
    </row>
    <row r="6067" spans="1:13" x14ac:dyDescent="0.25">
      <c r="A6067">
        <v>4515</v>
      </c>
      <c r="B6067" t="s">
        <v>917</v>
      </c>
      <c r="C6067" t="s">
        <v>15113</v>
      </c>
      <c r="D6067" t="s">
        <v>1628</v>
      </c>
      <c r="E6067" t="s">
        <v>15045</v>
      </c>
      <c r="F6067" t="s">
        <v>2253</v>
      </c>
      <c r="G6067" t="s">
        <v>15114</v>
      </c>
      <c r="H6067">
        <v>9288593453</v>
      </c>
      <c r="I6067">
        <v>4778</v>
      </c>
      <c r="J6067">
        <v>9288593875</v>
      </c>
      <c r="K6067" t="s">
        <v>15115</v>
      </c>
      <c r="L6067" t="s">
        <v>2584</v>
      </c>
      <c r="M6067" t="s">
        <v>1634</v>
      </c>
    </row>
    <row r="6068" spans="1:13" x14ac:dyDescent="0.25">
      <c r="A6068">
        <v>4515</v>
      </c>
      <c r="B6068" t="s">
        <v>917</v>
      </c>
      <c r="C6068" t="s">
        <v>15113</v>
      </c>
      <c r="D6068" t="s">
        <v>1628</v>
      </c>
      <c r="E6068" t="s">
        <v>15045</v>
      </c>
      <c r="F6068" t="s">
        <v>2977</v>
      </c>
      <c r="G6068" t="s">
        <v>15116</v>
      </c>
      <c r="H6068">
        <v>9288597061</v>
      </c>
      <c r="K6068" t="s">
        <v>15117</v>
      </c>
      <c r="L6068" t="s">
        <v>1640</v>
      </c>
      <c r="M6068" t="s">
        <v>1634</v>
      </c>
    </row>
    <row r="6069" spans="1:13" x14ac:dyDescent="0.25">
      <c r="A6069">
        <v>4515</v>
      </c>
      <c r="B6069" t="s">
        <v>917</v>
      </c>
      <c r="C6069" t="s">
        <v>15113</v>
      </c>
      <c r="D6069" t="s">
        <v>1628</v>
      </c>
      <c r="E6069" t="s">
        <v>15045</v>
      </c>
      <c r="F6069" t="s">
        <v>2253</v>
      </c>
      <c r="G6069" t="s">
        <v>15114</v>
      </c>
      <c r="H6069">
        <v>9288593453</v>
      </c>
      <c r="I6069">
        <v>4778</v>
      </c>
      <c r="J6069">
        <v>9288593875</v>
      </c>
      <c r="K6069" t="s">
        <v>15115</v>
      </c>
      <c r="L6069" t="s">
        <v>2584</v>
      </c>
      <c r="M6069" t="s">
        <v>1640</v>
      </c>
    </row>
    <row r="6070" spans="1:13" x14ac:dyDescent="0.25">
      <c r="A6070">
        <v>4515</v>
      </c>
      <c r="B6070" t="s">
        <v>917</v>
      </c>
      <c r="C6070" t="s">
        <v>15113</v>
      </c>
      <c r="D6070" t="s">
        <v>1628</v>
      </c>
      <c r="E6070" t="s">
        <v>15045</v>
      </c>
      <c r="F6070" t="s">
        <v>2977</v>
      </c>
      <c r="G6070" t="s">
        <v>15116</v>
      </c>
      <c r="H6070">
        <v>9288597061</v>
      </c>
      <c r="K6070" t="s">
        <v>15117</v>
      </c>
      <c r="L6070" t="s">
        <v>1640</v>
      </c>
      <c r="M6070" t="s">
        <v>1640</v>
      </c>
    </row>
    <row r="6071" spans="1:13" x14ac:dyDescent="0.25">
      <c r="A6071">
        <v>4515</v>
      </c>
      <c r="B6071" t="s">
        <v>917</v>
      </c>
      <c r="C6071" t="s">
        <v>15113</v>
      </c>
      <c r="D6071" t="s">
        <v>1628</v>
      </c>
      <c r="E6071" t="s">
        <v>15045</v>
      </c>
      <c r="F6071" t="s">
        <v>2253</v>
      </c>
      <c r="G6071" t="s">
        <v>15114</v>
      </c>
      <c r="H6071">
        <v>9288593453</v>
      </c>
      <c r="I6071">
        <v>4778</v>
      </c>
      <c r="J6071">
        <v>9288593875</v>
      </c>
      <c r="K6071" t="s">
        <v>15115</v>
      </c>
      <c r="L6071" t="s">
        <v>2584</v>
      </c>
      <c r="M6071" t="s">
        <v>1765</v>
      </c>
    </row>
    <row r="6072" spans="1:13" x14ac:dyDescent="0.25">
      <c r="A6072">
        <v>6203</v>
      </c>
      <c r="B6072" t="s">
        <v>918</v>
      </c>
      <c r="C6072" t="s">
        <v>15118</v>
      </c>
      <c r="D6072" t="s">
        <v>1643</v>
      </c>
      <c r="E6072" t="s">
        <v>15045</v>
      </c>
      <c r="F6072" t="s">
        <v>15119</v>
      </c>
      <c r="G6072" t="s">
        <v>5724</v>
      </c>
      <c r="K6072" t="s">
        <v>15120</v>
      </c>
      <c r="L6072" t="s">
        <v>15121</v>
      </c>
      <c r="M6072" t="s">
        <v>1634</v>
      </c>
    </row>
    <row r="6073" spans="1:13" x14ac:dyDescent="0.25">
      <c r="A6073">
        <v>6203</v>
      </c>
      <c r="B6073" t="s">
        <v>918</v>
      </c>
      <c r="C6073" t="s">
        <v>15118</v>
      </c>
      <c r="D6073" t="s">
        <v>1643</v>
      </c>
      <c r="E6073" t="s">
        <v>15045</v>
      </c>
      <c r="F6073" t="s">
        <v>10334</v>
      </c>
      <c r="G6073" t="s">
        <v>12958</v>
      </c>
      <c r="H6073">
        <v>9288593453</v>
      </c>
      <c r="I6073">
        <v>4764</v>
      </c>
      <c r="K6073" t="s">
        <v>15122</v>
      </c>
      <c r="L6073" t="s">
        <v>1640</v>
      </c>
      <c r="M6073" t="s">
        <v>1640</v>
      </c>
    </row>
  </sheetData>
  <autoFilter ref="A1:M6073" xr:uid="{6136A9A9-DEE2-4763-BA4C-5D3A2F57A3E7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5157-2A29-471F-9728-A913A6B36240}">
  <sheetPr filterMode="1"/>
  <dimension ref="A1:H2161"/>
  <sheetViews>
    <sheetView workbookViewId="0">
      <pane ySplit="1" topLeftCell="A2" activePane="bottomLeft" state="frozen"/>
      <selection pane="bottomLeft" activeCell="E773" sqref="E773"/>
    </sheetView>
  </sheetViews>
  <sheetFormatPr defaultRowHeight="15" x14ac:dyDescent="0.25"/>
  <cols>
    <col min="1" max="1" width="18.85546875" customWidth="1"/>
    <col min="2" max="2" width="24.5703125" customWidth="1"/>
    <col min="3" max="3" width="14.85546875" customWidth="1"/>
    <col min="4" max="4" width="16.7109375" customWidth="1"/>
    <col min="5" max="5" width="49.28515625" customWidth="1"/>
  </cols>
  <sheetData>
    <row r="1" spans="1:8" s="17" customFormat="1" x14ac:dyDescent="0.25">
      <c r="A1" s="17" t="s">
        <v>15125</v>
      </c>
      <c r="B1" s="17" t="s">
        <v>15126</v>
      </c>
      <c r="C1" s="17" t="s">
        <v>15127</v>
      </c>
      <c r="D1" s="17" t="s">
        <v>15128</v>
      </c>
      <c r="E1" s="17" t="s">
        <v>15129</v>
      </c>
      <c r="F1" s="17" t="s">
        <v>15130</v>
      </c>
      <c r="G1" s="17" t="s">
        <v>15131</v>
      </c>
      <c r="H1" s="17" t="s">
        <v>15132</v>
      </c>
    </row>
    <row r="2" spans="1:8" hidden="1" x14ac:dyDescent="0.25">
      <c r="A2">
        <v>80686</v>
      </c>
      <c r="B2" t="s">
        <v>16185</v>
      </c>
      <c r="C2" t="s">
        <v>15134</v>
      </c>
      <c r="D2" t="s">
        <v>15135</v>
      </c>
      <c r="E2">
        <v>73272023</v>
      </c>
      <c r="F2" t="s">
        <v>15145</v>
      </c>
      <c r="G2" t="b">
        <v>1</v>
      </c>
      <c r="H2" t="s">
        <v>16186</v>
      </c>
    </row>
    <row r="3" spans="1:8" hidden="1" x14ac:dyDescent="0.25">
      <c r="A3">
        <v>80686</v>
      </c>
      <c r="B3" t="s">
        <v>16185</v>
      </c>
      <c r="C3" t="s">
        <v>15134</v>
      </c>
      <c r="D3" t="s">
        <v>15135</v>
      </c>
      <c r="E3">
        <v>73272023</v>
      </c>
      <c r="F3" t="s">
        <v>15136</v>
      </c>
      <c r="G3" t="b">
        <v>1</v>
      </c>
      <c r="H3" t="s">
        <v>16186</v>
      </c>
    </row>
    <row r="4" spans="1:8" hidden="1" x14ac:dyDescent="0.25">
      <c r="A4">
        <v>80686</v>
      </c>
      <c r="B4" t="s">
        <v>16185</v>
      </c>
      <c r="C4" t="s">
        <v>15134</v>
      </c>
      <c r="D4" t="s">
        <v>15135</v>
      </c>
      <c r="E4">
        <v>73272023</v>
      </c>
      <c r="F4" t="s">
        <v>15138</v>
      </c>
      <c r="G4" t="b">
        <v>1</v>
      </c>
      <c r="H4" t="s">
        <v>16186</v>
      </c>
    </row>
    <row r="5" spans="1:8" hidden="1" x14ac:dyDescent="0.25">
      <c r="A5">
        <v>9461</v>
      </c>
      <c r="B5" t="s">
        <v>15539</v>
      </c>
      <c r="C5" t="s">
        <v>15134</v>
      </c>
      <c r="D5" t="s">
        <v>15135</v>
      </c>
      <c r="E5">
        <v>73272001</v>
      </c>
      <c r="F5" t="s">
        <v>15138</v>
      </c>
      <c r="G5" t="b">
        <v>1</v>
      </c>
      <c r="H5" t="s">
        <v>15540</v>
      </c>
    </row>
    <row r="6" spans="1:8" hidden="1" x14ac:dyDescent="0.25">
      <c r="A6">
        <v>9461</v>
      </c>
      <c r="B6" t="s">
        <v>15539</v>
      </c>
      <c r="C6" t="s">
        <v>15134</v>
      </c>
      <c r="D6" t="s">
        <v>15135</v>
      </c>
      <c r="E6">
        <v>73272001</v>
      </c>
      <c r="F6" t="s">
        <v>15136</v>
      </c>
      <c r="G6" t="b">
        <v>1</v>
      </c>
      <c r="H6" t="s">
        <v>15540</v>
      </c>
    </row>
    <row r="7" spans="1:8" hidden="1" x14ac:dyDescent="0.25">
      <c r="A7">
        <v>9473</v>
      </c>
      <c r="B7" t="s">
        <v>15553</v>
      </c>
      <c r="C7" t="s">
        <v>15134</v>
      </c>
      <c r="D7" t="s">
        <v>15135</v>
      </c>
      <c r="E7">
        <v>73272016</v>
      </c>
      <c r="F7" t="s">
        <v>15136</v>
      </c>
      <c r="G7" t="b">
        <v>1</v>
      </c>
      <c r="H7" t="s">
        <v>15554</v>
      </c>
    </row>
    <row r="8" spans="1:8" hidden="1" x14ac:dyDescent="0.25">
      <c r="A8">
        <v>9473</v>
      </c>
      <c r="B8" t="s">
        <v>15553</v>
      </c>
      <c r="C8" t="s">
        <v>15134</v>
      </c>
      <c r="D8" t="s">
        <v>15135</v>
      </c>
      <c r="E8">
        <v>73272016</v>
      </c>
      <c r="F8" t="s">
        <v>15138</v>
      </c>
      <c r="G8" t="b">
        <v>1</v>
      </c>
      <c r="H8" t="s">
        <v>15554</v>
      </c>
    </row>
    <row r="9" spans="1:8" hidden="1" x14ac:dyDescent="0.25">
      <c r="A9">
        <v>89716</v>
      </c>
      <c r="B9" t="s">
        <v>16434</v>
      </c>
      <c r="C9" t="s">
        <v>15134</v>
      </c>
      <c r="D9" t="s">
        <v>15135</v>
      </c>
      <c r="E9">
        <v>73272027</v>
      </c>
      <c r="F9" t="s">
        <v>15145</v>
      </c>
      <c r="G9" t="b">
        <v>1</v>
      </c>
      <c r="H9" t="s">
        <v>16435</v>
      </c>
    </row>
    <row r="10" spans="1:8" hidden="1" x14ac:dyDescent="0.25">
      <c r="A10">
        <v>89716</v>
      </c>
      <c r="B10" t="s">
        <v>16434</v>
      </c>
      <c r="C10" t="s">
        <v>15134</v>
      </c>
      <c r="D10" t="s">
        <v>15135</v>
      </c>
      <c r="E10">
        <v>73272027</v>
      </c>
      <c r="F10" t="s">
        <v>15136</v>
      </c>
      <c r="G10" t="b">
        <v>1</v>
      </c>
      <c r="H10" t="s">
        <v>16435</v>
      </c>
    </row>
    <row r="11" spans="1:8" hidden="1" x14ac:dyDescent="0.25">
      <c r="A11">
        <v>89716</v>
      </c>
      <c r="B11" t="s">
        <v>16434</v>
      </c>
      <c r="C11" t="s">
        <v>15134</v>
      </c>
      <c r="D11" t="s">
        <v>15135</v>
      </c>
      <c r="E11">
        <v>73272027</v>
      </c>
      <c r="F11" t="s">
        <v>15138</v>
      </c>
      <c r="G11" t="b">
        <v>1</v>
      </c>
      <c r="H11" t="s">
        <v>16435</v>
      </c>
    </row>
    <row r="12" spans="1:8" hidden="1" x14ac:dyDescent="0.25">
      <c r="A12">
        <v>78738</v>
      </c>
      <c r="B12" t="s">
        <v>15877</v>
      </c>
      <c r="C12" t="s">
        <v>15134</v>
      </c>
      <c r="D12" t="s">
        <v>15135</v>
      </c>
      <c r="E12">
        <v>73272021</v>
      </c>
      <c r="F12" t="s">
        <v>15136</v>
      </c>
      <c r="G12" t="b">
        <v>1</v>
      </c>
      <c r="H12" t="s">
        <v>15878</v>
      </c>
    </row>
    <row r="13" spans="1:8" hidden="1" x14ac:dyDescent="0.25">
      <c r="A13">
        <v>78738</v>
      </c>
      <c r="B13" t="s">
        <v>15877</v>
      </c>
      <c r="C13" t="s">
        <v>15134</v>
      </c>
      <c r="D13" t="s">
        <v>15135</v>
      </c>
      <c r="E13">
        <v>73272021</v>
      </c>
      <c r="F13" t="s">
        <v>15138</v>
      </c>
      <c r="G13" t="b">
        <v>1</v>
      </c>
      <c r="H13" t="s">
        <v>15878</v>
      </c>
    </row>
    <row r="14" spans="1:8" hidden="1" x14ac:dyDescent="0.25">
      <c r="A14">
        <v>9469</v>
      </c>
      <c r="B14" t="s">
        <v>15549</v>
      </c>
      <c r="C14" t="s">
        <v>15134</v>
      </c>
      <c r="D14" t="s">
        <v>15135</v>
      </c>
      <c r="E14">
        <v>73272009</v>
      </c>
      <c r="F14" t="s">
        <v>15138</v>
      </c>
      <c r="G14" t="b">
        <v>1</v>
      </c>
      <c r="H14" t="s">
        <v>15550</v>
      </c>
    </row>
    <row r="15" spans="1:8" hidden="1" x14ac:dyDescent="0.25">
      <c r="A15">
        <v>9469</v>
      </c>
      <c r="B15" t="s">
        <v>15549</v>
      </c>
      <c r="C15" t="s">
        <v>15134</v>
      </c>
      <c r="D15" t="s">
        <v>15135</v>
      </c>
      <c r="E15">
        <v>73272009</v>
      </c>
      <c r="F15" t="s">
        <v>15136</v>
      </c>
      <c r="G15" t="b">
        <v>1</v>
      </c>
      <c r="H15" t="s">
        <v>15550</v>
      </c>
    </row>
    <row r="16" spans="1:8" hidden="1" x14ac:dyDescent="0.25">
      <c r="A16">
        <v>1001492</v>
      </c>
      <c r="B16" t="s">
        <v>17196</v>
      </c>
      <c r="C16" t="s">
        <v>15134</v>
      </c>
      <c r="D16" t="s">
        <v>15135</v>
      </c>
      <c r="E16">
        <v>73272028</v>
      </c>
      <c r="F16" t="s">
        <v>15138</v>
      </c>
      <c r="G16" t="b">
        <v>1</v>
      </c>
      <c r="H16" t="s">
        <v>17197</v>
      </c>
    </row>
    <row r="17" spans="1:8" hidden="1" x14ac:dyDescent="0.25">
      <c r="A17">
        <v>1001492</v>
      </c>
      <c r="B17" t="s">
        <v>17196</v>
      </c>
      <c r="C17" t="s">
        <v>15134</v>
      </c>
      <c r="D17" t="s">
        <v>15135</v>
      </c>
      <c r="E17">
        <v>73272028</v>
      </c>
      <c r="F17" t="s">
        <v>15136</v>
      </c>
      <c r="G17" t="b">
        <v>1</v>
      </c>
      <c r="H17" t="s">
        <v>17197</v>
      </c>
    </row>
    <row r="18" spans="1:8" hidden="1" x14ac:dyDescent="0.25">
      <c r="A18">
        <v>9474</v>
      </c>
      <c r="B18" t="s">
        <v>15555</v>
      </c>
      <c r="C18" t="s">
        <v>15134</v>
      </c>
      <c r="D18" t="s">
        <v>15135</v>
      </c>
      <c r="E18">
        <v>73272018</v>
      </c>
      <c r="F18" t="s">
        <v>15136</v>
      </c>
      <c r="G18" t="b">
        <v>1</v>
      </c>
      <c r="H18" t="s">
        <v>15556</v>
      </c>
    </row>
    <row r="19" spans="1:8" hidden="1" x14ac:dyDescent="0.25">
      <c r="A19">
        <v>9474</v>
      </c>
      <c r="B19" t="s">
        <v>15555</v>
      </c>
      <c r="C19" t="s">
        <v>15134</v>
      </c>
      <c r="D19" t="s">
        <v>15135</v>
      </c>
      <c r="E19">
        <v>73272018</v>
      </c>
      <c r="F19" t="s">
        <v>15138</v>
      </c>
      <c r="G19" t="b">
        <v>1</v>
      </c>
      <c r="H19" t="s">
        <v>15556</v>
      </c>
    </row>
    <row r="20" spans="1:8" hidden="1" x14ac:dyDescent="0.25">
      <c r="A20">
        <v>9468</v>
      </c>
      <c r="B20" t="s">
        <v>15547</v>
      </c>
      <c r="C20" t="s">
        <v>15134</v>
      </c>
      <c r="D20" t="s">
        <v>15135</v>
      </c>
      <c r="E20">
        <v>73272008</v>
      </c>
      <c r="F20" t="s">
        <v>15138</v>
      </c>
      <c r="G20" t="b">
        <v>1</v>
      </c>
      <c r="H20" t="s">
        <v>15548</v>
      </c>
    </row>
    <row r="21" spans="1:8" hidden="1" x14ac:dyDescent="0.25">
      <c r="A21">
        <v>9468</v>
      </c>
      <c r="B21" t="s">
        <v>15547</v>
      </c>
      <c r="C21" t="s">
        <v>15134</v>
      </c>
      <c r="D21" t="s">
        <v>15135</v>
      </c>
      <c r="E21">
        <v>73272008</v>
      </c>
      <c r="F21" t="s">
        <v>15136</v>
      </c>
      <c r="G21" t="b">
        <v>1</v>
      </c>
      <c r="H21" t="s">
        <v>15548</v>
      </c>
    </row>
    <row r="22" spans="1:8" hidden="1" x14ac:dyDescent="0.25">
      <c r="A22">
        <v>80672</v>
      </c>
      <c r="B22" t="s">
        <v>16172</v>
      </c>
      <c r="C22" t="s">
        <v>15134</v>
      </c>
      <c r="D22" t="s">
        <v>15135</v>
      </c>
      <c r="E22">
        <v>73272013</v>
      </c>
      <c r="F22" t="s">
        <v>15145</v>
      </c>
      <c r="G22" t="b">
        <v>1</v>
      </c>
      <c r="H22" t="s">
        <v>16173</v>
      </c>
    </row>
    <row r="23" spans="1:8" hidden="1" x14ac:dyDescent="0.25">
      <c r="A23">
        <v>80672</v>
      </c>
      <c r="B23" t="s">
        <v>16172</v>
      </c>
      <c r="C23" t="s">
        <v>15134</v>
      </c>
      <c r="D23" t="s">
        <v>15135</v>
      </c>
      <c r="E23">
        <v>73272013</v>
      </c>
      <c r="F23" t="s">
        <v>15136</v>
      </c>
      <c r="G23" t="b">
        <v>1</v>
      </c>
      <c r="H23" t="s">
        <v>16173</v>
      </c>
    </row>
    <row r="24" spans="1:8" hidden="1" x14ac:dyDescent="0.25">
      <c r="A24">
        <v>80672</v>
      </c>
      <c r="B24" t="s">
        <v>16172</v>
      </c>
      <c r="C24" t="s">
        <v>15134</v>
      </c>
      <c r="D24" t="s">
        <v>15135</v>
      </c>
      <c r="E24">
        <v>73272013</v>
      </c>
      <c r="F24" t="s">
        <v>15138</v>
      </c>
      <c r="G24" t="b">
        <v>1</v>
      </c>
      <c r="H24" t="s">
        <v>16173</v>
      </c>
    </row>
    <row r="25" spans="1:8" hidden="1" x14ac:dyDescent="0.25">
      <c r="A25">
        <v>80671</v>
      </c>
      <c r="B25" t="s">
        <v>16170</v>
      </c>
      <c r="C25" t="s">
        <v>15134</v>
      </c>
      <c r="D25" t="s">
        <v>15135</v>
      </c>
      <c r="E25">
        <v>73272012</v>
      </c>
      <c r="F25" t="s">
        <v>15138</v>
      </c>
      <c r="G25" t="b">
        <v>1</v>
      </c>
      <c r="H25" t="s">
        <v>16171</v>
      </c>
    </row>
    <row r="26" spans="1:8" hidden="1" x14ac:dyDescent="0.25">
      <c r="A26">
        <v>80671</v>
      </c>
      <c r="B26" t="s">
        <v>16170</v>
      </c>
      <c r="C26" t="s">
        <v>15134</v>
      </c>
      <c r="D26" t="s">
        <v>15135</v>
      </c>
      <c r="E26">
        <v>73272012</v>
      </c>
      <c r="F26" t="s">
        <v>15145</v>
      </c>
      <c r="G26" t="b">
        <v>1</v>
      </c>
      <c r="H26" t="s">
        <v>16171</v>
      </c>
    </row>
    <row r="27" spans="1:8" hidden="1" x14ac:dyDescent="0.25">
      <c r="A27">
        <v>80671</v>
      </c>
      <c r="B27" t="s">
        <v>16170</v>
      </c>
      <c r="C27" t="s">
        <v>15134</v>
      </c>
      <c r="D27" t="s">
        <v>15135</v>
      </c>
      <c r="E27">
        <v>73272012</v>
      </c>
      <c r="F27" t="s">
        <v>15136</v>
      </c>
      <c r="G27" t="b">
        <v>1</v>
      </c>
      <c r="H27" t="s">
        <v>16171</v>
      </c>
    </row>
    <row r="28" spans="1:8" hidden="1" x14ac:dyDescent="0.25">
      <c r="A28">
        <v>9475</v>
      </c>
      <c r="B28" t="s">
        <v>15557</v>
      </c>
      <c r="C28" t="s">
        <v>15134</v>
      </c>
      <c r="D28" t="s">
        <v>15135</v>
      </c>
      <c r="E28">
        <v>73272019</v>
      </c>
      <c r="F28" t="s">
        <v>15136</v>
      </c>
      <c r="G28" t="b">
        <v>1</v>
      </c>
      <c r="H28" t="s">
        <v>15558</v>
      </c>
    </row>
    <row r="29" spans="1:8" hidden="1" x14ac:dyDescent="0.25">
      <c r="A29">
        <v>9475</v>
      </c>
      <c r="B29" t="s">
        <v>15557</v>
      </c>
      <c r="C29" t="s">
        <v>15134</v>
      </c>
      <c r="D29" t="s">
        <v>15135</v>
      </c>
      <c r="E29">
        <v>73272019</v>
      </c>
      <c r="F29" t="s">
        <v>15138</v>
      </c>
      <c r="G29" t="b">
        <v>1</v>
      </c>
      <c r="H29" t="s">
        <v>15558</v>
      </c>
    </row>
    <row r="30" spans="1:8" hidden="1" x14ac:dyDescent="0.25">
      <c r="A30">
        <v>1000172</v>
      </c>
      <c r="B30" t="s">
        <v>17109</v>
      </c>
      <c r="C30" t="s">
        <v>15134</v>
      </c>
      <c r="D30" t="s">
        <v>15135</v>
      </c>
      <c r="E30">
        <v>73723000</v>
      </c>
      <c r="F30" t="s">
        <v>15138</v>
      </c>
      <c r="G30" t="b">
        <v>1</v>
      </c>
      <c r="H30" t="s">
        <v>17110</v>
      </c>
    </row>
    <row r="31" spans="1:8" hidden="1" x14ac:dyDescent="0.25">
      <c r="A31">
        <v>1000172</v>
      </c>
      <c r="B31" t="s">
        <v>17109</v>
      </c>
      <c r="C31" t="s">
        <v>15134</v>
      </c>
      <c r="D31" t="s">
        <v>15135</v>
      </c>
      <c r="E31">
        <v>73723000</v>
      </c>
      <c r="F31" t="s">
        <v>15136</v>
      </c>
      <c r="G31" t="b">
        <v>1</v>
      </c>
      <c r="H31" t="s">
        <v>17110</v>
      </c>
    </row>
    <row r="32" spans="1:8" hidden="1" x14ac:dyDescent="0.25">
      <c r="A32">
        <v>1000176</v>
      </c>
      <c r="B32" t="s">
        <v>17109</v>
      </c>
      <c r="C32" t="s">
        <v>15134</v>
      </c>
      <c r="D32" t="s">
        <v>15135</v>
      </c>
      <c r="E32">
        <v>73723001</v>
      </c>
      <c r="F32" t="s">
        <v>15136</v>
      </c>
      <c r="G32" t="b">
        <v>1</v>
      </c>
      <c r="H32" t="s">
        <v>17110</v>
      </c>
    </row>
    <row r="33" spans="1:8" hidden="1" x14ac:dyDescent="0.25">
      <c r="A33">
        <v>1000176</v>
      </c>
      <c r="B33" t="s">
        <v>17109</v>
      </c>
      <c r="C33" t="s">
        <v>15134</v>
      </c>
      <c r="D33" t="s">
        <v>15135</v>
      </c>
      <c r="E33">
        <v>73723001</v>
      </c>
      <c r="F33" t="s">
        <v>15138</v>
      </c>
      <c r="G33" t="b">
        <v>1</v>
      </c>
      <c r="H33" t="s">
        <v>17110</v>
      </c>
    </row>
    <row r="34" spans="1:8" hidden="1" x14ac:dyDescent="0.25">
      <c r="A34">
        <v>9117</v>
      </c>
      <c r="B34" t="s">
        <v>15369</v>
      </c>
      <c r="C34" t="s">
        <v>15134</v>
      </c>
      <c r="D34" t="s">
        <v>15135</v>
      </c>
      <c r="E34">
        <v>73083003</v>
      </c>
    </row>
    <row r="35" spans="1:8" hidden="1" x14ac:dyDescent="0.25">
      <c r="A35">
        <v>90153</v>
      </c>
      <c r="B35" t="s">
        <v>16573</v>
      </c>
      <c r="C35" t="s">
        <v>15134</v>
      </c>
      <c r="D35" t="s">
        <v>15135</v>
      </c>
      <c r="E35">
        <v>73577001</v>
      </c>
      <c r="F35" t="s">
        <v>15138</v>
      </c>
      <c r="G35" t="b">
        <v>1</v>
      </c>
      <c r="H35" t="s">
        <v>16572</v>
      </c>
    </row>
    <row r="36" spans="1:8" hidden="1" x14ac:dyDescent="0.25">
      <c r="A36">
        <v>90153</v>
      </c>
      <c r="B36" t="s">
        <v>16573</v>
      </c>
      <c r="C36" t="s">
        <v>15134</v>
      </c>
      <c r="D36" t="s">
        <v>15135</v>
      </c>
      <c r="E36">
        <v>73577001</v>
      </c>
      <c r="F36" t="s">
        <v>15145</v>
      </c>
      <c r="G36" t="b">
        <v>1</v>
      </c>
      <c r="H36" t="s">
        <v>16572</v>
      </c>
    </row>
    <row r="37" spans="1:8" hidden="1" x14ac:dyDescent="0.25">
      <c r="A37">
        <v>89878</v>
      </c>
      <c r="B37" t="s">
        <v>16477</v>
      </c>
      <c r="C37" t="s">
        <v>15134</v>
      </c>
      <c r="D37" t="s">
        <v>15135</v>
      </c>
      <c r="E37">
        <v>103204001</v>
      </c>
      <c r="F37" t="s">
        <v>15145</v>
      </c>
      <c r="G37" t="b">
        <v>1</v>
      </c>
      <c r="H37" t="s">
        <v>16478</v>
      </c>
    </row>
    <row r="38" spans="1:8" hidden="1" x14ac:dyDescent="0.25">
      <c r="A38">
        <v>89879</v>
      </c>
      <c r="B38" t="s">
        <v>16479</v>
      </c>
      <c r="C38" t="s">
        <v>15134</v>
      </c>
      <c r="D38" t="s">
        <v>15135</v>
      </c>
      <c r="E38">
        <v>103204002</v>
      </c>
      <c r="F38" t="s">
        <v>15145</v>
      </c>
      <c r="G38" t="b">
        <v>1</v>
      </c>
      <c r="H38" t="s">
        <v>16480</v>
      </c>
    </row>
    <row r="39" spans="1:8" hidden="1" x14ac:dyDescent="0.25">
      <c r="A39">
        <v>89880</v>
      </c>
      <c r="B39" t="s">
        <v>16481</v>
      </c>
      <c r="C39" t="s">
        <v>15134</v>
      </c>
      <c r="D39" t="s">
        <v>15135</v>
      </c>
      <c r="E39">
        <v>103204003</v>
      </c>
      <c r="F39" t="s">
        <v>15145</v>
      </c>
      <c r="G39" t="b">
        <v>1</v>
      </c>
      <c r="H39" t="s">
        <v>16482</v>
      </c>
    </row>
    <row r="40" spans="1:8" hidden="1" x14ac:dyDescent="0.25">
      <c r="A40">
        <v>93007</v>
      </c>
      <c r="B40" t="s">
        <v>16954</v>
      </c>
      <c r="C40" t="s">
        <v>15134</v>
      </c>
      <c r="D40" t="s">
        <v>15135</v>
      </c>
      <c r="E40">
        <v>103204019</v>
      </c>
    </row>
    <row r="41" spans="1:8" hidden="1" x14ac:dyDescent="0.25">
      <c r="A41">
        <v>90188</v>
      </c>
      <c r="B41" t="s">
        <v>16583</v>
      </c>
      <c r="C41" t="s">
        <v>15134</v>
      </c>
      <c r="D41" t="s">
        <v>15135</v>
      </c>
      <c r="E41">
        <v>103204015</v>
      </c>
      <c r="F41" t="s">
        <v>15145</v>
      </c>
      <c r="G41" t="b">
        <v>1</v>
      </c>
      <c r="H41" t="s">
        <v>16584</v>
      </c>
    </row>
    <row r="42" spans="1:8" hidden="1" x14ac:dyDescent="0.25">
      <c r="A42">
        <v>89881</v>
      </c>
      <c r="B42" t="s">
        <v>16483</v>
      </c>
      <c r="C42" t="s">
        <v>15134</v>
      </c>
      <c r="D42" t="s">
        <v>15135</v>
      </c>
      <c r="E42">
        <v>103204004</v>
      </c>
      <c r="F42" t="s">
        <v>15145</v>
      </c>
      <c r="G42" t="b">
        <v>0</v>
      </c>
      <c r="H42" t="s">
        <v>16484</v>
      </c>
    </row>
    <row r="43" spans="1:8" hidden="1" x14ac:dyDescent="0.25">
      <c r="A43">
        <v>89882</v>
      </c>
      <c r="B43" t="s">
        <v>16485</v>
      </c>
      <c r="C43" t="s">
        <v>15134</v>
      </c>
      <c r="D43" t="s">
        <v>15135</v>
      </c>
      <c r="E43">
        <v>103204005</v>
      </c>
      <c r="F43" t="s">
        <v>15136</v>
      </c>
      <c r="G43" t="b">
        <v>1</v>
      </c>
      <c r="H43" t="s">
        <v>16486</v>
      </c>
    </row>
    <row r="44" spans="1:8" hidden="1" x14ac:dyDescent="0.25">
      <c r="A44">
        <v>89882</v>
      </c>
      <c r="B44" t="s">
        <v>16485</v>
      </c>
      <c r="C44" t="s">
        <v>15134</v>
      </c>
      <c r="D44" t="s">
        <v>15135</v>
      </c>
      <c r="E44">
        <v>103204005</v>
      </c>
      <c r="F44" t="s">
        <v>15138</v>
      </c>
      <c r="G44" t="b">
        <v>1</v>
      </c>
      <c r="H44" t="s">
        <v>16486</v>
      </c>
    </row>
    <row r="45" spans="1:8" hidden="1" x14ac:dyDescent="0.25">
      <c r="A45">
        <v>89883</v>
      </c>
      <c r="B45" t="s">
        <v>16487</v>
      </c>
      <c r="C45" t="s">
        <v>15134</v>
      </c>
      <c r="D45" t="s">
        <v>15135</v>
      </c>
      <c r="E45">
        <v>103204006</v>
      </c>
      <c r="F45" t="s">
        <v>15145</v>
      </c>
      <c r="G45" t="b">
        <v>1</v>
      </c>
      <c r="H45" t="s">
        <v>16488</v>
      </c>
    </row>
    <row r="46" spans="1:8" hidden="1" x14ac:dyDescent="0.25">
      <c r="A46">
        <v>89884</v>
      </c>
      <c r="B46" t="s">
        <v>16489</v>
      </c>
      <c r="C46" t="s">
        <v>15134</v>
      </c>
      <c r="D46" t="s">
        <v>15135</v>
      </c>
      <c r="E46">
        <v>103204007</v>
      </c>
      <c r="F46" t="s">
        <v>15145</v>
      </c>
      <c r="G46" t="b">
        <v>1</v>
      </c>
      <c r="H46" t="s">
        <v>16490</v>
      </c>
    </row>
    <row r="47" spans="1:8" hidden="1" x14ac:dyDescent="0.25">
      <c r="A47">
        <v>92046</v>
      </c>
      <c r="B47" t="s">
        <v>16836</v>
      </c>
      <c r="C47" t="s">
        <v>15134</v>
      </c>
      <c r="D47" t="s">
        <v>15135</v>
      </c>
      <c r="E47">
        <v>103204017</v>
      </c>
    </row>
    <row r="48" spans="1:8" hidden="1" x14ac:dyDescent="0.25">
      <c r="A48">
        <v>89885</v>
      </c>
      <c r="B48" t="s">
        <v>16491</v>
      </c>
      <c r="C48" t="s">
        <v>15134</v>
      </c>
      <c r="D48" t="s">
        <v>15135</v>
      </c>
      <c r="E48">
        <v>103204008</v>
      </c>
      <c r="F48" t="s">
        <v>15145</v>
      </c>
      <c r="G48" t="b">
        <v>1</v>
      </c>
      <c r="H48" t="s">
        <v>16492</v>
      </c>
    </row>
    <row r="49" spans="1:8" hidden="1" x14ac:dyDescent="0.25">
      <c r="A49">
        <v>89886</v>
      </c>
      <c r="B49" t="s">
        <v>16493</v>
      </c>
      <c r="C49" t="s">
        <v>15134</v>
      </c>
      <c r="D49" t="s">
        <v>15135</v>
      </c>
      <c r="E49">
        <v>103204009</v>
      </c>
      <c r="F49" t="s">
        <v>15145</v>
      </c>
      <c r="G49" t="b">
        <v>1</v>
      </c>
      <c r="H49" t="s">
        <v>16494</v>
      </c>
    </row>
    <row r="50" spans="1:8" hidden="1" x14ac:dyDescent="0.25">
      <c r="A50">
        <v>89887</v>
      </c>
      <c r="B50" t="s">
        <v>16495</v>
      </c>
      <c r="C50" t="s">
        <v>15134</v>
      </c>
      <c r="D50" t="s">
        <v>15135</v>
      </c>
      <c r="E50">
        <v>103204010</v>
      </c>
      <c r="F50" t="s">
        <v>15145</v>
      </c>
      <c r="G50" t="b">
        <v>1</v>
      </c>
      <c r="H50" t="s">
        <v>16496</v>
      </c>
    </row>
    <row r="51" spans="1:8" hidden="1" x14ac:dyDescent="0.25">
      <c r="A51">
        <v>92678</v>
      </c>
      <c r="B51" t="s">
        <v>16889</v>
      </c>
      <c r="C51" t="s">
        <v>15134</v>
      </c>
      <c r="D51" t="s">
        <v>15135</v>
      </c>
      <c r="E51">
        <v>103204018</v>
      </c>
    </row>
    <row r="52" spans="1:8" hidden="1" x14ac:dyDescent="0.25">
      <c r="A52">
        <v>89888</v>
      </c>
      <c r="B52" t="s">
        <v>16497</v>
      </c>
      <c r="C52" t="s">
        <v>15134</v>
      </c>
      <c r="D52" t="s">
        <v>15135</v>
      </c>
      <c r="E52">
        <v>103204011</v>
      </c>
      <c r="F52" t="s">
        <v>15145</v>
      </c>
      <c r="G52" t="b">
        <v>1</v>
      </c>
      <c r="H52" t="s">
        <v>16498</v>
      </c>
    </row>
    <row r="53" spans="1:8" hidden="1" x14ac:dyDescent="0.25">
      <c r="A53">
        <v>1001494</v>
      </c>
      <c r="B53" t="s">
        <v>17198</v>
      </c>
      <c r="C53" t="s">
        <v>15134</v>
      </c>
      <c r="D53" t="s">
        <v>15135</v>
      </c>
      <c r="E53">
        <v>103204021</v>
      </c>
      <c r="F53" t="s">
        <v>15138</v>
      </c>
      <c r="G53" t="b">
        <v>1</v>
      </c>
      <c r="H53" t="s">
        <v>17199</v>
      </c>
    </row>
    <row r="54" spans="1:8" hidden="1" x14ac:dyDescent="0.25">
      <c r="A54">
        <v>1001494</v>
      </c>
      <c r="B54" t="s">
        <v>17198</v>
      </c>
      <c r="C54" t="s">
        <v>15134</v>
      </c>
      <c r="D54" t="s">
        <v>15135</v>
      </c>
      <c r="E54">
        <v>103204021</v>
      </c>
      <c r="F54" t="s">
        <v>15136</v>
      </c>
      <c r="G54" t="b">
        <v>1</v>
      </c>
      <c r="H54" t="s">
        <v>17199</v>
      </c>
    </row>
    <row r="55" spans="1:8" hidden="1" x14ac:dyDescent="0.25">
      <c r="A55">
        <v>89889</v>
      </c>
      <c r="B55" t="s">
        <v>16499</v>
      </c>
      <c r="C55" t="s">
        <v>15134</v>
      </c>
      <c r="D55" t="s">
        <v>15135</v>
      </c>
      <c r="E55">
        <v>103204012</v>
      </c>
      <c r="F55" t="s">
        <v>15145</v>
      </c>
      <c r="G55" t="b">
        <v>1</v>
      </c>
      <c r="H55" t="s">
        <v>16500</v>
      </c>
    </row>
    <row r="56" spans="1:8" hidden="1" x14ac:dyDescent="0.25">
      <c r="A56">
        <v>90936</v>
      </c>
      <c r="B56" t="s">
        <v>16728</v>
      </c>
      <c r="C56" t="s">
        <v>15134</v>
      </c>
      <c r="D56" t="s">
        <v>15135</v>
      </c>
      <c r="E56">
        <v>103204016</v>
      </c>
      <c r="F56" t="s">
        <v>15145</v>
      </c>
      <c r="G56" t="b">
        <v>1</v>
      </c>
      <c r="H56" t="s">
        <v>16729</v>
      </c>
    </row>
    <row r="57" spans="1:8" hidden="1" x14ac:dyDescent="0.25">
      <c r="A57">
        <v>90187</v>
      </c>
      <c r="B57" t="s">
        <v>16581</v>
      </c>
      <c r="C57" t="s">
        <v>15134</v>
      </c>
      <c r="D57" t="s">
        <v>15135</v>
      </c>
      <c r="E57">
        <v>103204014</v>
      </c>
      <c r="F57" t="s">
        <v>15145</v>
      </c>
      <c r="G57" t="b">
        <v>1</v>
      </c>
      <c r="H57" t="s">
        <v>16582</v>
      </c>
    </row>
    <row r="58" spans="1:8" hidden="1" x14ac:dyDescent="0.25">
      <c r="A58">
        <v>89890</v>
      </c>
      <c r="B58" t="s">
        <v>16501</v>
      </c>
      <c r="C58" t="s">
        <v>15134</v>
      </c>
      <c r="D58" t="s">
        <v>15135</v>
      </c>
      <c r="E58">
        <v>103204013</v>
      </c>
      <c r="F58" t="s">
        <v>15145</v>
      </c>
      <c r="G58" t="b">
        <v>1</v>
      </c>
      <c r="H58" t="s">
        <v>16502</v>
      </c>
    </row>
    <row r="59" spans="1:8" hidden="1" x14ac:dyDescent="0.25">
      <c r="A59">
        <v>286685</v>
      </c>
      <c r="B59" t="s">
        <v>16984</v>
      </c>
      <c r="C59" t="s">
        <v>15134</v>
      </c>
      <c r="D59" t="s">
        <v>15135</v>
      </c>
      <c r="E59">
        <v>103204020</v>
      </c>
      <c r="F59" t="s">
        <v>15136</v>
      </c>
      <c r="G59" t="b">
        <v>1</v>
      </c>
      <c r="H59" t="s">
        <v>16985</v>
      </c>
    </row>
    <row r="60" spans="1:8" hidden="1" x14ac:dyDescent="0.25">
      <c r="A60">
        <v>93011</v>
      </c>
      <c r="B60" t="s">
        <v>16955</v>
      </c>
      <c r="C60" t="s">
        <v>15134</v>
      </c>
      <c r="D60" t="s">
        <v>15135</v>
      </c>
      <c r="E60">
        <v>73325000</v>
      </c>
      <c r="F60" t="s">
        <v>15136</v>
      </c>
      <c r="G60" t="b">
        <v>1</v>
      </c>
      <c r="H60" t="s">
        <v>16956</v>
      </c>
    </row>
    <row r="61" spans="1:8" hidden="1" x14ac:dyDescent="0.25">
      <c r="A61">
        <v>93011</v>
      </c>
      <c r="B61" t="s">
        <v>16955</v>
      </c>
      <c r="C61" t="s">
        <v>15134</v>
      </c>
      <c r="D61" t="s">
        <v>15135</v>
      </c>
      <c r="E61">
        <v>73325000</v>
      </c>
      <c r="F61" t="s">
        <v>15138</v>
      </c>
      <c r="G61" t="b">
        <v>1</v>
      </c>
      <c r="H61" t="s">
        <v>16956</v>
      </c>
    </row>
    <row r="62" spans="1:8" hidden="1" x14ac:dyDescent="0.25">
      <c r="A62">
        <v>90082</v>
      </c>
      <c r="B62" t="s">
        <v>16530</v>
      </c>
      <c r="C62" t="s">
        <v>15134</v>
      </c>
      <c r="D62" t="s">
        <v>15135</v>
      </c>
      <c r="E62">
        <v>103114015</v>
      </c>
      <c r="F62" t="s">
        <v>15145</v>
      </c>
      <c r="G62" t="b">
        <v>1</v>
      </c>
      <c r="H62" t="s">
        <v>16531</v>
      </c>
    </row>
    <row r="63" spans="1:8" hidden="1" x14ac:dyDescent="0.25">
      <c r="A63">
        <v>92064</v>
      </c>
      <c r="B63" t="s">
        <v>16837</v>
      </c>
      <c r="C63" t="s">
        <v>15134</v>
      </c>
      <c r="D63" t="s">
        <v>15135</v>
      </c>
      <c r="E63">
        <v>103114018</v>
      </c>
    </row>
    <row r="64" spans="1:8" hidden="1" x14ac:dyDescent="0.25">
      <c r="A64">
        <v>90185</v>
      </c>
      <c r="B64" t="s">
        <v>16578</v>
      </c>
      <c r="C64" t="s">
        <v>15134</v>
      </c>
      <c r="D64" t="s">
        <v>15135</v>
      </c>
      <c r="E64">
        <v>103114016</v>
      </c>
      <c r="F64" t="s">
        <v>15145</v>
      </c>
      <c r="G64" t="b">
        <v>1</v>
      </c>
      <c r="H64" t="s">
        <v>16579</v>
      </c>
    </row>
    <row r="65" spans="1:8" hidden="1" x14ac:dyDescent="0.25">
      <c r="A65">
        <v>92653</v>
      </c>
      <c r="B65" t="s">
        <v>16883</v>
      </c>
      <c r="C65" t="s">
        <v>15134</v>
      </c>
      <c r="D65" t="s">
        <v>15135</v>
      </c>
      <c r="E65">
        <v>103114019</v>
      </c>
    </row>
    <row r="66" spans="1:8" hidden="1" x14ac:dyDescent="0.25">
      <c r="A66">
        <v>89666</v>
      </c>
      <c r="B66" t="s">
        <v>16424</v>
      </c>
      <c r="C66" t="s">
        <v>15134</v>
      </c>
      <c r="D66" t="s">
        <v>15135</v>
      </c>
      <c r="E66">
        <v>103114014</v>
      </c>
      <c r="F66" t="s">
        <v>15145</v>
      </c>
      <c r="G66" t="b">
        <v>1</v>
      </c>
      <c r="H66" t="s">
        <v>16425</v>
      </c>
    </row>
    <row r="67" spans="1:8" hidden="1" x14ac:dyDescent="0.25">
      <c r="A67">
        <v>90186</v>
      </c>
      <c r="B67" t="s">
        <v>16580</v>
      </c>
      <c r="C67" t="s">
        <v>15134</v>
      </c>
      <c r="D67" t="s">
        <v>15135</v>
      </c>
      <c r="E67">
        <v>103114017</v>
      </c>
      <c r="F67" t="s">
        <v>15145</v>
      </c>
      <c r="G67" t="b">
        <v>1</v>
      </c>
      <c r="H67" t="s">
        <v>16177</v>
      </c>
    </row>
    <row r="68" spans="1:8" hidden="1" x14ac:dyDescent="0.25">
      <c r="A68">
        <v>80498</v>
      </c>
      <c r="B68" t="s">
        <v>16065</v>
      </c>
      <c r="C68" t="s">
        <v>15134</v>
      </c>
      <c r="D68" t="s">
        <v>15135</v>
      </c>
      <c r="E68">
        <v>103114002</v>
      </c>
      <c r="F68" t="s">
        <v>15145</v>
      </c>
      <c r="G68" t="b">
        <v>1</v>
      </c>
      <c r="H68" t="s">
        <v>16066</v>
      </c>
    </row>
    <row r="69" spans="1:8" hidden="1" x14ac:dyDescent="0.25">
      <c r="A69">
        <v>80498</v>
      </c>
      <c r="B69" t="s">
        <v>16065</v>
      </c>
      <c r="C69" t="s">
        <v>15134</v>
      </c>
      <c r="D69" t="s">
        <v>15135</v>
      </c>
      <c r="E69">
        <v>103114002</v>
      </c>
      <c r="F69" t="s">
        <v>15138</v>
      </c>
      <c r="G69" t="b">
        <v>1</v>
      </c>
      <c r="H69" t="s">
        <v>16061</v>
      </c>
    </row>
    <row r="70" spans="1:8" hidden="1" x14ac:dyDescent="0.25">
      <c r="A70">
        <v>80497</v>
      </c>
      <c r="B70" t="s">
        <v>16063</v>
      </c>
      <c r="C70" t="s">
        <v>15134</v>
      </c>
      <c r="D70" t="s">
        <v>15135</v>
      </c>
      <c r="E70">
        <v>103114001</v>
      </c>
      <c r="F70" t="s">
        <v>15145</v>
      </c>
      <c r="G70" t="b">
        <v>1</v>
      </c>
      <c r="H70" t="s">
        <v>16062</v>
      </c>
    </row>
    <row r="71" spans="1:8" hidden="1" x14ac:dyDescent="0.25">
      <c r="A71">
        <v>80497</v>
      </c>
      <c r="B71" t="s">
        <v>16063</v>
      </c>
      <c r="C71" t="s">
        <v>15134</v>
      </c>
      <c r="D71" t="s">
        <v>15135</v>
      </c>
      <c r="E71">
        <v>103114001</v>
      </c>
      <c r="F71" t="s">
        <v>15138</v>
      </c>
      <c r="G71" t="b">
        <v>0</v>
      </c>
      <c r="H71" t="s">
        <v>16064</v>
      </c>
    </row>
    <row r="72" spans="1:8" hidden="1" x14ac:dyDescent="0.25">
      <c r="A72">
        <v>80499</v>
      </c>
      <c r="B72" t="s">
        <v>16067</v>
      </c>
      <c r="C72" t="s">
        <v>15134</v>
      </c>
      <c r="D72" t="s">
        <v>15135</v>
      </c>
      <c r="E72">
        <v>103114003</v>
      </c>
      <c r="F72" t="s">
        <v>15145</v>
      </c>
      <c r="G72" t="b">
        <v>0</v>
      </c>
      <c r="H72" t="s">
        <v>16068</v>
      </c>
    </row>
    <row r="73" spans="1:8" hidden="1" x14ac:dyDescent="0.25">
      <c r="A73">
        <v>80499</v>
      </c>
      <c r="B73" t="s">
        <v>16067</v>
      </c>
      <c r="C73" t="s">
        <v>15134</v>
      </c>
      <c r="D73" t="s">
        <v>15135</v>
      </c>
      <c r="E73">
        <v>103114003</v>
      </c>
      <c r="F73" t="s">
        <v>15138</v>
      </c>
      <c r="G73" t="b">
        <v>0</v>
      </c>
      <c r="H73" t="s">
        <v>16069</v>
      </c>
    </row>
    <row r="74" spans="1:8" hidden="1" x14ac:dyDescent="0.25">
      <c r="A74">
        <v>80500</v>
      </c>
      <c r="B74" t="s">
        <v>16070</v>
      </c>
      <c r="C74" t="s">
        <v>15134</v>
      </c>
      <c r="D74" t="s">
        <v>15135</v>
      </c>
      <c r="E74">
        <v>103114004</v>
      </c>
      <c r="F74" t="s">
        <v>15145</v>
      </c>
      <c r="G74" t="b">
        <v>1</v>
      </c>
      <c r="H74" t="s">
        <v>16071</v>
      </c>
    </row>
    <row r="75" spans="1:8" hidden="1" x14ac:dyDescent="0.25">
      <c r="A75">
        <v>80500</v>
      </c>
      <c r="B75" t="s">
        <v>16070</v>
      </c>
      <c r="C75" t="s">
        <v>15134</v>
      </c>
      <c r="D75" t="s">
        <v>15135</v>
      </c>
      <c r="E75">
        <v>103114004</v>
      </c>
      <c r="F75" t="s">
        <v>15138</v>
      </c>
      <c r="G75" t="b">
        <v>0</v>
      </c>
      <c r="H75" t="s">
        <v>16069</v>
      </c>
    </row>
    <row r="76" spans="1:8" hidden="1" x14ac:dyDescent="0.25">
      <c r="A76">
        <v>80696</v>
      </c>
      <c r="B76" t="s">
        <v>16193</v>
      </c>
      <c r="C76" t="s">
        <v>15134</v>
      </c>
      <c r="D76" t="s">
        <v>15135</v>
      </c>
      <c r="E76">
        <v>103114010</v>
      </c>
      <c r="F76" t="s">
        <v>15145</v>
      </c>
      <c r="G76" t="b">
        <v>1</v>
      </c>
      <c r="H76" t="s">
        <v>16194</v>
      </c>
    </row>
    <row r="77" spans="1:8" hidden="1" x14ac:dyDescent="0.25">
      <c r="A77">
        <v>80696</v>
      </c>
      <c r="B77" t="s">
        <v>16193</v>
      </c>
      <c r="C77" t="s">
        <v>15134</v>
      </c>
      <c r="D77" t="s">
        <v>15135</v>
      </c>
      <c r="E77">
        <v>103114010</v>
      </c>
      <c r="F77" t="s">
        <v>15138</v>
      </c>
      <c r="G77" t="b">
        <v>1</v>
      </c>
      <c r="H77" t="s">
        <v>16194</v>
      </c>
    </row>
    <row r="78" spans="1:8" hidden="1" x14ac:dyDescent="0.25">
      <c r="A78">
        <v>80695</v>
      </c>
      <c r="B78" t="s">
        <v>16191</v>
      </c>
      <c r="C78" t="s">
        <v>15134</v>
      </c>
      <c r="D78" t="s">
        <v>15135</v>
      </c>
      <c r="E78">
        <v>103114009</v>
      </c>
      <c r="F78" t="s">
        <v>15145</v>
      </c>
      <c r="G78" t="b">
        <v>1</v>
      </c>
      <c r="H78" t="s">
        <v>16192</v>
      </c>
    </row>
    <row r="79" spans="1:8" hidden="1" x14ac:dyDescent="0.25">
      <c r="A79">
        <v>80695</v>
      </c>
      <c r="B79" t="s">
        <v>16191</v>
      </c>
      <c r="C79" t="s">
        <v>15134</v>
      </c>
      <c r="D79" t="s">
        <v>15135</v>
      </c>
      <c r="E79">
        <v>103114009</v>
      </c>
      <c r="F79" t="s">
        <v>15138</v>
      </c>
      <c r="G79" t="b">
        <v>1</v>
      </c>
      <c r="H79" t="s">
        <v>16192</v>
      </c>
    </row>
    <row r="80" spans="1:8" hidden="1" x14ac:dyDescent="0.25">
      <c r="A80">
        <v>79773</v>
      </c>
      <c r="B80" t="s">
        <v>16003</v>
      </c>
      <c r="C80" t="s">
        <v>15134</v>
      </c>
      <c r="D80" t="s">
        <v>15135</v>
      </c>
      <c r="E80">
        <v>73465001</v>
      </c>
      <c r="F80" t="s">
        <v>15138</v>
      </c>
      <c r="G80" t="b">
        <v>1</v>
      </c>
      <c r="H80" t="s">
        <v>16004</v>
      </c>
    </row>
    <row r="81" spans="1:8" hidden="1" x14ac:dyDescent="0.25">
      <c r="A81">
        <v>79773</v>
      </c>
      <c r="B81" t="s">
        <v>16003</v>
      </c>
      <c r="C81" t="s">
        <v>15134</v>
      </c>
      <c r="D81" t="s">
        <v>15135</v>
      </c>
      <c r="E81">
        <v>73465001</v>
      </c>
      <c r="F81" t="s">
        <v>15145</v>
      </c>
      <c r="G81" t="b">
        <v>1</v>
      </c>
      <c r="H81" t="s">
        <v>16004</v>
      </c>
    </row>
    <row r="82" spans="1:8" hidden="1" x14ac:dyDescent="0.25">
      <c r="A82">
        <v>80603</v>
      </c>
      <c r="B82" t="s">
        <v>16137</v>
      </c>
      <c r="C82" t="s">
        <v>15134</v>
      </c>
      <c r="D82" t="s">
        <v>15135</v>
      </c>
      <c r="E82">
        <v>103210001</v>
      </c>
      <c r="F82" t="s">
        <v>15138</v>
      </c>
      <c r="G82" t="b">
        <v>1</v>
      </c>
      <c r="H82" t="s">
        <v>16138</v>
      </c>
    </row>
    <row r="83" spans="1:8" hidden="1" x14ac:dyDescent="0.25">
      <c r="A83">
        <v>80603</v>
      </c>
      <c r="B83" t="s">
        <v>16137</v>
      </c>
      <c r="C83" t="s">
        <v>15134</v>
      </c>
      <c r="D83" t="s">
        <v>15135</v>
      </c>
      <c r="E83">
        <v>103210001</v>
      </c>
      <c r="F83" t="s">
        <v>15145</v>
      </c>
      <c r="G83" t="b">
        <v>1</v>
      </c>
      <c r="H83" t="s">
        <v>16138</v>
      </c>
    </row>
    <row r="84" spans="1:8" hidden="1" x14ac:dyDescent="0.25">
      <c r="A84">
        <v>9101</v>
      </c>
      <c r="B84" t="s">
        <v>15360</v>
      </c>
      <c r="C84" t="s">
        <v>15134</v>
      </c>
      <c r="D84" t="s">
        <v>15135</v>
      </c>
      <c r="E84">
        <v>73074001</v>
      </c>
    </row>
    <row r="85" spans="1:8" hidden="1" x14ac:dyDescent="0.25">
      <c r="A85">
        <v>9515</v>
      </c>
      <c r="B85" t="s">
        <v>15360</v>
      </c>
      <c r="C85" t="s">
        <v>15134</v>
      </c>
      <c r="D85" t="s">
        <v>15135</v>
      </c>
      <c r="E85">
        <v>73283003</v>
      </c>
    </row>
    <row r="86" spans="1:8" hidden="1" x14ac:dyDescent="0.25">
      <c r="A86">
        <v>9166</v>
      </c>
      <c r="B86" t="s">
        <v>15387</v>
      </c>
      <c r="C86" t="s">
        <v>15134</v>
      </c>
      <c r="D86" t="s">
        <v>15135</v>
      </c>
      <c r="E86">
        <v>73110001</v>
      </c>
    </row>
    <row r="87" spans="1:8" hidden="1" x14ac:dyDescent="0.25">
      <c r="A87">
        <v>9019</v>
      </c>
      <c r="B87" t="s">
        <v>15318</v>
      </c>
      <c r="C87" t="s">
        <v>15134</v>
      </c>
      <c r="D87" t="s">
        <v>15135</v>
      </c>
      <c r="E87">
        <v>73024001</v>
      </c>
    </row>
    <row r="88" spans="1:8" hidden="1" x14ac:dyDescent="0.25">
      <c r="A88">
        <v>90840</v>
      </c>
      <c r="B88" t="s">
        <v>15318</v>
      </c>
      <c r="C88" t="s">
        <v>15134</v>
      </c>
      <c r="D88" t="s">
        <v>15135</v>
      </c>
      <c r="E88">
        <v>73024002</v>
      </c>
      <c r="F88" t="s">
        <v>15145</v>
      </c>
      <c r="G88" t="b">
        <v>1</v>
      </c>
      <c r="H88" t="s">
        <v>16701</v>
      </c>
    </row>
    <row r="89" spans="1:8" hidden="1" x14ac:dyDescent="0.25">
      <c r="A89">
        <v>90840</v>
      </c>
      <c r="B89" t="s">
        <v>15318</v>
      </c>
      <c r="C89" t="s">
        <v>15134</v>
      </c>
      <c r="D89" t="s">
        <v>15135</v>
      </c>
      <c r="E89">
        <v>73024002</v>
      </c>
      <c r="F89" t="s">
        <v>15138</v>
      </c>
      <c r="G89" t="b">
        <v>1</v>
      </c>
      <c r="H89" t="s">
        <v>16701</v>
      </c>
    </row>
    <row r="90" spans="1:8" hidden="1" x14ac:dyDescent="0.25">
      <c r="A90">
        <v>9018</v>
      </c>
      <c r="B90" t="s">
        <v>15316</v>
      </c>
      <c r="C90" t="s">
        <v>15134</v>
      </c>
      <c r="D90" t="s">
        <v>15135</v>
      </c>
      <c r="E90">
        <v>73024000</v>
      </c>
      <c r="F90" t="s">
        <v>15136</v>
      </c>
      <c r="G90" t="b">
        <v>1</v>
      </c>
      <c r="H90" t="s">
        <v>15317</v>
      </c>
    </row>
    <row r="91" spans="1:8" hidden="1" x14ac:dyDescent="0.25">
      <c r="A91">
        <v>9018</v>
      </c>
      <c r="B91" t="s">
        <v>15316</v>
      </c>
      <c r="C91" t="s">
        <v>15134</v>
      </c>
      <c r="D91" t="s">
        <v>15135</v>
      </c>
      <c r="E91">
        <v>73024000</v>
      </c>
      <c r="F91" t="s">
        <v>15138</v>
      </c>
      <c r="G91" t="b">
        <v>1</v>
      </c>
      <c r="H91" t="s">
        <v>15317</v>
      </c>
    </row>
    <row r="92" spans="1:8" hidden="1" x14ac:dyDescent="0.25">
      <c r="A92">
        <v>9033</v>
      </c>
      <c r="B92" t="s">
        <v>15328</v>
      </c>
      <c r="C92" t="s">
        <v>15134</v>
      </c>
      <c r="D92" t="s">
        <v>15135</v>
      </c>
      <c r="E92">
        <v>73030001</v>
      </c>
    </row>
    <row r="93" spans="1:8" hidden="1" x14ac:dyDescent="0.25">
      <c r="A93">
        <v>9893</v>
      </c>
      <c r="B93" t="s">
        <v>15717</v>
      </c>
      <c r="C93" t="s">
        <v>15134</v>
      </c>
      <c r="D93" t="s">
        <v>15135</v>
      </c>
      <c r="E93">
        <v>103032001</v>
      </c>
    </row>
    <row r="94" spans="1:8" hidden="1" x14ac:dyDescent="0.25">
      <c r="A94">
        <v>89463</v>
      </c>
      <c r="B94" t="s">
        <v>16396</v>
      </c>
      <c r="C94" t="s">
        <v>15134</v>
      </c>
      <c r="D94" t="s">
        <v>15135</v>
      </c>
      <c r="E94">
        <v>73550000</v>
      </c>
      <c r="F94" t="s">
        <v>15138</v>
      </c>
      <c r="G94" t="b">
        <v>1</v>
      </c>
      <c r="H94" t="s">
        <v>16397</v>
      </c>
    </row>
    <row r="95" spans="1:8" hidden="1" x14ac:dyDescent="0.25">
      <c r="A95">
        <v>89463</v>
      </c>
      <c r="B95" t="s">
        <v>16396</v>
      </c>
      <c r="C95" t="s">
        <v>15134</v>
      </c>
      <c r="D95" t="s">
        <v>15135</v>
      </c>
      <c r="E95">
        <v>73550000</v>
      </c>
      <c r="F95" t="s">
        <v>15136</v>
      </c>
      <c r="G95" t="b">
        <v>1</v>
      </c>
      <c r="H95" t="s">
        <v>16398</v>
      </c>
    </row>
    <row r="96" spans="1:8" hidden="1" x14ac:dyDescent="0.25">
      <c r="A96">
        <v>1000089</v>
      </c>
      <c r="B96" t="s">
        <v>17068</v>
      </c>
      <c r="C96" t="s">
        <v>15134</v>
      </c>
      <c r="D96" t="s">
        <v>15135</v>
      </c>
      <c r="E96">
        <v>72468000</v>
      </c>
      <c r="F96" t="s">
        <v>15138</v>
      </c>
      <c r="G96" t="b">
        <v>1</v>
      </c>
      <c r="H96" t="s">
        <v>17069</v>
      </c>
    </row>
    <row r="97" spans="1:8" hidden="1" x14ac:dyDescent="0.25">
      <c r="A97">
        <v>1000089</v>
      </c>
      <c r="B97" t="s">
        <v>17068</v>
      </c>
      <c r="C97" t="s">
        <v>15134</v>
      </c>
      <c r="D97" t="s">
        <v>15135</v>
      </c>
      <c r="E97">
        <v>72468000</v>
      </c>
      <c r="F97" t="s">
        <v>15136</v>
      </c>
      <c r="G97" t="b">
        <v>1</v>
      </c>
      <c r="H97" t="s">
        <v>17069</v>
      </c>
    </row>
    <row r="98" spans="1:8" hidden="1" x14ac:dyDescent="0.25">
      <c r="A98">
        <v>90372</v>
      </c>
      <c r="B98" t="s">
        <v>16594</v>
      </c>
      <c r="C98" t="s">
        <v>15134</v>
      </c>
      <c r="D98" t="s">
        <v>15135</v>
      </c>
      <c r="E98">
        <v>113021001</v>
      </c>
      <c r="F98" t="s">
        <v>15145</v>
      </c>
      <c r="G98" t="b">
        <v>1</v>
      </c>
      <c r="H98" t="s">
        <v>16595</v>
      </c>
    </row>
    <row r="99" spans="1:8" hidden="1" x14ac:dyDescent="0.25">
      <c r="A99">
        <v>1000394</v>
      </c>
      <c r="B99" t="s">
        <v>17156</v>
      </c>
      <c r="C99" t="s">
        <v>15134</v>
      </c>
      <c r="D99" t="s">
        <v>15135</v>
      </c>
      <c r="E99">
        <v>113023002</v>
      </c>
      <c r="F99" t="s">
        <v>15138</v>
      </c>
      <c r="G99" t="b">
        <v>1</v>
      </c>
      <c r="H99" t="s">
        <v>17157</v>
      </c>
    </row>
    <row r="100" spans="1:8" hidden="1" x14ac:dyDescent="0.25">
      <c r="A100">
        <v>1000394</v>
      </c>
      <c r="B100" t="s">
        <v>17156</v>
      </c>
      <c r="C100" t="s">
        <v>15134</v>
      </c>
      <c r="D100" t="s">
        <v>15135</v>
      </c>
      <c r="E100">
        <v>113023002</v>
      </c>
      <c r="F100" t="s">
        <v>15136</v>
      </c>
      <c r="G100" t="b">
        <v>1</v>
      </c>
      <c r="H100" t="s">
        <v>17157</v>
      </c>
    </row>
    <row r="101" spans="1:8" hidden="1" x14ac:dyDescent="0.25">
      <c r="A101">
        <v>91322</v>
      </c>
      <c r="B101" t="s">
        <v>16770</v>
      </c>
      <c r="C101" t="s">
        <v>15134</v>
      </c>
      <c r="D101" t="s">
        <v>15135</v>
      </c>
      <c r="E101">
        <v>113023001</v>
      </c>
      <c r="F101" t="s">
        <v>15138</v>
      </c>
      <c r="G101" t="b">
        <v>1</v>
      </c>
      <c r="H101" t="s">
        <v>16595</v>
      </c>
    </row>
    <row r="102" spans="1:8" hidden="1" x14ac:dyDescent="0.25">
      <c r="A102">
        <v>91322</v>
      </c>
      <c r="B102" t="s">
        <v>16770</v>
      </c>
      <c r="C102" t="s">
        <v>15134</v>
      </c>
      <c r="D102" t="s">
        <v>15135</v>
      </c>
      <c r="E102">
        <v>113023001</v>
      </c>
      <c r="F102" t="s">
        <v>15136</v>
      </c>
      <c r="G102" t="b">
        <v>1</v>
      </c>
      <c r="H102" t="s">
        <v>16771</v>
      </c>
    </row>
    <row r="103" spans="1:8" hidden="1" x14ac:dyDescent="0.25">
      <c r="A103">
        <v>91322</v>
      </c>
      <c r="B103" t="s">
        <v>16770</v>
      </c>
      <c r="C103" t="s">
        <v>15134</v>
      </c>
      <c r="D103" t="s">
        <v>15135</v>
      </c>
      <c r="E103">
        <v>113023001</v>
      </c>
      <c r="F103" t="s">
        <v>15145</v>
      </c>
      <c r="G103" t="b">
        <v>1</v>
      </c>
      <c r="H103" t="s">
        <v>16595</v>
      </c>
    </row>
    <row r="104" spans="1:8" hidden="1" x14ac:dyDescent="0.25">
      <c r="A104">
        <v>91321</v>
      </c>
      <c r="B104" t="s">
        <v>16769</v>
      </c>
      <c r="C104" t="s">
        <v>15134</v>
      </c>
      <c r="D104" t="s">
        <v>15135</v>
      </c>
      <c r="E104">
        <v>113023000</v>
      </c>
      <c r="F104" t="s">
        <v>15136</v>
      </c>
      <c r="G104" t="b">
        <v>1</v>
      </c>
      <c r="H104" t="s">
        <v>16595</v>
      </c>
    </row>
    <row r="105" spans="1:8" hidden="1" x14ac:dyDescent="0.25">
      <c r="A105">
        <v>91321</v>
      </c>
      <c r="B105" t="s">
        <v>16769</v>
      </c>
      <c r="C105" t="s">
        <v>15134</v>
      </c>
      <c r="D105" t="s">
        <v>15135</v>
      </c>
      <c r="E105">
        <v>113023000</v>
      </c>
      <c r="F105" t="s">
        <v>15138</v>
      </c>
      <c r="G105" t="b">
        <v>1</v>
      </c>
      <c r="H105" t="s">
        <v>16595</v>
      </c>
    </row>
    <row r="106" spans="1:8" hidden="1" x14ac:dyDescent="0.25">
      <c r="A106">
        <v>9915</v>
      </c>
      <c r="B106" t="s">
        <v>15727</v>
      </c>
      <c r="C106" t="s">
        <v>15134</v>
      </c>
      <c r="D106" t="s">
        <v>15135</v>
      </c>
      <c r="E106">
        <v>103047001</v>
      </c>
    </row>
    <row r="107" spans="1:8" hidden="1" x14ac:dyDescent="0.25">
      <c r="A107">
        <v>85801</v>
      </c>
      <c r="B107" t="s">
        <v>16307</v>
      </c>
      <c r="C107" t="s">
        <v>15134</v>
      </c>
      <c r="D107" t="s">
        <v>15135</v>
      </c>
      <c r="E107">
        <v>73512000</v>
      </c>
      <c r="F107" t="s">
        <v>15136</v>
      </c>
      <c r="G107" t="b">
        <v>1</v>
      </c>
      <c r="H107" t="s">
        <v>16308</v>
      </c>
    </row>
    <row r="108" spans="1:8" hidden="1" x14ac:dyDescent="0.25">
      <c r="A108">
        <v>85801</v>
      </c>
      <c r="B108" t="s">
        <v>16307</v>
      </c>
      <c r="C108" t="s">
        <v>15134</v>
      </c>
      <c r="D108" t="s">
        <v>15135</v>
      </c>
      <c r="E108">
        <v>73512000</v>
      </c>
      <c r="F108" t="s">
        <v>15138</v>
      </c>
      <c r="G108" t="b">
        <v>1</v>
      </c>
      <c r="H108" t="s">
        <v>16308</v>
      </c>
    </row>
    <row r="109" spans="1:8" hidden="1" x14ac:dyDescent="0.25">
      <c r="A109">
        <v>85802</v>
      </c>
      <c r="B109" t="s">
        <v>16307</v>
      </c>
      <c r="C109" t="s">
        <v>15134</v>
      </c>
      <c r="D109" t="s">
        <v>15135</v>
      </c>
      <c r="E109">
        <v>73512001</v>
      </c>
      <c r="F109" t="s">
        <v>15138</v>
      </c>
      <c r="G109" t="b">
        <v>1</v>
      </c>
      <c r="H109" t="s">
        <v>16308</v>
      </c>
    </row>
    <row r="110" spans="1:8" hidden="1" x14ac:dyDescent="0.25">
      <c r="A110">
        <v>85802</v>
      </c>
      <c r="B110" t="s">
        <v>16307</v>
      </c>
      <c r="C110" t="s">
        <v>15134</v>
      </c>
      <c r="D110" t="s">
        <v>15135</v>
      </c>
      <c r="E110">
        <v>73512001</v>
      </c>
      <c r="F110" t="s">
        <v>15145</v>
      </c>
      <c r="G110" t="b">
        <v>1</v>
      </c>
      <c r="H110" t="s">
        <v>16308</v>
      </c>
    </row>
    <row r="111" spans="1:8" hidden="1" x14ac:dyDescent="0.25">
      <c r="A111">
        <v>80625</v>
      </c>
      <c r="B111" t="s">
        <v>16150</v>
      </c>
      <c r="C111" t="s">
        <v>15134</v>
      </c>
      <c r="D111" t="s">
        <v>15135</v>
      </c>
      <c r="E111">
        <v>73435001</v>
      </c>
      <c r="F111" t="s">
        <v>15145</v>
      </c>
      <c r="G111" t="b">
        <v>1</v>
      </c>
      <c r="H111" t="s">
        <v>16151</v>
      </c>
    </row>
    <row r="112" spans="1:8" hidden="1" x14ac:dyDescent="0.25">
      <c r="A112">
        <v>80625</v>
      </c>
      <c r="B112" t="s">
        <v>16150</v>
      </c>
      <c r="C112" t="s">
        <v>15134</v>
      </c>
      <c r="D112" t="s">
        <v>15135</v>
      </c>
      <c r="E112">
        <v>73435001</v>
      </c>
      <c r="F112" t="s">
        <v>15138</v>
      </c>
      <c r="G112" t="b">
        <v>1</v>
      </c>
      <c r="H112" t="s">
        <v>16151</v>
      </c>
    </row>
    <row r="113" spans="1:8" hidden="1" x14ac:dyDescent="0.25">
      <c r="A113">
        <v>8529</v>
      </c>
      <c r="B113" t="s">
        <v>15162</v>
      </c>
      <c r="C113" t="s">
        <v>15134</v>
      </c>
      <c r="D113" t="s">
        <v>15135</v>
      </c>
      <c r="E113">
        <v>32208001</v>
      </c>
    </row>
    <row r="114" spans="1:8" hidden="1" x14ac:dyDescent="0.25">
      <c r="A114">
        <v>8777</v>
      </c>
      <c r="B114" t="s">
        <v>15268</v>
      </c>
      <c r="C114" t="s">
        <v>15134</v>
      </c>
      <c r="D114" t="s">
        <v>15135</v>
      </c>
      <c r="E114">
        <v>72407002</v>
      </c>
    </row>
    <row r="115" spans="1:8" hidden="1" x14ac:dyDescent="0.25">
      <c r="A115">
        <v>90763</v>
      </c>
      <c r="B115" t="s">
        <v>16678</v>
      </c>
      <c r="C115" t="s">
        <v>15134</v>
      </c>
      <c r="D115" t="s">
        <v>15135</v>
      </c>
      <c r="E115">
        <v>73710000</v>
      </c>
      <c r="F115" t="s">
        <v>15138</v>
      </c>
      <c r="G115" t="b">
        <v>1</v>
      </c>
      <c r="H115" t="s">
        <v>16679</v>
      </c>
    </row>
    <row r="116" spans="1:8" hidden="1" x14ac:dyDescent="0.25">
      <c r="A116">
        <v>90763</v>
      </c>
      <c r="B116" t="s">
        <v>16678</v>
      </c>
      <c r="C116" t="s">
        <v>15134</v>
      </c>
      <c r="D116" t="s">
        <v>15135</v>
      </c>
      <c r="E116">
        <v>73710000</v>
      </c>
      <c r="F116" t="s">
        <v>15136</v>
      </c>
      <c r="G116" t="b">
        <v>1</v>
      </c>
      <c r="H116" t="s">
        <v>16598</v>
      </c>
    </row>
    <row r="117" spans="1:8" hidden="1" x14ac:dyDescent="0.25">
      <c r="A117">
        <v>79300</v>
      </c>
      <c r="B117" t="s">
        <v>15915</v>
      </c>
      <c r="C117" t="s">
        <v>15134</v>
      </c>
      <c r="D117" t="s">
        <v>15135</v>
      </c>
      <c r="E117">
        <v>132205000</v>
      </c>
      <c r="F117" t="s">
        <v>15138</v>
      </c>
      <c r="G117" t="b">
        <v>1</v>
      </c>
      <c r="H117" t="s">
        <v>15916</v>
      </c>
    </row>
    <row r="118" spans="1:8" hidden="1" x14ac:dyDescent="0.25">
      <c r="A118">
        <v>79300</v>
      </c>
      <c r="B118" t="s">
        <v>15915</v>
      </c>
      <c r="C118" t="s">
        <v>15134</v>
      </c>
      <c r="D118" t="s">
        <v>15135</v>
      </c>
      <c r="E118">
        <v>132205000</v>
      </c>
      <c r="F118" t="s">
        <v>15145</v>
      </c>
      <c r="G118" t="b">
        <v>1</v>
      </c>
      <c r="H118" t="s">
        <v>15916</v>
      </c>
    </row>
    <row r="119" spans="1:8" hidden="1" x14ac:dyDescent="0.25">
      <c r="A119">
        <v>79301</v>
      </c>
      <c r="B119" t="s">
        <v>15915</v>
      </c>
      <c r="C119" t="s">
        <v>15134</v>
      </c>
      <c r="D119" t="s">
        <v>15135</v>
      </c>
      <c r="E119">
        <v>132205001</v>
      </c>
      <c r="F119" t="s">
        <v>15138</v>
      </c>
      <c r="G119" t="b">
        <v>1</v>
      </c>
      <c r="H119" t="s">
        <v>15916</v>
      </c>
    </row>
    <row r="120" spans="1:8" hidden="1" x14ac:dyDescent="0.25">
      <c r="A120">
        <v>79301</v>
      </c>
      <c r="B120" t="s">
        <v>15915</v>
      </c>
      <c r="C120" t="s">
        <v>15134</v>
      </c>
      <c r="D120" t="s">
        <v>15135</v>
      </c>
      <c r="E120">
        <v>132205001</v>
      </c>
      <c r="F120" t="s">
        <v>15145</v>
      </c>
      <c r="G120" t="b">
        <v>1</v>
      </c>
      <c r="H120" t="s">
        <v>15916</v>
      </c>
    </row>
    <row r="121" spans="1:8" hidden="1" x14ac:dyDescent="0.25">
      <c r="A121">
        <v>9319</v>
      </c>
      <c r="B121" t="s">
        <v>15469</v>
      </c>
      <c r="C121" t="s">
        <v>15134</v>
      </c>
      <c r="D121" t="s">
        <v>15135</v>
      </c>
      <c r="E121">
        <v>73206001</v>
      </c>
    </row>
    <row r="122" spans="1:8" hidden="1" x14ac:dyDescent="0.25">
      <c r="A122">
        <v>80922</v>
      </c>
      <c r="B122" t="s">
        <v>16244</v>
      </c>
      <c r="C122" t="s">
        <v>15134</v>
      </c>
      <c r="D122" t="s">
        <v>15135</v>
      </c>
      <c r="E122">
        <v>73491001</v>
      </c>
      <c r="F122" t="s">
        <v>15145</v>
      </c>
      <c r="G122" t="b">
        <v>1</v>
      </c>
      <c r="H122" t="s">
        <v>16243</v>
      </c>
    </row>
    <row r="123" spans="1:8" hidden="1" x14ac:dyDescent="0.25">
      <c r="A123">
        <v>80922</v>
      </c>
      <c r="B123" t="s">
        <v>16244</v>
      </c>
      <c r="C123" t="s">
        <v>15134</v>
      </c>
      <c r="D123" t="s">
        <v>15135</v>
      </c>
      <c r="E123">
        <v>73491001</v>
      </c>
      <c r="F123" t="s">
        <v>15138</v>
      </c>
      <c r="G123" t="b">
        <v>1</v>
      </c>
      <c r="H123" t="s">
        <v>16243</v>
      </c>
    </row>
    <row r="124" spans="1:8" hidden="1" x14ac:dyDescent="0.25">
      <c r="A124">
        <v>89753</v>
      </c>
      <c r="B124" t="s">
        <v>16455</v>
      </c>
      <c r="C124" t="s">
        <v>15134</v>
      </c>
      <c r="D124" t="s">
        <v>15135</v>
      </c>
      <c r="E124">
        <v>73561001</v>
      </c>
      <c r="F124" t="s">
        <v>15145</v>
      </c>
      <c r="G124" t="b">
        <v>1</v>
      </c>
      <c r="H124" t="s">
        <v>15990</v>
      </c>
    </row>
    <row r="125" spans="1:8" hidden="1" x14ac:dyDescent="0.25">
      <c r="A125">
        <v>89753</v>
      </c>
      <c r="B125" t="s">
        <v>16455</v>
      </c>
      <c r="C125" t="s">
        <v>15134</v>
      </c>
      <c r="D125" t="s">
        <v>15135</v>
      </c>
      <c r="E125">
        <v>73561001</v>
      </c>
      <c r="F125" t="s">
        <v>15138</v>
      </c>
      <c r="G125" t="b">
        <v>1</v>
      </c>
      <c r="H125" t="s">
        <v>15990</v>
      </c>
    </row>
    <row r="126" spans="1:8" hidden="1" x14ac:dyDescent="0.25">
      <c r="A126">
        <v>1000062</v>
      </c>
      <c r="B126" t="s">
        <v>17040</v>
      </c>
      <c r="C126" t="s">
        <v>15134</v>
      </c>
      <c r="D126" t="s">
        <v>15135</v>
      </c>
      <c r="E126">
        <v>73345001</v>
      </c>
      <c r="F126" t="s">
        <v>15138</v>
      </c>
      <c r="G126" t="b">
        <v>1</v>
      </c>
      <c r="H126" t="s">
        <v>17039</v>
      </c>
    </row>
    <row r="127" spans="1:8" hidden="1" x14ac:dyDescent="0.25">
      <c r="A127">
        <v>1000062</v>
      </c>
      <c r="B127" t="s">
        <v>17040</v>
      </c>
      <c r="C127" t="s">
        <v>15134</v>
      </c>
      <c r="D127" t="s">
        <v>15135</v>
      </c>
      <c r="E127">
        <v>73345001</v>
      </c>
      <c r="F127" t="s">
        <v>15136</v>
      </c>
      <c r="G127" t="b">
        <v>1</v>
      </c>
      <c r="H127" t="s">
        <v>17039</v>
      </c>
    </row>
    <row r="128" spans="1:8" hidden="1" x14ac:dyDescent="0.25">
      <c r="A128">
        <v>1001131</v>
      </c>
      <c r="B128" t="s">
        <v>17179</v>
      </c>
      <c r="C128" t="s">
        <v>15134</v>
      </c>
      <c r="D128" t="s">
        <v>15135</v>
      </c>
      <c r="E128">
        <v>73367001</v>
      </c>
      <c r="F128" t="s">
        <v>15138</v>
      </c>
      <c r="G128" t="b">
        <v>1</v>
      </c>
      <c r="H128" t="s">
        <v>17175</v>
      </c>
    </row>
    <row r="129" spans="1:8" hidden="1" x14ac:dyDescent="0.25">
      <c r="A129">
        <v>1001131</v>
      </c>
      <c r="B129" t="s">
        <v>17179</v>
      </c>
      <c r="C129" t="s">
        <v>15134</v>
      </c>
      <c r="D129" t="s">
        <v>15135</v>
      </c>
      <c r="E129">
        <v>73367001</v>
      </c>
      <c r="F129" t="s">
        <v>15136</v>
      </c>
      <c r="G129" t="b">
        <v>1</v>
      </c>
      <c r="H129" t="s">
        <v>17175</v>
      </c>
    </row>
    <row r="130" spans="1:8" hidden="1" x14ac:dyDescent="0.25">
      <c r="A130">
        <v>8796</v>
      </c>
      <c r="B130" t="s">
        <v>15290</v>
      </c>
      <c r="C130" t="s">
        <v>15134</v>
      </c>
      <c r="D130" t="s">
        <v>15135</v>
      </c>
      <c r="E130">
        <v>72517000</v>
      </c>
      <c r="F130" t="s">
        <v>15136</v>
      </c>
      <c r="G130" t="b">
        <v>1</v>
      </c>
      <c r="H130" t="s">
        <v>15291</v>
      </c>
    </row>
    <row r="131" spans="1:8" hidden="1" x14ac:dyDescent="0.25">
      <c r="A131">
        <v>8796</v>
      </c>
      <c r="B131" t="s">
        <v>15290</v>
      </c>
      <c r="C131" t="s">
        <v>15134</v>
      </c>
      <c r="D131" t="s">
        <v>15135</v>
      </c>
      <c r="E131">
        <v>72517000</v>
      </c>
      <c r="F131" t="s">
        <v>15138</v>
      </c>
      <c r="G131" t="b">
        <v>1</v>
      </c>
      <c r="H131" t="s">
        <v>15292</v>
      </c>
    </row>
    <row r="132" spans="1:8" hidden="1" x14ac:dyDescent="0.25">
      <c r="A132">
        <v>8773</v>
      </c>
      <c r="B132" t="s">
        <v>15265</v>
      </c>
      <c r="C132" t="s">
        <v>15134</v>
      </c>
      <c r="D132" t="s">
        <v>15135</v>
      </c>
      <c r="E132">
        <v>72406000</v>
      </c>
    </row>
    <row r="133" spans="1:8" hidden="1" x14ac:dyDescent="0.25">
      <c r="A133">
        <v>8774</v>
      </c>
      <c r="B133" t="s">
        <v>15265</v>
      </c>
      <c r="C133" t="s">
        <v>15134</v>
      </c>
      <c r="D133" t="s">
        <v>15135</v>
      </c>
      <c r="E133">
        <v>72406001</v>
      </c>
    </row>
    <row r="134" spans="1:8" hidden="1" x14ac:dyDescent="0.25">
      <c r="A134">
        <v>9955</v>
      </c>
      <c r="B134" t="s">
        <v>15748</v>
      </c>
      <c r="C134" t="s">
        <v>15134</v>
      </c>
      <c r="D134" t="s">
        <v>15135</v>
      </c>
      <c r="E134">
        <v>103069001</v>
      </c>
    </row>
    <row r="135" spans="1:8" hidden="1" x14ac:dyDescent="0.25">
      <c r="A135">
        <v>9913</v>
      </c>
      <c r="B135" t="s">
        <v>15726</v>
      </c>
      <c r="C135" t="s">
        <v>15134</v>
      </c>
      <c r="D135" t="s">
        <v>15135</v>
      </c>
      <c r="E135">
        <v>103046001</v>
      </c>
    </row>
    <row r="136" spans="1:8" hidden="1" x14ac:dyDescent="0.25">
      <c r="A136">
        <v>92196</v>
      </c>
      <c r="B136" t="s">
        <v>16842</v>
      </c>
      <c r="C136" t="s">
        <v>15134</v>
      </c>
      <c r="D136" t="s">
        <v>15135</v>
      </c>
      <c r="E136">
        <v>143029001</v>
      </c>
      <c r="F136" t="s">
        <v>15145</v>
      </c>
      <c r="G136" t="b">
        <v>1</v>
      </c>
      <c r="H136" t="s">
        <v>16841</v>
      </c>
    </row>
    <row r="137" spans="1:8" hidden="1" x14ac:dyDescent="0.25">
      <c r="A137">
        <v>92195</v>
      </c>
      <c r="B137" t="s">
        <v>16840</v>
      </c>
      <c r="C137" t="s">
        <v>15134</v>
      </c>
      <c r="D137" t="s">
        <v>15135</v>
      </c>
      <c r="E137">
        <v>143029000</v>
      </c>
      <c r="F137" t="s">
        <v>15138</v>
      </c>
      <c r="G137" t="b">
        <v>1</v>
      </c>
      <c r="H137" t="s">
        <v>16841</v>
      </c>
    </row>
    <row r="138" spans="1:8" hidden="1" x14ac:dyDescent="0.25">
      <c r="A138">
        <v>92195</v>
      </c>
      <c r="B138" t="s">
        <v>16840</v>
      </c>
      <c r="C138" t="s">
        <v>15134</v>
      </c>
      <c r="D138" t="s">
        <v>15135</v>
      </c>
      <c r="E138">
        <v>143029000</v>
      </c>
      <c r="F138" t="s">
        <v>15136</v>
      </c>
      <c r="G138" t="b">
        <v>1</v>
      </c>
      <c r="H138" t="s">
        <v>16841</v>
      </c>
    </row>
    <row r="139" spans="1:8" hidden="1" x14ac:dyDescent="0.25">
      <c r="A139">
        <v>9051</v>
      </c>
      <c r="B139" t="s">
        <v>15338</v>
      </c>
      <c r="C139" t="s">
        <v>15134</v>
      </c>
      <c r="D139" t="s">
        <v>15135</v>
      </c>
      <c r="E139">
        <v>73045001</v>
      </c>
    </row>
    <row r="140" spans="1:8" hidden="1" x14ac:dyDescent="0.25">
      <c r="A140">
        <v>91411</v>
      </c>
      <c r="B140" t="s">
        <v>5720</v>
      </c>
      <c r="C140" t="s">
        <v>15134</v>
      </c>
      <c r="D140" t="s">
        <v>15135</v>
      </c>
      <c r="E140">
        <v>70363102</v>
      </c>
      <c r="F140" t="s">
        <v>15138</v>
      </c>
      <c r="G140" t="b">
        <v>0</v>
      </c>
      <c r="H140" t="s">
        <v>16789</v>
      </c>
    </row>
    <row r="141" spans="1:8" hidden="1" x14ac:dyDescent="0.25">
      <c r="A141">
        <v>91411</v>
      </c>
      <c r="B141" t="s">
        <v>5720</v>
      </c>
      <c r="C141" t="s">
        <v>15134</v>
      </c>
      <c r="D141" t="s">
        <v>15135</v>
      </c>
      <c r="E141">
        <v>70363102</v>
      </c>
      <c r="F141" t="s">
        <v>15136</v>
      </c>
      <c r="G141" t="b">
        <v>1</v>
      </c>
      <c r="H141" t="s">
        <v>16790</v>
      </c>
    </row>
    <row r="142" spans="1:8" hidden="1" x14ac:dyDescent="0.25">
      <c r="A142">
        <v>10083</v>
      </c>
      <c r="B142" t="s">
        <v>15805</v>
      </c>
      <c r="C142" t="s">
        <v>15134</v>
      </c>
      <c r="D142" t="s">
        <v>15135</v>
      </c>
      <c r="E142">
        <v>112205001</v>
      </c>
    </row>
    <row r="143" spans="1:8" hidden="1" x14ac:dyDescent="0.25">
      <c r="A143">
        <v>10082</v>
      </c>
      <c r="B143" t="s">
        <v>15803</v>
      </c>
      <c r="C143" t="s">
        <v>15134</v>
      </c>
      <c r="D143" t="s">
        <v>15135</v>
      </c>
      <c r="E143">
        <v>112205000</v>
      </c>
      <c r="F143" t="s">
        <v>15138</v>
      </c>
      <c r="G143" t="b">
        <v>1</v>
      </c>
      <c r="H143" t="s">
        <v>15804</v>
      </c>
    </row>
    <row r="144" spans="1:8" hidden="1" x14ac:dyDescent="0.25">
      <c r="A144">
        <v>10082</v>
      </c>
      <c r="B144" t="s">
        <v>15803</v>
      </c>
      <c r="C144" t="s">
        <v>15134</v>
      </c>
      <c r="D144" t="s">
        <v>15135</v>
      </c>
      <c r="E144">
        <v>112205000</v>
      </c>
      <c r="F144" t="s">
        <v>15145</v>
      </c>
      <c r="G144" t="b">
        <v>1</v>
      </c>
      <c r="H144" t="s">
        <v>15804</v>
      </c>
    </row>
    <row r="145" spans="1:8" hidden="1" x14ac:dyDescent="0.25">
      <c r="A145">
        <v>90077</v>
      </c>
      <c r="B145" t="s">
        <v>16525</v>
      </c>
      <c r="C145" t="s">
        <v>15134</v>
      </c>
      <c r="D145" t="s">
        <v>15135</v>
      </c>
      <c r="E145">
        <v>93021001</v>
      </c>
      <c r="F145" t="s">
        <v>15145</v>
      </c>
      <c r="G145" t="b">
        <v>0</v>
      </c>
      <c r="H145" t="s">
        <v>16526</v>
      </c>
    </row>
    <row r="146" spans="1:8" hidden="1" x14ac:dyDescent="0.25">
      <c r="A146">
        <v>79344</v>
      </c>
      <c r="B146" t="s">
        <v>15941</v>
      </c>
      <c r="C146" t="s">
        <v>15134</v>
      </c>
      <c r="D146" t="s">
        <v>15135</v>
      </c>
      <c r="E146">
        <v>72425011</v>
      </c>
      <c r="F146" t="s">
        <v>15145</v>
      </c>
      <c r="G146" t="b">
        <v>1</v>
      </c>
      <c r="H146" t="s">
        <v>15942</v>
      </c>
    </row>
    <row r="147" spans="1:8" hidden="1" x14ac:dyDescent="0.25">
      <c r="A147">
        <v>79344</v>
      </c>
      <c r="B147" t="s">
        <v>15941</v>
      </c>
      <c r="C147" t="s">
        <v>15134</v>
      </c>
      <c r="D147" t="s">
        <v>15135</v>
      </c>
      <c r="E147">
        <v>72425011</v>
      </c>
      <c r="F147" t="s">
        <v>15138</v>
      </c>
      <c r="G147" t="b">
        <v>1</v>
      </c>
      <c r="H147" t="s">
        <v>15942</v>
      </c>
    </row>
    <row r="148" spans="1:8" hidden="1" x14ac:dyDescent="0.25">
      <c r="A148">
        <v>9127</v>
      </c>
      <c r="B148" t="s">
        <v>15374</v>
      </c>
      <c r="C148" t="s">
        <v>15134</v>
      </c>
      <c r="D148" t="s">
        <v>15135</v>
      </c>
      <c r="E148">
        <v>73088001</v>
      </c>
    </row>
    <row r="149" spans="1:8" hidden="1" x14ac:dyDescent="0.25">
      <c r="A149">
        <v>9381</v>
      </c>
      <c r="B149" t="s">
        <v>15501</v>
      </c>
      <c r="C149" t="s">
        <v>15134</v>
      </c>
      <c r="D149" t="s">
        <v>15135</v>
      </c>
      <c r="E149">
        <v>73236001</v>
      </c>
    </row>
    <row r="150" spans="1:8" hidden="1" x14ac:dyDescent="0.25">
      <c r="A150">
        <v>9446</v>
      </c>
      <c r="B150" t="s">
        <v>15526</v>
      </c>
      <c r="C150" t="s">
        <v>15134</v>
      </c>
      <c r="D150" t="s">
        <v>15135</v>
      </c>
      <c r="E150">
        <v>73268001</v>
      </c>
    </row>
    <row r="151" spans="1:8" hidden="1" x14ac:dyDescent="0.25">
      <c r="A151">
        <v>9313</v>
      </c>
      <c r="B151" t="s">
        <v>15466</v>
      </c>
      <c r="C151" t="s">
        <v>15134</v>
      </c>
      <c r="D151" t="s">
        <v>15135</v>
      </c>
      <c r="E151">
        <v>73203001</v>
      </c>
    </row>
    <row r="152" spans="1:8" hidden="1" x14ac:dyDescent="0.25">
      <c r="A152">
        <v>9109</v>
      </c>
      <c r="B152" t="s">
        <v>15364</v>
      </c>
      <c r="C152" t="s">
        <v>15134</v>
      </c>
      <c r="D152" t="s">
        <v>15135</v>
      </c>
      <c r="E152">
        <v>73078001</v>
      </c>
    </row>
    <row r="153" spans="1:8" hidden="1" x14ac:dyDescent="0.25">
      <c r="A153">
        <v>9017</v>
      </c>
      <c r="B153" t="s">
        <v>15315</v>
      </c>
      <c r="C153" t="s">
        <v>15134</v>
      </c>
      <c r="D153" t="s">
        <v>15135</v>
      </c>
      <c r="E153">
        <v>73023001</v>
      </c>
    </row>
    <row r="154" spans="1:8" hidden="1" x14ac:dyDescent="0.25">
      <c r="A154">
        <v>9514</v>
      </c>
      <c r="B154" t="s">
        <v>15315</v>
      </c>
      <c r="C154" t="s">
        <v>15134</v>
      </c>
      <c r="D154" t="s">
        <v>15135</v>
      </c>
      <c r="E154">
        <v>73283002</v>
      </c>
    </row>
    <row r="155" spans="1:8" hidden="1" x14ac:dyDescent="0.25">
      <c r="A155">
        <v>90474</v>
      </c>
      <c r="B155" t="s">
        <v>16624</v>
      </c>
      <c r="C155" t="s">
        <v>15134</v>
      </c>
      <c r="D155" t="s">
        <v>15135</v>
      </c>
      <c r="E155">
        <v>73595000</v>
      </c>
      <c r="F155" t="s">
        <v>15138</v>
      </c>
      <c r="G155" t="b">
        <v>1</v>
      </c>
      <c r="H155" t="s">
        <v>16625</v>
      </c>
    </row>
    <row r="156" spans="1:8" hidden="1" x14ac:dyDescent="0.25">
      <c r="A156">
        <v>90474</v>
      </c>
      <c r="B156" t="s">
        <v>16624</v>
      </c>
      <c r="C156" t="s">
        <v>15134</v>
      </c>
      <c r="D156" t="s">
        <v>15135</v>
      </c>
      <c r="E156">
        <v>73595000</v>
      </c>
      <c r="F156" t="s">
        <v>15136</v>
      </c>
      <c r="G156" t="b">
        <v>1</v>
      </c>
      <c r="H156" t="s">
        <v>16625</v>
      </c>
    </row>
    <row r="157" spans="1:8" hidden="1" x14ac:dyDescent="0.25">
      <c r="A157">
        <v>79710</v>
      </c>
      <c r="B157" t="s">
        <v>15986</v>
      </c>
      <c r="C157" t="s">
        <v>15134</v>
      </c>
      <c r="D157" t="s">
        <v>15135</v>
      </c>
      <c r="E157">
        <v>73462000</v>
      </c>
      <c r="F157" t="s">
        <v>15138</v>
      </c>
      <c r="G157" t="b">
        <v>1</v>
      </c>
      <c r="H157" t="s">
        <v>15987</v>
      </c>
    </row>
    <row r="158" spans="1:8" hidden="1" x14ac:dyDescent="0.25">
      <c r="A158">
        <v>79710</v>
      </c>
      <c r="B158" t="s">
        <v>15986</v>
      </c>
      <c r="C158" t="s">
        <v>15134</v>
      </c>
      <c r="D158" t="s">
        <v>15135</v>
      </c>
      <c r="E158">
        <v>73462000</v>
      </c>
      <c r="F158" t="s">
        <v>15136</v>
      </c>
      <c r="G158" t="b">
        <v>1</v>
      </c>
      <c r="H158" t="s">
        <v>15987</v>
      </c>
    </row>
    <row r="159" spans="1:8" hidden="1" x14ac:dyDescent="0.25">
      <c r="A159">
        <v>79711</v>
      </c>
      <c r="B159" t="s">
        <v>15986</v>
      </c>
      <c r="C159" t="s">
        <v>15134</v>
      </c>
      <c r="D159" t="s">
        <v>15135</v>
      </c>
      <c r="E159">
        <v>73462001</v>
      </c>
      <c r="F159" t="s">
        <v>15138</v>
      </c>
      <c r="G159" t="b">
        <v>1</v>
      </c>
      <c r="H159" t="s">
        <v>15987</v>
      </c>
    </row>
    <row r="160" spans="1:8" hidden="1" x14ac:dyDescent="0.25">
      <c r="A160">
        <v>79711</v>
      </c>
      <c r="B160" t="s">
        <v>15986</v>
      </c>
      <c r="C160" t="s">
        <v>15134</v>
      </c>
      <c r="D160" t="s">
        <v>15135</v>
      </c>
      <c r="E160">
        <v>73462001</v>
      </c>
      <c r="F160" t="s">
        <v>15145</v>
      </c>
      <c r="G160" t="b">
        <v>1</v>
      </c>
      <c r="H160" t="s">
        <v>15987</v>
      </c>
    </row>
    <row r="161" spans="1:8" hidden="1" x14ac:dyDescent="0.25">
      <c r="A161">
        <v>10055</v>
      </c>
      <c r="B161" t="s">
        <v>15794</v>
      </c>
      <c r="C161" t="s">
        <v>15134</v>
      </c>
      <c r="D161" t="s">
        <v>15135</v>
      </c>
      <c r="E161">
        <v>103108000</v>
      </c>
      <c r="F161" t="s">
        <v>15138</v>
      </c>
      <c r="G161" t="b">
        <v>1</v>
      </c>
      <c r="H161" t="s">
        <v>15795</v>
      </c>
    </row>
    <row r="162" spans="1:8" hidden="1" x14ac:dyDescent="0.25">
      <c r="A162">
        <v>10055</v>
      </c>
      <c r="B162" t="s">
        <v>15794</v>
      </c>
      <c r="C162" t="s">
        <v>15134</v>
      </c>
      <c r="D162" t="s">
        <v>15135</v>
      </c>
      <c r="E162">
        <v>103108000</v>
      </c>
      <c r="F162" t="s">
        <v>15136</v>
      </c>
      <c r="G162" t="b">
        <v>1</v>
      </c>
      <c r="H162" t="s">
        <v>15795</v>
      </c>
    </row>
    <row r="163" spans="1:8" hidden="1" x14ac:dyDescent="0.25">
      <c r="A163">
        <v>10062</v>
      </c>
      <c r="B163" t="s">
        <v>15799</v>
      </c>
      <c r="C163" t="s">
        <v>15134</v>
      </c>
      <c r="D163" t="s">
        <v>15135</v>
      </c>
      <c r="E163">
        <v>103112001</v>
      </c>
    </row>
    <row r="164" spans="1:8" hidden="1" x14ac:dyDescent="0.25">
      <c r="A164">
        <v>8695</v>
      </c>
      <c r="B164" t="s">
        <v>15205</v>
      </c>
      <c r="C164" t="s">
        <v>15134</v>
      </c>
      <c r="D164" t="s">
        <v>15135</v>
      </c>
      <c r="E164">
        <v>72241001</v>
      </c>
    </row>
    <row r="165" spans="1:8" hidden="1" x14ac:dyDescent="0.25">
      <c r="A165">
        <v>622822</v>
      </c>
      <c r="B165" t="s">
        <v>17012</v>
      </c>
      <c r="C165" t="s">
        <v>15134</v>
      </c>
      <c r="D165" t="s">
        <v>15135</v>
      </c>
      <c r="E165">
        <v>103137001</v>
      </c>
      <c r="F165" t="s">
        <v>15136</v>
      </c>
      <c r="G165" t="b">
        <v>1</v>
      </c>
      <c r="H165" t="s">
        <v>17013</v>
      </c>
    </row>
    <row r="166" spans="1:8" hidden="1" x14ac:dyDescent="0.25">
      <c r="A166">
        <v>8570</v>
      </c>
      <c r="B166" t="s">
        <v>15163</v>
      </c>
      <c r="C166" t="s">
        <v>15134</v>
      </c>
      <c r="D166" t="s">
        <v>15135</v>
      </c>
      <c r="E166">
        <v>33002001</v>
      </c>
    </row>
    <row r="167" spans="1:8" hidden="1" x14ac:dyDescent="0.25">
      <c r="A167">
        <v>91886</v>
      </c>
      <c r="B167" t="s">
        <v>16813</v>
      </c>
      <c r="C167" t="s">
        <v>15134</v>
      </c>
      <c r="D167" t="s">
        <v>15135</v>
      </c>
      <c r="E167">
        <v>73301001</v>
      </c>
      <c r="F167" t="s">
        <v>15145</v>
      </c>
      <c r="G167" t="b">
        <v>1</v>
      </c>
      <c r="H167" t="s">
        <v>16814</v>
      </c>
    </row>
    <row r="168" spans="1:8" hidden="1" x14ac:dyDescent="0.25">
      <c r="A168">
        <v>91890</v>
      </c>
      <c r="B168" t="s">
        <v>16815</v>
      </c>
      <c r="C168" t="s">
        <v>15134</v>
      </c>
      <c r="D168" t="s">
        <v>15135</v>
      </c>
      <c r="E168">
        <v>73301002</v>
      </c>
      <c r="F168" t="s">
        <v>15145</v>
      </c>
      <c r="G168" t="b">
        <v>1</v>
      </c>
      <c r="H168" t="s">
        <v>16816</v>
      </c>
    </row>
    <row r="169" spans="1:8" hidden="1" x14ac:dyDescent="0.25">
      <c r="A169">
        <v>91891</v>
      </c>
      <c r="B169" t="s">
        <v>16817</v>
      </c>
      <c r="C169" t="s">
        <v>15134</v>
      </c>
      <c r="D169" t="s">
        <v>15135</v>
      </c>
      <c r="E169">
        <v>73301003</v>
      </c>
      <c r="F169" t="s">
        <v>15145</v>
      </c>
      <c r="G169" t="b">
        <v>1</v>
      </c>
      <c r="H169" t="s">
        <v>16812</v>
      </c>
    </row>
    <row r="170" spans="1:8" hidden="1" x14ac:dyDescent="0.25">
      <c r="A170">
        <v>9383</v>
      </c>
      <c r="B170" t="s">
        <v>15502</v>
      </c>
      <c r="C170" t="s">
        <v>15134</v>
      </c>
      <c r="D170" t="s">
        <v>15135</v>
      </c>
      <c r="E170">
        <v>73237001</v>
      </c>
    </row>
    <row r="171" spans="1:8" hidden="1" x14ac:dyDescent="0.25">
      <c r="A171">
        <v>9043</v>
      </c>
      <c r="B171" t="s">
        <v>15333</v>
      </c>
      <c r="C171" t="s">
        <v>15134</v>
      </c>
      <c r="D171" t="s">
        <v>15135</v>
      </c>
      <c r="E171">
        <v>73039001</v>
      </c>
    </row>
    <row r="172" spans="1:8" hidden="1" x14ac:dyDescent="0.25">
      <c r="A172">
        <v>10204</v>
      </c>
      <c r="B172" t="s">
        <v>15838</v>
      </c>
      <c r="C172" t="s">
        <v>15134</v>
      </c>
      <c r="D172" t="s">
        <v>15135</v>
      </c>
      <c r="E172">
        <v>143002001</v>
      </c>
    </row>
    <row r="173" spans="1:8" hidden="1" x14ac:dyDescent="0.25">
      <c r="A173">
        <v>10113</v>
      </c>
      <c r="B173" t="s">
        <v>15806</v>
      </c>
      <c r="C173" t="s">
        <v>15134</v>
      </c>
      <c r="D173" t="s">
        <v>15135</v>
      </c>
      <c r="E173">
        <v>113003001</v>
      </c>
    </row>
    <row r="174" spans="1:8" hidden="1" x14ac:dyDescent="0.25">
      <c r="A174">
        <v>9119</v>
      </c>
      <c r="B174" t="s">
        <v>15370</v>
      </c>
      <c r="C174" t="s">
        <v>15134</v>
      </c>
      <c r="D174" t="s">
        <v>15135</v>
      </c>
      <c r="E174">
        <v>73084001</v>
      </c>
    </row>
    <row r="175" spans="1:8" hidden="1" x14ac:dyDescent="0.25">
      <c r="A175">
        <v>9001</v>
      </c>
      <c r="B175" t="s">
        <v>15307</v>
      </c>
      <c r="C175" t="s">
        <v>15134</v>
      </c>
      <c r="D175" t="s">
        <v>15135</v>
      </c>
      <c r="E175">
        <v>73014001</v>
      </c>
    </row>
    <row r="176" spans="1:8" hidden="1" x14ac:dyDescent="0.25">
      <c r="A176">
        <v>9003</v>
      </c>
      <c r="B176" t="s">
        <v>15308</v>
      </c>
      <c r="C176" t="s">
        <v>15134</v>
      </c>
      <c r="D176" t="s">
        <v>15135</v>
      </c>
      <c r="E176">
        <v>73015001</v>
      </c>
    </row>
    <row r="177" spans="1:5" hidden="1" x14ac:dyDescent="0.25">
      <c r="A177">
        <v>9005</v>
      </c>
      <c r="B177" t="s">
        <v>15309</v>
      </c>
      <c r="C177" t="s">
        <v>15134</v>
      </c>
      <c r="D177" t="s">
        <v>15135</v>
      </c>
      <c r="E177">
        <v>73016001</v>
      </c>
    </row>
    <row r="178" spans="1:5" hidden="1" x14ac:dyDescent="0.25">
      <c r="A178">
        <v>9007</v>
      </c>
      <c r="B178" t="s">
        <v>15310</v>
      </c>
      <c r="C178" t="s">
        <v>15134</v>
      </c>
      <c r="D178" t="s">
        <v>15135</v>
      </c>
      <c r="E178">
        <v>73018001</v>
      </c>
    </row>
    <row r="179" spans="1:5" hidden="1" x14ac:dyDescent="0.25">
      <c r="A179">
        <v>10202</v>
      </c>
      <c r="B179" t="s">
        <v>15837</v>
      </c>
      <c r="C179" t="s">
        <v>15134</v>
      </c>
      <c r="D179" t="s">
        <v>15135</v>
      </c>
      <c r="E179">
        <v>143001001</v>
      </c>
    </row>
    <row r="180" spans="1:5" hidden="1" x14ac:dyDescent="0.25">
      <c r="A180">
        <v>9207</v>
      </c>
      <c r="B180" t="s">
        <v>15412</v>
      </c>
      <c r="C180" t="s">
        <v>15134</v>
      </c>
      <c r="D180" t="s">
        <v>15135</v>
      </c>
      <c r="E180">
        <v>73146001</v>
      </c>
    </row>
    <row r="181" spans="1:5" hidden="1" x14ac:dyDescent="0.25">
      <c r="A181">
        <v>9190</v>
      </c>
      <c r="B181" t="s">
        <v>15403</v>
      </c>
      <c r="C181" t="s">
        <v>15134</v>
      </c>
      <c r="D181" t="s">
        <v>15135</v>
      </c>
      <c r="E181">
        <v>73131001</v>
      </c>
    </row>
    <row r="182" spans="1:5" hidden="1" x14ac:dyDescent="0.25">
      <c r="A182">
        <v>9186</v>
      </c>
      <c r="B182" t="s">
        <v>15401</v>
      </c>
      <c r="C182" t="s">
        <v>15134</v>
      </c>
      <c r="D182" t="s">
        <v>15135</v>
      </c>
      <c r="E182">
        <v>73128001</v>
      </c>
    </row>
    <row r="183" spans="1:5" hidden="1" x14ac:dyDescent="0.25">
      <c r="A183">
        <v>9230</v>
      </c>
      <c r="B183" t="s">
        <v>15424</v>
      </c>
      <c r="C183" t="s">
        <v>15134</v>
      </c>
      <c r="D183" t="s">
        <v>15135</v>
      </c>
      <c r="E183">
        <v>73163001</v>
      </c>
    </row>
    <row r="184" spans="1:5" hidden="1" x14ac:dyDescent="0.25">
      <c r="A184">
        <v>9196</v>
      </c>
      <c r="B184" t="s">
        <v>15407</v>
      </c>
      <c r="C184" t="s">
        <v>15134</v>
      </c>
      <c r="D184" t="s">
        <v>15135</v>
      </c>
      <c r="E184">
        <v>73137001</v>
      </c>
    </row>
    <row r="185" spans="1:5" hidden="1" x14ac:dyDescent="0.25">
      <c r="A185">
        <v>9226</v>
      </c>
      <c r="B185" t="s">
        <v>15422</v>
      </c>
      <c r="C185" t="s">
        <v>15134</v>
      </c>
      <c r="D185" t="s">
        <v>15135</v>
      </c>
      <c r="E185">
        <v>73157001</v>
      </c>
    </row>
    <row r="186" spans="1:5" hidden="1" x14ac:dyDescent="0.25">
      <c r="A186">
        <v>9115</v>
      </c>
      <c r="B186" t="s">
        <v>15367</v>
      </c>
      <c r="C186" t="s">
        <v>15134</v>
      </c>
      <c r="D186" t="s">
        <v>15135</v>
      </c>
      <c r="E186">
        <v>73083001</v>
      </c>
    </row>
    <row r="187" spans="1:5" hidden="1" x14ac:dyDescent="0.25">
      <c r="A187">
        <v>9304</v>
      </c>
      <c r="B187" t="s">
        <v>15460</v>
      </c>
      <c r="C187" t="s">
        <v>15134</v>
      </c>
      <c r="D187" t="s">
        <v>15135</v>
      </c>
      <c r="E187">
        <v>73199110</v>
      </c>
    </row>
    <row r="188" spans="1:5" hidden="1" x14ac:dyDescent="0.25">
      <c r="A188">
        <v>9305</v>
      </c>
      <c r="B188" t="s">
        <v>15461</v>
      </c>
      <c r="C188" t="s">
        <v>15134</v>
      </c>
      <c r="D188" t="s">
        <v>15135</v>
      </c>
      <c r="E188">
        <v>73199114</v>
      </c>
    </row>
    <row r="189" spans="1:5" hidden="1" x14ac:dyDescent="0.25">
      <c r="A189">
        <v>9289</v>
      </c>
      <c r="B189" t="s">
        <v>15452</v>
      </c>
      <c r="C189" t="s">
        <v>15134</v>
      </c>
      <c r="D189" t="s">
        <v>15135</v>
      </c>
      <c r="E189">
        <v>73199013</v>
      </c>
    </row>
    <row r="190" spans="1:5" hidden="1" x14ac:dyDescent="0.25">
      <c r="A190">
        <v>9290</v>
      </c>
      <c r="B190" t="s">
        <v>15453</v>
      </c>
      <c r="C190" t="s">
        <v>15134</v>
      </c>
      <c r="D190" t="s">
        <v>15135</v>
      </c>
      <c r="E190">
        <v>73199019</v>
      </c>
    </row>
    <row r="191" spans="1:5" hidden="1" x14ac:dyDescent="0.25">
      <c r="A191">
        <v>9288</v>
      </c>
      <c r="B191" t="s">
        <v>15451</v>
      </c>
      <c r="C191" t="s">
        <v>15134</v>
      </c>
      <c r="D191" t="s">
        <v>15135</v>
      </c>
      <c r="E191">
        <v>73199002</v>
      </c>
    </row>
    <row r="192" spans="1:5" hidden="1" x14ac:dyDescent="0.25">
      <c r="A192">
        <v>9292</v>
      </c>
      <c r="B192" t="s">
        <v>15454</v>
      </c>
      <c r="C192" t="s">
        <v>15134</v>
      </c>
      <c r="D192" t="s">
        <v>15135</v>
      </c>
      <c r="E192">
        <v>73199028</v>
      </c>
    </row>
    <row r="193" spans="1:8" hidden="1" x14ac:dyDescent="0.25">
      <c r="A193">
        <v>9293</v>
      </c>
      <c r="B193" t="s">
        <v>15455</v>
      </c>
      <c r="C193" t="s">
        <v>15134</v>
      </c>
      <c r="D193" t="s">
        <v>15135</v>
      </c>
      <c r="E193">
        <v>73199029</v>
      </c>
    </row>
    <row r="194" spans="1:8" hidden="1" x14ac:dyDescent="0.25">
      <c r="A194">
        <v>9295</v>
      </c>
      <c r="B194" t="s">
        <v>15456</v>
      </c>
      <c r="C194" t="s">
        <v>15134</v>
      </c>
      <c r="D194" t="s">
        <v>15135</v>
      </c>
      <c r="E194">
        <v>73199032</v>
      </c>
    </row>
    <row r="195" spans="1:8" hidden="1" x14ac:dyDescent="0.25">
      <c r="A195">
        <v>9296</v>
      </c>
      <c r="B195" t="s">
        <v>15457</v>
      </c>
      <c r="C195" t="s">
        <v>15134</v>
      </c>
      <c r="D195" t="s">
        <v>15135</v>
      </c>
      <c r="E195">
        <v>73199037</v>
      </c>
    </row>
    <row r="196" spans="1:8" hidden="1" x14ac:dyDescent="0.25">
      <c r="A196">
        <v>9300</v>
      </c>
      <c r="B196" t="s">
        <v>15458</v>
      </c>
      <c r="C196" t="s">
        <v>15134</v>
      </c>
      <c r="D196" t="s">
        <v>15135</v>
      </c>
      <c r="E196">
        <v>73199051</v>
      </c>
    </row>
    <row r="197" spans="1:8" hidden="1" x14ac:dyDescent="0.25">
      <c r="A197">
        <v>9303</v>
      </c>
      <c r="B197" t="s">
        <v>15459</v>
      </c>
      <c r="C197" t="s">
        <v>15134</v>
      </c>
      <c r="D197" t="s">
        <v>15135</v>
      </c>
      <c r="E197">
        <v>73199055</v>
      </c>
    </row>
    <row r="198" spans="1:8" hidden="1" x14ac:dyDescent="0.25">
      <c r="A198">
        <v>80481</v>
      </c>
      <c r="B198" t="s">
        <v>16053</v>
      </c>
      <c r="C198" t="s">
        <v>15134</v>
      </c>
      <c r="D198" t="s">
        <v>15135</v>
      </c>
      <c r="E198">
        <v>73406000</v>
      </c>
      <c r="F198" t="s">
        <v>15138</v>
      </c>
      <c r="G198" t="b">
        <v>1</v>
      </c>
      <c r="H198" t="s">
        <v>16054</v>
      </c>
    </row>
    <row r="199" spans="1:8" hidden="1" x14ac:dyDescent="0.25">
      <c r="A199">
        <v>80481</v>
      </c>
      <c r="B199" t="s">
        <v>16053</v>
      </c>
      <c r="C199" t="s">
        <v>15134</v>
      </c>
      <c r="D199" t="s">
        <v>15135</v>
      </c>
      <c r="E199">
        <v>73406000</v>
      </c>
      <c r="F199" t="s">
        <v>15136</v>
      </c>
      <c r="G199" t="b">
        <v>1</v>
      </c>
      <c r="H199" t="s">
        <v>16054</v>
      </c>
    </row>
    <row r="200" spans="1:8" hidden="1" x14ac:dyDescent="0.25">
      <c r="A200">
        <v>9029</v>
      </c>
      <c r="B200" t="s">
        <v>15324</v>
      </c>
      <c r="C200" t="s">
        <v>15134</v>
      </c>
      <c r="D200" t="s">
        <v>15135</v>
      </c>
      <c r="E200">
        <v>73028001</v>
      </c>
    </row>
    <row r="201" spans="1:8" hidden="1" x14ac:dyDescent="0.25">
      <c r="A201">
        <v>9327</v>
      </c>
      <c r="B201" t="s">
        <v>15473</v>
      </c>
      <c r="C201" t="s">
        <v>15134</v>
      </c>
      <c r="D201" t="s">
        <v>15135</v>
      </c>
      <c r="E201">
        <v>73210001</v>
      </c>
    </row>
    <row r="202" spans="1:8" hidden="1" x14ac:dyDescent="0.25">
      <c r="A202">
        <v>9395</v>
      </c>
      <c r="B202" t="s">
        <v>15507</v>
      </c>
      <c r="C202" t="s">
        <v>15134</v>
      </c>
      <c r="D202" t="s">
        <v>15135</v>
      </c>
      <c r="E202">
        <v>73244001</v>
      </c>
    </row>
    <row r="203" spans="1:8" hidden="1" x14ac:dyDescent="0.25">
      <c r="A203">
        <v>9069</v>
      </c>
      <c r="B203" t="s">
        <v>15345</v>
      </c>
      <c r="C203" t="s">
        <v>15134</v>
      </c>
      <c r="D203" t="s">
        <v>15135</v>
      </c>
      <c r="E203">
        <v>73055001</v>
      </c>
    </row>
    <row r="204" spans="1:8" hidden="1" x14ac:dyDescent="0.25">
      <c r="A204">
        <v>9510</v>
      </c>
      <c r="B204" t="s">
        <v>15345</v>
      </c>
      <c r="C204" t="s">
        <v>15134</v>
      </c>
      <c r="D204" t="s">
        <v>15135</v>
      </c>
      <c r="E204">
        <v>73282001</v>
      </c>
    </row>
    <row r="205" spans="1:8" hidden="1" x14ac:dyDescent="0.25">
      <c r="A205">
        <v>9178</v>
      </c>
      <c r="B205" t="s">
        <v>15399</v>
      </c>
      <c r="C205" t="s">
        <v>15134</v>
      </c>
      <c r="D205" t="s">
        <v>15135</v>
      </c>
      <c r="E205">
        <v>73123001</v>
      </c>
    </row>
    <row r="206" spans="1:8" hidden="1" x14ac:dyDescent="0.25">
      <c r="A206">
        <v>9511</v>
      </c>
      <c r="B206" t="s">
        <v>15399</v>
      </c>
      <c r="C206" t="s">
        <v>15134</v>
      </c>
      <c r="D206" t="s">
        <v>15135</v>
      </c>
      <c r="E206">
        <v>73282002</v>
      </c>
    </row>
    <row r="207" spans="1:8" hidden="1" x14ac:dyDescent="0.25">
      <c r="A207">
        <v>9509</v>
      </c>
      <c r="B207" t="s">
        <v>15573</v>
      </c>
      <c r="C207" t="s">
        <v>15134</v>
      </c>
      <c r="D207" t="s">
        <v>15135</v>
      </c>
      <c r="E207">
        <v>73282000</v>
      </c>
      <c r="F207" t="s">
        <v>15138</v>
      </c>
      <c r="G207" t="b">
        <v>1</v>
      </c>
      <c r="H207" t="s">
        <v>15574</v>
      </c>
    </row>
    <row r="208" spans="1:8" hidden="1" x14ac:dyDescent="0.25">
      <c r="A208">
        <v>9509</v>
      </c>
      <c r="B208" t="s">
        <v>15573</v>
      </c>
      <c r="C208" t="s">
        <v>15134</v>
      </c>
      <c r="D208" t="s">
        <v>15135</v>
      </c>
      <c r="E208">
        <v>73282000</v>
      </c>
      <c r="F208" t="s">
        <v>15136</v>
      </c>
      <c r="G208" t="b">
        <v>1</v>
      </c>
      <c r="H208" t="s">
        <v>15574</v>
      </c>
    </row>
    <row r="209" spans="1:8" hidden="1" x14ac:dyDescent="0.25">
      <c r="A209">
        <v>9767</v>
      </c>
      <c r="B209" t="s">
        <v>15661</v>
      </c>
      <c r="C209" t="s">
        <v>15134</v>
      </c>
      <c r="D209" t="s">
        <v>15135</v>
      </c>
      <c r="E209">
        <v>102244000</v>
      </c>
    </row>
    <row r="210" spans="1:8" hidden="1" x14ac:dyDescent="0.25">
      <c r="A210">
        <v>9768</v>
      </c>
      <c r="B210" t="s">
        <v>15661</v>
      </c>
      <c r="C210" t="s">
        <v>15134</v>
      </c>
      <c r="D210" t="s">
        <v>15135</v>
      </c>
      <c r="E210">
        <v>102244001</v>
      </c>
    </row>
    <row r="211" spans="1:8" hidden="1" x14ac:dyDescent="0.25">
      <c r="A211">
        <v>79349</v>
      </c>
      <c r="B211" t="s">
        <v>15950</v>
      </c>
      <c r="C211" t="s">
        <v>15134</v>
      </c>
      <c r="D211" t="s">
        <v>15135</v>
      </c>
      <c r="E211">
        <v>73455000</v>
      </c>
      <c r="F211" t="s">
        <v>15136</v>
      </c>
      <c r="G211" t="b">
        <v>1</v>
      </c>
      <c r="H211" t="s">
        <v>15951</v>
      </c>
    </row>
    <row r="212" spans="1:8" hidden="1" x14ac:dyDescent="0.25">
      <c r="A212">
        <v>79349</v>
      </c>
      <c r="B212" t="s">
        <v>15950</v>
      </c>
      <c r="C212" t="s">
        <v>15134</v>
      </c>
      <c r="D212" t="s">
        <v>15135</v>
      </c>
      <c r="E212">
        <v>73455000</v>
      </c>
      <c r="F212" t="s">
        <v>15138</v>
      </c>
      <c r="G212" t="b">
        <v>1</v>
      </c>
      <c r="H212" t="s">
        <v>15951</v>
      </c>
    </row>
    <row r="213" spans="1:8" hidden="1" x14ac:dyDescent="0.25">
      <c r="A213">
        <v>1000308</v>
      </c>
      <c r="B213" t="s">
        <v>17127</v>
      </c>
      <c r="C213" t="s">
        <v>15134</v>
      </c>
      <c r="D213" t="s">
        <v>15135</v>
      </c>
      <c r="E213">
        <v>73357000</v>
      </c>
      <c r="F213" t="s">
        <v>15136</v>
      </c>
      <c r="G213" t="b">
        <v>1</v>
      </c>
      <c r="H213" t="s">
        <v>17128</v>
      </c>
    </row>
    <row r="214" spans="1:8" hidden="1" x14ac:dyDescent="0.25">
      <c r="A214">
        <v>1000308</v>
      </c>
      <c r="B214" t="s">
        <v>17127</v>
      </c>
      <c r="C214" t="s">
        <v>15134</v>
      </c>
      <c r="D214" t="s">
        <v>15135</v>
      </c>
      <c r="E214">
        <v>73357000</v>
      </c>
      <c r="F214" t="s">
        <v>15138</v>
      </c>
      <c r="G214" t="b">
        <v>1</v>
      </c>
      <c r="H214" t="s">
        <v>17128</v>
      </c>
    </row>
    <row r="215" spans="1:8" hidden="1" x14ac:dyDescent="0.25">
      <c r="A215">
        <v>92801</v>
      </c>
      <c r="B215" t="s">
        <v>16927</v>
      </c>
      <c r="C215" t="s">
        <v>15134</v>
      </c>
      <c r="D215" t="s">
        <v>15135</v>
      </c>
      <c r="E215">
        <v>142210000</v>
      </c>
      <c r="F215" t="s">
        <v>15138</v>
      </c>
      <c r="G215" t="b">
        <v>0</v>
      </c>
      <c r="H215" t="s">
        <v>16928</v>
      </c>
    </row>
    <row r="216" spans="1:8" hidden="1" x14ac:dyDescent="0.25">
      <c r="A216">
        <v>92801</v>
      </c>
      <c r="B216" t="s">
        <v>16927</v>
      </c>
      <c r="C216" t="s">
        <v>15134</v>
      </c>
      <c r="D216" t="s">
        <v>15135</v>
      </c>
      <c r="E216">
        <v>142210000</v>
      </c>
      <c r="F216" t="s">
        <v>15136</v>
      </c>
      <c r="G216" t="b">
        <v>0</v>
      </c>
      <c r="H216" t="s">
        <v>16928</v>
      </c>
    </row>
    <row r="217" spans="1:8" hidden="1" x14ac:dyDescent="0.25">
      <c r="A217">
        <v>92802</v>
      </c>
      <c r="B217" t="s">
        <v>16927</v>
      </c>
      <c r="C217" t="s">
        <v>15134</v>
      </c>
      <c r="D217" t="s">
        <v>15135</v>
      </c>
      <c r="E217">
        <v>142210001</v>
      </c>
      <c r="F217" t="s">
        <v>15138</v>
      </c>
      <c r="G217" t="b">
        <v>0</v>
      </c>
      <c r="H217" t="s">
        <v>16928</v>
      </c>
    </row>
    <row r="218" spans="1:8" hidden="1" x14ac:dyDescent="0.25">
      <c r="A218">
        <v>92802</v>
      </c>
      <c r="B218" t="s">
        <v>16927</v>
      </c>
      <c r="C218" t="s">
        <v>15134</v>
      </c>
      <c r="D218" t="s">
        <v>15135</v>
      </c>
      <c r="E218">
        <v>142210001</v>
      </c>
      <c r="F218" t="s">
        <v>15136</v>
      </c>
      <c r="G218" t="b">
        <v>0</v>
      </c>
      <c r="H218" t="s">
        <v>16928</v>
      </c>
    </row>
    <row r="219" spans="1:8" hidden="1" x14ac:dyDescent="0.25">
      <c r="A219">
        <v>8791</v>
      </c>
      <c r="B219" t="s">
        <v>15278</v>
      </c>
      <c r="C219" t="s">
        <v>15134</v>
      </c>
      <c r="D219" t="s">
        <v>15135</v>
      </c>
      <c r="E219">
        <v>72508000</v>
      </c>
      <c r="F219" t="s">
        <v>15138</v>
      </c>
      <c r="G219" t="b">
        <v>1</v>
      </c>
      <c r="H219" t="s">
        <v>15279</v>
      </c>
    </row>
    <row r="220" spans="1:8" hidden="1" x14ac:dyDescent="0.25">
      <c r="A220">
        <v>8791</v>
      </c>
      <c r="B220" t="s">
        <v>15278</v>
      </c>
      <c r="C220" t="s">
        <v>15134</v>
      </c>
      <c r="D220" t="s">
        <v>15135</v>
      </c>
      <c r="E220">
        <v>72508000</v>
      </c>
      <c r="F220" t="s">
        <v>15136</v>
      </c>
      <c r="G220" t="b">
        <v>1</v>
      </c>
      <c r="H220" t="s">
        <v>15279</v>
      </c>
    </row>
    <row r="221" spans="1:8" hidden="1" x14ac:dyDescent="0.25">
      <c r="A221">
        <v>171622</v>
      </c>
      <c r="B221" t="s">
        <v>16972</v>
      </c>
      <c r="C221" t="s">
        <v>15134</v>
      </c>
      <c r="D221" t="s">
        <v>15135</v>
      </c>
      <c r="E221">
        <v>73342000</v>
      </c>
    </row>
    <row r="222" spans="1:8" hidden="1" x14ac:dyDescent="0.25">
      <c r="A222">
        <v>603438</v>
      </c>
      <c r="B222" t="s">
        <v>16972</v>
      </c>
      <c r="C222" t="s">
        <v>15134</v>
      </c>
      <c r="D222" t="s">
        <v>15135</v>
      </c>
      <c r="E222">
        <v>73342001</v>
      </c>
    </row>
    <row r="223" spans="1:8" hidden="1" x14ac:dyDescent="0.25">
      <c r="A223">
        <v>8780</v>
      </c>
      <c r="B223" t="s">
        <v>15272</v>
      </c>
      <c r="C223" t="s">
        <v>15134</v>
      </c>
      <c r="D223" t="s">
        <v>15135</v>
      </c>
      <c r="E223">
        <v>72409000</v>
      </c>
    </row>
    <row r="224" spans="1:8" hidden="1" x14ac:dyDescent="0.25">
      <c r="A224">
        <v>91324</v>
      </c>
      <c r="B224" t="s">
        <v>16772</v>
      </c>
      <c r="C224" t="s">
        <v>15134</v>
      </c>
      <c r="D224" t="s">
        <v>15135</v>
      </c>
      <c r="E224">
        <v>72214000</v>
      </c>
      <c r="F224" t="s">
        <v>15138</v>
      </c>
      <c r="G224" t="b">
        <v>1</v>
      </c>
      <c r="H224" t="s">
        <v>16773</v>
      </c>
    </row>
    <row r="225" spans="1:8" hidden="1" x14ac:dyDescent="0.25">
      <c r="A225">
        <v>91324</v>
      </c>
      <c r="B225" t="s">
        <v>16772</v>
      </c>
      <c r="C225" t="s">
        <v>15134</v>
      </c>
      <c r="D225" t="s">
        <v>15135</v>
      </c>
      <c r="E225">
        <v>72214000</v>
      </c>
      <c r="F225" t="s">
        <v>15145</v>
      </c>
      <c r="G225" t="b">
        <v>1</v>
      </c>
      <c r="H225" t="s">
        <v>15192</v>
      </c>
    </row>
    <row r="226" spans="1:8" hidden="1" x14ac:dyDescent="0.25">
      <c r="A226">
        <v>9139</v>
      </c>
      <c r="B226" t="s">
        <v>15375</v>
      </c>
      <c r="C226" t="s">
        <v>15134</v>
      </c>
      <c r="D226" t="s">
        <v>15135</v>
      </c>
      <c r="E226">
        <v>73093001</v>
      </c>
    </row>
    <row r="227" spans="1:8" hidden="1" x14ac:dyDescent="0.25">
      <c r="A227">
        <v>9901</v>
      </c>
      <c r="B227" t="s">
        <v>15719</v>
      </c>
      <c r="C227" t="s">
        <v>15134</v>
      </c>
      <c r="D227" t="s">
        <v>15135</v>
      </c>
      <c r="E227">
        <v>103038001</v>
      </c>
    </row>
    <row r="228" spans="1:8" hidden="1" x14ac:dyDescent="0.25">
      <c r="A228">
        <v>1000065</v>
      </c>
      <c r="B228" t="s">
        <v>17044</v>
      </c>
      <c r="C228" t="s">
        <v>15134</v>
      </c>
      <c r="D228" t="s">
        <v>15135</v>
      </c>
      <c r="E228">
        <v>73346001</v>
      </c>
      <c r="F228" t="s">
        <v>15136</v>
      </c>
      <c r="G228" t="b">
        <v>0</v>
      </c>
      <c r="H228" t="s">
        <v>17043</v>
      </c>
    </row>
    <row r="229" spans="1:8" hidden="1" x14ac:dyDescent="0.25">
      <c r="A229">
        <v>1000065</v>
      </c>
      <c r="B229" t="s">
        <v>17044</v>
      </c>
      <c r="C229" t="s">
        <v>15134</v>
      </c>
      <c r="D229" t="s">
        <v>15135</v>
      </c>
      <c r="E229">
        <v>73346001</v>
      </c>
      <c r="F229" t="s">
        <v>15138</v>
      </c>
      <c r="G229" t="b">
        <v>0</v>
      </c>
      <c r="H229" t="s">
        <v>17043</v>
      </c>
    </row>
    <row r="230" spans="1:8" hidden="1" x14ac:dyDescent="0.25">
      <c r="A230">
        <v>1000064</v>
      </c>
      <c r="B230" t="s">
        <v>17041</v>
      </c>
      <c r="C230" t="s">
        <v>15134</v>
      </c>
      <c r="D230" t="s">
        <v>15135</v>
      </c>
      <c r="E230">
        <v>73346000</v>
      </c>
      <c r="F230" t="s">
        <v>15138</v>
      </c>
      <c r="G230" t="b">
        <v>0</v>
      </c>
      <c r="H230" t="s">
        <v>17042</v>
      </c>
    </row>
    <row r="231" spans="1:8" hidden="1" x14ac:dyDescent="0.25">
      <c r="A231">
        <v>1000064</v>
      </c>
      <c r="B231" t="s">
        <v>17041</v>
      </c>
      <c r="C231" t="s">
        <v>15134</v>
      </c>
      <c r="D231" t="s">
        <v>15135</v>
      </c>
      <c r="E231">
        <v>73346000</v>
      </c>
      <c r="F231" t="s">
        <v>15136</v>
      </c>
      <c r="G231" t="b">
        <v>0</v>
      </c>
      <c r="H231" t="s">
        <v>17043</v>
      </c>
    </row>
    <row r="232" spans="1:8" hidden="1" x14ac:dyDescent="0.25">
      <c r="A232">
        <v>8673</v>
      </c>
      <c r="B232" t="s">
        <v>15186</v>
      </c>
      <c r="C232" t="s">
        <v>15134</v>
      </c>
      <c r="D232" t="s">
        <v>15135</v>
      </c>
      <c r="E232">
        <v>72211000</v>
      </c>
    </row>
    <row r="233" spans="1:8" hidden="1" x14ac:dyDescent="0.25">
      <c r="A233">
        <v>8674</v>
      </c>
      <c r="B233" t="s">
        <v>15186</v>
      </c>
      <c r="C233" t="s">
        <v>15134</v>
      </c>
      <c r="D233" t="s">
        <v>15135</v>
      </c>
      <c r="E233">
        <v>72211001</v>
      </c>
    </row>
    <row r="234" spans="1:8" hidden="1" x14ac:dyDescent="0.25">
      <c r="A234">
        <v>84310</v>
      </c>
      <c r="B234" t="s">
        <v>16281</v>
      </c>
      <c r="C234" t="s">
        <v>15134</v>
      </c>
      <c r="D234" t="s">
        <v>15135</v>
      </c>
      <c r="E234">
        <v>103123000</v>
      </c>
      <c r="F234" t="s">
        <v>15136</v>
      </c>
      <c r="G234" t="b">
        <v>1</v>
      </c>
      <c r="H234" t="s">
        <v>16282</v>
      </c>
    </row>
    <row r="235" spans="1:8" hidden="1" x14ac:dyDescent="0.25">
      <c r="A235">
        <v>84310</v>
      </c>
      <c r="B235" t="s">
        <v>16281</v>
      </c>
      <c r="C235" t="s">
        <v>15134</v>
      </c>
      <c r="D235" t="s">
        <v>15135</v>
      </c>
      <c r="E235">
        <v>103123000</v>
      </c>
      <c r="F235" t="s">
        <v>15138</v>
      </c>
      <c r="G235" t="b">
        <v>1</v>
      </c>
      <c r="H235" t="s">
        <v>16282</v>
      </c>
    </row>
    <row r="236" spans="1:8" hidden="1" x14ac:dyDescent="0.25">
      <c r="A236">
        <v>504449</v>
      </c>
      <c r="B236" t="s">
        <v>17001</v>
      </c>
      <c r="C236" t="s">
        <v>15134</v>
      </c>
      <c r="D236" t="s">
        <v>15135</v>
      </c>
      <c r="E236">
        <v>72454001</v>
      </c>
      <c r="F236" t="s">
        <v>15136</v>
      </c>
      <c r="G236" t="b">
        <v>1</v>
      </c>
      <c r="H236" t="s">
        <v>16992</v>
      </c>
    </row>
    <row r="237" spans="1:8" hidden="1" x14ac:dyDescent="0.25">
      <c r="A237">
        <v>9264</v>
      </c>
      <c r="B237" t="s">
        <v>15438</v>
      </c>
      <c r="C237" t="s">
        <v>15134</v>
      </c>
      <c r="D237" t="s">
        <v>15135</v>
      </c>
      <c r="E237">
        <v>73189001</v>
      </c>
    </row>
    <row r="238" spans="1:8" hidden="1" x14ac:dyDescent="0.25">
      <c r="A238">
        <v>79020</v>
      </c>
      <c r="B238" t="s">
        <v>15893</v>
      </c>
      <c r="C238" t="s">
        <v>15134</v>
      </c>
      <c r="D238" t="s">
        <v>15135</v>
      </c>
      <c r="E238">
        <v>73447001</v>
      </c>
      <c r="F238" t="s">
        <v>15138</v>
      </c>
      <c r="G238" t="b">
        <v>1</v>
      </c>
      <c r="H238" t="s">
        <v>15892</v>
      </c>
    </row>
    <row r="239" spans="1:8" hidden="1" x14ac:dyDescent="0.25">
      <c r="A239">
        <v>79020</v>
      </c>
      <c r="B239" t="s">
        <v>15893</v>
      </c>
      <c r="C239" t="s">
        <v>15134</v>
      </c>
      <c r="D239" t="s">
        <v>15135</v>
      </c>
      <c r="E239">
        <v>73447001</v>
      </c>
      <c r="F239" t="s">
        <v>15145</v>
      </c>
      <c r="G239" t="b">
        <v>1</v>
      </c>
      <c r="H239" t="s">
        <v>15892</v>
      </c>
    </row>
    <row r="240" spans="1:8" hidden="1" x14ac:dyDescent="0.25">
      <c r="A240">
        <v>92695</v>
      </c>
      <c r="B240" t="s">
        <v>16900</v>
      </c>
      <c r="C240" t="s">
        <v>15134</v>
      </c>
      <c r="D240" t="s">
        <v>15135</v>
      </c>
      <c r="E240">
        <v>73314001</v>
      </c>
      <c r="F240" t="s">
        <v>15138</v>
      </c>
      <c r="G240" t="b">
        <v>1</v>
      </c>
      <c r="H240" t="s">
        <v>16898</v>
      </c>
    </row>
    <row r="241" spans="1:8" hidden="1" x14ac:dyDescent="0.25">
      <c r="A241">
        <v>92695</v>
      </c>
      <c r="B241" t="s">
        <v>16900</v>
      </c>
      <c r="C241" t="s">
        <v>15134</v>
      </c>
      <c r="D241" t="s">
        <v>15135</v>
      </c>
      <c r="E241">
        <v>73314001</v>
      </c>
      <c r="F241" t="s">
        <v>15136</v>
      </c>
      <c r="G241" t="b">
        <v>1</v>
      </c>
      <c r="H241" t="s">
        <v>16899</v>
      </c>
    </row>
    <row r="242" spans="1:8" hidden="1" x14ac:dyDescent="0.25">
      <c r="A242">
        <v>9035</v>
      </c>
      <c r="B242" t="s">
        <v>15329</v>
      </c>
      <c r="C242" t="s">
        <v>15134</v>
      </c>
      <c r="D242" t="s">
        <v>15135</v>
      </c>
      <c r="E242">
        <v>73031001</v>
      </c>
    </row>
    <row r="243" spans="1:8" hidden="1" x14ac:dyDescent="0.25">
      <c r="A243">
        <v>89528</v>
      </c>
      <c r="B243" t="s">
        <v>16414</v>
      </c>
      <c r="C243" t="s">
        <v>15134</v>
      </c>
      <c r="D243" t="s">
        <v>15135</v>
      </c>
      <c r="E243">
        <v>73551000</v>
      </c>
      <c r="F243" t="s">
        <v>15136</v>
      </c>
      <c r="G243" t="b">
        <v>1</v>
      </c>
      <c r="H243" t="s">
        <v>16415</v>
      </c>
    </row>
    <row r="244" spans="1:8" hidden="1" x14ac:dyDescent="0.25">
      <c r="A244">
        <v>89528</v>
      </c>
      <c r="B244" t="s">
        <v>16414</v>
      </c>
      <c r="C244" t="s">
        <v>15134</v>
      </c>
      <c r="D244" t="s">
        <v>15135</v>
      </c>
      <c r="E244">
        <v>73551000</v>
      </c>
      <c r="F244" t="s">
        <v>15138</v>
      </c>
      <c r="G244" t="b">
        <v>1</v>
      </c>
      <c r="H244" t="s">
        <v>16416</v>
      </c>
    </row>
    <row r="245" spans="1:8" hidden="1" x14ac:dyDescent="0.25">
      <c r="A245">
        <v>89529</v>
      </c>
      <c r="B245" t="s">
        <v>16414</v>
      </c>
      <c r="C245" t="s">
        <v>15134</v>
      </c>
      <c r="D245" t="s">
        <v>15135</v>
      </c>
      <c r="E245">
        <v>73551001</v>
      </c>
      <c r="F245" t="s">
        <v>15145</v>
      </c>
      <c r="G245" t="b">
        <v>1</v>
      </c>
      <c r="H245" t="s">
        <v>16416</v>
      </c>
    </row>
    <row r="246" spans="1:8" hidden="1" x14ac:dyDescent="0.25">
      <c r="A246">
        <v>89529</v>
      </c>
      <c r="B246" t="s">
        <v>16414</v>
      </c>
      <c r="C246" t="s">
        <v>15134</v>
      </c>
      <c r="D246" t="s">
        <v>15135</v>
      </c>
      <c r="E246">
        <v>73551001</v>
      </c>
      <c r="F246" t="s">
        <v>15138</v>
      </c>
      <c r="G246" t="b">
        <v>1</v>
      </c>
      <c r="H246" t="s">
        <v>16415</v>
      </c>
    </row>
    <row r="247" spans="1:8" hidden="1" x14ac:dyDescent="0.25">
      <c r="A247">
        <v>89529</v>
      </c>
      <c r="B247" t="s">
        <v>16414</v>
      </c>
      <c r="C247" t="s">
        <v>15134</v>
      </c>
      <c r="D247" t="s">
        <v>15135</v>
      </c>
      <c r="E247">
        <v>73551001</v>
      </c>
      <c r="F247" t="s">
        <v>15136</v>
      </c>
      <c r="G247" t="b">
        <v>1</v>
      </c>
      <c r="H247" t="s">
        <v>16415</v>
      </c>
    </row>
    <row r="248" spans="1:8" hidden="1" x14ac:dyDescent="0.25">
      <c r="A248">
        <v>89840</v>
      </c>
      <c r="B248" t="s">
        <v>16465</v>
      </c>
      <c r="C248" t="s">
        <v>15134</v>
      </c>
      <c r="D248" t="s">
        <v>15135</v>
      </c>
      <c r="E248">
        <v>83022000</v>
      </c>
      <c r="F248" t="s">
        <v>15136</v>
      </c>
      <c r="G248" t="b">
        <v>0</v>
      </c>
      <c r="H248" t="s">
        <v>16466</v>
      </c>
    </row>
    <row r="249" spans="1:8" hidden="1" x14ac:dyDescent="0.25">
      <c r="A249">
        <v>89840</v>
      </c>
      <c r="B249" t="s">
        <v>16465</v>
      </c>
      <c r="C249" t="s">
        <v>15134</v>
      </c>
      <c r="D249" t="s">
        <v>15135</v>
      </c>
      <c r="E249">
        <v>83022000</v>
      </c>
      <c r="F249" t="s">
        <v>15138</v>
      </c>
      <c r="G249" t="b">
        <v>1</v>
      </c>
      <c r="H249" t="s">
        <v>16467</v>
      </c>
    </row>
    <row r="250" spans="1:8" hidden="1" x14ac:dyDescent="0.25">
      <c r="A250">
        <v>9562</v>
      </c>
      <c r="B250" t="s">
        <v>15593</v>
      </c>
      <c r="C250" t="s">
        <v>15134</v>
      </c>
      <c r="D250" t="s">
        <v>15135</v>
      </c>
      <c r="E250">
        <v>73419000</v>
      </c>
    </row>
    <row r="251" spans="1:8" hidden="1" x14ac:dyDescent="0.25">
      <c r="A251">
        <v>10365</v>
      </c>
      <c r="B251" t="s">
        <v>15593</v>
      </c>
      <c r="C251" t="s">
        <v>15134</v>
      </c>
      <c r="D251" t="s">
        <v>15135</v>
      </c>
      <c r="E251">
        <v>73419001</v>
      </c>
    </row>
    <row r="252" spans="1:8" hidden="1" x14ac:dyDescent="0.25">
      <c r="A252">
        <v>9403</v>
      </c>
      <c r="B252" t="s">
        <v>15510</v>
      </c>
      <c r="C252" t="s">
        <v>15134</v>
      </c>
      <c r="D252" t="s">
        <v>15135</v>
      </c>
      <c r="E252">
        <v>73248001</v>
      </c>
    </row>
    <row r="253" spans="1:8" hidden="1" x14ac:dyDescent="0.25">
      <c r="A253">
        <v>9039</v>
      </c>
      <c r="B253" t="s">
        <v>15331</v>
      </c>
      <c r="C253" t="s">
        <v>15134</v>
      </c>
      <c r="D253" t="s">
        <v>15135</v>
      </c>
      <c r="E253">
        <v>73034001</v>
      </c>
    </row>
    <row r="254" spans="1:8" hidden="1" x14ac:dyDescent="0.25">
      <c r="A254">
        <v>9340</v>
      </c>
      <c r="B254" t="s">
        <v>15331</v>
      </c>
      <c r="C254" t="s">
        <v>15134</v>
      </c>
      <c r="D254" t="s">
        <v>15135</v>
      </c>
      <c r="E254">
        <v>73216001</v>
      </c>
    </row>
    <row r="255" spans="1:8" hidden="1" x14ac:dyDescent="0.25">
      <c r="A255">
        <v>90919</v>
      </c>
      <c r="B255" t="s">
        <v>16720</v>
      </c>
      <c r="C255" t="s">
        <v>15134</v>
      </c>
      <c r="D255" t="s">
        <v>15135</v>
      </c>
      <c r="E255">
        <v>143026001</v>
      </c>
      <c r="F255" t="s">
        <v>15145</v>
      </c>
      <c r="G255" t="b">
        <v>0</v>
      </c>
      <c r="H255" t="s">
        <v>16721</v>
      </c>
    </row>
    <row r="256" spans="1:8" hidden="1" x14ac:dyDescent="0.25">
      <c r="A256">
        <v>90918</v>
      </c>
      <c r="B256" t="s">
        <v>16717</v>
      </c>
      <c r="C256" t="s">
        <v>15134</v>
      </c>
      <c r="D256" t="s">
        <v>15135</v>
      </c>
      <c r="E256">
        <v>143026000</v>
      </c>
      <c r="F256" t="s">
        <v>15136</v>
      </c>
      <c r="G256" t="b">
        <v>1</v>
      </c>
      <c r="H256" t="s">
        <v>16718</v>
      </c>
    </row>
    <row r="257" spans="1:8" hidden="1" x14ac:dyDescent="0.25">
      <c r="A257">
        <v>90918</v>
      </c>
      <c r="B257" t="s">
        <v>16717</v>
      </c>
      <c r="C257" t="s">
        <v>15134</v>
      </c>
      <c r="D257" t="s">
        <v>15135</v>
      </c>
      <c r="E257">
        <v>143026000</v>
      </c>
      <c r="F257" t="s">
        <v>15138</v>
      </c>
      <c r="G257" t="b">
        <v>0</v>
      </c>
      <c r="H257" t="s">
        <v>16719</v>
      </c>
    </row>
    <row r="258" spans="1:8" hidden="1" x14ac:dyDescent="0.25">
      <c r="A258">
        <v>1000319</v>
      </c>
      <c r="B258" t="s">
        <v>17133</v>
      </c>
      <c r="C258" t="s">
        <v>15134</v>
      </c>
      <c r="D258" t="s">
        <v>15135</v>
      </c>
      <c r="E258">
        <v>143026002</v>
      </c>
      <c r="F258" t="s">
        <v>15136</v>
      </c>
      <c r="G258" t="b">
        <v>1</v>
      </c>
      <c r="H258" t="s">
        <v>16718</v>
      </c>
    </row>
    <row r="259" spans="1:8" hidden="1" x14ac:dyDescent="0.25">
      <c r="A259">
        <v>1000319</v>
      </c>
      <c r="B259" t="s">
        <v>17133</v>
      </c>
      <c r="C259" t="s">
        <v>15134</v>
      </c>
      <c r="D259" t="s">
        <v>15135</v>
      </c>
      <c r="E259">
        <v>143026002</v>
      </c>
      <c r="F259" t="s">
        <v>15138</v>
      </c>
      <c r="G259" t="b">
        <v>0</v>
      </c>
      <c r="H259" t="s">
        <v>17134</v>
      </c>
    </row>
    <row r="260" spans="1:8" hidden="1" x14ac:dyDescent="0.25">
      <c r="A260">
        <v>8769</v>
      </c>
      <c r="B260" t="s">
        <v>15262</v>
      </c>
      <c r="C260" t="s">
        <v>15134</v>
      </c>
      <c r="D260" t="s">
        <v>15135</v>
      </c>
      <c r="E260">
        <v>72405002</v>
      </c>
    </row>
    <row r="261" spans="1:8" hidden="1" x14ac:dyDescent="0.25">
      <c r="A261">
        <v>79295</v>
      </c>
      <c r="B261" t="s">
        <v>15914</v>
      </c>
      <c r="C261" t="s">
        <v>15134</v>
      </c>
      <c r="D261" t="s">
        <v>15135</v>
      </c>
      <c r="E261">
        <v>72424001</v>
      </c>
      <c r="F261" t="s">
        <v>15138</v>
      </c>
      <c r="G261" t="b">
        <v>1</v>
      </c>
      <c r="H261" t="s">
        <v>15913</v>
      </c>
    </row>
    <row r="262" spans="1:8" hidden="1" x14ac:dyDescent="0.25">
      <c r="A262">
        <v>79295</v>
      </c>
      <c r="B262" t="s">
        <v>15914</v>
      </c>
      <c r="C262" t="s">
        <v>15134</v>
      </c>
      <c r="D262" t="s">
        <v>15135</v>
      </c>
      <c r="E262">
        <v>72424001</v>
      </c>
      <c r="F262" t="s">
        <v>15145</v>
      </c>
      <c r="G262" t="b">
        <v>1</v>
      </c>
      <c r="H262" t="s">
        <v>15913</v>
      </c>
    </row>
    <row r="263" spans="1:8" hidden="1" x14ac:dyDescent="0.25">
      <c r="A263">
        <v>79294</v>
      </c>
      <c r="B263" t="s">
        <v>15912</v>
      </c>
      <c r="C263" t="s">
        <v>15134</v>
      </c>
      <c r="D263" t="s">
        <v>15135</v>
      </c>
      <c r="E263">
        <v>72424000</v>
      </c>
      <c r="F263" t="s">
        <v>15138</v>
      </c>
      <c r="G263" t="b">
        <v>1</v>
      </c>
      <c r="H263" t="s">
        <v>15913</v>
      </c>
    </row>
    <row r="264" spans="1:8" hidden="1" x14ac:dyDescent="0.25">
      <c r="A264">
        <v>79294</v>
      </c>
      <c r="B264" t="s">
        <v>15912</v>
      </c>
      <c r="C264" t="s">
        <v>15134</v>
      </c>
      <c r="D264" t="s">
        <v>15135</v>
      </c>
      <c r="E264">
        <v>72424000</v>
      </c>
      <c r="F264" t="s">
        <v>15145</v>
      </c>
      <c r="G264" t="b">
        <v>1</v>
      </c>
      <c r="H264" t="s">
        <v>15913</v>
      </c>
    </row>
    <row r="265" spans="1:8" hidden="1" x14ac:dyDescent="0.25">
      <c r="A265">
        <v>8678</v>
      </c>
      <c r="B265" t="s">
        <v>15190</v>
      </c>
      <c r="C265" t="s">
        <v>15134</v>
      </c>
      <c r="D265" t="s">
        <v>15135</v>
      </c>
      <c r="E265">
        <v>72213001</v>
      </c>
    </row>
    <row r="266" spans="1:8" hidden="1" x14ac:dyDescent="0.25">
      <c r="A266">
        <v>8792</v>
      </c>
      <c r="B266" t="s">
        <v>15280</v>
      </c>
      <c r="C266" t="s">
        <v>15134</v>
      </c>
      <c r="D266" t="s">
        <v>15135</v>
      </c>
      <c r="E266">
        <v>72509000</v>
      </c>
      <c r="F266" t="s">
        <v>15138</v>
      </c>
      <c r="G266" t="b">
        <v>1</v>
      </c>
      <c r="H266" t="s">
        <v>15281</v>
      </c>
    </row>
    <row r="267" spans="1:8" hidden="1" x14ac:dyDescent="0.25">
      <c r="A267">
        <v>8792</v>
      </c>
      <c r="B267" t="s">
        <v>15280</v>
      </c>
      <c r="C267" t="s">
        <v>15134</v>
      </c>
      <c r="D267" t="s">
        <v>15135</v>
      </c>
      <c r="E267">
        <v>72509000</v>
      </c>
      <c r="F267" t="s">
        <v>15136</v>
      </c>
      <c r="G267" t="b">
        <v>1</v>
      </c>
      <c r="H267" t="s">
        <v>15282</v>
      </c>
    </row>
    <row r="268" spans="1:8" hidden="1" x14ac:dyDescent="0.25">
      <c r="A268">
        <v>9612</v>
      </c>
      <c r="B268" t="s">
        <v>15605</v>
      </c>
      <c r="C268" t="s">
        <v>15134</v>
      </c>
      <c r="D268" t="s">
        <v>15135</v>
      </c>
      <c r="E268">
        <v>82205001</v>
      </c>
    </row>
    <row r="269" spans="1:8" hidden="1" x14ac:dyDescent="0.25">
      <c r="A269">
        <v>79183</v>
      </c>
      <c r="B269" t="s">
        <v>15905</v>
      </c>
      <c r="C269" t="s">
        <v>15134</v>
      </c>
      <c r="D269" t="s">
        <v>15135</v>
      </c>
      <c r="E269">
        <v>82208001</v>
      </c>
      <c r="F269" t="s">
        <v>15138</v>
      </c>
      <c r="G269" t="b">
        <v>1</v>
      </c>
      <c r="H269" t="s">
        <v>15903</v>
      </c>
    </row>
    <row r="270" spans="1:8" hidden="1" x14ac:dyDescent="0.25">
      <c r="A270">
        <v>79183</v>
      </c>
      <c r="B270" t="s">
        <v>15905</v>
      </c>
      <c r="C270" t="s">
        <v>15134</v>
      </c>
      <c r="D270" t="s">
        <v>15135</v>
      </c>
      <c r="E270">
        <v>82208001</v>
      </c>
      <c r="F270" t="s">
        <v>15136</v>
      </c>
      <c r="G270" t="b">
        <v>1</v>
      </c>
      <c r="H270" t="s">
        <v>15904</v>
      </c>
    </row>
    <row r="271" spans="1:8" hidden="1" x14ac:dyDescent="0.25">
      <c r="A271">
        <v>85917</v>
      </c>
      <c r="B271" t="s">
        <v>16310</v>
      </c>
      <c r="C271" t="s">
        <v>15134</v>
      </c>
      <c r="D271" t="s">
        <v>15135</v>
      </c>
      <c r="E271">
        <v>22205000</v>
      </c>
      <c r="F271" t="s">
        <v>15138</v>
      </c>
      <c r="G271" t="b">
        <v>1</v>
      </c>
      <c r="H271" t="s">
        <v>16311</v>
      </c>
    </row>
    <row r="272" spans="1:8" hidden="1" x14ac:dyDescent="0.25">
      <c r="A272">
        <v>85917</v>
      </c>
      <c r="B272" t="s">
        <v>16310</v>
      </c>
      <c r="C272" t="s">
        <v>15134</v>
      </c>
      <c r="D272" t="s">
        <v>15135</v>
      </c>
      <c r="E272">
        <v>22205000</v>
      </c>
      <c r="F272" t="s">
        <v>15136</v>
      </c>
      <c r="G272" t="b">
        <v>1</v>
      </c>
      <c r="H272" t="s">
        <v>16312</v>
      </c>
    </row>
    <row r="273" spans="1:8" hidden="1" x14ac:dyDescent="0.25">
      <c r="A273">
        <v>8749</v>
      </c>
      <c r="B273" t="s">
        <v>15240</v>
      </c>
      <c r="C273" t="s">
        <v>15134</v>
      </c>
      <c r="D273" t="s">
        <v>15135</v>
      </c>
      <c r="E273">
        <v>72401000</v>
      </c>
      <c r="F273" t="s">
        <v>15136</v>
      </c>
      <c r="G273" t="b">
        <v>1</v>
      </c>
      <c r="H273" t="s">
        <v>15241</v>
      </c>
    </row>
    <row r="274" spans="1:8" hidden="1" x14ac:dyDescent="0.25">
      <c r="A274">
        <v>8749</v>
      </c>
      <c r="B274" t="s">
        <v>15240</v>
      </c>
      <c r="C274" t="s">
        <v>15134</v>
      </c>
      <c r="D274" t="s">
        <v>15135</v>
      </c>
      <c r="E274">
        <v>72401000</v>
      </c>
      <c r="F274" t="s">
        <v>15138</v>
      </c>
      <c r="G274" t="b">
        <v>1</v>
      </c>
      <c r="H274" t="s">
        <v>15242</v>
      </c>
    </row>
    <row r="275" spans="1:8" hidden="1" x14ac:dyDescent="0.25">
      <c r="A275">
        <v>85918</v>
      </c>
      <c r="B275" t="s">
        <v>16313</v>
      </c>
      <c r="C275" t="s">
        <v>15134</v>
      </c>
      <c r="D275" t="s">
        <v>15135</v>
      </c>
      <c r="E275">
        <v>22205001</v>
      </c>
      <c r="F275" t="s">
        <v>15138</v>
      </c>
      <c r="G275" t="b">
        <v>1</v>
      </c>
      <c r="H275" t="s">
        <v>16311</v>
      </c>
    </row>
    <row r="276" spans="1:8" hidden="1" x14ac:dyDescent="0.25">
      <c r="A276">
        <v>85918</v>
      </c>
      <c r="B276" t="s">
        <v>16313</v>
      </c>
      <c r="C276" t="s">
        <v>15134</v>
      </c>
      <c r="D276" t="s">
        <v>15135</v>
      </c>
      <c r="E276">
        <v>22205001</v>
      </c>
      <c r="F276" t="s">
        <v>15136</v>
      </c>
      <c r="G276" t="b">
        <v>1</v>
      </c>
      <c r="H276" t="s">
        <v>16312</v>
      </c>
    </row>
    <row r="277" spans="1:8" hidden="1" x14ac:dyDescent="0.25">
      <c r="A277">
        <v>91221</v>
      </c>
      <c r="B277" t="s">
        <v>16752</v>
      </c>
      <c r="C277" t="s">
        <v>15134</v>
      </c>
      <c r="D277" t="s">
        <v>15135</v>
      </c>
      <c r="E277">
        <v>73402001</v>
      </c>
      <c r="F277" t="s">
        <v>15138</v>
      </c>
      <c r="G277" t="b">
        <v>0</v>
      </c>
      <c r="H277" t="s">
        <v>16753</v>
      </c>
    </row>
    <row r="278" spans="1:8" hidden="1" x14ac:dyDescent="0.25">
      <c r="A278">
        <v>91221</v>
      </c>
      <c r="B278" t="s">
        <v>16752</v>
      </c>
      <c r="C278" t="s">
        <v>15134</v>
      </c>
      <c r="D278" t="s">
        <v>15135</v>
      </c>
      <c r="E278">
        <v>73402001</v>
      </c>
      <c r="F278" t="s">
        <v>15145</v>
      </c>
      <c r="G278" t="b">
        <v>1</v>
      </c>
      <c r="H278" t="s">
        <v>16754</v>
      </c>
    </row>
    <row r="279" spans="1:8" hidden="1" x14ac:dyDescent="0.25">
      <c r="A279">
        <v>78766</v>
      </c>
      <c r="B279" t="s">
        <v>15888</v>
      </c>
      <c r="C279" t="s">
        <v>15134</v>
      </c>
      <c r="D279" t="s">
        <v>15135</v>
      </c>
      <c r="E279">
        <v>103113001</v>
      </c>
    </row>
    <row r="280" spans="1:8" hidden="1" x14ac:dyDescent="0.25">
      <c r="A280">
        <v>10121</v>
      </c>
      <c r="B280" t="s">
        <v>15811</v>
      </c>
      <c r="C280" t="s">
        <v>15134</v>
      </c>
      <c r="D280" t="s">
        <v>15135</v>
      </c>
      <c r="E280">
        <v>113010001</v>
      </c>
      <c r="F280" t="s">
        <v>15138</v>
      </c>
      <c r="G280" t="b">
        <v>1</v>
      </c>
      <c r="H280" t="s">
        <v>15810</v>
      </c>
    </row>
    <row r="281" spans="1:8" hidden="1" x14ac:dyDescent="0.25">
      <c r="A281">
        <v>10121</v>
      </c>
      <c r="B281" t="s">
        <v>15811</v>
      </c>
      <c r="C281" t="s">
        <v>15134</v>
      </c>
      <c r="D281" t="s">
        <v>15135</v>
      </c>
      <c r="E281">
        <v>113010001</v>
      </c>
      <c r="F281" t="s">
        <v>15136</v>
      </c>
      <c r="G281" t="b">
        <v>1</v>
      </c>
      <c r="H281" t="s">
        <v>15812</v>
      </c>
    </row>
    <row r="282" spans="1:8" hidden="1" x14ac:dyDescent="0.25">
      <c r="A282">
        <v>93012</v>
      </c>
      <c r="B282" t="s">
        <v>16957</v>
      </c>
      <c r="C282" t="s">
        <v>15134</v>
      </c>
      <c r="D282" t="s">
        <v>15135</v>
      </c>
      <c r="E282">
        <v>73325001</v>
      </c>
    </row>
    <row r="283" spans="1:8" hidden="1" x14ac:dyDescent="0.25">
      <c r="A283">
        <v>92694</v>
      </c>
      <c r="B283" t="s">
        <v>16897</v>
      </c>
      <c r="C283" t="s">
        <v>15134</v>
      </c>
      <c r="D283" t="s">
        <v>15135</v>
      </c>
      <c r="E283">
        <v>73314000</v>
      </c>
      <c r="F283" t="s">
        <v>15138</v>
      </c>
      <c r="G283" t="b">
        <v>1</v>
      </c>
      <c r="H283" t="s">
        <v>16898</v>
      </c>
    </row>
    <row r="284" spans="1:8" hidden="1" x14ac:dyDescent="0.25">
      <c r="A284">
        <v>92694</v>
      </c>
      <c r="B284" t="s">
        <v>16897</v>
      </c>
      <c r="C284" t="s">
        <v>15134</v>
      </c>
      <c r="D284" t="s">
        <v>15135</v>
      </c>
      <c r="E284">
        <v>73314000</v>
      </c>
      <c r="F284" t="s">
        <v>15136</v>
      </c>
      <c r="G284" t="b">
        <v>1</v>
      </c>
      <c r="H284" t="s">
        <v>16899</v>
      </c>
    </row>
    <row r="285" spans="1:8" hidden="1" x14ac:dyDescent="0.25">
      <c r="A285">
        <v>79251</v>
      </c>
      <c r="B285" t="s">
        <v>15908</v>
      </c>
      <c r="C285" t="s">
        <v>15134</v>
      </c>
      <c r="D285" t="s">
        <v>15135</v>
      </c>
      <c r="E285">
        <v>73451001</v>
      </c>
      <c r="F285" t="s">
        <v>15138</v>
      </c>
      <c r="G285" t="b">
        <v>1</v>
      </c>
      <c r="H285" t="s">
        <v>15909</v>
      </c>
    </row>
    <row r="286" spans="1:8" hidden="1" x14ac:dyDescent="0.25">
      <c r="A286">
        <v>79251</v>
      </c>
      <c r="B286" t="s">
        <v>15908</v>
      </c>
      <c r="C286" t="s">
        <v>15134</v>
      </c>
      <c r="D286" t="s">
        <v>15135</v>
      </c>
      <c r="E286">
        <v>73451001</v>
      </c>
      <c r="F286" t="s">
        <v>15145</v>
      </c>
      <c r="G286" t="b">
        <v>1</v>
      </c>
      <c r="H286" t="s">
        <v>15909</v>
      </c>
    </row>
    <row r="287" spans="1:8" hidden="1" x14ac:dyDescent="0.25">
      <c r="A287">
        <v>81193</v>
      </c>
      <c r="B287" t="s">
        <v>16259</v>
      </c>
      <c r="C287" t="s">
        <v>15134</v>
      </c>
      <c r="D287" t="s">
        <v>15135</v>
      </c>
      <c r="E287">
        <v>103122000</v>
      </c>
      <c r="F287" t="s">
        <v>15145</v>
      </c>
      <c r="G287" t="b">
        <v>1</v>
      </c>
      <c r="H287" t="s">
        <v>16260</v>
      </c>
    </row>
    <row r="288" spans="1:8" hidden="1" x14ac:dyDescent="0.25">
      <c r="A288">
        <v>81193</v>
      </c>
      <c r="B288" t="s">
        <v>16259</v>
      </c>
      <c r="C288" t="s">
        <v>15134</v>
      </c>
      <c r="D288" t="s">
        <v>15135</v>
      </c>
      <c r="E288">
        <v>103122000</v>
      </c>
      <c r="F288" t="s">
        <v>15138</v>
      </c>
      <c r="G288" t="b">
        <v>1</v>
      </c>
      <c r="H288" t="s">
        <v>16260</v>
      </c>
    </row>
    <row r="289" spans="1:8" hidden="1" x14ac:dyDescent="0.25">
      <c r="A289">
        <v>81194</v>
      </c>
      <c r="B289" t="s">
        <v>16259</v>
      </c>
      <c r="C289" t="s">
        <v>15134</v>
      </c>
      <c r="D289" t="s">
        <v>15135</v>
      </c>
      <c r="E289">
        <v>103122001</v>
      </c>
      <c r="F289" t="s">
        <v>15145</v>
      </c>
      <c r="G289" t="b">
        <v>1</v>
      </c>
      <c r="H289" t="s">
        <v>16260</v>
      </c>
    </row>
    <row r="290" spans="1:8" hidden="1" x14ac:dyDescent="0.25">
      <c r="A290">
        <v>81194</v>
      </c>
      <c r="B290" t="s">
        <v>16259</v>
      </c>
      <c r="C290" t="s">
        <v>15134</v>
      </c>
      <c r="D290" t="s">
        <v>15135</v>
      </c>
      <c r="E290">
        <v>103122001</v>
      </c>
      <c r="F290" t="s">
        <v>15138</v>
      </c>
      <c r="G290" t="b">
        <v>1</v>
      </c>
      <c r="H290" t="s">
        <v>16260</v>
      </c>
    </row>
    <row r="291" spans="1:8" hidden="1" x14ac:dyDescent="0.25">
      <c r="A291">
        <v>87057</v>
      </c>
      <c r="B291" t="s">
        <v>16327</v>
      </c>
      <c r="C291" t="s">
        <v>15134</v>
      </c>
      <c r="D291" t="s">
        <v>15135</v>
      </c>
      <c r="E291">
        <v>73523001</v>
      </c>
      <c r="F291" t="s">
        <v>15138</v>
      </c>
      <c r="G291" t="b">
        <v>1</v>
      </c>
      <c r="H291" t="s">
        <v>16328</v>
      </c>
    </row>
    <row r="292" spans="1:8" hidden="1" x14ac:dyDescent="0.25">
      <c r="A292">
        <v>87057</v>
      </c>
      <c r="B292" t="s">
        <v>16327</v>
      </c>
      <c r="C292" t="s">
        <v>15134</v>
      </c>
      <c r="D292" t="s">
        <v>15135</v>
      </c>
      <c r="E292">
        <v>73523001</v>
      </c>
      <c r="F292" t="s">
        <v>15145</v>
      </c>
      <c r="G292" t="b">
        <v>1</v>
      </c>
      <c r="H292" t="s">
        <v>16328</v>
      </c>
    </row>
    <row r="293" spans="1:8" hidden="1" x14ac:dyDescent="0.25">
      <c r="A293">
        <v>93014</v>
      </c>
      <c r="B293" t="s">
        <v>16961</v>
      </c>
      <c r="C293" t="s">
        <v>15134</v>
      </c>
      <c r="D293" t="s">
        <v>15135</v>
      </c>
      <c r="E293">
        <v>143030000</v>
      </c>
      <c r="F293" t="s">
        <v>15138</v>
      </c>
      <c r="G293" t="b">
        <v>1</v>
      </c>
      <c r="H293" t="s">
        <v>16962</v>
      </c>
    </row>
    <row r="294" spans="1:8" hidden="1" x14ac:dyDescent="0.25">
      <c r="A294">
        <v>93014</v>
      </c>
      <c r="B294" t="s">
        <v>16961</v>
      </c>
      <c r="C294" t="s">
        <v>15134</v>
      </c>
      <c r="D294" t="s">
        <v>15135</v>
      </c>
      <c r="E294">
        <v>143030000</v>
      </c>
      <c r="F294" t="s">
        <v>15136</v>
      </c>
      <c r="G294" t="b">
        <v>0</v>
      </c>
      <c r="H294" t="s">
        <v>16963</v>
      </c>
    </row>
    <row r="295" spans="1:8" hidden="1" x14ac:dyDescent="0.25">
      <c r="A295">
        <v>93015</v>
      </c>
      <c r="B295" t="s">
        <v>16961</v>
      </c>
      <c r="C295" t="s">
        <v>15134</v>
      </c>
      <c r="D295" t="s">
        <v>15135</v>
      </c>
      <c r="E295">
        <v>143030001</v>
      </c>
    </row>
    <row r="296" spans="1:8" hidden="1" x14ac:dyDescent="0.25">
      <c r="A296">
        <v>1000134</v>
      </c>
      <c r="B296" t="s">
        <v>17103</v>
      </c>
      <c r="C296" t="s">
        <v>15134</v>
      </c>
      <c r="D296" t="s">
        <v>15135</v>
      </c>
      <c r="E296">
        <v>143030002</v>
      </c>
      <c r="F296" t="s">
        <v>15136</v>
      </c>
      <c r="G296" t="b">
        <v>1</v>
      </c>
      <c r="H296" t="s">
        <v>17104</v>
      </c>
    </row>
    <row r="297" spans="1:8" hidden="1" x14ac:dyDescent="0.25">
      <c r="A297">
        <v>1000134</v>
      </c>
      <c r="B297" t="s">
        <v>17103</v>
      </c>
      <c r="C297" t="s">
        <v>15134</v>
      </c>
      <c r="D297" t="s">
        <v>15135</v>
      </c>
      <c r="E297">
        <v>143030002</v>
      </c>
      <c r="F297" t="s">
        <v>15138</v>
      </c>
      <c r="G297" t="b">
        <v>1</v>
      </c>
      <c r="H297" t="s">
        <v>17104</v>
      </c>
    </row>
    <row r="298" spans="1:8" hidden="1" x14ac:dyDescent="0.25">
      <c r="A298">
        <v>9361</v>
      </c>
      <c r="B298" t="s">
        <v>15487</v>
      </c>
      <c r="C298" t="s">
        <v>15134</v>
      </c>
      <c r="D298" t="s">
        <v>15135</v>
      </c>
      <c r="E298">
        <v>73226001</v>
      </c>
    </row>
    <row r="299" spans="1:8" hidden="1" x14ac:dyDescent="0.25">
      <c r="A299">
        <v>90357</v>
      </c>
      <c r="B299" t="s">
        <v>16589</v>
      </c>
      <c r="C299" t="s">
        <v>15134</v>
      </c>
      <c r="D299" t="s">
        <v>15135</v>
      </c>
      <c r="E299">
        <v>73587001</v>
      </c>
      <c r="F299" t="s">
        <v>15138</v>
      </c>
      <c r="G299" t="b">
        <v>1</v>
      </c>
      <c r="H299" t="s">
        <v>16588</v>
      </c>
    </row>
    <row r="300" spans="1:8" hidden="1" x14ac:dyDescent="0.25">
      <c r="A300">
        <v>90357</v>
      </c>
      <c r="B300" t="s">
        <v>16589</v>
      </c>
      <c r="C300" t="s">
        <v>15134</v>
      </c>
      <c r="D300" t="s">
        <v>15135</v>
      </c>
      <c r="E300">
        <v>73587001</v>
      </c>
      <c r="F300" t="s">
        <v>15136</v>
      </c>
      <c r="G300" t="b">
        <v>1</v>
      </c>
      <c r="H300" t="s">
        <v>16588</v>
      </c>
    </row>
    <row r="301" spans="1:8" hidden="1" x14ac:dyDescent="0.25">
      <c r="A301">
        <v>90357</v>
      </c>
      <c r="B301" t="s">
        <v>16589</v>
      </c>
      <c r="C301" t="s">
        <v>15134</v>
      </c>
      <c r="D301" t="s">
        <v>15135</v>
      </c>
      <c r="E301">
        <v>73587001</v>
      </c>
      <c r="F301" t="s">
        <v>15145</v>
      </c>
      <c r="G301" t="b">
        <v>0</v>
      </c>
      <c r="H301" t="s">
        <v>16590</v>
      </c>
    </row>
    <row r="302" spans="1:8" hidden="1" x14ac:dyDescent="0.25">
      <c r="A302">
        <v>9282</v>
      </c>
      <c r="B302" t="s">
        <v>15448</v>
      </c>
      <c r="C302" t="s">
        <v>15134</v>
      </c>
      <c r="D302" t="s">
        <v>15135</v>
      </c>
      <c r="E302">
        <v>73197002</v>
      </c>
    </row>
    <row r="303" spans="1:8" hidden="1" x14ac:dyDescent="0.25">
      <c r="A303">
        <v>10143</v>
      </c>
      <c r="B303" t="s">
        <v>15448</v>
      </c>
      <c r="C303" t="s">
        <v>15134</v>
      </c>
      <c r="D303" t="s">
        <v>15135</v>
      </c>
      <c r="E303">
        <v>133010001</v>
      </c>
    </row>
    <row r="304" spans="1:8" hidden="1" x14ac:dyDescent="0.25">
      <c r="A304">
        <v>90073</v>
      </c>
      <c r="B304" t="s">
        <v>16524</v>
      </c>
      <c r="C304" t="s">
        <v>15134</v>
      </c>
      <c r="D304" t="s">
        <v>15135</v>
      </c>
      <c r="E304">
        <v>143022001</v>
      </c>
      <c r="F304" t="s">
        <v>15145</v>
      </c>
      <c r="G304" t="b">
        <v>1</v>
      </c>
      <c r="H304" t="s">
        <v>16523</v>
      </c>
    </row>
    <row r="305" spans="1:8" hidden="1" x14ac:dyDescent="0.25">
      <c r="A305">
        <v>90073</v>
      </c>
      <c r="B305" t="s">
        <v>16524</v>
      </c>
      <c r="C305" t="s">
        <v>15134</v>
      </c>
      <c r="D305" t="s">
        <v>15135</v>
      </c>
      <c r="E305">
        <v>143022001</v>
      </c>
      <c r="F305" t="s">
        <v>15138</v>
      </c>
      <c r="G305" t="b">
        <v>1</v>
      </c>
      <c r="H305" t="s">
        <v>16523</v>
      </c>
    </row>
    <row r="306" spans="1:8" hidden="1" x14ac:dyDescent="0.25">
      <c r="A306">
        <v>90072</v>
      </c>
      <c r="B306" t="s">
        <v>16522</v>
      </c>
      <c r="C306" t="s">
        <v>15134</v>
      </c>
      <c r="D306" t="s">
        <v>15135</v>
      </c>
      <c r="E306">
        <v>143022000</v>
      </c>
      <c r="F306" t="s">
        <v>15138</v>
      </c>
      <c r="G306" t="b">
        <v>1</v>
      </c>
      <c r="H306" t="s">
        <v>16523</v>
      </c>
    </row>
    <row r="307" spans="1:8" hidden="1" x14ac:dyDescent="0.25">
      <c r="A307">
        <v>90072</v>
      </c>
      <c r="B307" t="s">
        <v>16522</v>
      </c>
      <c r="C307" t="s">
        <v>15134</v>
      </c>
      <c r="D307" t="s">
        <v>15135</v>
      </c>
      <c r="E307">
        <v>143022000</v>
      </c>
      <c r="F307" t="s">
        <v>15136</v>
      </c>
      <c r="G307" t="b">
        <v>1</v>
      </c>
      <c r="H307" t="s">
        <v>16523</v>
      </c>
    </row>
    <row r="308" spans="1:8" hidden="1" x14ac:dyDescent="0.25">
      <c r="A308">
        <v>79348</v>
      </c>
      <c r="B308" t="s">
        <v>15948</v>
      </c>
      <c r="C308" t="s">
        <v>15134</v>
      </c>
      <c r="D308" t="s">
        <v>15135</v>
      </c>
      <c r="E308">
        <v>72425016</v>
      </c>
      <c r="F308" t="s">
        <v>15145</v>
      </c>
      <c r="G308" t="b">
        <v>1</v>
      </c>
      <c r="H308" t="s">
        <v>15949</v>
      </c>
    </row>
    <row r="309" spans="1:8" hidden="1" x14ac:dyDescent="0.25">
      <c r="A309">
        <v>79348</v>
      </c>
      <c r="B309" t="s">
        <v>15948</v>
      </c>
      <c r="C309" t="s">
        <v>15134</v>
      </c>
      <c r="D309" t="s">
        <v>15135</v>
      </c>
      <c r="E309">
        <v>72425016</v>
      </c>
      <c r="F309" t="s">
        <v>15138</v>
      </c>
      <c r="G309" t="b">
        <v>1</v>
      </c>
      <c r="H309" t="s">
        <v>15949</v>
      </c>
    </row>
    <row r="310" spans="1:8" hidden="1" x14ac:dyDescent="0.25">
      <c r="A310">
        <v>8766</v>
      </c>
      <c r="B310" t="s">
        <v>15260</v>
      </c>
      <c r="C310" t="s">
        <v>15134</v>
      </c>
      <c r="D310" t="s">
        <v>15135</v>
      </c>
      <c r="E310">
        <v>72404004</v>
      </c>
    </row>
    <row r="311" spans="1:8" hidden="1" x14ac:dyDescent="0.25">
      <c r="A311">
        <v>9094</v>
      </c>
      <c r="B311" t="s">
        <v>15355</v>
      </c>
      <c r="C311" t="s">
        <v>15134</v>
      </c>
      <c r="D311" t="s">
        <v>15135</v>
      </c>
      <c r="E311">
        <v>73071000</v>
      </c>
      <c r="F311" t="s">
        <v>15136</v>
      </c>
      <c r="G311" t="b">
        <v>1</v>
      </c>
      <c r="H311" t="s">
        <v>15356</v>
      </c>
    </row>
    <row r="312" spans="1:8" hidden="1" x14ac:dyDescent="0.25">
      <c r="A312">
        <v>9094</v>
      </c>
      <c r="B312" t="s">
        <v>15355</v>
      </c>
      <c r="C312" t="s">
        <v>15134</v>
      </c>
      <c r="D312" t="s">
        <v>15135</v>
      </c>
      <c r="E312">
        <v>73071000</v>
      </c>
      <c r="F312" t="s">
        <v>15138</v>
      </c>
      <c r="G312" t="b">
        <v>1</v>
      </c>
      <c r="H312" t="s">
        <v>15356</v>
      </c>
    </row>
    <row r="313" spans="1:8" hidden="1" x14ac:dyDescent="0.25">
      <c r="A313">
        <v>9041</v>
      </c>
      <c r="B313" t="s">
        <v>15332</v>
      </c>
      <c r="C313" t="s">
        <v>15134</v>
      </c>
      <c r="D313" t="s">
        <v>15135</v>
      </c>
      <c r="E313">
        <v>73036001</v>
      </c>
    </row>
    <row r="314" spans="1:8" hidden="1" x14ac:dyDescent="0.25">
      <c r="A314">
        <v>84280</v>
      </c>
      <c r="B314" t="s">
        <v>15332</v>
      </c>
      <c r="C314" t="s">
        <v>15134</v>
      </c>
      <c r="D314" t="s">
        <v>15135</v>
      </c>
      <c r="E314">
        <v>73499001</v>
      </c>
      <c r="F314" t="s">
        <v>15138</v>
      </c>
      <c r="G314" t="b">
        <v>1</v>
      </c>
      <c r="H314" t="s">
        <v>16277</v>
      </c>
    </row>
    <row r="315" spans="1:8" hidden="1" x14ac:dyDescent="0.25">
      <c r="A315">
        <v>84280</v>
      </c>
      <c r="B315" t="s">
        <v>15332</v>
      </c>
      <c r="C315" t="s">
        <v>15134</v>
      </c>
      <c r="D315" t="s">
        <v>15135</v>
      </c>
      <c r="E315">
        <v>73499001</v>
      </c>
      <c r="F315" t="s">
        <v>15145</v>
      </c>
      <c r="G315" t="b">
        <v>1</v>
      </c>
      <c r="H315" t="s">
        <v>16278</v>
      </c>
    </row>
    <row r="316" spans="1:8" hidden="1" x14ac:dyDescent="0.25">
      <c r="A316">
        <v>9419</v>
      </c>
      <c r="B316" t="s">
        <v>15520</v>
      </c>
      <c r="C316" t="s">
        <v>15134</v>
      </c>
      <c r="D316" t="s">
        <v>15135</v>
      </c>
      <c r="E316">
        <v>73255001</v>
      </c>
    </row>
    <row r="317" spans="1:8" hidden="1" x14ac:dyDescent="0.25">
      <c r="A317">
        <v>9481</v>
      </c>
      <c r="B317" t="s">
        <v>15561</v>
      </c>
      <c r="C317" t="s">
        <v>15134</v>
      </c>
      <c r="D317" t="s">
        <v>15135</v>
      </c>
      <c r="E317">
        <v>73274001</v>
      </c>
    </row>
    <row r="318" spans="1:8" hidden="1" x14ac:dyDescent="0.25">
      <c r="A318">
        <v>9482</v>
      </c>
      <c r="B318" t="s">
        <v>15562</v>
      </c>
      <c r="C318" t="s">
        <v>15134</v>
      </c>
      <c r="D318" t="s">
        <v>15135</v>
      </c>
      <c r="E318">
        <v>73274002</v>
      </c>
    </row>
    <row r="319" spans="1:8" hidden="1" x14ac:dyDescent="0.25">
      <c r="A319">
        <v>9483</v>
      </c>
      <c r="B319" t="s">
        <v>15563</v>
      </c>
      <c r="C319" t="s">
        <v>15134</v>
      </c>
      <c r="D319" t="s">
        <v>15135</v>
      </c>
      <c r="E319">
        <v>73274003</v>
      </c>
    </row>
    <row r="320" spans="1:8" hidden="1" x14ac:dyDescent="0.25">
      <c r="A320">
        <v>9484</v>
      </c>
      <c r="B320" t="s">
        <v>15564</v>
      </c>
      <c r="C320" t="s">
        <v>15134</v>
      </c>
      <c r="D320" t="s">
        <v>15135</v>
      </c>
      <c r="E320">
        <v>73274004</v>
      </c>
    </row>
    <row r="321" spans="1:8" hidden="1" x14ac:dyDescent="0.25">
      <c r="A321">
        <v>9214</v>
      </c>
      <c r="B321" t="s">
        <v>15416</v>
      </c>
      <c r="C321" t="s">
        <v>15134</v>
      </c>
      <c r="D321" t="s">
        <v>15135</v>
      </c>
      <c r="E321">
        <v>73149001</v>
      </c>
    </row>
    <row r="322" spans="1:8" hidden="1" x14ac:dyDescent="0.25">
      <c r="A322">
        <v>9421</v>
      </c>
      <c r="B322" t="s">
        <v>15416</v>
      </c>
      <c r="C322" t="s">
        <v>15134</v>
      </c>
      <c r="D322" t="s">
        <v>15135</v>
      </c>
      <c r="E322">
        <v>73256001</v>
      </c>
    </row>
    <row r="323" spans="1:8" hidden="1" x14ac:dyDescent="0.25">
      <c r="A323">
        <v>9085</v>
      </c>
      <c r="B323" t="s">
        <v>15349</v>
      </c>
      <c r="C323" t="s">
        <v>15134</v>
      </c>
      <c r="D323" t="s">
        <v>15135</v>
      </c>
      <c r="E323">
        <v>73064001</v>
      </c>
    </row>
    <row r="324" spans="1:8" hidden="1" x14ac:dyDescent="0.25">
      <c r="A324">
        <v>84279</v>
      </c>
      <c r="B324" t="s">
        <v>16274</v>
      </c>
      <c r="C324" t="s">
        <v>15134</v>
      </c>
      <c r="D324" t="s">
        <v>15135</v>
      </c>
      <c r="E324">
        <v>73499000</v>
      </c>
      <c r="F324" t="s">
        <v>15138</v>
      </c>
      <c r="G324" t="b">
        <v>1</v>
      </c>
      <c r="H324" t="s">
        <v>16275</v>
      </c>
    </row>
    <row r="325" spans="1:8" hidden="1" x14ac:dyDescent="0.25">
      <c r="A325">
        <v>84279</v>
      </c>
      <c r="B325" t="s">
        <v>16274</v>
      </c>
      <c r="C325" t="s">
        <v>15134</v>
      </c>
      <c r="D325" t="s">
        <v>15135</v>
      </c>
      <c r="E325">
        <v>73499000</v>
      </c>
      <c r="F325" t="s">
        <v>15136</v>
      </c>
      <c r="G325" t="b">
        <v>0</v>
      </c>
      <c r="H325" t="s">
        <v>16276</v>
      </c>
    </row>
    <row r="326" spans="1:8" hidden="1" x14ac:dyDescent="0.25">
      <c r="A326">
        <v>9125</v>
      </c>
      <c r="B326" t="s">
        <v>15373</v>
      </c>
      <c r="C326" t="s">
        <v>15134</v>
      </c>
      <c r="D326" t="s">
        <v>15135</v>
      </c>
      <c r="E326">
        <v>73087001</v>
      </c>
    </row>
    <row r="327" spans="1:8" hidden="1" x14ac:dyDescent="0.25">
      <c r="A327">
        <v>80401</v>
      </c>
      <c r="B327" t="s">
        <v>16046</v>
      </c>
      <c r="C327" t="s">
        <v>15134</v>
      </c>
      <c r="D327" t="s">
        <v>15135</v>
      </c>
      <c r="E327">
        <v>73483000</v>
      </c>
      <c r="F327" t="s">
        <v>15138</v>
      </c>
      <c r="G327" t="b">
        <v>1</v>
      </c>
      <c r="H327" t="s">
        <v>16047</v>
      </c>
    </row>
    <row r="328" spans="1:8" hidden="1" x14ac:dyDescent="0.25">
      <c r="A328">
        <v>80401</v>
      </c>
      <c r="B328" t="s">
        <v>16046</v>
      </c>
      <c r="C328" t="s">
        <v>15134</v>
      </c>
      <c r="D328" t="s">
        <v>15135</v>
      </c>
      <c r="E328">
        <v>73483000</v>
      </c>
      <c r="F328" t="s">
        <v>15136</v>
      </c>
      <c r="G328" t="b">
        <v>1</v>
      </c>
      <c r="H328" t="s">
        <v>16048</v>
      </c>
    </row>
    <row r="329" spans="1:8" hidden="1" x14ac:dyDescent="0.25">
      <c r="A329">
        <v>9988</v>
      </c>
      <c r="B329" t="s">
        <v>15764</v>
      </c>
      <c r="C329" t="s">
        <v>15134</v>
      </c>
      <c r="D329" t="s">
        <v>15135</v>
      </c>
      <c r="E329">
        <v>103082000</v>
      </c>
      <c r="F329" t="s">
        <v>15136</v>
      </c>
      <c r="G329" t="b">
        <v>1</v>
      </c>
      <c r="H329" t="s">
        <v>15765</v>
      </c>
    </row>
    <row r="330" spans="1:8" hidden="1" x14ac:dyDescent="0.25">
      <c r="A330">
        <v>9988</v>
      </c>
      <c r="B330" t="s">
        <v>15764</v>
      </c>
      <c r="C330" t="s">
        <v>15134</v>
      </c>
      <c r="D330" t="s">
        <v>15135</v>
      </c>
      <c r="E330">
        <v>103082000</v>
      </c>
      <c r="F330" t="s">
        <v>15138</v>
      </c>
      <c r="G330" t="b">
        <v>1</v>
      </c>
      <c r="H330" t="s">
        <v>15765</v>
      </c>
    </row>
    <row r="331" spans="1:8" hidden="1" x14ac:dyDescent="0.25">
      <c r="A331">
        <v>80629</v>
      </c>
      <c r="B331" t="s">
        <v>391</v>
      </c>
      <c r="C331" t="s">
        <v>15134</v>
      </c>
      <c r="D331" t="s">
        <v>15135</v>
      </c>
      <c r="E331">
        <v>133021002</v>
      </c>
      <c r="F331" t="s">
        <v>15145</v>
      </c>
      <c r="G331" t="b">
        <v>1</v>
      </c>
      <c r="H331" t="s">
        <v>16153</v>
      </c>
    </row>
    <row r="332" spans="1:8" hidden="1" x14ac:dyDescent="0.25">
      <c r="A332">
        <v>80629</v>
      </c>
      <c r="B332" t="s">
        <v>391</v>
      </c>
      <c r="C332" t="s">
        <v>15134</v>
      </c>
      <c r="D332" t="s">
        <v>15135</v>
      </c>
      <c r="E332">
        <v>133021002</v>
      </c>
      <c r="F332" t="s">
        <v>15138</v>
      </c>
      <c r="G332" t="b">
        <v>1</v>
      </c>
      <c r="H332" t="s">
        <v>15958</v>
      </c>
    </row>
    <row r="333" spans="1:8" hidden="1" x14ac:dyDescent="0.25">
      <c r="A333">
        <v>9175</v>
      </c>
      <c r="B333" t="s">
        <v>15396</v>
      </c>
      <c r="C333" t="s">
        <v>15134</v>
      </c>
      <c r="D333" t="s">
        <v>15135</v>
      </c>
      <c r="E333">
        <v>73121000</v>
      </c>
      <c r="F333" t="s">
        <v>15136</v>
      </c>
      <c r="G333" t="b">
        <v>1</v>
      </c>
      <c r="H333" t="s">
        <v>15397</v>
      </c>
    </row>
    <row r="334" spans="1:8" hidden="1" x14ac:dyDescent="0.25">
      <c r="A334">
        <v>9175</v>
      </c>
      <c r="B334" t="s">
        <v>15396</v>
      </c>
      <c r="C334" t="s">
        <v>15134</v>
      </c>
      <c r="D334" t="s">
        <v>15135</v>
      </c>
      <c r="E334">
        <v>73121000</v>
      </c>
      <c r="F334" t="s">
        <v>15138</v>
      </c>
      <c r="G334" t="b">
        <v>1</v>
      </c>
      <c r="H334" t="s">
        <v>15397</v>
      </c>
    </row>
    <row r="335" spans="1:8" hidden="1" x14ac:dyDescent="0.25">
      <c r="A335">
        <v>9876</v>
      </c>
      <c r="B335" t="s">
        <v>15708</v>
      </c>
      <c r="C335" t="s">
        <v>15134</v>
      </c>
      <c r="D335" t="s">
        <v>15135</v>
      </c>
      <c r="E335">
        <v>103008000</v>
      </c>
      <c r="F335" t="s">
        <v>15136</v>
      </c>
      <c r="G335" t="b">
        <v>1</v>
      </c>
      <c r="H335" t="s">
        <v>15709</v>
      </c>
    </row>
    <row r="336" spans="1:8" hidden="1" x14ac:dyDescent="0.25">
      <c r="A336">
        <v>9876</v>
      </c>
      <c r="B336" t="s">
        <v>15708</v>
      </c>
      <c r="C336" t="s">
        <v>15134</v>
      </c>
      <c r="D336" t="s">
        <v>15135</v>
      </c>
      <c r="E336">
        <v>103008000</v>
      </c>
      <c r="F336" t="s">
        <v>15138</v>
      </c>
      <c r="G336" t="b">
        <v>0</v>
      </c>
      <c r="H336" t="s">
        <v>15710</v>
      </c>
    </row>
    <row r="337" spans="1:8" hidden="1" x14ac:dyDescent="0.25">
      <c r="A337">
        <v>8522</v>
      </c>
      <c r="B337" t="s">
        <v>15159</v>
      </c>
      <c r="C337" t="s">
        <v>15134</v>
      </c>
      <c r="D337" t="s">
        <v>15135</v>
      </c>
      <c r="E337">
        <v>32201001</v>
      </c>
    </row>
    <row r="338" spans="1:8" hidden="1" x14ac:dyDescent="0.25">
      <c r="A338">
        <v>8521</v>
      </c>
      <c r="B338" t="s">
        <v>15158</v>
      </c>
      <c r="C338" t="s">
        <v>15134</v>
      </c>
      <c r="D338" t="s">
        <v>15135</v>
      </c>
      <c r="E338">
        <v>32201000</v>
      </c>
    </row>
    <row r="339" spans="1:8" hidden="1" x14ac:dyDescent="0.25">
      <c r="A339">
        <v>89447</v>
      </c>
      <c r="B339" t="s">
        <v>16393</v>
      </c>
      <c r="C339" t="s">
        <v>15134</v>
      </c>
      <c r="D339" t="s">
        <v>15135</v>
      </c>
      <c r="E339">
        <v>73548000</v>
      </c>
      <c r="F339" t="s">
        <v>15138</v>
      </c>
      <c r="G339" t="b">
        <v>1</v>
      </c>
      <c r="H339" t="s">
        <v>16394</v>
      </c>
    </row>
    <row r="340" spans="1:8" hidden="1" x14ac:dyDescent="0.25">
      <c r="A340">
        <v>89447</v>
      </c>
      <c r="B340" t="s">
        <v>16393</v>
      </c>
      <c r="C340" t="s">
        <v>15134</v>
      </c>
      <c r="D340" t="s">
        <v>15135</v>
      </c>
      <c r="E340">
        <v>73548000</v>
      </c>
      <c r="F340" t="s">
        <v>15136</v>
      </c>
      <c r="G340" t="b">
        <v>1</v>
      </c>
      <c r="H340" t="s">
        <v>16394</v>
      </c>
    </row>
    <row r="341" spans="1:8" hidden="1" x14ac:dyDescent="0.25">
      <c r="A341">
        <v>10358</v>
      </c>
      <c r="B341" t="s">
        <v>15848</v>
      </c>
      <c r="C341" t="s">
        <v>15134</v>
      </c>
      <c r="D341" t="s">
        <v>15135</v>
      </c>
      <c r="E341">
        <v>73193002</v>
      </c>
    </row>
    <row r="342" spans="1:8" hidden="1" x14ac:dyDescent="0.25">
      <c r="A342">
        <v>1000256</v>
      </c>
      <c r="B342" t="s">
        <v>17124</v>
      </c>
      <c r="C342" t="s">
        <v>15134</v>
      </c>
      <c r="D342" t="s">
        <v>15135</v>
      </c>
      <c r="E342">
        <v>102261003</v>
      </c>
      <c r="F342" t="s">
        <v>15136</v>
      </c>
      <c r="G342" t="b">
        <v>1</v>
      </c>
      <c r="H342" t="s">
        <v>17125</v>
      </c>
    </row>
    <row r="343" spans="1:8" hidden="1" x14ac:dyDescent="0.25">
      <c r="A343">
        <v>1000256</v>
      </c>
      <c r="B343" t="s">
        <v>17124</v>
      </c>
      <c r="C343" t="s">
        <v>15134</v>
      </c>
      <c r="D343" t="s">
        <v>15135</v>
      </c>
      <c r="E343">
        <v>102261003</v>
      </c>
      <c r="F343" t="s">
        <v>15138</v>
      </c>
      <c r="G343" t="b">
        <v>0</v>
      </c>
      <c r="H343" t="s">
        <v>17126</v>
      </c>
    </row>
    <row r="344" spans="1:8" hidden="1" x14ac:dyDescent="0.25">
      <c r="A344">
        <v>79389</v>
      </c>
      <c r="B344" t="s">
        <v>15964</v>
      </c>
      <c r="C344" t="s">
        <v>15134</v>
      </c>
      <c r="D344" t="s">
        <v>15135</v>
      </c>
      <c r="E344">
        <v>102261000</v>
      </c>
      <c r="F344" t="s">
        <v>15136</v>
      </c>
      <c r="G344" t="b">
        <v>1</v>
      </c>
      <c r="H344" t="s">
        <v>15965</v>
      </c>
    </row>
    <row r="345" spans="1:8" hidden="1" x14ac:dyDescent="0.25">
      <c r="A345">
        <v>79389</v>
      </c>
      <c r="B345" t="s">
        <v>15964</v>
      </c>
      <c r="C345" t="s">
        <v>15134</v>
      </c>
      <c r="D345" t="s">
        <v>15135</v>
      </c>
      <c r="E345">
        <v>102261000</v>
      </c>
      <c r="F345" t="s">
        <v>15138</v>
      </c>
      <c r="G345" t="b">
        <v>1</v>
      </c>
      <c r="H345" t="s">
        <v>15966</v>
      </c>
    </row>
    <row r="346" spans="1:8" hidden="1" x14ac:dyDescent="0.25">
      <c r="A346">
        <v>80314</v>
      </c>
      <c r="B346" t="s">
        <v>15964</v>
      </c>
      <c r="C346" t="s">
        <v>15134</v>
      </c>
      <c r="D346" t="s">
        <v>15135</v>
      </c>
      <c r="E346">
        <v>102261002</v>
      </c>
      <c r="F346" t="s">
        <v>15138</v>
      </c>
      <c r="G346" t="b">
        <v>1</v>
      </c>
      <c r="H346" t="s">
        <v>15966</v>
      </c>
    </row>
    <row r="347" spans="1:8" hidden="1" x14ac:dyDescent="0.25">
      <c r="A347">
        <v>80314</v>
      </c>
      <c r="B347" t="s">
        <v>15964</v>
      </c>
      <c r="C347" t="s">
        <v>15134</v>
      </c>
      <c r="D347" t="s">
        <v>15135</v>
      </c>
      <c r="E347">
        <v>102261002</v>
      </c>
      <c r="F347" t="s">
        <v>15145</v>
      </c>
      <c r="G347" t="b">
        <v>1</v>
      </c>
      <c r="H347" t="s">
        <v>15966</v>
      </c>
    </row>
    <row r="348" spans="1:8" hidden="1" x14ac:dyDescent="0.25">
      <c r="A348">
        <v>1000170</v>
      </c>
      <c r="B348" t="s">
        <v>17107</v>
      </c>
      <c r="C348" t="s">
        <v>15134</v>
      </c>
      <c r="D348" t="s">
        <v>15135</v>
      </c>
      <c r="E348">
        <v>103161000</v>
      </c>
      <c r="F348" t="s">
        <v>15136</v>
      </c>
      <c r="G348" t="b">
        <v>1</v>
      </c>
      <c r="H348" t="s">
        <v>17108</v>
      </c>
    </row>
    <row r="349" spans="1:8" hidden="1" x14ac:dyDescent="0.25">
      <c r="A349">
        <v>1000170</v>
      </c>
      <c r="B349" t="s">
        <v>17107</v>
      </c>
      <c r="C349" t="s">
        <v>15134</v>
      </c>
      <c r="D349" t="s">
        <v>15135</v>
      </c>
      <c r="E349">
        <v>103161000</v>
      </c>
      <c r="F349" t="s">
        <v>15138</v>
      </c>
      <c r="G349" t="b">
        <v>1</v>
      </c>
      <c r="H349" t="s">
        <v>17108</v>
      </c>
    </row>
    <row r="350" spans="1:8" hidden="1" x14ac:dyDescent="0.25">
      <c r="A350">
        <v>1000171</v>
      </c>
      <c r="B350" t="s">
        <v>17107</v>
      </c>
      <c r="C350" t="s">
        <v>15134</v>
      </c>
      <c r="D350" t="s">
        <v>15135</v>
      </c>
      <c r="E350">
        <v>103161001</v>
      </c>
      <c r="F350" t="s">
        <v>15136</v>
      </c>
      <c r="G350" t="b">
        <v>1</v>
      </c>
      <c r="H350" t="s">
        <v>17108</v>
      </c>
    </row>
    <row r="351" spans="1:8" hidden="1" x14ac:dyDescent="0.25">
      <c r="A351">
        <v>1000171</v>
      </c>
      <c r="B351" t="s">
        <v>17107</v>
      </c>
      <c r="C351" t="s">
        <v>15134</v>
      </c>
      <c r="D351" t="s">
        <v>15135</v>
      </c>
      <c r="E351">
        <v>103161001</v>
      </c>
      <c r="F351" t="s">
        <v>15138</v>
      </c>
      <c r="G351" t="b">
        <v>1</v>
      </c>
      <c r="H351" t="s">
        <v>17108</v>
      </c>
    </row>
    <row r="352" spans="1:8" hidden="1" x14ac:dyDescent="0.25">
      <c r="A352">
        <v>89658</v>
      </c>
      <c r="B352" t="s">
        <v>16421</v>
      </c>
      <c r="C352" t="s">
        <v>15134</v>
      </c>
      <c r="D352" t="s">
        <v>15135</v>
      </c>
      <c r="E352">
        <v>103132001</v>
      </c>
      <c r="F352" t="s">
        <v>15145</v>
      </c>
      <c r="G352" t="b">
        <v>1</v>
      </c>
      <c r="H352" t="s">
        <v>16420</v>
      </c>
    </row>
    <row r="353" spans="1:8" hidden="1" x14ac:dyDescent="0.25">
      <c r="A353">
        <v>89658</v>
      </c>
      <c r="B353" t="s">
        <v>16421</v>
      </c>
      <c r="C353" t="s">
        <v>15134</v>
      </c>
      <c r="D353" t="s">
        <v>15135</v>
      </c>
      <c r="E353">
        <v>103132001</v>
      </c>
      <c r="F353" t="s">
        <v>15138</v>
      </c>
      <c r="G353" t="b">
        <v>1</v>
      </c>
      <c r="H353" t="s">
        <v>16420</v>
      </c>
    </row>
    <row r="354" spans="1:8" hidden="1" x14ac:dyDescent="0.25">
      <c r="A354">
        <v>89657</v>
      </c>
      <c r="B354" t="s">
        <v>16419</v>
      </c>
      <c r="C354" t="s">
        <v>15134</v>
      </c>
      <c r="D354" t="s">
        <v>15135</v>
      </c>
      <c r="E354">
        <v>103132000</v>
      </c>
      <c r="F354" t="s">
        <v>15138</v>
      </c>
      <c r="G354" t="b">
        <v>1</v>
      </c>
      <c r="H354" t="s">
        <v>16420</v>
      </c>
    </row>
    <row r="355" spans="1:8" hidden="1" x14ac:dyDescent="0.25">
      <c r="A355">
        <v>89657</v>
      </c>
      <c r="B355" t="s">
        <v>16419</v>
      </c>
      <c r="C355" t="s">
        <v>15134</v>
      </c>
      <c r="D355" t="s">
        <v>15135</v>
      </c>
      <c r="E355">
        <v>103132000</v>
      </c>
      <c r="F355" t="s">
        <v>15136</v>
      </c>
      <c r="G355" t="b">
        <v>1</v>
      </c>
      <c r="H355" t="s">
        <v>16420</v>
      </c>
    </row>
    <row r="356" spans="1:8" hidden="1" x14ac:dyDescent="0.25">
      <c r="A356">
        <v>9723</v>
      </c>
      <c r="B356" t="s">
        <v>15633</v>
      </c>
      <c r="C356" t="s">
        <v>15134</v>
      </c>
      <c r="D356" t="s">
        <v>15135</v>
      </c>
      <c r="E356">
        <v>102201000</v>
      </c>
    </row>
    <row r="357" spans="1:8" hidden="1" x14ac:dyDescent="0.25">
      <c r="A357">
        <v>9724</v>
      </c>
      <c r="B357" t="s">
        <v>15633</v>
      </c>
      <c r="C357" t="s">
        <v>15134</v>
      </c>
      <c r="D357" t="s">
        <v>15135</v>
      </c>
      <c r="E357">
        <v>102201001</v>
      </c>
    </row>
    <row r="358" spans="1:8" hidden="1" x14ac:dyDescent="0.25">
      <c r="A358">
        <v>9746</v>
      </c>
      <c r="B358" t="s">
        <v>15647</v>
      </c>
      <c r="C358" t="s">
        <v>15134</v>
      </c>
      <c r="D358" t="s">
        <v>15135</v>
      </c>
      <c r="E358">
        <v>102221000</v>
      </c>
    </row>
    <row r="359" spans="1:8" hidden="1" x14ac:dyDescent="0.25">
      <c r="A359">
        <v>79667</v>
      </c>
      <c r="B359" t="s">
        <v>15979</v>
      </c>
      <c r="C359" t="s">
        <v>15134</v>
      </c>
      <c r="D359" t="s">
        <v>15135</v>
      </c>
      <c r="E359">
        <v>142206000</v>
      </c>
      <c r="F359" t="s">
        <v>15138</v>
      </c>
      <c r="G359" t="b">
        <v>1</v>
      </c>
      <c r="H359" t="s">
        <v>15980</v>
      </c>
    </row>
    <row r="360" spans="1:8" hidden="1" x14ac:dyDescent="0.25">
      <c r="A360">
        <v>79667</v>
      </c>
      <c r="B360" t="s">
        <v>15979</v>
      </c>
      <c r="C360" t="s">
        <v>15134</v>
      </c>
      <c r="D360" t="s">
        <v>15135</v>
      </c>
      <c r="E360">
        <v>142206000</v>
      </c>
      <c r="F360" t="s">
        <v>15136</v>
      </c>
      <c r="G360" t="b">
        <v>1</v>
      </c>
      <c r="H360" t="s">
        <v>15981</v>
      </c>
    </row>
    <row r="361" spans="1:8" hidden="1" x14ac:dyDescent="0.25">
      <c r="A361">
        <v>1000416</v>
      </c>
      <c r="B361" t="s">
        <v>17168</v>
      </c>
      <c r="C361" t="s">
        <v>15134</v>
      </c>
      <c r="D361" t="s">
        <v>15135</v>
      </c>
      <c r="E361">
        <v>73366000</v>
      </c>
      <c r="F361" t="s">
        <v>15138</v>
      </c>
      <c r="G361" t="b">
        <v>1</v>
      </c>
      <c r="H361" t="s">
        <v>17167</v>
      </c>
    </row>
    <row r="362" spans="1:8" hidden="1" x14ac:dyDescent="0.25">
      <c r="A362">
        <v>1000416</v>
      </c>
      <c r="B362" t="s">
        <v>17168</v>
      </c>
      <c r="C362" t="s">
        <v>15134</v>
      </c>
      <c r="D362" t="s">
        <v>15135</v>
      </c>
      <c r="E362">
        <v>73366000</v>
      </c>
      <c r="F362" t="s">
        <v>15136</v>
      </c>
      <c r="G362" t="b">
        <v>1</v>
      </c>
      <c r="H362" t="s">
        <v>17167</v>
      </c>
    </row>
    <row r="363" spans="1:8" hidden="1" x14ac:dyDescent="0.25">
      <c r="A363">
        <v>10159</v>
      </c>
      <c r="B363" t="s">
        <v>15822</v>
      </c>
      <c r="C363" t="s">
        <v>15134</v>
      </c>
      <c r="D363" t="s">
        <v>15135</v>
      </c>
      <c r="E363">
        <v>133020001</v>
      </c>
    </row>
    <row r="364" spans="1:8" hidden="1" x14ac:dyDescent="0.25">
      <c r="A364">
        <v>8708</v>
      </c>
      <c r="B364" t="s">
        <v>15215</v>
      </c>
      <c r="C364" t="s">
        <v>15134</v>
      </c>
      <c r="D364" t="s">
        <v>15135</v>
      </c>
      <c r="E364">
        <v>72277000</v>
      </c>
    </row>
    <row r="365" spans="1:8" hidden="1" x14ac:dyDescent="0.25">
      <c r="A365">
        <v>79334</v>
      </c>
      <c r="B365" t="s">
        <v>15931</v>
      </c>
      <c r="C365" t="s">
        <v>15134</v>
      </c>
      <c r="D365" t="s">
        <v>15135</v>
      </c>
      <c r="E365">
        <v>72425004</v>
      </c>
      <c r="F365" t="s">
        <v>15138</v>
      </c>
      <c r="G365" t="b">
        <v>0</v>
      </c>
      <c r="H365" t="s">
        <v>15932</v>
      </c>
    </row>
    <row r="366" spans="1:8" hidden="1" x14ac:dyDescent="0.25">
      <c r="A366">
        <v>79334</v>
      </c>
      <c r="B366" t="s">
        <v>15931</v>
      </c>
      <c r="C366" t="s">
        <v>15134</v>
      </c>
      <c r="D366" t="s">
        <v>15135</v>
      </c>
      <c r="E366">
        <v>72425004</v>
      </c>
      <c r="F366" t="s">
        <v>15145</v>
      </c>
      <c r="G366" t="b">
        <v>1</v>
      </c>
      <c r="H366" t="s">
        <v>15930</v>
      </c>
    </row>
    <row r="367" spans="1:8" hidden="1" x14ac:dyDescent="0.25">
      <c r="A367">
        <v>9610</v>
      </c>
      <c r="B367" t="s">
        <v>15603</v>
      </c>
      <c r="C367" t="s">
        <v>15134</v>
      </c>
      <c r="D367" t="s">
        <v>15135</v>
      </c>
      <c r="E367">
        <v>82204001</v>
      </c>
    </row>
    <row r="368" spans="1:8" hidden="1" x14ac:dyDescent="0.25">
      <c r="A368">
        <v>89752</v>
      </c>
      <c r="B368" t="s">
        <v>16454</v>
      </c>
      <c r="C368" t="s">
        <v>15134</v>
      </c>
      <c r="D368" t="s">
        <v>15135</v>
      </c>
      <c r="E368">
        <v>73561000</v>
      </c>
      <c r="F368" t="s">
        <v>15138</v>
      </c>
      <c r="G368" t="b">
        <v>1</v>
      </c>
      <c r="H368" t="s">
        <v>15990</v>
      </c>
    </row>
    <row r="369" spans="1:8" hidden="1" x14ac:dyDescent="0.25">
      <c r="A369">
        <v>89752</v>
      </c>
      <c r="B369" t="s">
        <v>16454</v>
      </c>
      <c r="C369" t="s">
        <v>15134</v>
      </c>
      <c r="D369" t="s">
        <v>15135</v>
      </c>
      <c r="E369">
        <v>73561000</v>
      </c>
      <c r="F369" t="s">
        <v>15136</v>
      </c>
      <c r="G369" t="b">
        <v>1</v>
      </c>
      <c r="H369" t="s">
        <v>15990</v>
      </c>
    </row>
    <row r="370" spans="1:8" hidden="1" x14ac:dyDescent="0.25">
      <c r="A370">
        <v>9546</v>
      </c>
      <c r="B370" t="s">
        <v>15590</v>
      </c>
      <c r="C370" t="s">
        <v>15134</v>
      </c>
      <c r="D370" t="s">
        <v>15135</v>
      </c>
      <c r="E370">
        <v>73408003</v>
      </c>
    </row>
    <row r="371" spans="1:8" hidden="1" x14ac:dyDescent="0.25">
      <c r="A371">
        <v>9810</v>
      </c>
      <c r="B371" t="s">
        <v>15697</v>
      </c>
      <c r="C371" t="s">
        <v>15134</v>
      </c>
      <c r="D371" t="s">
        <v>15135</v>
      </c>
      <c r="E371">
        <v>102501000</v>
      </c>
      <c r="F371" t="s">
        <v>15136</v>
      </c>
      <c r="G371" t="b">
        <v>1</v>
      </c>
      <c r="H371" t="s">
        <v>15698</v>
      </c>
    </row>
    <row r="372" spans="1:8" hidden="1" x14ac:dyDescent="0.25">
      <c r="A372">
        <v>9810</v>
      </c>
      <c r="B372" t="s">
        <v>15697</v>
      </c>
      <c r="C372" t="s">
        <v>15134</v>
      </c>
      <c r="D372" t="s">
        <v>15135</v>
      </c>
      <c r="E372">
        <v>102501000</v>
      </c>
      <c r="F372" t="s">
        <v>15138</v>
      </c>
      <c r="G372" t="b">
        <v>1</v>
      </c>
      <c r="H372" t="s">
        <v>15698</v>
      </c>
    </row>
    <row r="373" spans="1:8" hidden="1" x14ac:dyDescent="0.25">
      <c r="A373">
        <v>9375</v>
      </c>
      <c r="B373" t="s">
        <v>15496</v>
      </c>
      <c r="C373" t="s">
        <v>15134</v>
      </c>
      <c r="D373" t="s">
        <v>15135</v>
      </c>
      <c r="E373">
        <v>73233001</v>
      </c>
    </row>
    <row r="374" spans="1:8" hidden="1" x14ac:dyDescent="0.25">
      <c r="A374">
        <v>10374</v>
      </c>
      <c r="B374" t="s">
        <v>15857</v>
      </c>
      <c r="C374" t="s">
        <v>15134</v>
      </c>
      <c r="D374" t="s">
        <v>15135</v>
      </c>
      <c r="E374">
        <v>103110001</v>
      </c>
    </row>
    <row r="375" spans="1:8" hidden="1" x14ac:dyDescent="0.25">
      <c r="A375">
        <v>8778</v>
      </c>
      <c r="B375" t="s">
        <v>15269</v>
      </c>
      <c r="C375" t="s">
        <v>15134</v>
      </c>
      <c r="D375" t="s">
        <v>15135</v>
      </c>
      <c r="E375">
        <v>72408000</v>
      </c>
      <c r="F375" t="s">
        <v>15145</v>
      </c>
      <c r="G375" t="b">
        <v>1</v>
      </c>
      <c r="H375" t="s">
        <v>15270</v>
      </c>
    </row>
    <row r="376" spans="1:8" hidden="1" x14ac:dyDescent="0.25">
      <c r="A376">
        <v>8778</v>
      </c>
      <c r="B376" t="s">
        <v>15269</v>
      </c>
      <c r="C376" t="s">
        <v>15134</v>
      </c>
      <c r="D376" t="s">
        <v>15135</v>
      </c>
      <c r="E376">
        <v>72408000</v>
      </c>
      <c r="F376" t="s">
        <v>15138</v>
      </c>
      <c r="G376" t="b">
        <v>1</v>
      </c>
      <c r="H376" t="s">
        <v>15270</v>
      </c>
    </row>
    <row r="377" spans="1:8" hidden="1" x14ac:dyDescent="0.25">
      <c r="A377">
        <v>8731</v>
      </c>
      <c r="B377" t="s">
        <v>15232</v>
      </c>
      <c r="C377" t="s">
        <v>15134</v>
      </c>
      <c r="D377" t="s">
        <v>15135</v>
      </c>
      <c r="E377">
        <v>72291001</v>
      </c>
    </row>
    <row r="378" spans="1:8" hidden="1" x14ac:dyDescent="0.25">
      <c r="A378">
        <v>8707</v>
      </c>
      <c r="B378" t="s">
        <v>15214</v>
      </c>
      <c r="C378" t="s">
        <v>15134</v>
      </c>
      <c r="D378" t="s">
        <v>15135</v>
      </c>
      <c r="E378">
        <v>72274001</v>
      </c>
    </row>
    <row r="379" spans="1:8" hidden="1" x14ac:dyDescent="0.25">
      <c r="A379">
        <v>8730</v>
      </c>
      <c r="B379" t="s">
        <v>15231</v>
      </c>
      <c r="C379" t="s">
        <v>15134</v>
      </c>
      <c r="D379" t="s">
        <v>15135</v>
      </c>
      <c r="E379">
        <v>72291000</v>
      </c>
    </row>
    <row r="380" spans="1:8" hidden="1" x14ac:dyDescent="0.25">
      <c r="A380">
        <v>10176</v>
      </c>
      <c r="B380" t="s">
        <v>15828</v>
      </c>
      <c r="C380" t="s">
        <v>15134</v>
      </c>
      <c r="D380" t="s">
        <v>15135</v>
      </c>
      <c r="E380">
        <v>142204000</v>
      </c>
    </row>
    <row r="381" spans="1:8" hidden="1" x14ac:dyDescent="0.25">
      <c r="A381">
        <v>79761</v>
      </c>
      <c r="B381" t="s">
        <v>15991</v>
      </c>
      <c r="C381" t="s">
        <v>15134</v>
      </c>
      <c r="D381" t="s">
        <v>15135</v>
      </c>
      <c r="E381">
        <v>73464000</v>
      </c>
      <c r="F381" t="s">
        <v>15138</v>
      </c>
      <c r="G381" t="b">
        <v>1</v>
      </c>
      <c r="H381" t="s">
        <v>15992</v>
      </c>
    </row>
    <row r="382" spans="1:8" hidden="1" x14ac:dyDescent="0.25">
      <c r="A382">
        <v>79761</v>
      </c>
      <c r="B382" t="s">
        <v>15991</v>
      </c>
      <c r="C382" t="s">
        <v>15134</v>
      </c>
      <c r="D382" t="s">
        <v>15135</v>
      </c>
      <c r="E382">
        <v>73464000</v>
      </c>
      <c r="F382" t="s">
        <v>15136</v>
      </c>
      <c r="G382" t="b">
        <v>1</v>
      </c>
      <c r="H382" t="s">
        <v>15992</v>
      </c>
    </row>
    <row r="383" spans="1:8" hidden="1" x14ac:dyDescent="0.25">
      <c r="A383">
        <v>8986</v>
      </c>
      <c r="B383" t="s">
        <v>15301</v>
      </c>
      <c r="C383" t="s">
        <v>15134</v>
      </c>
      <c r="D383" t="s">
        <v>15135</v>
      </c>
      <c r="E383">
        <v>73006001</v>
      </c>
    </row>
    <row r="384" spans="1:8" hidden="1" x14ac:dyDescent="0.25">
      <c r="A384">
        <v>79281</v>
      </c>
      <c r="B384" t="s">
        <v>15910</v>
      </c>
      <c r="C384" t="s">
        <v>15134</v>
      </c>
      <c r="D384" t="s">
        <v>15135</v>
      </c>
      <c r="E384">
        <v>93015001</v>
      </c>
      <c r="F384" t="s">
        <v>15138</v>
      </c>
      <c r="G384" t="b">
        <v>0</v>
      </c>
      <c r="H384" t="s">
        <v>15911</v>
      </c>
    </row>
    <row r="385" spans="1:8" hidden="1" x14ac:dyDescent="0.25">
      <c r="A385">
        <v>79281</v>
      </c>
      <c r="B385" t="s">
        <v>15910</v>
      </c>
      <c r="C385" t="s">
        <v>15134</v>
      </c>
      <c r="D385" t="s">
        <v>15135</v>
      </c>
      <c r="E385">
        <v>93015001</v>
      </c>
      <c r="F385" t="s">
        <v>15145</v>
      </c>
      <c r="G385" t="b">
        <v>0</v>
      </c>
      <c r="H385" t="s">
        <v>15911</v>
      </c>
    </row>
    <row r="386" spans="1:8" hidden="1" x14ac:dyDescent="0.25">
      <c r="A386">
        <v>92383</v>
      </c>
      <c r="B386" t="s">
        <v>16864</v>
      </c>
      <c r="C386" t="s">
        <v>15134</v>
      </c>
      <c r="D386" t="s">
        <v>15135</v>
      </c>
      <c r="E386">
        <v>73308001</v>
      </c>
      <c r="F386" t="s">
        <v>15138</v>
      </c>
      <c r="G386" t="b">
        <v>1</v>
      </c>
      <c r="H386" t="s">
        <v>16863</v>
      </c>
    </row>
    <row r="387" spans="1:8" hidden="1" x14ac:dyDescent="0.25">
      <c r="A387">
        <v>92383</v>
      </c>
      <c r="B387" t="s">
        <v>16864</v>
      </c>
      <c r="C387" t="s">
        <v>15134</v>
      </c>
      <c r="D387" t="s">
        <v>15135</v>
      </c>
      <c r="E387">
        <v>73308001</v>
      </c>
      <c r="F387" t="s">
        <v>15145</v>
      </c>
      <c r="G387" t="b">
        <v>1</v>
      </c>
      <c r="H387" t="s">
        <v>16863</v>
      </c>
    </row>
    <row r="388" spans="1:8" hidden="1" x14ac:dyDescent="0.25">
      <c r="A388">
        <v>9270</v>
      </c>
      <c r="B388" t="s">
        <v>15440</v>
      </c>
      <c r="C388" t="s">
        <v>15134</v>
      </c>
      <c r="D388" t="s">
        <v>15135</v>
      </c>
      <c r="E388">
        <v>73192001</v>
      </c>
    </row>
    <row r="389" spans="1:8" hidden="1" x14ac:dyDescent="0.25">
      <c r="A389">
        <v>9513</v>
      </c>
      <c r="B389" t="s">
        <v>15440</v>
      </c>
      <c r="C389" t="s">
        <v>15134</v>
      </c>
      <c r="D389" t="s">
        <v>15135</v>
      </c>
      <c r="E389">
        <v>73283001</v>
      </c>
    </row>
    <row r="390" spans="1:8" hidden="1" x14ac:dyDescent="0.25">
      <c r="A390">
        <v>92382</v>
      </c>
      <c r="B390" t="s">
        <v>16862</v>
      </c>
      <c r="C390" t="s">
        <v>15134</v>
      </c>
      <c r="D390" t="s">
        <v>15135</v>
      </c>
      <c r="E390">
        <v>73308000</v>
      </c>
      <c r="F390" t="s">
        <v>15136</v>
      </c>
      <c r="G390" t="b">
        <v>1</v>
      </c>
      <c r="H390" t="s">
        <v>16863</v>
      </c>
    </row>
    <row r="391" spans="1:8" hidden="1" x14ac:dyDescent="0.25">
      <c r="A391">
        <v>92382</v>
      </c>
      <c r="B391" t="s">
        <v>16862</v>
      </c>
      <c r="C391" t="s">
        <v>15134</v>
      </c>
      <c r="D391" t="s">
        <v>15135</v>
      </c>
      <c r="E391">
        <v>73308000</v>
      </c>
      <c r="F391" t="s">
        <v>15138</v>
      </c>
      <c r="G391" t="b">
        <v>1</v>
      </c>
      <c r="H391" t="s">
        <v>16863</v>
      </c>
    </row>
    <row r="392" spans="1:8" hidden="1" x14ac:dyDescent="0.25">
      <c r="A392">
        <v>9740</v>
      </c>
      <c r="B392" t="s">
        <v>15646</v>
      </c>
      <c r="C392" t="s">
        <v>15134</v>
      </c>
      <c r="D392" t="s">
        <v>15135</v>
      </c>
      <c r="E392">
        <v>102218001</v>
      </c>
      <c r="F392" t="s">
        <v>15145</v>
      </c>
      <c r="G392" t="b">
        <v>1</v>
      </c>
      <c r="H392" t="s">
        <v>15645</v>
      </c>
    </row>
    <row r="393" spans="1:8" hidden="1" x14ac:dyDescent="0.25">
      <c r="A393">
        <v>9740</v>
      </c>
      <c r="B393" t="s">
        <v>15646</v>
      </c>
      <c r="C393" t="s">
        <v>15134</v>
      </c>
      <c r="D393" t="s">
        <v>15135</v>
      </c>
      <c r="E393">
        <v>102218001</v>
      </c>
      <c r="F393" t="s">
        <v>15138</v>
      </c>
      <c r="G393" t="b">
        <v>1</v>
      </c>
      <c r="H393" t="s">
        <v>15645</v>
      </c>
    </row>
    <row r="394" spans="1:8" hidden="1" x14ac:dyDescent="0.25">
      <c r="A394">
        <v>9174</v>
      </c>
      <c r="B394" t="s">
        <v>15395</v>
      </c>
      <c r="C394" t="s">
        <v>15134</v>
      </c>
      <c r="D394" t="s">
        <v>15135</v>
      </c>
      <c r="E394">
        <v>73116001</v>
      </c>
    </row>
    <row r="395" spans="1:8" hidden="1" x14ac:dyDescent="0.25">
      <c r="A395">
        <v>80965</v>
      </c>
      <c r="B395" t="s">
        <v>15395</v>
      </c>
      <c r="C395" t="s">
        <v>15134</v>
      </c>
      <c r="D395" t="s">
        <v>15135</v>
      </c>
      <c r="E395">
        <v>73001001</v>
      </c>
      <c r="F395" t="s">
        <v>15145</v>
      </c>
      <c r="G395" t="b">
        <v>1</v>
      </c>
      <c r="H395" t="s">
        <v>15394</v>
      </c>
    </row>
    <row r="396" spans="1:8" hidden="1" x14ac:dyDescent="0.25">
      <c r="A396">
        <v>80965</v>
      </c>
      <c r="B396" t="s">
        <v>15395</v>
      </c>
      <c r="C396" t="s">
        <v>15134</v>
      </c>
      <c r="D396" t="s">
        <v>15135</v>
      </c>
      <c r="E396">
        <v>73001001</v>
      </c>
      <c r="F396" t="s">
        <v>15138</v>
      </c>
      <c r="G396" t="b">
        <v>1</v>
      </c>
      <c r="H396" t="s">
        <v>16155</v>
      </c>
    </row>
    <row r="397" spans="1:8" hidden="1" x14ac:dyDescent="0.25">
      <c r="A397">
        <v>80966</v>
      </c>
      <c r="B397" t="s">
        <v>16253</v>
      </c>
      <c r="C397" t="s">
        <v>15134</v>
      </c>
      <c r="D397" t="s">
        <v>15135</v>
      </c>
      <c r="E397">
        <v>73001002</v>
      </c>
      <c r="F397" t="s">
        <v>15145</v>
      </c>
      <c r="G397" t="b">
        <v>1</v>
      </c>
      <c r="H397" t="s">
        <v>16254</v>
      </c>
    </row>
    <row r="398" spans="1:8" hidden="1" x14ac:dyDescent="0.25">
      <c r="A398">
        <v>80966</v>
      </c>
      <c r="B398" t="s">
        <v>16253</v>
      </c>
      <c r="C398" t="s">
        <v>15134</v>
      </c>
      <c r="D398" t="s">
        <v>15135</v>
      </c>
      <c r="E398">
        <v>73001002</v>
      </c>
      <c r="F398" t="s">
        <v>15138</v>
      </c>
      <c r="G398" t="b">
        <v>1</v>
      </c>
      <c r="H398" t="s">
        <v>16155</v>
      </c>
    </row>
    <row r="399" spans="1:8" hidden="1" x14ac:dyDescent="0.25">
      <c r="A399">
        <v>10023</v>
      </c>
      <c r="B399" t="s">
        <v>15784</v>
      </c>
      <c r="C399" t="s">
        <v>15134</v>
      </c>
      <c r="D399" t="s">
        <v>15135</v>
      </c>
      <c r="E399">
        <v>103096001</v>
      </c>
    </row>
    <row r="400" spans="1:8" hidden="1" x14ac:dyDescent="0.25">
      <c r="A400">
        <v>9111</v>
      </c>
      <c r="B400" t="s">
        <v>15365</v>
      </c>
      <c r="C400" t="s">
        <v>15134</v>
      </c>
      <c r="D400" t="s">
        <v>15135</v>
      </c>
      <c r="E400">
        <v>73081001</v>
      </c>
    </row>
    <row r="401" spans="1:8" hidden="1" x14ac:dyDescent="0.25">
      <c r="A401">
        <v>90079</v>
      </c>
      <c r="B401" t="s">
        <v>16529</v>
      </c>
      <c r="C401" t="s">
        <v>15134</v>
      </c>
      <c r="D401" t="s">
        <v>15135</v>
      </c>
      <c r="E401">
        <v>73568001</v>
      </c>
      <c r="F401" t="s">
        <v>15145</v>
      </c>
      <c r="G401" t="b">
        <v>1</v>
      </c>
      <c r="H401" t="s">
        <v>16528</v>
      </c>
    </row>
    <row r="402" spans="1:8" hidden="1" x14ac:dyDescent="0.25">
      <c r="A402">
        <v>90079</v>
      </c>
      <c r="B402" t="s">
        <v>16529</v>
      </c>
      <c r="C402" t="s">
        <v>15134</v>
      </c>
      <c r="D402" t="s">
        <v>15135</v>
      </c>
      <c r="E402">
        <v>73568001</v>
      </c>
      <c r="F402" t="s">
        <v>15138</v>
      </c>
      <c r="G402" t="b">
        <v>1</v>
      </c>
      <c r="H402" t="s">
        <v>16528</v>
      </c>
    </row>
    <row r="403" spans="1:8" hidden="1" x14ac:dyDescent="0.25">
      <c r="A403">
        <v>90078</v>
      </c>
      <c r="B403" t="s">
        <v>16527</v>
      </c>
      <c r="C403" t="s">
        <v>15134</v>
      </c>
      <c r="D403" t="s">
        <v>15135</v>
      </c>
      <c r="E403">
        <v>73568000</v>
      </c>
      <c r="F403" t="s">
        <v>15136</v>
      </c>
      <c r="G403" t="b">
        <v>1</v>
      </c>
      <c r="H403" t="s">
        <v>16528</v>
      </c>
    </row>
    <row r="404" spans="1:8" hidden="1" x14ac:dyDescent="0.25">
      <c r="A404">
        <v>90078</v>
      </c>
      <c r="B404" t="s">
        <v>16527</v>
      </c>
      <c r="C404" t="s">
        <v>15134</v>
      </c>
      <c r="D404" t="s">
        <v>15135</v>
      </c>
      <c r="E404">
        <v>73568000</v>
      </c>
      <c r="F404" t="s">
        <v>15138</v>
      </c>
      <c r="G404" t="b">
        <v>1</v>
      </c>
      <c r="H404" t="s">
        <v>16528</v>
      </c>
    </row>
    <row r="405" spans="1:8" hidden="1" x14ac:dyDescent="0.25">
      <c r="A405">
        <v>80839</v>
      </c>
      <c r="B405" t="s">
        <v>16226</v>
      </c>
      <c r="C405" t="s">
        <v>15134</v>
      </c>
      <c r="D405" t="s">
        <v>15135</v>
      </c>
      <c r="E405">
        <v>103120000</v>
      </c>
      <c r="F405" t="s">
        <v>15138</v>
      </c>
      <c r="G405" t="b">
        <v>1</v>
      </c>
      <c r="H405" t="s">
        <v>16227</v>
      </c>
    </row>
    <row r="406" spans="1:8" hidden="1" x14ac:dyDescent="0.25">
      <c r="A406">
        <v>80839</v>
      </c>
      <c r="B406" t="s">
        <v>16226</v>
      </c>
      <c r="C406" t="s">
        <v>15134</v>
      </c>
      <c r="D406" t="s">
        <v>15135</v>
      </c>
      <c r="E406">
        <v>103120000</v>
      </c>
      <c r="F406" t="s">
        <v>15136</v>
      </c>
      <c r="G406" t="b">
        <v>1</v>
      </c>
      <c r="H406" t="s">
        <v>16227</v>
      </c>
    </row>
    <row r="407" spans="1:8" hidden="1" x14ac:dyDescent="0.25">
      <c r="A407">
        <v>8756</v>
      </c>
      <c r="B407" t="s">
        <v>15252</v>
      </c>
      <c r="C407" t="s">
        <v>15134</v>
      </c>
      <c r="D407" t="s">
        <v>15135</v>
      </c>
      <c r="E407">
        <v>72402002</v>
      </c>
    </row>
    <row r="408" spans="1:8" hidden="1" x14ac:dyDescent="0.25">
      <c r="A408">
        <v>90145</v>
      </c>
      <c r="B408" t="s">
        <v>16565</v>
      </c>
      <c r="C408" t="s">
        <v>15134</v>
      </c>
      <c r="D408" t="s">
        <v>15135</v>
      </c>
      <c r="E408">
        <v>73576001</v>
      </c>
      <c r="F408" t="s">
        <v>15145</v>
      </c>
      <c r="G408" t="b">
        <v>1</v>
      </c>
      <c r="H408" t="s">
        <v>16566</v>
      </c>
    </row>
    <row r="409" spans="1:8" hidden="1" x14ac:dyDescent="0.25">
      <c r="A409">
        <v>90121</v>
      </c>
      <c r="B409" t="s">
        <v>16550</v>
      </c>
      <c r="C409" t="s">
        <v>15134</v>
      </c>
      <c r="D409" t="s">
        <v>15135</v>
      </c>
      <c r="E409">
        <v>73574001</v>
      </c>
      <c r="F409" t="s">
        <v>15145</v>
      </c>
      <c r="G409" t="b">
        <v>0</v>
      </c>
      <c r="H409" t="s">
        <v>16551</v>
      </c>
    </row>
    <row r="410" spans="1:8" hidden="1" x14ac:dyDescent="0.25">
      <c r="A410">
        <v>90102</v>
      </c>
      <c r="B410" t="s">
        <v>16544</v>
      </c>
      <c r="C410" t="s">
        <v>15134</v>
      </c>
      <c r="D410" t="s">
        <v>15135</v>
      </c>
      <c r="E410">
        <v>73573001</v>
      </c>
      <c r="F410" t="s">
        <v>15145</v>
      </c>
      <c r="G410" t="b">
        <v>1</v>
      </c>
      <c r="H410" t="s">
        <v>16545</v>
      </c>
    </row>
    <row r="411" spans="1:8" hidden="1" x14ac:dyDescent="0.25">
      <c r="A411">
        <v>9879</v>
      </c>
      <c r="B411" t="s">
        <v>15712</v>
      </c>
      <c r="C411" t="s">
        <v>15134</v>
      </c>
      <c r="D411" t="s">
        <v>15135</v>
      </c>
      <c r="E411">
        <v>103010001</v>
      </c>
    </row>
    <row r="412" spans="1:8" hidden="1" x14ac:dyDescent="0.25">
      <c r="A412">
        <v>9953</v>
      </c>
      <c r="B412" t="s">
        <v>15747</v>
      </c>
      <c r="C412" t="s">
        <v>15134</v>
      </c>
      <c r="D412" t="s">
        <v>15135</v>
      </c>
      <c r="E412">
        <v>103068001</v>
      </c>
    </row>
    <row r="413" spans="1:8" hidden="1" x14ac:dyDescent="0.25">
      <c r="A413">
        <v>80209</v>
      </c>
      <c r="B413" t="s">
        <v>16041</v>
      </c>
      <c r="C413" t="s">
        <v>15134</v>
      </c>
      <c r="D413" t="s">
        <v>15135</v>
      </c>
      <c r="E413">
        <v>102255001</v>
      </c>
    </row>
    <row r="414" spans="1:8" hidden="1" x14ac:dyDescent="0.25">
      <c r="A414">
        <v>80210</v>
      </c>
      <c r="B414" t="s">
        <v>16042</v>
      </c>
      <c r="C414" t="s">
        <v>15134</v>
      </c>
      <c r="D414" t="s">
        <v>15135</v>
      </c>
      <c r="E414">
        <v>102255003</v>
      </c>
    </row>
    <row r="415" spans="1:8" hidden="1" x14ac:dyDescent="0.25">
      <c r="A415">
        <v>80211</v>
      </c>
      <c r="B415" t="s">
        <v>16043</v>
      </c>
      <c r="C415" t="s">
        <v>15134</v>
      </c>
      <c r="D415" t="s">
        <v>15135</v>
      </c>
      <c r="E415">
        <v>102255004</v>
      </c>
    </row>
    <row r="416" spans="1:8" hidden="1" x14ac:dyDescent="0.25">
      <c r="A416">
        <v>80212</v>
      </c>
      <c r="B416" t="s">
        <v>16044</v>
      </c>
      <c r="C416" t="s">
        <v>15134</v>
      </c>
      <c r="D416" t="s">
        <v>15135</v>
      </c>
      <c r="E416">
        <v>102255006</v>
      </c>
    </row>
    <row r="417" spans="1:8" hidden="1" x14ac:dyDescent="0.25">
      <c r="A417">
        <v>91951</v>
      </c>
      <c r="B417" t="s">
        <v>16835</v>
      </c>
      <c r="C417" t="s">
        <v>15134</v>
      </c>
      <c r="D417" t="s">
        <v>15135</v>
      </c>
      <c r="E417">
        <v>102255009</v>
      </c>
    </row>
    <row r="418" spans="1:8" hidden="1" x14ac:dyDescent="0.25">
      <c r="A418">
        <v>9234</v>
      </c>
      <c r="B418" t="s">
        <v>15425</v>
      </c>
      <c r="C418" t="s">
        <v>15134</v>
      </c>
      <c r="D418" t="s">
        <v>15135</v>
      </c>
      <c r="E418">
        <v>73167001</v>
      </c>
    </row>
    <row r="419" spans="1:8" hidden="1" x14ac:dyDescent="0.25">
      <c r="A419">
        <v>80213</v>
      </c>
      <c r="B419" t="s">
        <v>16045</v>
      </c>
      <c r="C419" t="s">
        <v>15134</v>
      </c>
      <c r="D419" t="s">
        <v>15135</v>
      </c>
      <c r="E419">
        <v>102255007</v>
      </c>
    </row>
    <row r="420" spans="1:8" hidden="1" x14ac:dyDescent="0.25">
      <c r="A420">
        <v>84657</v>
      </c>
      <c r="B420" t="s">
        <v>16290</v>
      </c>
      <c r="C420" t="s">
        <v>15134</v>
      </c>
      <c r="D420" t="s">
        <v>15135</v>
      </c>
      <c r="E420">
        <v>102255008</v>
      </c>
      <c r="F420" t="s">
        <v>15145</v>
      </c>
      <c r="G420" t="b">
        <v>1</v>
      </c>
      <c r="H420" t="s">
        <v>16291</v>
      </c>
    </row>
    <row r="421" spans="1:8" hidden="1" x14ac:dyDescent="0.25">
      <c r="A421">
        <v>91852</v>
      </c>
      <c r="B421" t="s">
        <v>16804</v>
      </c>
      <c r="C421" t="s">
        <v>15134</v>
      </c>
      <c r="D421" t="s">
        <v>15135</v>
      </c>
      <c r="E421">
        <v>102255044</v>
      </c>
      <c r="F421" t="s">
        <v>15145</v>
      </c>
      <c r="G421" t="b">
        <v>1</v>
      </c>
      <c r="H421" t="s">
        <v>16805</v>
      </c>
    </row>
    <row r="422" spans="1:8" hidden="1" x14ac:dyDescent="0.25">
      <c r="A422">
        <v>9804</v>
      </c>
      <c r="B422" t="s">
        <v>15692</v>
      </c>
      <c r="C422" t="s">
        <v>15134</v>
      </c>
      <c r="D422" t="s">
        <v>15135</v>
      </c>
      <c r="E422">
        <v>102255043</v>
      </c>
      <c r="F422" t="s">
        <v>15145</v>
      </c>
      <c r="G422" t="b">
        <v>0</v>
      </c>
      <c r="H422" t="s">
        <v>15693</v>
      </c>
    </row>
    <row r="423" spans="1:8" hidden="1" x14ac:dyDescent="0.25">
      <c r="A423">
        <v>92609</v>
      </c>
      <c r="B423" t="s">
        <v>16870</v>
      </c>
      <c r="C423" t="s">
        <v>15134</v>
      </c>
      <c r="D423" t="s">
        <v>15135</v>
      </c>
      <c r="E423">
        <v>102255045</v>
      </c>
    </row>
    <row r="424" spans="1:8" hidden="1" x14ac:dyDescent="0.25">
      <c r="A424">
        <v>10025</v>
      </c>
      <c r="B424" t="s">
        <v>15785</v>
      </c>
      <c r="C424" t="s">
        <v>15134</v>
      </c>
      <c r="D424" t="s">
        <v>15135</v>
      </c>
      <c r="E424">
        <v>103097001</v>
      </c>
    </row>
    <row r="425" spans="1:8" hidden="1" x14ac:dyDescent="0.25">
      <c r="A425">
        <v>78735</v>
      </c>
      <c r="B425" t="s">
        <v>15876</v>
      </c>
      <c r="C425" t="s">
        <v>15134</v>
      </c>
      <c r="D425" t="s">
        <v>15135</v>
      </c>
      <c r="E425">
        <v>73214003</v>
      </c>
    </row>
    <row r="426" spans="1:8" hidden="1" x14ac:dyDescent="0.25">
      <c r="A426">
        <v>9335</v>
      </c>
      <c r="B426" t="s">
        <v>15477</v>
      </c>
      <c r="C426" t="s">
        <v>15134</v>
      </c>
      <c r="D426" t="s">
        <v>15135</v>
      </c>
      <c r="E426">
        <v>73214001</v>
      </c>
    </row>
    <row r="427" spans="1:8" hidden="1" x14ac:dyDescent="0.25">
      <c r="A427">
        <v>9336</v>
      </c>
      <c r="B427" t="s">
        <v>15478</v>
      </c>
      <c r="C427" t="s">
        <v>15134</v>
      </c>
      <c r="D427" t="s">
        <v>15135</v>
      </c>
      <c r="E427">
        <v>73214002</v>
      </c>
    </row>
    <row r="428" spans="1:8" hidden="1" x14ac:dyDescent="0.25">
      <c r="A428">
        <v>9067</v>
      </c>
      <c r="B428" t="s">
        <v>15344</v>
      </c>
      <c r="C428" t="s">
        <v>15134</v>
      </c>
      <c r="D428" t="s">
        <v>15135</v>
      </c>
      <c r="E428">
        <v>73054001</v>
      </c>
    </row>
    <row r="429" spans="1:8" hidden="1" x14ac:dyDescent="0.25">
      <c r="A429">
        <v>9389</v>
      </c>
      <c r="B429" t="s">
        <v>15504</v>
      </c>
      <c r="C429" t="s">
        <v>15134</v>
      </c>
      <c r="D429" t="s">
        <v>15135</v>
      </c>
      <c r="E429">
        <v>73240001</v>
      </c>
    </row>
    <row r="430" spans="1:8" hidden="1" x14ac:dyDescent="0.25">
      <c r="A430">
        <v>9055</v>
      </c>
      <c r="B430" t="s">
        <v>15340</v>
      </c>
      <c r="C430" t="s">
        <v>15134</v>
      </c>
      <c r="D430" t="s">
        <v>15135</v>
      </c>
      <c r="E430">
        <v>73047001</v>
      </c>
    </row>
    <row r="431" spans="1:8" hidden="1" x14ac:dyDescent="0.25">
      <c r="A431">
        <v>9065</v>
      </c>
      <c r="B431" t="s">
        <v>15340</v>
      </c>
      <c r="C431" t="s">
        <v>15134</v>
      </c>
      <c r="D431" t="s">
        <v>15135</v>
      </c>
      <c r="E431">
        <v>73053001</v>
      </c>
    </row>
    <row r="432" spans="1:8" hidden="1" x14ac:dyDescent="0.25">
      <c r="A432">
        <v>9071</v>
      </c>
      <c r="B432" t="s">
        <v>15340</v>
      </c>
      <c r="C432" t="s">
        <v>15134</v>
      </c>
      <c r="D432" t="s">
        <v>15135</v>
      </c>
      <c r="E432">
        <v>73056001</v>
      </c>
    </row>
    <row r="433" spans="1:8" hidden="1" x14ac:dyDescent="0.25">
      <c r="A433">
        <v>9073</v>
      </c>
      <c r="B433" t="s">
        <v>15340</v>
      </c>
      <c r="C433" t="s">
        <v>15134</v>
      </c>
      <c r="D433" t="s">
        <v>15135</v>
      </c>
      <c r="E433">
        <v>73058001</v>
      </c>
    </row>
    <row r="434" spans="1:8" hidden="1" x14ac:dyDescent="0.25">
      <c r="A434">
        <v>9075</v>
      </c>
      <c r="B434" t="s">
        <v>15340</v>
      </c>
      <c r="C434" t="s">
        <v>15134</v>
      </c>
      <c r="D434" t="s">
        <v>15135</v>
      </c>
      <c r="E434">
        <v>73059001</v>
      </c>
    </row>
    <row r="435" spans="1:8" hidden="1" x14ac:dyDescent="0.25">
      <c r="A435">
        <v>9079</v>
      </c>
      <c r="B435" t="s">
        <v>15340</v>
      </c>
      <c r="C435" t="s">
        <v>15134</v>
      </c>
      <c r="D435" t="s">
        <v>15135</v>
      </c>
      <c r="E435">
        <v>73061001</v>
      </c>
    </row>
    <row r="436" spans="1:8" hidden="1" x14ac:dyDescent="0.25">
      <c r="A436">
        <v>9387</v>
      </c>
      <c r="B436" t="s">
        <v>15340</v>
      </c>
      <c r="C436" t="s">
        <v>15134</v>
      </c>
      <c r="D436" t="s">
        <v>15135</v>
      </c>
      <c r="E436">
        <v>73239001</v>
      </c>
    </row>
    <row r="437" spans="1:8" hidden="1" x14ac:dyDescent="0.25">
      <c r="A437">
        <v>9077</v>
      </c>
      <c r="B437" t="s">
        <v>15346</v>
      </c>
      <c r="C437" t="s">
        <v>15134</v>
      </c>
      <c r="D437" t="s">
        <v>15135</v>
      </c>
      <c r="E437">
        <v>73060001</v>
      </c>
    </row>
    <row r="438" spans="1:8" hidden="1" x14ac:dyDescent="0.25">
      <c r="A438">
        <v>9460</v>
      </c>
      <c r="B438" t="s">
        <v>15536</v>
      </c>
      <c r="C438" t="s">
        <v>15134</v>
      </c>
      <c r="D438" t="s">
        <v>15135</v>
      </c>
      <c r="E438">
        <v>73272000</v>
      </c>
      <c r="F438" t="s">
        <v>15138</v>
      </c>
      <c r="G438" t="b">
        <v>1</v>
      </c>
      <c r="H438" t="s">
        <v>15537</v>
      </c>
    </row>
    <row r="439" spans="1:8" hidden="1" x14ac:dyDescent="0.25">
      <c r="A439">
        <v>9460</v>
      </c>
      <c r="B439" t="s">
        <v>15536</v>
      </c>
      <c r="C439" t="s">
        <v>15134</v>
      </c>
      <c r="D439" t="s">
        <v>15135</v>
      </c>
      <c r="E439">
        <v>73272000</v>
      </c>
      <c r="F439" t="s">
        <v>15136</v>
      </c>
      <c r="G439" t="b">
        <v>1</v>
      </c>
      <c r="H439" t="s">
        <v>15538</v>
      </c>
    </row>
    <row r="440" spans="1:8" hidden="1" x14ac:dyDescent="0.25">
      <c r="A440">
        <v>10360</v>
      </c>
      <c r="B440" t="s">
        <v>15850</v>
      </c>
      <c r="C440" t="s">
        <v>15134</v>
      </c>
      <c r="D440" t="s">
        <v>15135</v>
      </c>
      <c r="E440">
        <v>73272017</v>
      </c>
    </row>
    <row r="441" spans="1:8" hidden="1" x14ac:dyDescent="0.25">
      <c r="A441">
        <v>9465</v>
      </c>
      <c r="B441" t="s">
        <v>15544</v>
      </c>
      <c r="C441" t="s">
        <v>15134</v>
      </c>
      <c r="D441" t="s">
        <v>15135</v>
      </c>
      <c r="E441">
        <v>73272005</v>
      </c>
    </row>
    <row r="442" spans="1:8" hidden="1" x14ac:dyDescent="0.25">
      <c r="A442">
        <v>9466</v>
      </c>
      <c r="B442" t="s">
        <v>15545</v>
      </c>
      <c r="C442" t="s">
        <v>15134</v>
      </c>
      <c r="D442" t="s">
        <v>15135</v>
      </c>
      <c r="E442">
        <v>73272006</v>
      </c>
    </row>
    <row r="443" spans="1:8" hidden="1" x14ac:dyDescent="0.25">
      <c r="A443">
        <v>80674</v>
      </c>
      <c r="B443" t="s">
        <v>16176</v>
      </c>
      <c r="C443" t="s">
        <v>15134</v>
      </c>
      <c r="D443" t="s">
        <v>15135</v>
      </c>
      <c r="E443">
        <v>73272022</v>
      </c>
      <c r="F443" t="s">
        <v>15138</v>
      </c>
      <c r="G443" t="b">
        <v>1</v>
      </c>
      <c r="H443" t="s">
        <v>16177</v>
      </c>
    </row>
    <row r="444" spans="1:8" hidden="1" x14ac:dyDescent="0.25">
      <c r="A444">
        <v>80674</v>
      </c>
      <c r="B444" t="s">
        <v>16176</v>
      </c>
      <c r="C444" t="s">
        <v>15134</v>
      </c>
      <c r="D444" t="s">
        <v>15135</v>
      </c>
      <c r="E444">
        <v>73272022</v>
      </c>
      <c r="F444" t="s">
        <v>15145</v>
      </c>
      <c r="G444" t="b">
        <v>1</v>
      </c>
      <c r="H444" t="s">
        <v>16177</v>
      </c>
    </row>
    <row r="445" spans="1:8" hidden="1" x14ac:dyDescent="0.25">
      <c r="A445">
        <v>80673</v>
      </c>
      <c r="B445" t="s">
        <v>16174</v>
      </c>
      <c r="C445" t="s">
        <v>15134</v>
      </c>
      <c r="D445" t="s">
        <v>15135</v>
      </c>
      <c r="E445">
        <v>73272014</v>
      </c>
      <c r="F445" t="s">
        <v>15138</v>
      </c>
      <c r="G445" t="b">
        <v>1</v>
      </c>
      <c r="H445" t="s">
        <v>16175</v>
      </c>
    </row>
    <row r="446" spans="1:8" hidden="1" x14ac:dyDescent="0.25">
      <c r="A446">
        <v>80673</v>
      </c>
      <c r="B446" t="s">
        <v>16174</v>
      </c>
      <c r="C446" t="s">
        <v>15134</v>
      </c>
      <c r="D446" t="s">
        <v>15135</v>
      </c>
      <c r="E446">
        <v>73272014</v>
      </c>
      <c r="F446" t="s">
        <v>15145</v>
      </c>
      <c r="G446" t="b">
        <v>1</v>
      </c>
      <c r="H446" t="s">
        <v>16175</v>
      </c>
    </row>
    <row r="447" spans="1:8" hidden="1" x14ac:dyDescent="0.25">
      <c r="A447">
        <v>9463</v>
      </c>
      <c r="B447" t="s">
        <v>15542</v>
      </c>
      <c r="C447" t="s">
        <v>15134</v>
      </c>
      <c r="D447" t="s">
        <v>15135</v>
      </c>
      <c r="E447">
        <v>73272003</v>
      </c>
    </row>
    <row r="448" spans="1:8" hidden="1" x14ac:dyDescent="0.25">
      <c r="A448">
        <v>9464</v>
      </c>
      <c r="B448" t="s">
        <v>15543</v>
      </c>
      <c r="C448" t="s">
        <v>15134</v>
      </c>
      <c r="D448" t="s">
        <v>15135</v>
      </c>
      <c r="E448">
        <v>73272004</v>
      </c>
    </row>
    <row r="449" spans="1:8" hidden="1" x14ac:dyDescent="0.25">
      <c r="A449">
        <v>9471</v>
      </c>
      <c r="B449" t="s">
        <v>15551</v>
      </c>
      <c r="C449" t="s">
        <v>15134</v>
      </c>
      <c r="D449" t="s">
        <v>15135</v>
      </c>
      <c r="E449">
        <v>73272011</v>
      </c>
    </row>
    <row r="450" spans="1:8" hidden="1" x14ac:dyDescent="0.25">
      <c r="A450">
        <v>80747</v>
      </c>
      <c r="B450" t="s">
        <v>16208</v>
      </c>
      <c r="C450" t="s">
        <v>15134</v>
      </c>
      <c r="D450" t="s">
        <v>15135</v>
      </c>
      <c r="E450">
        <v>73272026</v>
      </c>
      <c r="F450" t="s">
        <v>15145</v>
      </c>
      <c r="G450" t="b">
        <v>0</v>
      </c>
      <c r="H450" t="s">
        <v>16209</v>
      </c>
    </row>
    <row r="451" spans="1:8" hidden="1" x14ac:dyDescent="0.25">
      <c r="A451">
        <v>9467</v>
      </c>
      <c r="B451" t="s">
        <v>15546</v>
      </c>
      <c r="C451" t="s">
        <v>15134</v>
      </c>
      <c r="D451" t="s">
        <v>15135</v>
      </c>
      <c r="E451">
        <v>73272007</v>
      </c>
    </row>
    <row r="452" spans="1:8" hidden="1" x14ac:dyDescent="0.25">
      <c r="A452">
        <v>9462</v>
      </c>
      <c r="B452" t="s">
        <v>15541</v>
      </c>
      <c r="C452" t="s">
        <v>15134</v>
      </c>
      <c r="D452" t="s">
        <v>15135</v>
      </c>
      <c r="E452">
        <v>73272002</v>
      </c>
    </row>
    <row r="453" spans="1:8" hidden="1" x14ac:dyDescent="0.25">
      <c r="A453">
        <v>9476</v>
      </c>
      <c r="B453" t="s">
        <v>15559</v>
      </c>
      <c r="C453" t="s">
        <v>15134</v>
      </c>
      <c r="D453" t="s">
        <v>15135</v>
      </c>
      <c r="E453">
        <v>73272020</v>
      </c>
    </row>
    <row r="454" spans="1:8" hidden="1" x14ac:dyDescent="0.25">
      <c r="A454">
        <v>80687</v>
      </c>
      <c r="B454" t="s">
        <v>16187</v>
      </c>
      <c r="C454" t="s">
        <v>15134</v>
      </c>
      <c r="D454" t="s">
        <v>15135</v>
      </c>
      <c r="E454">
        <v>73272024</v>
      </c>
      <c r="F454" t="s">
        <v>15145</v>
      </c>
      <c r="G454" t="b">
        <v>1</v>
      </c>
      <c r="H454" t="s">
        <v>16188</v>
      </c>
    </row>
    <row r="455" spans="1:8" hidden="1" x14ac:dyDescent="0.25">
      <c r="A455">
        <v>80687</v>
      </c>
      <c r="B455" t="s">
        <v>16187</v>
      </c>
      <c r="C455" t="s">
        <v>15134</v>
      </c>
      <c r="D455" t="s">
        <v>15135</v>
      </c>
      <c r="E455">
        <v>73272024</v>
      </c>
      <c r="F455" t="s">
        <v>15138</v>
      </c>
      <c r="G455" t="b">
        <v>1</v>
      </c>
      <c r="H455" t="s">
        <v>16188</v>
      </c>
    </row>
    <row r="456" spans="1:8" hidden="1" x14ac:dyDescent="0.25">
      <c r="A456">
        <v>9472</v>
      </c>
      <c r="B456" t="s">
        <v>15552</v>
      </c>
      <c r="C456" t="s">
        <v>15134</v>
      </c>
      <c r="D456" t="s">
        <v>15135</v>
      </c>
      <c r="E456">
        <v>73272015</v>
      </c>
    </row>
    <row r="457" spans="1:8" hidden="1" x14ac:dyDescent="0.25">
      <c r="A457">
        <v>80688</v>
      </c>
      <c r="B457" t="s">
        <v>16189</v>
      </c>
      <c r="C457" t="s">
        <v>15134</v>
      </c>
      <c r="D457" t="s">
        <v>15135</v>
      </c>
      <c r="E457">
        <v>73272025</v>
      </c>
      <c r="F457" t="s">
        <v>15145</v>
      </c>
      <c r="G457" t="b">
        <v>1</v>
      </c>
      <c r="H457" t="s">
        <v>16190</v>
      </c>
    </row>
    <row r="458" spans="1:8" hidden="1" x14ac:dyDescent="0.25">
      <c r="A458">
        <v>80688</v>
      </c>
      <c r="B458" t="s">
        <v>16189</v>
      </c>
      <c r="C458" t="s">
        <v>15134</v>
      </c>
      <c r="D458" t="s">
        <v>15135</v>
      </c>
      <c r="E458">
        <v>73272025</v>
      </c>
      <c r="F458" t="s">
        <v>15138</v>
      </c>
      <c r="G458" t="b">
        <v>1</v>
      </c>
      <c r="H458" t="s">
        <v>16190</v>
      </c>
    </row>
    <row r="459" spans="1:8" hidden="1" x14ac:dyDescent="0.25">
      <c r="A459">
        <v>365051</v>
      </c>
      <c r="B459" t="s">
        <v>16991</v>
      </c>
      <c r="C459" t="s">
        <v>15134</v>
      </c>
      <c r="D459" t="s">
        <v>15135</v>
      </c>
      <c r="E459">
        <v>72454000</v>
      </c>
      <c r="F459" t="s">
        <v>15136</v>
      </c>
      <c r="G459" t="b">
        <v>1</v>
      </c>
      <c r="H459" t="s">
        <v>16992</v>
      </c>
    </row>
    <row r="460" spans="1:8" hidden="1" x14ac:dyDescent="0.25">
      <c r="A460">
        <v>79337</v>
      </c>
      <c r="B460" t="s">
        <v>15933</v>
      </c>
      <c r="C460" t="s">
        <v>15134</v>
      </c>
      <c r="D460" t="s">
        <v>15135</v>
      </c>
      <c r="E460">
        <v>72425007</v>
      </c>
      <c r="F460" t="s">
        <v>15138</v>
      </c>
      <c r="G460" t="b">
        <v>0</v>
      </c>
      <c r="H460" t="s">
        <v>15934</v>
      </c>
    </row>
    <row r="461" spans="1:8" hidden="1" x14ac:dyDescent="0.25">
      <c r="A461">
        <v>79337</v>
      </c>
      <c r="B461" t="s">
        <v>15933</v>
      </c>
      <c r="C461" t="s">
        <v>15134</v>
      </c>
      <c r="D461" t="s">
        <v>15135</v>
      </c>
      <c r="E461">
        <v>72425007</v>
      </c>
      <c r="F461" t="s">
        <v>15145</v>
      </c>
      <c r="G461" t="b">
        <v>1</v>
      </c>
      <c r="H461" t="s">
        <v>15935</v>
      </c>
    </row>
    <row r="462" spans="1:8" hidden="1" x14ac:dyDescent="0.25">
      <c r="A462">
        <v>8727</v>
      </c>
      <c r="B462" t="s">
        <v>15228</v>
      </c>
      <c r="C462" t="s">
        <v>15134</v>
      </c>
      <c r="D462" t="s">
        <v>15135</v>
      </c>
      <c r="E462">
        <v>72289001</v>
      </c>
    </row>
    <row r="463" spans="1:8" hidden="1" x14ac:dyDescent="0.25">
      <c r="A463">
        <v>90369</v>
      </c>
      <c r="B463" t="s">
        <v>16591</v>
      </c>
      <c r="C463" t="s">
        <v>15134</v>
      </c>
      <c r="D463" t="s">
        <v>15135</v>
      </c>
      <c r="E463">
        <v>72441000</v>
      </c>
      <c r="F463" t="s">
        <v>15145</v>
      </c>
      <c r="G463" t="b">
        <v>1</v>
      </c>
      <c r="H463" t="s">
        <v>16592</v>
      </c>
    </row>
    <row r="464" spans="1:8" hidden="1" x14ac:dyDescent="0.25">
      <c r="A464">
        <v>9660</v>
      </c>
      <c r="B464" t="s">
        <v>15623</v>
      </c>
      <c r="C464" t="s">
        <v>15134</v>
      </c>
      <c r="D464" t="s">
        <v>15135</v>
      </c>
      <c r="E464">
        <v>92204000</v>
      </c>
    </row>
    <row r="465" spans="1:8" hidden="1" x14ac:dyDescent="0.25">
      <c r="A465">
        <v>90144</v>
      </c>
      <c r="B465" t="s">
        <v>16564</v>
      </c>
      <c r="C465" t="s">
        <v>15134</v>
      </c>
      <c r="D465" t="s">
        <v>15135</v>
      </c>
      <c r="E465">
        <v>73576000</v>
      </c>
      <c r="F465" t="s">
        <v>15136</v>
      </c>
      <c r="G465" t="b">
        <v>1</v>
      </c>
      <c r="H465" t="s">
        <v>16543</v>
      </c>
    </row>
    <row r="466" spans="1:8" hidden="1" x14ac:dyDescent="0.25">
      <c r="A466">
        <v>90144</v>
      </c>
      <c r="B466" t="s">
        <v>16564</v>
      </c>
      <c r="C466" t="s">
        <v>15134</v>
      </c>
      <c r="D466" t="s">
        <v>15135</v>
      </c>
      <c r="E466">
        <v>73576000</v>
      </c>
      <c r="F466" t="s">
        <v>15138</v>
      </c>
      <c r="G466" t="b">
        <v>1</v>
      </c>
      <c r="H466" t="s">
        <v>16543</v>
      </c>
    </row>
    <row r="467" spans="1:8" hidden="1" x14ac:dyDescent="0.25">
      <c r="A467">
        <v>90120</v>
      </c>
      <c r="B467" t="s">
        <v>16549</v>
      </c>
      <c r="C467" t="s">
        <v>15134</v>
      </c>
      <c r="D467" t="s">
        <v>15135</v>
      </c>
      <c r="E467">
        <v>73574000</v>
      </c>
      <c r="F467" t="s">
        <v>15136</v>
      </c>
      <c r="G467" t="b">
        <v>1</v>
      </c>
      <c r="H467" t="s">
        <v>16543</v>
      </c>
    </row>
    <row r="468" spans="1:8" hidden="1" x14ac:dyDescent="0.25">
      <c r="A468">
        <v>90120</v>
      </c>
      <c r="B468" t="s">
        <v>16549</v>
      </c>
      <c r="C468" t="s">
        <v>15134</v>
      </c>
      <c r="D468" t="s">
        <v>15135</v>
      </c>
      <c r="E468">
        <v>73574000</v>
      </c>
      <c r="F468" t="s">
        <v>15138</v>
      </c>
      <c r="G468" t="b">
        <v>1</v>
      </c>
      <c r="H468" t="s">
        <v>16543</v>
      </c>
    </row>
    <row r="469" spans="1:8" hidden="1" x14ac:dyDescent="0.25">
      <c r="A469">
        <v>90101</v>
      </c>
      <c r="B469" t="s">
        <v>16542</v>
      </c>
      <c r="C469" t="s">
        <v>15134</v>
      </c>
      <c r="D469" t="s">
        <v>15135</v>
      </c>
      <c r="E469">
        <v>73573000</v>
      </c>
      <c r="F469" t="s">
        <v>15136</v>
      </c>
      <c r="G469" t="b">
        <v>1</v>
      </c>
      <c r="H469" t="s">
        <v>16543</v>
      </c>
    </row>
    <row r="470" spans="1:8" hidden="1" x14ac:dyDescent="0.25">
      <c r="A470">
        <v>90101</v>
      </c>
      <c r="B470" t="s">
        <v>16542</v>
      </c>
      <c r="C470" t="s">
        <v>15134</v>
      </c>
      <c r="D470" t="s">
        <v>15135</v>
      </c>
      <c r="E470">
        <v>73573000</v>
      </c>
      <c r="F470" t="s">
        <v>15138</v>
      </c>
      <c r="G470" t="b">
        <v>1</v>
      </c>
      <c r="H470" t="s">
        <v>16543</v>
      </c>
    </row>
    <row r="471" spans="1:8" hidden="1" x14ac:dyDescent="0.25">
      <c r="A471">
        <v>9776</v>
      </c>
      <c r="B471" t="s">
        <v>15669</v>
      </c>
      <c r="C471" t="s">
        <v>15134</v>
      </c>
      <c r="D471" t="s">
        <v>15135</v>
      </c>
      <c r="E471">
        <v>102247000</v>
      </c>
    </row>
    <row r="472" spans="1:8" hidden="1" x14ac:dyDescent="0.25">
      <c r="A472">
        <v>90394</v>
      </c>
      <c r="B472" t="s">
        <v>16605</v>
      </c>
      <c r="C472" t="s">
        <v>15134</v>
      </c>
      <c r="D472" t="s">
        <v>15135</v>
      </c>
      <c r="E472">
        <v>72401011</v>
      </c>
      <c r="F472" t="s">
        <v>15136</v>
      </c>
      <c r="G472" t="b">
        <v>1</v>
      </c>
      <c r="H472" t="s">
        <v>15241</v>
      </c>
    </row>
    <row r="473" spans="1:8" hidden="1" x14ac:dyDescent="0.25">
      <c r="A473">
        <v>90394</v>
      </c>
      <c r="B473" t="s">
        <v>16605</v>
      </c>
      <c r="C473" t="s">
        <v>15134</v>
      </c>
      <c r="D473" t="s">
        <v>15135</v>
      </c>
      <c r="E473">
        <v>72401011</v>
      </c>
      <c r="F473" t="s">
        <v>15145</v>
      </c>
      <c r="G473" t="b">
        <v>1</v>
      </c>
      <c r="H473" t="s">
        <v>16606</v>
      </c>
    </row>
    <row r="474" spans="1:8" hidden="1" x14ac:dyDescent="0.25">
      <c r="A474">
        <v>90394</v>
      </c>
      <c r="B474" t="s">
        <v>16605</v>
      </c>
      <c r="C474" t="s">
        <v>15134</v>
      </c>
      <c r="D474" t="s">
        <v>15135</v>
      </c>
      <c r="E474">
        <v>72401011</v>
      </c>
      <c r="F474" t="s">
        <v>15138</v>
      </c>
      <c r="G474" t="b">
        <v>1</v>
      </c>
      <c r="H474" t="s">
        <v>16606</v>
      </c>
    </row>
    <row r="475" spans="1:8" hidden="1" x14ac:dyDescent="0.25">
      <c r="A475">
        <v>10185</v>
      </c>
      <c r="B475" t="s">
        <v>15834</v>
      </c>
      <c r="C475" t="s">
        <v>15134</v>
      </c>
      <c r="D475" t="s">
        <v>15135</v>
      </c>
      <c r="E475">
        <v>142503000</v>
      </c>
      <c r="F475" t="s">
        <v>15138</v>
      </c>
      <c r="G475" t="b">
        <v>0</v>
      </c>
      <c r="H475" t="s">
        <v>15835</v>
      </c>
    </row>
    <row r="476" spans="1:8" hidden="1" x14ac:dyDescent="0.25">
      <c r="A476">
        <v>10185</v>
      </c>
      <c r="B476" t="s">
        <v>15834</v>
      </c>
      <c r="C476" t="s">
        <v>15134</v>
      </c>
      <c r="D476" t="s">
        <v>15135</v>
      </c>
      <c r="E476">
        <v>142503000</v>
      </c>
      <c r="F476" t="s">
        <v>15145</v>
      </c>
      <c r="G476" t="b">
        <v>0</v>
      </c>
      <c r="H476" t="s">
        <v>15836</v>
      </c>
    </row>
    <row r="477" spans="1:8" hidden="1" x14ac:dyDescent="0.25">
      <c r="A477">
        <v>84328</v>
      </c>
      <c r="B477" t="s">
        <v>16288</v>
      </c>
      <c r="C477" t="s">
        <v>15134</v>
      </c>
      <c r="D477" t="s">
        <v>15135</v>
      </c>
      <c r="E477">
        <v>112501000</v>
      </c>
      <c r="F477" t="s">
        <v>15138</v>
      </c>
      <c r="G477" t="b">
        <v>0</v>
      </c>
      <c r="H477" t="s">
        <v>16289</v>
      </c>
    </row>
    <row r="478" spans="1:8" hidden="1" x14ac:dyDescent="0.25">
      <c r="A478">
        <v>9777</v>
      </c>
      <c r="B478" t="s">
        <v>15670</v>
      </c>
      <c r="C478" t="s">
        <v>15134</v>
      </c>
      <c r="D478" t="s">
        <v>15135</v>
      </c>
      <c r="E478">
        <v>102247001</v>
      </c>
    </row>
    <row r="479" spans="1:8" hidden="1" x14ac:dyDescent="0.25">
      <c r="A479">
        <v>9663</v>
      </c>
      <c r="B479" t="s">
        <v>15626</v>
      </c>
      <c r="C479" t="s">
        <v>15134</v>
      </c>
      <c r="D479" t="s">
        <v>15135</v>
      </c>
      <c r="E479">
        <v>92227001</v>
      </c>
    </row>
    <row r="480" spans="1:8" hidden="1" x14ac:dyDescent="0.25">
      <c r="A480">
        <v>9783</v>
      </c>
      <c r="B480" t="s">
        <v>15675</v>
      </c>
      <c r="C480" t="s">
        <v>15134</v>
      </c>
      <c r="D480" t="s">
        <v>15135</v>
      </c>
      <c r="E480">
        <v>102250001</v>
      </c>
    </row>
    <row r="481" spans="1:8" hidden="1" x14ac:dyDescent="0.25">
      <c r="A481">
        <v>1000092</v>
      </c>
      <c r="B481" t="s">
        <v>17074</v>
      </c>
      <c r="C481" t="s">
        <v>15134</v>
      </c>
      <c r="D481" t="s">
        <v>15135</v>
      </c>
      <c r="E481">
        <v>72468003</v>
      </c>
      <c r="F481" t="s">
        <v>15138</v>
      </c>
      <c r="G481" t="b">
        <v>1</v>
      </c>
      <c r="H481" t="s">
        <v>17075</v>
      </c>
    </row>
    <row r="482" spans="1:8" hidden="1" x14ac:dyDescent="0.25">
      <c r="A482">
        <v>1000092</v>
      </c>
      <c r="B482" t="s">
        <v>17074</v>
      </c>
      <c r="C482" t="s">
        <v>15134</v>
      </c>
      <c r="D482" t="s">
        <v>15135</v>
      </c>
      <c r="E482">
        <v>72468003</v>
      </c>
      <c r="F482" t="s">
        <v>15136</v>
      </c>
      <c r="G482" t="b">
        <v>1</v>
      </c>
      <c r="H482" t="s">
        <v>17069</v>
      </c>
    </row>
    <row r="483" spans="1:8" hidden="1" x14ac:dyDescent="0.25">
      <c r="A483">
        <v>80551</v>
      </c>
      <c r="B483" t="s">
        <v>16121</v>
      </c>
      <c r="C483" t="s">
        <v>15134</v>
      </c>
      <c r="D483" t="s">
        <v>15135</v>
      </c>
      <c r="E483">
        <v>102601038</v>
      </c>
      <c r="F483" t="s">
        <v>15138</v>
      </c>
      <c r="G483" t="b">
        <v>1</v>
      </c>
      <c r="H483" t="s">
        <v>16122</v>
      </c>
    </row>
    <row r="484" spans="1:8" hidden="1" x14ac:dyDescent="0.25">
      <c r="A484">
        <v>80551</v>
      </c>
      <c r="B484" t="s">
        <v>16121</v>
      </c>
      <c r="C484" t="s">
        <v>15134</v>
      </c>
      <c r="D484" t="s">
        <v>15135</v>
      </c>
      <c r="E484">
        <v>102601038</v>
      </c>
      <c r="F484" t="s">
        <v>15136</v>
      </c>
      <c r="G484" t="b">
        <v>1</v>
      </c>
      <c r="H484" t="s">
        <v>16122</v>
      </c>
    </row>
    <row r="485" spans="1:8" hidden="1" x14ac:dyDescent="0.25">
      <c r="A485">
        <v>9784</v>
      </c>
      <c r="B485" t="s">
        <v>15676</v>
      </c>
      <c r="C485" t="s">
        <v>15134</v>
      </c>
      <c r="D485" t="s">
        <v>15135</v>
      </c>
      <c r="E485">
        <v>102250002</v>
      </c>
    </row>
    <row r="486" spans="1:8" hidden="1" x14ac:dyDescent="0.25">
      <c r="A486">
        <v>91297</v>
      </c>
      <c r="B486" t="s">
        <v>16762</v>
      </c>
      <c r="C486" t="s">
        <v>15134</v>
      </c>
      <c r="D486" t="s">
        <v>15135</v>
      </c>
      <c r="E486">
        <v>103225000</v>
      </c>
      <c r="F486" t="s">
        <v>15136</v>
      </c>
      <c r="G486" t="b">
        <v>1</v>
      </c>
      <c r="H486" t="s">
        <v>16763</v>
      </c>
    </row>
    <row r="487" spans="1:8" hidden="1" x14ac:dyDescent="0.25">
      <c r="A487">
        <v>91297</v>
      </c>
      <c r="B487" t="s">
        <v>16762</v>
      </c>
      <c r="C487" t="s">
        <v>15134</v>
      </c>
      <c r="D487" t="s">
        <v>15135</v>
      </c>
      <c r="E487">
        <v>103225000</v>
      </c>
      <c r="F487" t="s">
        <v>15138</v>
      </c>
      <c r="G487" t="b">
        <v>1</v>
      </c>
      <c r="H487" t="s">
        <v>16763</v>
      </c>
    </row>
    <row r="488" spans="1:8" hidden="1" x14ac:dyDescent="0.25">
      <c r="A488">
        <v>88348</v>
      </c>
      <c r="B488" t="s">
        <v>16366</v>
      </c>
      <c r="C488" t="s">
        <v>15134</v>
      </c>
      <c r="D488" t="s">
        <v>15135</v>
      </c>
      <c r="E488">
        <v>12211001</v>
      </c>
      <c r="F488" t="s">
        <v>15145</v>
      </c>
      <c r="G488" t="b">
        <v>0</v>
      </c>
      <c r="H488" t="s">
        <v>16367</v>
      </c>
    </row>
    <row r="489" spans="1:8" hidden="1" x14ac:dyDescent="0.25">
      <c r="A489">
        <v>88348</v>
      </c>
      <c r="B489" t="s">
        <v>16366</v>
      </c>
      <c r="C489" t="s">
        <v>15134</v>
      </c>
      <c r="D489" t="s">
        <v>15135</v>
      </c>
      <c r="E489">
        <v>12211001</v>
      </c>
      <c r="F489" t="s">
        <v>15138</v>
      </c>
      <c r="G489" t="b">
        <v>0</v>
      </c>
      <c r="H489" t="s">
        <v>16365</v>
      </c>
    </row>
    <row r="490" spans="1:8" hidden="1" x14ac:dyDescent="0.25">
      <c r="A490">
        <v>87163</v>
      </c>
      <c r="B490" t="s">
        <v>16336</v>
      </c>
      <c r="C490" t="s">
        <v>15134</v>
      </c>
      <c r="D490" t="s">
        <v>15135</v>
      </c>
      <c r="E490">
        <v>103126001</v>
      </c>
      <c r="F490" t="s">
        <v>15138</v>
      </c>
      <c r="G490" t="b">
        <v>1</v>
      </c>
      <c r="H490" t="s">
        <v>16337</v>
      </c>
    </row>
    <row r="491" spans="1:8" hidden="1" x14ac:dyDescent="0.25">
      <c r="A491">
        <v>87163</v>
      </c>
      <c r="B491" t="s">
        <v>16336</v>
      </c>
      <c r="C491" t="s">
        <v>15134</v>
      </c>
      <c r="D491" t="s">
        <v>15135</v>
      </c>
      <c r="E491">
        <v>103126001</v>
      </c>
      <c r="F491" t="s">
        <v>15145</v>
      </c>
      <c r="G491" t="b">
        <v>1</v>
      </c>
      <c r="H491" t="s">
        <v>16338</v>
      </c>
    </row>
    <row r="492" spans="1:8" hidden="1" x14ac:dyDescent="0.25">
      <c r="A492">
        <v>9626</v>
      </c>
      <c r="B492" t="s">
        <v>15612</v>
      </c>
      <c r="C492" t="s">
        <v>15134</v>
      </c>
      <c r="D492" t="s">
        <v>15135</v>
      </c>
      <c r="E492">
        <v>83004001</v>
      </c>
    </row>
    <row r="493" spans="1:8" hidden="1" x14ac:dyDescent="0.25">
      <c r="A493">
        <v>8702</v>
      </c>
      <c r="B493" t="s">
        <v>15212</v>
      </c>
      <c r="C493" t="s">
        <v>15134</v>
      </c>
      <c r="D493" t="s">
        <v>15135</v>
      </c>
      <c r="E493">
        <v>72265000</v>
      </c>
    </row>
    <row r="494" spans="1:8" hidden="1" x14ac:dyDescent="0.25">
      <c r="A494">
        <v>8703</v>
      </c>
      <c r="B494" t="s">
        <v>15212</v>
      </c>
      <c r="C494" t="s">
        <v>15134</v>
      </c>
      <c r="D494" t="s">
        <v>15135</v>
      </c>
      <c r="E494">
        <v>72265001</v>
      </c>
    </row>
    <row r="495" spans="1:8" hidden="1" x14ac:dyDescent="0.25">
      <c r="A495">
        <v>9970</v>
      </c>
      <c r="B495" t="s">
        <v>15756</v>
      </c>
      <c r="C495" t="s">
        <v>15134</v>
      </c>
      <c r="D495" t="s">
        <v>15135</v>
      </c>
      <c r="E495">
        <v>103077000</v>
      </c>
      <c r="F495" t="s">
        <v>15138</v>
      </c>
      <c r="G495" t="b">
        <v>1</v>
      </c>
      <c r="H495" t="s">
        <v>15757</v>
      </c>
    </row>
    <row r="496" spans="1:8" hidden="1" x14ac:dyDescent="0.25">
      <c r="A496">
        <v>9970</v>
      </c>
      <c r="B496" t="s">
        <v>15756</v>
      </c>
      <c r="C496" t="s">
        <v>15134</v>
      </c>
      <c r="D496" t="s">
        <v>15135</v>
      </c>
      <c r="E496">
        <v>103077000</v>
      </c>
      <c r="F496" t="s">
        <v>15136</v>
      </c>
      <c r="G496" t="b">
        <v>1</v>
      </c>
      <c r="H496" t="s">
        <v>15758</v>
      </c>
    </row>
    <row r="497" spans="1:8" hidden="1" x14ac:dyDescent="0.25">
      <c r="A497">
        <v>9971</v>
      </c>
      <c r="B497" t="s">
        <v>15756</v>
      </c>
      <c r="C497" t="s">
        <v>15134</v>
      </c>
      <c r="D497" t="s">
        <v>15135</v>
      </c>
      <c r="E497">
        <v>103077001</v>
      </c>
    </row>
    <row r="498" spans="1:8" hidden="1" x14ac:dyDescent="0.25">
      <c r="A498">
        <v>80954</v>
      </c>
      <c r="B498" t="s">
        <v>16251</v>
      </c>
      <c r="C498" t="s">
        <v>15134</v>
      </c>
      <c r="D498" t="s">
        <v>15135</v>
      </c>
      <c r="E498">
        <v>82212000</v>
      </c>
      <c r="F498" t="s">
        <v>15145</v>
      </c>
      <c r="G498" t="b">
        <v>0</v>
      </c>
      <c r="H498" t="s">
        <v>16252</v>
      </c>
    </row>
    <row r="499" spans="1:8" hidden="1" x14ac:dyDescent="0.25">
      <c r="A499">
        <v>80955</v>
      </c>
      <c r="B499" t="s">
        <v>16251</v>
      </c>
      <c r="C499" t="s">
        <v>15134</v>
      </c>
      <c r="D499" t="s">
        <v>15135</v>
      </c>
      <c r="E499">
        <v>82212001</v>
      </c>
      <c r="F499" t="s">
        <v>15145</v>
      </c>
      <c r="G499" t="b">
        <v>0</v>
      </c>
      <c r="H499" t="s">
        <v>16252</v>
      </c>
    </row>
    <row r="500" spans="1:8" hidden="1" x14ac:dyDescent="0.25">
      <c r="A500">
        <v>80548</v>
      </c>
      <c r="B500" t="s">
        <v>16117</v>
      </c>
      <c r="C500" t="s">
        <v>15134</v>
      </c>
      <c r="D500" t="s">
        <v>15135</v>
      </c>
      <c r="E500">
        <v>103101004</v>
      </c>
      <c r="F500" t="s">
        <v>15138</v>
      </c>
      <c r="G500" t="b">
        <v>1</v>
      </c>
      <c r="H500" t="s">
        <v>16118</v>
      </c>
    </row>
    <row r="501" spans="1:8" hidden="1" x14ac:dyDescent="0.25">
      <c r="A501">
        <v>80548</v>
      </c>
      <c r="B501" t="s">
        <v>16117</v>
      </c>
      <c r="C501" t="s">
        <v>15134</v>
      </c>
      <c r="D501" t="s">
        <v>15135</v>
      </c>
      <c r="E501">
        <v>103101004</v>
      </c>
      <c r="F501" t="s">
        <v>15145</v>
      </c>
      <c r="G501" t="b">
        <v>1</v>
      </c>
      <c r="H501" t="s">
        <v>16119</v>
      </c>
    </row>
    <row r="502" spans="1:8" hidden="1" x14ac:dyDescent="0.25">
      <c r="A502">
        <v>9523</v>
      </c>
      <c r="B502" t="s">
        <v>15579</v>
      </c>
      <c r="C502" t="s">
        <v>15134</v>
      </c>
      <c r="D502" t="s">
        <v>15135</v>
      </c>
      <c r="E502">
        <v>73287001</v>
      </c>
    </row>
    <row r="503" spans="1:8" hidden="1" x14ac:dyDescent="0.25">
      <c r="A503">
        <v>9522</v>
      </c>
      <c r="B503" t="s">
        <v>15577</v>
      </c>
      <c r="C503" t="s">
        <v>15134</v>
      </c>
      <c r="D503" t="s">
        <v>15135</v>
      </c>
      <c r="E503">
        <v>73287000</v>
      </c>
      <c r="F503" t="s">
        <v>15138</v>
      </c>
      <c r="G503" t="b">
        <v>0</v>
      </c>
      <c r="H503" t="s">
        <v>15578</v>
      </c>
    </row>
    <row r="504" spans="1:8" hidden="1" x14ac:dyDescent="0.25">
      <c r="A504">
        <v>9522</v>
      </c>
      <c r="B504" t="s">
        <v>15577</v>
      </c>
      <c r="C504" t="s">
        <v>15134</v>
      </c>
      <c r="D504" t="s">
        <v>15135</v>
      </c>
      <c r="E504">
        <v>73287000</v>
      </c>
      <c r="F504" t="s">
        <v>15136</v>
      </c>
      <c r="G504" t="b">
        <v>0</v>
      </c>
      <c r="H504" t="s">
        <v>15578</v>
      </c>
    </row>
    <row r="505" spans="1:8" hidden="1" x14ac:dyDescent="0.25">
      <c r="A505">
        <v>1000405</v>
      </c>
      <c r="B505" t="s">
        <v>17166</v>
      </c>
      <c r="C505" t="s">
        <v>15134</v>
      </c>
      <c r="D505" t="s">
        <v>15135</v>
      </c>
      <c r="E505">
        <v>73366001</v>
      </c>
      <c r="F505" t="s">
        <v>15138</v>
      </c>
      <c r="G505" t="b">
        <v>1</v>
      </c>
      <c r="H505" t="s">
        <v>17167</v>
      </c>
    </row>
    <row r="506" spans="1:8" hidden="1" x14ac:dyDescent="0.25">
      <c r="A506">
        <v>1000405</v>
      </c>
      <c r="B506" t="s">
        <v>17166</v>
      </c>
      <c r="C506" t="s">
        <v>15134</v>
      </c>
      <c r="D506" t="s">
        <v>15135</v>
      </c>
      <c r="E506">
        <v>73366001</v>
      </c>
      <c r="F506" t="s">
        <v>15136</v>
      </c>
      <c r="G506" t="b">
        <v>1</v>
      </c>
      <c r="H506" t="s">
        <v>17167</v>
      </c>
    </row>
    <row r="507" spans="1:8" hidden="1" x14ac:dyDescent="0.25">
      <c r="A507">
        <v>9519</v>
      </c>
      <c r="B507" t="s">
        <v>15575</v>
      </c>
      <c r="C507" t="s">
        <v>15134</v>
      </c>
      <c r="D507" t="s">
        <v>15135</v>
      </c>
      <c r="E507">
        <v>73285001</v>
      </c>
    </row>
    <row r="508" spans="1:8" hidden="1" x14ac:dyDescent="0.25">
      <c r="A508">
        <v>9158</v>
      </c>
      <c r="B508" t="s">
        <v>15384</v>
      </c>
      <c r="C508" t="s">
        <v>15134</v>
      </c>
      <c r="D508" t="s">
        <v>15135</v>
      </c>
      <c r="E508">
        <v>73106001</v>
      </c>
    </row>
    <row r="509" spans="1:8" hidden="1" x14ac:dyDescent="0.25">
      <c r="A509">
        <v>9642</v>
      </c>
      <c r="B509" t="s">
        <v>15620</v>
      </c>
      <c r="C509" t="s">
        <v>15134</v>
      </c>
      <c r="D509" t="s">
        <v>15135</v>
      </c>
      <c r="E509">
        <v>83010001</v>
      </c>
    </row>
    <row r="510" spans="1:8" hidden="1" x14ac:dyDescent="0.25">
      <c r="A510">
        <v>9458</v>
      </c>
      <c r="B510" t="s">
        <v>15534</v>
      </c>
      <c r="C510" t="s">
        <v>15134</v>
      </c>
      <c r="D510" t="s">
        <v>15135</v>
      </c>
      <c r="E510">
        <v>73271007</v>
      </c>
    </row>
    <row r="511" spans="1:8" hidden="1" x14ac:dyDescent="0.25">
      <c r="A511">
        <v>9459</v>
      </c>
      <c r="B511" t="s">
        <v>15535</v>
      </c>
      <c r="C511" t="s">
        <v>15134</v>
      </c>
      <c r="D511" t="s">
        <v>15135</v>
      </c>
      <c r="E511">
        <v>73271008</v>
      </c>
    </row>
    <row r="512" spans="1:8" hidden="1" x14ac:dyDescent="0.25">
      <c r="A512">
        <v>10028</v>
      </c>
      <c r="B512" t="s">
        <v>15787</v>
      </c>
      <c r="C512" t="s">
        <v>15134</v>
      </c>
      <c r="D512" t="s">
        <v>15135</v>
      </c>
      <c r="E512">
        <v>103101000</v>
      </c>
      <c r="F512" t="s">
        <v>15136</v>
      </c>
      <c r="G512" t="b">
        <v>1</v>
      </c>
      <c r="H512" t="s">
        <v>15788</v>
      </c>
    </row>
    <row r="513" spans="1:8" hidden="1" x14ac:dyDescent="0.25">
      <c r="A513">
        <v>10028</v>
      </c>
      <c r="B513" t="s">
        <v>15787</v>
      </c>
      <c r="C513" t="s">
        <v>15134</v>
      </c>
      <c r="D513" t="s">
        <v>15135</v>
      </c>
      <c r="E513">
        <v>103101000</v>
      </c>
      <c r="F513" t="s">
        <v>15138</v>
      </c>
      <c r="G513" t="b">
        <v>1</v>
      </c>
      <c r="H513" t="s">
        <v>15788</v>
      </c>
    </row>
    <row r="514" spans="1:8" hidden="1" x14ac:dyDescent="0.25">
      <c r="A514">
        <v>10212</v>
      </c>
      <c r="B514" t="s">
        <v>15845</v>
      </c>
      <c r="C514" t="s">
        <v>15134</v>
      </c>
      <c r="D514" t="s">
        <v>15135</v>
      </c>
      <c r="E514">
        <v>143011001</v>
      </c>
    </row>
    <row r="515" spans="1:8" hidden="1" x14ac:dyDescent="0.25">
      <c r="A515">
        <v>92651</v>
      </c>
      <c r="B515" t="s">
        <v>16880</v>
      </c>
      <c r="C515" t="s">
        <v>15134</v>
      </c>
      <c r="D515" t="s">
        <v>15135</v>
      </c>
      <c r="E515">
        <v>23016000</v>
      </c>
      <c r="F515" t="s">
        <v>15136</v>
      </c>
      <c r="G515" t="b">
        <v>1</v>
      </c>
      <c r="H515" t="s">
        <v>16881</v>
      </c>
    </row>
    <row r="516" spans="1:8" hidden="1" x14ac:dyDescent="0.25">
      <c r="A516">
        <v>92651</v>
      </c>
      <c r="B516" t="s">
        <v>16880</v>
      </c>
      <c r="C516" t="s">
        <v>15134</v>
      </c>
      <c r="D516" t="s">
        <v>15135</v>
      </c>
      <c r="E516">
        <v>23016000</v>
      </c>
      <c r="F516" t="s">
        <v>15138</v>
      </c>
      <c r="G516" t="b">
        <v>1</v>
      </c>
      <c r="H516" t="s">
        <v>16881</v>
      </c>
    </row>
    <row r="517" spans="1:8" hidden="1" x14ac:dyDescent="0.25">
      <c r="A517">
        <v>84662</v>
      </c>
      <c r="B517" t="s">
        <v>16292</v>
      </c>
      <c r="C517" t="s">
        <v>15134</v>
      </c>
      <c r="D517" t="s">
        <v>15135</v>
      </c>
      <c r="E517">
        <v>103466004</v>
      </c>
      <c r="F517" t="s">
        <v>15145</v>
      </c>
      <c r="G517" t="b">
        <v>1</v>
      </c>
      <c r="H517" t="s">
        <v>16293</v>
      </c>
    </row>
    <row r="518" spans="1:8" hidden="1" x14ac:dyDescent="0.25">
      <c r="A518">
        <v>84662</v>
      </c>
      <c r="B518" t="s">
        <v>16292</v>
      </c>
      <c r="C518" t="s">
        <v>15134</v>
      </c>
      <c r="D518" t="s">
        <v>15135</v>
      </c>
      <c r="E518">
        <v>103466004</v>
      </c>
      <c r="F518" t="s">
        <v>15138</v>
      </c>
      <c r="G518" t="b">
        <v>1</v>
      </c>
      <c r="H518" t="s">
        <v>16293</v>
      </c>
    </row>
    <row r="519" spans="1:8" hidden="1" x14ac:dyDescent="0.25">
      <c r="A519">
        <v>87065</v>
      </c>
      <c r="B519" t="s">
        <v>16329</v>
      </c>
      <c r="C519" t="s">
        <v>15134</v>
      </c>
      <c r="D519" t="s">
        <v>15135</v>
      </c>
      <c r="E519">
        <v>102264001</v>
      </c>
      <c r="F519" t="s">
        <v>15138</v>
      </c>
      <c r="G519" t="b">
        <v>1</v>
      </c>
      <c r="H519" t="s">
        <v>16330</v>
      </c>
    </row>
    <row r="520" spans="1:8" hidden="1" x14ac:dyDescent="0.25">
      <c r="A520">
        <v>87065</v>
      </c>
      <c r="B520" t="s">
        <v>16329</v>
      </c>
      <c r="C520" t="s">
        <v>15134</v>
      </c>
      <c r="D520" t="s">
        <v>15135</v>
      </c>
      <c r="E520">
        <v>102264001</v>
      </c>
      <c r="F520" t="s">
        <v>15136</v>
      </c>
      <c r="G520" t="b">
        <v>1</v>
      </c>
      <c r="H520" t="s">
        <v>16330</v>
      </c>
    </row>
    <row r="521" spans="1:8" hidden="1" x14ac:dyDescent="0.25">
      <c r="A521">
        <v>87065</v>
      </c>
      <c r="B521" t="s">
        <v>16329</v>
      </c>
      <c r="C521" t="s">
        <v>15134</v>
      </c>
      <c r="D521" t="s">
        <v>15135</v>
      </c>
      <c r="E521">
        <v>102264001</v>
      </c>
      <c r="F521" t="s">
        <v>15145</v>
      </c>
      <c r="G521" t="b">
        <v>1</v>
      </c>
      <c r="H521" t="s">
        <v>16330</v>
      </c>
    </row>
    <row r="522" spans="1:8" hidden="1" x14ac:dyDescent="0.25">
      <c r="A522">
        <v>9638</v>
      </c>
      <c r="B522" t="s">
        <v>15618</v>
      </c>
      <c r="C522" t="s">
        <v>15134</v>
      </c>
      <c r="D522" t="s">
        <v>15135</v>
      </c>
      <c r="E522">
        <v>83008001</v>
      </c>
    </row>
    <row r="523" spans="1:8" hidden="1" x14ac:dyDescent="0.25">
      <c r="A523">
        <v>9760</v>
      </c>
      <c r="B523" t="s">
        <v>15654</v>
      </c>
      <c r="C523" t="s">
        <v>15134</v>
      </c>
      <c r="D523" t="s">
        <v>15135</v>
      </c>
      <c r="E523">
        <v>102241000</v>
      </c>
    </row>
    <row r="524" spans="1:8" hidden="1" x14ac:dyDescent="0.25">
      <c r="A524">
        <v>9761</v>
      </c>
      <c r="B524" t="s">
        <v>15655</v>
      </c>
      <c r="C524" t="s">
        <v>15134</v>
      </c>
      <c r="D524" t="s">
        <v>15135</v>
      </c>
      <c r="E524">
        <v>102241001</v>
      </c>
    </row>
    <row r="525" spans="1:8" hidden="1" x14ac:dyDescent="0.25">
      <c r="A525">
        <v>8601</v>
      </c>
      <c r="B525" t="s">
        <v>15170</v>
      </c>
      <c r="C525" t="s">
        <v>15134</v>
      </c>
      <c r="D525" t="s">
        <v>15135</v>
      </c>
      <c r="E525">
        <v>53001001</v>
      </c>
    </row>
    <row r="526" spans="1:8" hidden="1" x14ac:dyDescent="0.25">
      <c r="A526">
        <v>79669</v>
      </c>
      <c r="B526" t="s">
        <v>15985</v>
      </c>
      <c r="C526" t="s">
        <v>15134</v>
      </c>
      <c r="D526" t="s">
        <v>15135</v>
      </c>
      <c r="E526">
        <v>142206002</v>
      </c>
      <c r="F526" t="s">
        <v>15138</v>
      </c>
      <c r="G526" t="b">
        <v>1</v>
      </c>
      <c r="H526" t="s">
        <v>15983</v>
      </c>
    </row>
    <row r="527" spans="1:8" hidden="1" x14ac:dyDescent="0.25">
      <c r="A527">
        <v>79669</v>
      </c>
      <c r="B527" t="s">
        <v>15985</v>
      </c>
      <c r="C527" t="s">
        <v>15134</v>
      </c>
      <c r="D527" t="s">
        <v>15135</v>
      </c>
      <c r="E527">
        <v>142206002</v>
      </c>
      <c r="F527" t="s">
        <v>15145</v>
      </c>
      <c r="G527" t="b">
        <v>1</v>
      </c>
      <c r="H527" t="s">
        <v>15984</v>
      </c>
    </row>
    <row r="528" spans="1:8" hidden="1" x14ac:dyDescent="0.25">
      <c r="A528">
        <v>92623</v>
      </c>
      <c r="B528" t="s">
        <v>16873</v>
      </c>
      <c r="C528" t="s">
        <v>15134</v>
      </c>
      <c r="D528" t="s">
        <v>15135</v>
      </c>
      <c r="E528">
        <v>103150001</v>
      </c>
    </row>
    <row r="529" spans="1:8" hidden="1" x14ac:dyDescent="0.25">
      <c r="A529">
        <v>92622</v>
      </c>
      <c r="B529" t="s">
        <v>16871</v>
      </c>
      <c r="C529" t="s">
        <v>15134</v>
      </c>
      <c r="D529" t="s">
        <v>15135</v>
      </c>
      <c r="E529">
        <v>103150000</v>
      </c>
      <c r="F529" t="s">
        <v>15136</v>
      </c>
      <c r="G529" t="b">
        <v>1</v>
      </c>
      <c r="H529" t="s">
        <v>16872</v>
      </c>
    </row>
    <row r="530" spans="1:8" hidden="1" x14ac:dyDescent="0.25">
      <c r="A530">
        <v>92622</v>
      </c>
      <c r="B530" t="s">
        <v>16871</v>
      </c>
      <c r="C530" t="s">
        <v>15134</v>
      </c>
      <c r="D530" t="s">
        <v>15135</v>
      </c>
      <c r="E530">
        <v>103150000</v>
      </c>
      <c r="F530" t="s">
        <v>15138</v>
      </c>
      <c r="G530" t="b">
        <v>1</v>
      </c>
      <c r="H530" t="s">
        <v>16872</v>
      </c>
    </row>
    <row r="531" spans="1:8" hidden="1" x14ac:dyDescent="0.25">
      <c r="A531">
        <v>89734</v>
      </c>
      <c r="B531" t="s">
        <v>16444</v>
      </c>
      <c r="C531" t="s">
        <v>15134</v>
      </c>
      <c r="D531" t="s">
        <v>15135</v>
      </c>
      <c r="E531">
        <v>132207001</v>
      </c>
      <c r="F531" t="s">
        <v>15145</v>
      </c>
      <c r="G531" t="b">
        <v>1</v>
      </c>
      <c r="H531" t="s">
        <v>16443</v>
      </c>
    </row>
    <row r="532" spans="1:8" hidden="1" x14ac:dyDescent="0.25">
      <c r="A532">
        <v>89734</v>
      </c>
      <c r="B532" t="s">
        <v>16444</v>
      </c>
      <c r="C532" t="s">
        <v>15134</v>
      </c>
      <c r="D532" t="s">
        <v>15135</v>
      </c>
      <c r="E532">
        <v>132207001</v>
      </c>
      <c r="F532" t="s">
        <v>15138</v>
      </c>
      <c r="G532" t="b">
        <v>1</v>
      </c>
      <c r="H532" t="s">
        <v>16443</v>
      </c>
    </row>
    <row r="533" spans="1:8" hidden="1" x14ac:dyDescent="0.25">
      <c r="A533">
        <v>80645</v>
      </c>
      <c r="B533" t="s">
        <v>16154</v>
      </c>
      <c r="C533" t="s">
        <v>15134</v>
      </c>
      <c r="D533" t="s">
        <v>15135</v>
      </c>
      <c r="E533">
        <v>73439000</v>
      </c>
      <c r="F533" t="s">
        <v>15136</v>
      </c>
      <c r="G533" t="b">
        <v>1</v>
      </c>
      <c r="H533" t="s">
        <v>16155</v>
      </c>
    </row>
    <row r="534" spans="1:8" hidden="1" x14ac:dyDescent="0.25">
      <c r="A534">
        <v>80645</v>
      </c>
      <c r="B534" t="s">
        <v>16154</v>
      </c>
      <c r="C534" t="s">
        <v>15134</v>
      </c>
      <c r="D534" t="s">
        <v>15135</v>
      </c>
      <c r="E534">
        <v>73439000</v>
      </c>
      <c r="F534" t="s">
        <v>15138</v>
      </c>
      <c r="G534" t="b">
        <v>1</v>
      </c>
      <c r="H534" t="s">
        <v>16156</v>
      </c>
    </row>
    <row r="535" spans="1:8" hidden="1" x14ac:dyDescent="0.25">
      <c r="A535">
        <v>9794</v>
      </c>
      <c r="B535" t="s">
        <v>15686</v>
      </c>
      <c r="C535" t="s">
        <v>15134</v>
      </c>
      <c r="D535" t="s">
        <v>15135</v>
      </c>
      <c r="E535">
        <v>102252000</v>
      </c>
    </row>
    <row r="536" spans="1:8" hidden="1" x14ac:dyDescent="0.25">
      <c r="A536">
        <v>1000317</v>
      </c>
      <c r="B536" t="s">
        <v>17132</v>
      </c>
      <c r="C536" t="s">
        <v>15134</v>
      </c>
      <c r="D536" t="s">
        <v>15135</v>
      </c>
      <c r="E536">
        <v>73358001</v>
      </c>
      <c r="F536" t="s">
        <v>15136</v>
      </c>
      <c r="G536" t="b">
        <v>1</v>
      </c>
      <c r="H536" t="s">
        <v>17131</v>
      </c>
    </row>
    <row r="537" spans="1:8" hidden="1" x14ac:dyDescent="0.25">
      <c r="A537">
        <v>1000317</v>
      </c>
      <c r="B537" t="s">
        <v>17132</v>
      </c>
      <c r="C537" t="s">
        <v>15134</v>
      </c>
      <c r="D537" t="s">
        <v>15135</v>
      </c>
      <c r="E537">
        <v>73358001</v>
      </c>
      <c r="F537" t="s">
        <v>15138</v>
      </c>
      <c r="G537" t="b">
        <v>1</v>
      </c>
      <c r="H537" t="s">
        <v>17131</v>
      </c>
    </row>
    <row r="538" spans="1:8" hidden="1" x14ac:dyDescent="0.25">
      <c r="A538">
        <v>78753</v>
      </c>
      <c r="B538" t="s">
        <v>15883</v>
      </c>
      <c r="C538" t="s">
        <v>15134</v>
      </c>
      <c r="D538" t="s">
        <v>15135</v>
      </c>
      <c r="E538">
        <v>73431001</v>
      </c>
    </row>
    <row r="539" spans="1:8" hidden="1" x14ac:dyDescent="0.25">
      <c r="A539">
        <v>89711</v>
      </c>
      <c r="B539" t="s">
        <v>16431</v>
      </c>
      <c r="C539" t="s">
        <v>15134</v>
      </c>
      <c r="D539" t="s">
        <v>15135</v>
      </c>
      <c r="E539">
        <v>73558001</v>
      </c>
      <c r="F539" t="s">
        <v>15145</v>
      </c>
      <c r="G539" t="b">
        <v>1</v>
      </c>
      <c r="H539" t="s">
        <v>16432</v>
      </c>
    </row>
    <row r="540" spans="1:8" hidden="1" x14ac:dyDescent="0.25">
      <c r="A540">
        <v>78752</v>
      </c>
      <c r="B540" t="s">
        <v>15880</v>
      </c>
      <c r="C540" t="s">
        <v>15134</v>
      </c>
      <c r="D540" t="s">
        <v>15135</v>
      </c>
      <c r="E540">
        <v>73431000</v>
      </c>
      <c r="F540" t="s">
        <v>15136</v>
      </c>
      <c r="G540" t="b">
        <v>1</v>
      </c>
      <c r="H540" t="s">
        <v>15881</v>
      </c>
    </row>
    <row r="541" spans="1:8" hidden="1" x14ac:dyDescent="0.25">
      <c r="A541">
        <v>78752</v>
      </c>
      <c r="B541" t="s">
        <v>15880</v>
      </c>
      <c r="C541" t="s">
        <v>15134</v>
      </c>
      <c r="D541" t="s">
        <v>15135</v>
      </c>
      <c r="E541">
        <v>73431000</v>
      </c>
      <c r="F541" t="s">
        <v>15138</v>
      </c>
      <c r="G541" t="b">
        <v>1</v>
      </c>
      <c r="H541" t="s">
        <v>15882</v>
      </c>
    </row>
    <row r="542" spans="1:8" hidden="1" x14ac:dyDescent="0.25">
      <c r="A542">
        <v>91245</v>
      </c>
      <c r="B542" t="s">
        <v>16760</v>
      </c>
      <c r="C542" t="s">
        <v>15134</v>
      </c>
      <c r="D542" t="s">
        <v>15135</v>
      </c>
      <c r="E542">
        <v>73057001</v>
      </c>
    </row>
    <row r="543" spans="1:8" hidden="1" x14ac:dyDescent="0.25">
      <c r="A543">
        <v>9961</v>
      </c>
      <c r="B543" t="s">
        <v>15751</v>
      </c>
      <c r="C543" t="s">
        <v>15134</v>
      </c>
      <c r="D543" t="s">
        <v>15135</v>
      </c>
      <c r="E543">
        <v>103072001</v>
      </c>
    </row>
    <row r="544" spans="1:8" hidden="1" x14ac:dyDescent="0.25">
      <c r="A544">
        <v>80549</v>
      </c>
      <c r="B544" t="s">
        <v>15751</v>
      </c>
      <c r="C544" t="s">
        <v>15134</v>
      </c>
      <c r="D544" t="s">
        <v>15135</v>
      </c>
      <c r="E544">
        <v>103101005</v>
      </c>
      <c r="F544" t="s">
        <v>15138</v>
      </c>
      <c r="G544" t="b">
        <v>1</v>
      </c>
      <c r="H544" t="s">
        <v>16118</v>
      </c>
    </row>
    <row r="545" spans="1:8" hidden="1" x14ac:dyDescent="0.25">
      <c r="A545">
        <v>80549</v>
      </c>
      <c r="B545" t="s">
        <v>15751</v>
      </c>
      <c r="C545" t="s">
        <v>15134</v>
      </c>
      <c r="D545" t="s">
        <v>15135</v>
      </c>
      <c r="E545">
        <v>103101005</v>
      </c>
      <c r="F545" t="s">
        <v>15145</v>
      </c>
      <c r="G545" t="b">
        <v>1</v>
      </c>
      <c r="H545" t="s">
        <v>16120</v>
      </c>
    </row>
    <row r="546" spans="1:8" hidden="1" x14ac:dyDescent="0.25">
      <c r="A546">
        <v>79797</v>
      </c>
      <c r="B546" t="s">
        <v>16007</v>
      </c>
      <c r="C546" t="s">
        <v>15134</v>
      </c>
      <c r="D546" t="s">
        <v>15135</v>
      </c>
      <c r="E546">
        <v>72430000</v>
      </c>
      <c r="F546" t="s">
        <v>15145</v>
      </c>
      <c r="G546" t="b">
        <v>0</v>
      </c>
      <c r="H546" t="s">
        <v>16008</v>
      </c>
    </row>
    <row r="547" spans="1:8" hidden="1" x14ac:dyDescent="0.25">
      <c r="A547">
        <v>79798</v>
      </c>
      <c r="B547" t="s">
        <v>16007</v>
      </c>
      <c r="C547" t="s">
        <v>15134</v>
      </c>
      <c r="D547" t="s">
        <v>15135</v>
      </c>
      <c r="E547">
        <v>72430001</v>
      </c>
      <c r="F547" t="s">
        <v>15145</v>
      </c>
      <c r="G547" t="b">
        <v>0</v>
      </c>
      <c r="H547" t="s">
        <v>16009</v>
      </c>
    </row>
    <row r="548" spans="1:8" hidden="1" x14ac:dyDescent="0.25">
      <c r="A548">
        <v>89490</v>
      </c>
      <c r="B548" t="s">
        <v>16402</v>
      </c>
      <c r="C548" t="s">
        <v>15134</v>
      </c>
      <c r="D548" t="s">
        <v>15135</v>
      </c>
      <c r="E548">
        <v>102268000</v>
      </c>
      <c r="F548" t="s">
        <v>15145</v>
      </c>
      <c r="G548" t="b">
        <v>1</v>
      </c>
      <c r="H548" t="s">
        <v>16403</v>
      </c>
    </row>
    <row r="549" spans="1:8" hidden="1" x14ac:dyDescent="0.25">
      <c r="A549">
        <v>89490</v>
      </c>
      <c r="B549" t="s">
        <v>16402</v>
      </c>
      <c r="C549" t="s">
        <v>15134</v>
      </c>
      <c r="D549" t="s">
        <v>15135</v>
      </c>
      <c r="E549">
        <v>102268000</v>
      </c>
      <c r="F549" t="s">
        <v>15138</v>
      </c>
      <c r="G549" t="b">
        <v>1</v>
      </c>
      <c r="H549" t="s">
        <v>16403</v>
      </c>
    </row>
    <row r="550" spans="1:8" hidden="1" x14ac:dyDescent="0.25">
      <c r="A550">
        <v>89491</v>
      </c>
      <c r="B550" t="s">
        <v>16402</v>
      </c>
      <c r="C550" t="s">
        <v>15134</v>
      </c>
      <c r="D550" t="s">
        <v>15135</v>
      </c>
      <c r="E550">
        <v>102268001</v>
      </c>
      <c r="F550" t="s">
        <v>15145</v>
      </c>
      <c r="G550" t="b">
        <v>0</v>
      </c>
      <c r="H550" t="s">
        <v>16404</v>
      </c>
    </row>
    <row r="551" spans="1:8" hidden="1" x14ac:dyDescent="0.25">
      <c r="A551">
        <v>10208</v>
      </c>
      <c r="B551" t="s">
        <v>15842</v>
      </c>
      <c r="C551" t="s">
        <v>15134</v>
      </c>
      <c r="D551" t="s">
        <v>15135</v>
      </c>
      <c r="E551">
        <v>143009001</v>
      </c>
      <c r="F551" t="s">
        <v>15138</v>
      </c>
      <c r="G551" t="b">
        <v>1</v>
      </c>
      <c r="H551" t="s">
        <v>15843</v>
      </c>
    </row>
    <row r="552" spans="1:8" hidden="1" x14ac:dyDescent="0.25">
      <c r="A552">
        <v>10208</v>
      </c>
      <c r="B552" t="s">
        <v>15842</v>
      </c>
      <c r="C552" t="s">
        <v>15134</v>
      </c>
      <c r="D552" t="s">
        <v>15135</v>
      </c>
      <c r="E552">
        <v>143009001</v>
      </c>
      <c r="F552" t="s">
        <v>15145</v>
      </c>
      <c r="G552" t="b">
        <v>1</v>
      </c>
      <c r="H552" t="s">
        <v>15843</v>
      </c>
    </row>
    <row r="553" spans="1:8" hidden="1" x14ac:dyDescent="0.25">
      <c r="A553">
        <v>9779</v>
      </c>
      <c r="B553" t="s">
        <v>15672</v>
      </c>
      <c r="C553" t="s">
        <v>15134</v>
      </c>
      <c r="D553" t="s">
        <v>15135</v>
      </c>
      <c r="E553">
        <v>102248001</v>
      </c>
    </row>
    <row r="554" spans="1:8" hidden="1" x14ac:dyDescent="0.25">
      <c r="A554">
        <v>9778</v>
      </c>
      <c r="B554" t="s">
        <v>15671</v>
      </c>
      <c r="C554" t="s">
        <v>15134</v>
      </c>
      <c r="D554" t="s">
        <v>15135</v>
      </c>
      <c r="E554">
        <v>102248000</v>
      </c>
    </row>
    <row r="555" spans="1:8" hidden="1" x14ac:dyDescent="0.25">
      <c r="A555">
        <v>8752</v>
      </c>
      <c r="B555" t="s">
        <v>15247</v>
      </c>
      <c r="C555" t="s">
        <v>15134</v>
      </c>
      <c r="D555" t="s">
        <v>15135</v>
      </c>
      <c r="E555">
        <v>72401003</v>
      </c>
      <c r="F555" t="s">
        <v>15136</v>
      </c>
      <c r="G555" t="b">
        <v>1</v>
      </c>
      <c r="H555" t="s">
        <v>15241</v>
      </c>
    </row>
    <row r="556" spans="1:8" hidden="1" x14ac:dyDescent="0.25">
      <c r="A556">
        <v>8752</v>
      </c>
      <c r="B556" t="s">
        <v>15247</v>
      </c>
      <c r="C556" t="s">
        <v>15134</v>
      </c>
      <c r="D556" t="s">
        <v>15135</v>
      </c>
      <c r="E556">
        <v>72401003</v>
      </c>
      <c r="F556" t="s">
        <v>15138</v>
      </c>
      <c r="G556" t="b">
        <v>1</v>
      </c>
      <c r="H556" t="s">
        <v>15248</v>
      </c>
    </row>
    <row r="557" spans="1:8" hidden="1" x14ac:dyDescent="0.25">
      <c r="A557">
        <v>10017</v>
      </c>
      <c r="B557" t="s">
        <v>15782</v>
      </c>
      <c r="C557" t="s">
        <v>15134</v>
      </c>
      <c r="D557" t="s">
        <v>15135</v>
      </c>
      <c r="E557">
        <v>103093001</v>
      </c>
    </row>
    <row r="558" spans="1:8" hidden="1" x14ac:dyDescent="0.25">
      <c r="A558">
        <v>9089</v>
      </c>
      <c r="B558" t="s">
        <v>15351</v>
      </c>
      <c r="C558" t="s">
        <v>15134</v>
      </c>
      <c r="D558" t="s">
        <v>15135</v>
      </c>
      <c r="E558">
        <v>73066001</v>
      </c>
    </row>
    <row r="559" spans="1:8" hidden="1" x14ac:dyDescent="0.25">
      <c r="A559">
        <v>9057</v>
      </c>
      <c r="B559" t="s">
        <v>15341</v>
      </c>
      <c r="C559" t="s">
        <v>15134</v>
      </c>
      <c r="D559" t="s">
        <v>15135</v>
      </c>
      <c r="E559">
        <v>73048001</v>
      </c>
    </row>
    <row r="560" spans="1:8" hidden="1" x14ac:dyDescent="0.25">
      <c r="A560">
        <v>9948</v>
      </c>
      <c r="B560" t="s">
        <v>15744</v>
      </c>
      <c r="C560" t="s">
        <v>15134</v>
      </c>
      <c r="D560" t="s">
        <v>15135</v>
      </c>
      <c r="E560">
        <v>103066000</v>
      </c>
      <c r="F560" t="s">
        <v>15136</v>
      </c>
      <c r="G560" t="b">
        <v>1</v>
      </c>
      <c r="H560" t="s">
        <v>15745</v>
      </c>
    </row>
    <row r="561" spans="1:8" hidden="1" x14ac:dyDescent="0.25">
      <c r="A561">
        <v>9948</v>
      </c>
      <c r="B561" t="s">
        <v>15744</v>
      </c>
      <c r="C561" t="s">
        <v>15134</v>
      </c>
      <c r="D561" t="s">
        <v>15135</v>
      </c>
      <c r="E561">
        <v>103066000</v>
      </c>
      <c r="F561" t="s">
        <v>15138</v>
      </c>
      <c r="G561" t="b">
        <v>1</v>
      </c>
      <c r="H561" t="s">
        <v>15745</v>
      </c>
    </row>
    <row r="562" spans="1:8" hidden="1" x14ac:dyDescent="0.25">
      <c r="A562">
        <v>9949</v>
      </c>
      <c r="B562" t="s">
        <v>15744</v>
      </c>
      <c r="C562" t="s">
        <v>15134</v>
      </c>
      <c r="D562" t="s">
        <v>15135</v>
      </c>
      <c r="E562">
        <v>103066001</v>
      </c>
    </row>
    <row r="563" spans="1:8" hidden="1" x14ac:dyDescent="0.25">
      <c r="A563">
        <v>9044</v>
      </c>
      <c r="B563" t="s">
        <v>15334</v>
      </c>
      <c r="C563" t="s">
        <v>15134</v>
      </c>
      <c r="D563" t="s">
        <v>15135</v>
      </c>
      <c r="E563">
        <v>73040000</v>
      </c>
      <c r="F563" t="s">
        <v>15138</v>
      </c>
      <c r="G563" t="b">
        <v>1</v>
      </c>
      <c r="H563" t="s">
        <v>15335</v>
      </c>
    </row>
    <row r="564" spans="1:8" hidden="1" x14ac:dyDescent="0.25">
      <c r="A564">
        <v>9044</v>
      </c>
      <c r="B564" t="s">
        <v>15334</v>
      </c>
      <c r="C564" t="s">
        <v>15134</v>
      </c>
      <c r="D564" t="s">
        <v>15135</v>
      </c>
      <c r="E564">
        <v>73040000</v>
      </c>
      <c r="F564" t="s">
        <v>15136</v>
      </c>
      <c r="G564" t="b">
        <v>1</v>
      </c>
      <c r="H564" t="s">
        <v>15335</v>
      </c>
    </row>
    <row r="565" spans="1:8" hidden="1" x14ac:dyDescent="0.25">
      <c r="A565">
        <v>9045</v>
      </c>
      <c r="B565" t="s">
        <v>15336</v>
      </c>
      <c r="C565" t="s">
        <v>15134</v>
      </c>
      <c r="D565" t="s">
        <v>15135</v>
      </c>
      <c r="E565">
        <v>73040001</v>
      </c>
    </row>
    <row r="566" spans="1:8" hidden="1" x14ac:dyDescent="0.25">
      <c r="A566">
        <v>1000309</v>
      </c>
      <c r="B566" t="s">
        <v>17129</v>
      </c>
      <c r="C566" t="s">
        <v>15134</v>
      </c>
      <c r="D566" t="s">
        <v>15135</v>
      </c>
      <c r="E566">
        <v>73357001</v>
      </c>
      <c r="F566" t="s">
        <v>15136</v>
      </c>
      <c r="G566" t="b">
        <v>1</v>
      </c>
      <c r="H566" t="s">
        <v>17128</v>
      </c>
    </row>
    <row r="567" spans="1:8" hidden="1" x14ac:dyDescent="0.25">
      <c r="A567">
        <v>1000309</v>
      </c>
      <c r="B567" t="s">
        <v>17129</v>
      </c>
      <c r="C567" t="s">
        <v>15134</v>
      </c>
      <c r="D567" t="s">
        <v>15135</v>
      </c>
      <c r="E567">
        <v>73357001</v>
      </c>
      <c r="F567" t="s">
        <v>15138</v>
      </c>
      <c r="G567" t="b">
        <v>1</v>
      </c>
      <c r="H567" t="s">
        <v>17128</v>
      </c>
    </row>
    <row r="568" spans="1:8" hidden="1" x14ac:dyDescent="0.25">
      <c r="A568">
        <v>9785</v>
      </c>
      <c r="B568" t="s">
        <v>15677</v>
      </c>
      <c r="C568" t="s">
        <v>15134</v>
      </c>
      <c r="D568" t="s">
        <v>15135</v>
      </c>
      <c r="E568">
        <v>102250003</v>
      </c>
    </row>
    <row r="569" spans="1:8" hidden="1" x14ac:dyDescent="0.25">
      <c r="A569">
        <v>1000074</v>
      </c>
      <c r="B569" t="s">
        <v>17051</v>
      </c>
      <c r="C569" t="s">
        <v>15134</v>
      </c>
      <c r="D569" t="s">
        <v>15135</v>
      </c>
      <c r="E569">
        <v>73348000</v>
      </c>
      <c r="F569" t="s">
        <v>15138</v>
      </c>
      <c r="G569" t="b">
        <v>1</v>
      </c>
      <c r="H569" t="s">
        <v>17052</v>
      </c>
    </row>
    <row r="570" spans="1:8" hidden="1" x14ac:dyDescent="0.25">
      <c r="A570">
        <v>1000074</v>
      </c>
      <c r="B570" t="s">
        <v>17051</v>
      </c>
      <c r="C570" t="s">
        <v>15134</v>
      </c>
      <c r="D570" t="s">
        <v>15135</v>
      </c>
      <c r="E570">
        <v>73348000</v>
      </c>
      <c r="F570" t="s">
        <v>15136</v>
      </c>
      <c r="G570" t="b">
        <v>1</v>
      </c>
      <c r="H570" t="s">
        <v>17052</v>
      </c>
    </row>
    <row r="571" spans="1:8" hidden="1" x14ac:dyDescent="0.25">
      <c r="A571">
        <v>921719</v>
      </c>
      <c r="B571" t="s">
        <v>17029</v>
      </c>
      <c r="C571" t="s">
        <v>15134</v>
      </c>
      <c r="D571" t="s">
        <v>15135</v>
      </c>
      <c r="E571">
        <v>73336000</v>
      </c>
      <c r="F571" t="s">
        <v>15138</v>
      </c>
      <c r="G571" t="b">
        <v>0</v>
      </c>
      <c r="H571" t="s">
        <v>17030</v>
      </c>
    </row>
    <row r="572" spans="1:8" hidden="1" x14ac:dyDescent="0.25">
      <c r="A572">
        <v>921719</v>
      </c>
      <c r="B572" t="s">
        <v>17029</v>
      </c>
      <c r="C572" t="s">
        <v>15134</v>
      </c>
      <c r="D572" t="s">
        <v>15135</v>
      </c>
      <c r="E572">
        <v>73336000</v>
      </c>
      <c r="F572" t="s">
        <v>15136</v>
      </c>
      <c r="G572" t="b">
        <v>1</v>
      </c>
      <c r="H572" t="s">
        <v>15481</v>
      </c>
    </row>
    <row r="573" spans="1:8" hidden="1" x14ac:dyDescent="0.25">
      <c r="A573">
        <v>8984</v>
      </c>
      <c r="B573" t="s">
        <v>15300</v>
      </c>
      <c r="C573" t="s">
        <v>15134</v>
      </c>
      <c r="D573" t="s">
        <v>15135</v>
      </c>
      <c r="E573">
        <v>73005001</v>
      </c>
    </row>
    <row r="574" spans="1:8" hidden="1" x14ac:dyDescent="0.25">
      <c r="A574">
        <v>9353</v>
      </c>
      <c r="B574" t="s">
        <v>15300</v>
      </c>
      <c r="C574" t="s">
        <v>15134</v>
      </c>
      <c r="D574" t="s">
        <v>15135</v>
      </c>
      <c r="E574">
        <v>73222001</v>
      </c>
    </row>
    <row r="575" spans="1:8" hidden="1" x14ac:dyDescent="0.25">
      <c r="A575">
        <v>9285</v>
      </c>
      <c r="B575" t="s">
        <v>15449</v>
      </c>
      <c r="C575" t="s">
        <v>15134</v>
      </c>
      <c r="D575" t="s">
        <v>15135</v>
      </c>
      <c r="E575">
        <v>73198001</v>
      </c>
    </row>
    <row r="576" spans="1:8" hidden="1" x14ac:dyDescent="0.25">
      <c r="A576">
        <v>9286</v>
      </c>
      <c r="B576" t="s">
        <v>15450</v>
      </c>
      <c r="C576" t="s">
        <v>15134</v>
      </c>
      <c r="D576" t="s">
        <v>15135</v>
      </c>
      <c r="E576">
        <v>73198002</v>
      </c>
    </row>
    <row r="577" spans="1:8" hidden="1" x14ac:dyDescent="0.25">
      <c r="A577">
        <v>80483</v>
      </c>
      <c r="B577" t="s">
        <v>16055</v>
      </c>
      <c r="C577" t="s">
        <v>15134</v>
      </c>
      <c r="D577" t="s">
        <v>15135</v>
      </c>
      <c r="E577">
        <v>73406002</v>
      </c>
      <c r="F577" t="s">
        <v>15138</v>
      </c>
      <c r="G577" t="b">
        <v>1</v>
      </c>
      <c r="H577" t="s">
        <v>16056</v>
      </c>
    </row>
    <row r="578" spans="1:8" hidden="1" x14ac:dyDescent="0.25">
      <c r="A578">
        <v>80483</v>
      </c>
      <c r="B578" t="s">
        <v>16055</v>
      </c>
      <c r="C578" t="s">
        <v>15134</v>
      </c>
      <c r="D578" t="s">
        <v>15135</v>
      </c>
      <c r="E578">
        <v>73406002</v>
      </c>
      <c r="F578" t="s">
        <v>15145</v>
      </c>
      <c r="G578" t="b">
        <v>1</v>
      </c>
      <c r="H578" t="s">
        <v>16056</v>
      </c>
    </row>
    <row r="579" spans="1:8" hidden="1" x14ac:dyDescent="0.25">
      <c r="A579">
        <v>91210</v>
      </c>
      <c r="B579" t="s">
        <v>16750</v>
      </c>
      <c r="C579" t="s">
        <v>15134</v>
      </c>
      <c r="D579" t="s">
        <v>15135</v>
      </c>
      <c r="E579">
        <v>73017000</v>
      </c>
      <c r="F579" t="s">
        <v>15138</v>
      </c>
      <c r="G579" t="b">
        <v>1</v>
      </c>
      <c r="H579" t="s">
        <v>16751</v>
      </c>
    </row>
    <row r="580" spans="1:8" hidden="1" x14ac:dyDescent="0.25">
      <c r="A580">
        <v>91210</v>
      </c>
      <c r="B580" t="s">
        <v>16750</v>
      </c>
      <c r="C580" t="s">
        <v>15134</v>
      </c>
      <c r="D580" t="s">
        <v>15135</v>
      </c>
      <c r="E580">
        <v>73017000</v>
      </c>
      <c r="F580" t="s">
        <v>15145</v>
      </c>
      <c r="G580" t="b">
        <v>1</v>
      </c>
      <c r="H580" t="s">
        <v>16751</v>
      </c>
    </row>
    <row r="581" spans="1:8" hidden="1" x14ac:dyDescent="0.25">
      <c r="A581">
        <v>91211</v>
      </c>
      <c r="B581" t="s">
        <v>16750</v>
      </c>
      <c r="C581" t="s">
        <v>15134</v>
      </c>
      <c r="D581" t="s">
        <v>15135</v>
      </c>
      <c r="E581">
        <v>73017001</v>
      </c>
      <c r="F581" t="s">
        <v>15138</v>
      </c>
      <c r="G581" t="b">
        <v>1</v>
      </c>
      <c r="H581" t="s">
        <v>16751</v>
      </c>
    </row>
    <row r="582" spans="1:8" hidden="1" x14ac:dyDescent="0.25">
      <c r="A582">
        <v>91211</v>
      </c>
      <c r="B582" t="s">
        <v>16750</v>
      </c>
      <c r="C582" t="s">
        <v>15134</v>
      </c>
      <c r="D582" t="s">
        <v>15135</v>
      </c>
      <c r="E582">
        <v>73017001</v>
      </c>
      <c r="F582" t="s">
        <v>15145</v>
      </c>
      <c r="G582" t="b">
        <v>1</v>
      </c>
      <c r="H582" t="s">
        <v>16751</v>
      </c>
    </row>
    <row r="583" spans="1:8" hidden="1" x14ac:dyDescent="0.25">
      <c r="A583">
        <v>9739</v>
      </c>
      <c r="B583" t="s">
        <v>15644</v>
      </c>
      <c r="C583" t="s">
        <v>15134</v>
      </c>
      <c r="D583" t="s">
        <v>15135</v>
      </c>
      <c r="E583">
        <v>102218000</v>
      </c>
      <c r="F583" t="s">
        <v>15145</v>
      </c>
      <c r="G583" t="b">
        <v>1</v>
      </c>
      <c r="H583" t="s">
        <v>15645</v>
      </c>
    </row>
    <row r="584" spans="1:8" hidden="1" x14ac:dyDescent="0.25">
      <c r="A584">
        <v>9739</v>
      </c>
      <c r="B584" t="s">
        <v>15644</v>
      </c>
      <c r="C584" t="s">
        <v>15134</v>
      </c>
      <c r="D584" t="s">
        <v>15135</v>
      </c>
      <c r="E584">
        <v>102218000</v>
      </c>
      <c r="F584" t="s">
        <v>15138</v>
      </c>
      <c r="G584" t="b">
        <v>1</v>
      </c>
      <c r="H584" t="s">
        <v>15645</v>
      </c>
    </row>
    <row r="585" spans="1:8" hidden="1" x14ac:dyDescent="0.25">
      <c r="A585">
        <v>8706</v>
      </c>
      <c r="B585" t="s">
        <v>15213</v>
      </c>
      <c r="C585" t="s">
        <v>15134</v>
      </c>
      <c r="D585" t="s">
        <v>15135</v>
      </c>
      <c r="E585">
        <v>72274000</v>
      </c>
    </row>
    <row r="586" spans="1:8" hidden="1" x14ac:dyDescent="0.25">
      <c r="A586">
        <v>1000397</v>
      </c>
      <c r="B586" t="s">
        <v>17160</v>
      </c>
      <c r="C586" t="s">
        <v>15134</v>
      </c>
      <c r="D586" t="s">
        <v>15135</v>
      </c>
      <c r="E586">
        <v>73365000</v>
      </c>
      <c r="F586" t="s">
        <v>15138</v>
      </c>
      <c r="G586" t="b">
        <v>1</v>
      </c>
      <c r="H586" t="s">
        <v>17161</v>
      </c>
    </row>
    <row r="587" spans="1:8" hidden="1" x14ac:dyDescent="0.25">
      <c r="A587">
        <v>1000397</v>
      </c>
      <c r="B587" t="s">
        <v>17160</v>
      </c>
      <c r="C587" t="s">
        <v>15134</v>
      </c>
      <c r="D587" t="s">
        <v>15135</v>
      </c>
      <c r="E587">
        <v>73365000</v>
      </c>
      <c r="F587" t="s">
        <v>15136</v>
      </c>
      <c r="G587" t="b">
        <v>1</v>
      </c>
      <c r="H587" t="s">
        <v>17161</v>
      </c>
    </row>
    <row r="588" spans="1:8" hidden="1" x14ac:dyDescent="0.25">
      <c r="A588">
        <v>1000396</v>
      </c>
      <c r="B588" t="s">
        <v>17158</v>
      </c>
      <c r="C588" t="s">
        <v>15134</v>
      </c>
      <c r="D588" t="s">
        <v>15135</v>
      </c>
      <c r="E588">
        <v>73364000</v>
      </c>
      <c r="F588" t="s">
        <v>15138</v>
      </c>
      <c r="G588" t="b">
        <v>1</v>
      </c>
      <c r="H588" t="s">
        <v>17159</v>
      </c>
    </row>
    <row r="589" spans="1:8" hidden="1" x14ac:dyDescent="0.25">
      <c r="A589">
        <v>1000396</v>
      </c>
      <c r="B589" t="s">
        <v>17158</v>
      </c>
      <c r="C589" t="s">
        <v>15134</v>
      </c>
      <c r="D589" t="s">
        <v>15135</v>
      </c>
      <c r="E589">
        <v>73364000</v>
      </c>
      <c r="F589" t="s">
        <v>15136</v>
      </c>
      <c r="G589" t="b">
        <v>1</v>
      </c>
      <c r="H589" t="s">
        <v>17159</v>
      </c>
    </row>
    <row r="590" spans="1:8" hidden="1" x14ac:dyDescent="0.25">
      <c r="A590">
        <v>1000356</v>
      </c>
      <c r="B590" t="s">
        <v>17147</v>
      </c>
      <c r="C590" t="s">
        <v>15134</v>
      </c>
      <c r="D590" t="s">
        <v>15135</v>
      </c>
      <c r="E590">
        <v>73363000</v>
      </c>
      <c r="F590" t="s">
        <v>15136</v>
      </c>
      <c r="G590" t="b">
        <v>1</v>
      </c>
      <c r="H590" t="s">
        <v>17148</v>
      </c>
    </row>
    <row r="591" spans="1:8" hidden="1" x14ac:dyDescent="0.25">
      <c r="A591">
        <v>1000356</v>
      </c>
      <c r="B591" t="s">
        <v>17147</v>
      </c>
      <c r="C591" t="s">
        <v>15134</v>
      </c>
      <c r="D591" t="s">
        <v>15135</v>
      </c>
      <c r="E591">
        <v>73363000</v>
      </c>
      <c r="F591" t="s">
        <v>15138</v>
      </c>
      <c r="G591" t="b">
        <v>1</v>
      </c>
      <c r="H591" t="s">
        <v>17148</v>
      </c>
    </row>
    <row r="592" spans="1:8" hidden="1" x14ac:dyDescent="0.25">
      <c r="A592">
        <v>1000361</v>
      </c>
      <c r="B592" t="s">
        <v>17151</v>
      </c>
      <c r="C592" t="s">
        <v>15134</v>
      </c>
      <c r="D592" t="s">
        <v>15135</v>
      </c>
      <c r="E592">
        <v>73363001</v>
      </c>
      <c r="F592" t="s">
        <v>15136</v>
      </c>
      <c r="G592" t="b">
        <v>1</v>
      </c>
      <c r="H592" t="s">
        <v>17148</v>
      </c>
    </row>
    <row r="593" spans="1:8" hidden="1" x14ac:dyDescent="0.25">
      <c r="A593">
        <v>1000361</v>
      </c>
      <c r="B593" t="s">
        <v>17151</v>
      </c>
      <c r="C593" t="s">
        <v>15134</v>
      </c>
      <c r="D593" t="s">
        <v>15135</v>
      </c>
      <c r="E593">
        <v>73363001</v>
      </c>
      <c r="F593" t="s">
        <v>15138</v>
      </c>
      <c r="G593" t="b">
        <v>1</v>
      </c>
      <c r="H593" t="s">
        <v>17148</v>
      </c>
    </row>
    <row r="594" spans="1:8" hidden="1" x14ac:dyDescent="0.25">
      <c r="A594">
        <v>740776</v>
      </c>
      <c r="B594" t="s">
        <v>17021</v>
      </c>
      <c r="C594" t="s">
        <v>15134</v>
      </c>
      <c r="D594" t="s">
        <v>15135</v>
      </c>
      <c r="E594">
        <v>103207005</v>
      </c>
    </row>
    <row r="595" spans="1:8" hidden="1" x14ac:dyDescent="0.25">
      <c r="A595">
        <v>9945</v>
      </c>
      <c r="B595" t="s">
        <v>15742</v>
      </c>
      <c r="C595" t="s">
        <v>15134</v>
      </c>
      <c r="D595" t="s">
        <v>15135</v>
      </c>
      <c r="E595">
        <v>103064001</v>
      </c>
    </row>
    <row r="596" spans="1:8" hidden="1" x14ac:dyDescent="0.25">
      <c r="A596">
        <v>9757</v>
      </c>
      <c r="B596" t="s">
        <v>15652</v>
      </c>
      <c r="C596" t="s">
        <v>15134</v>
      </c>
      <c r="D596" t="s">
        <v>15135</v>
      </c>
      <c r="E596">
        <v>102231001</v>
      </c>
    </row>
    <row r="597" spans="1:8" hidden="1" x14ac:dyDescent="0.25">
      <c r="A597">
        <v>90370</v>
      </c>
      <c r="B597" t="s">
        <v>16593</v>
      </c>
      <c r="C597" t="s">
        <v>15134</v>
      </c>
      <c r="D597" t="s">
        <v>15135</v>
      </c>
      <c r="E597">
        <v>72441001</v>
      </c>
      <c r="F597" t="s">
        <v>15145</v>
      </c>
      <c r="G597" t="b">
        <v>1</v>
      </c>
      <c r="H597" t="s">
        <v>16592</v>
      </c>
    </row>
    <row r="598" spans="1:8" hidden="1" x14ac:dyDescent="0.25">
      <c r="A598">
        <v>90761</v>
      </c>
      <c r="B598" t="s">
        <v>16674</v>
      </c>
      <c r="C598" t="s">
        <v>15134</v>
      </c>
      <c r="D598" t="s">
        <v>15135</v>
      </c>
      <c r="E598">
        <v>133026000</v>
      </c>
      <c r="F598" t="s">
        <v>15138</v>
      </c>
      <c r="G598" t="b">
        <v>1</v>
      </c>
      <c r="H598" t="s">
        <v>16675</v>
      </c>
    </row>
    <row r="599" spans="1:8" hidden="1" x14ac:dyDescent="0.25">
      <c r="A599">
        <v>90761</v>
      </c>
      <c r="B599" t="s">
        <v>16674</v>
      </c>
      <c r="C599" t="s">
        <v>15134</v>
      </c>
      <c r="D599" t="s">
        <v>15135</v>
      </c>
      <c r="E599">
        <v>133026000</v>
      </c>
      <c r="F599" t="s">
        <v>15136</v>
      </c>
      <c r="G599" t="b">
        <v>1</v>
      </c>
      <c r="H599" t="s">
        <v>16676</v>
      </c>
    </row>
    <row r="600" spans="1:8" hidden="1" x14ac:dyDescent="0.25">
      <c r="A600">
        <v>1000315</v>
      </c>
      <c r="B600" t="s">
        <v>17130</v>
      </c>
      <c r="C600" t="s">
        <v>15134</v>
      </c>
      <c r="D600" t="s">
        <v>15135</v>
      </c>
      <c r="E600">
        <v>73358000</v>
      </c>
      <c r="F600" t="s">
        <v>15138</v>
      </c>
      <c r="G600" t="b">
        <v>1</v>
      </c>
      <c r="H600" t="s">
        <v>17131</v>
      </c>
    </row>
    <row r="601" spans="1:8" hidden="1" x14ac:dyDescent="0.25">
      <c r="A601">
        <v>1000315</v>
      </c>
      <c r="B601" t="s">
        <v>17130</v>
      </c>
      <c r="C601" t="s">
        <v>15134</v>
      </c>
      <c r="D601" t="s">
        <v>15135</v>
      </c>
      <c r="E601">
        <v>73358000</v>
      </c>
      <c r="F601" t="s">
        <v>15136</v>
      </c>
      <c r="G601" t="b">
        <v>1</v>
      </c>
      <c r="H601" t="s">
        <v>17131</v>
      </c>
    </row>
    <row r="602" spans="1:8" hidden="1" x14ac:dyDescent="0.25">
      <c r="A602">
        <v>92799</v>
      </c>
      <c r="B602" t="s">
        <v>16925</v>
      </c>
      <c r="C602" t="s">
        <v>15134</v>
      </c>
      <c r="D602" t="s">
        <v>15135</v>
      </c>
      <c r="E602">
        <v>142209000</v>
      </c>
      <c r="F602" t="s">
        <v>15138</v>
      </c>
      <c r="G602" t="b">
        <v>0</v>
      </c>
      <c r="H602" t="s">
        <v>16926</v>
      </c>
    </row>
    <row r="603" spans="1:8" hidden="1" x14ac:dyDescent="0.25">
      <c r="A603">
        <v>92799</v>
      </c>
      <c r="B603" t="s">
        <v>16925</v>
      </c>
      <c r="C603" t="s">
        <v>15134</v>
      </c>
      <c r="D603" t="s">
        <v>15135</v>
      </c>
      <c r="E603">
        <v>142209000</v>
      </c>
      <c r="F603" t="s">
        <v>15136</v>
      </c>
      <c r="G603" t="b">
        <v>0</v>
      </c>
      <c r="H603" t="s">
        <v>16926</v>
      </c>
    </row>
    <row r="604" spans="1:8" hidden="1" x14ac:dyDescent="0.25">
      <c r="A604">
        <v>92800</v>
      </c>
      <c r="B604" t="s">
        <v>16925</v>
      </c>
      <c r="C604" t="s">
        <v>15134</v>
      </c>
      <c r="D604" t="s">
        <v>15135</v>
      </c>
      <c r="E604">
        <v>142209001</v>
      </c>
      <c r="F604" t="s">
        <v>15138</v>
      </c>
      <c r="G604" t="b">
        <v>0</v>
      </c>
      <c r="H604" t="s">
        <v>16926</v>
      </c>
    </row>
    <row r="605" spans="1:8" hidden="1" x14ac:dyDescent="0.25">
      <c r="A605">
        <v>92800</v>
      </c>
      <c r="B605" t="s">
        <v>16925</v>
      </c>
      <c r="C605" t="s">
        <v>15134</v>
      </c>
      <c r="D605" t="s">
        <v>15135</v>
      </c>
      <c r="E605">
        <v>142209001</v>
      </c>
      <c r="F605" t="s">
        <v>15136</v>
      </c>
      <c r="G605" t="b">
        <v>0</v>
      </c>
      <c r="H605" t="s">
        <v>16926</v>
      </c>
    </row>
    <row r="606" spans="1:8" hidden="1" x14ac:dyDescent="0.25">
      <c r="A606">
        <v>78722</v>
      </c>
      <c r="B606" t="s">
        <v>15874</v>
      </c>
      <c r="C606" t="s">
        <v>15134</v>
      </c>
      <c r="D606" t="s">
        <v>15135</v>
      </c>
      <c r="E606">
        <v>72417001</v>
      </c>
    </row>
    <row r="607" spans="1:8" hidden="1" x14ac:dyDescent="0.25">
      <c r="A607">
        <v>8767</v>
      </c>
      <c r="B607" t="s">
        <v>15261</v>
      </c>
      <c r="C607" t="s">
        <v>15134</v>
      </c>
      <c r="D607" t="s">
        <v>15135</v>
      </c>
      <c r="E607">
        <v>72405000</v>
      </c>
    </row>
    <row r="608" spans="1:8" hidden="1" x14ac:dyDescent="0.25">
      <c r="A608">
        <v>8692</v>
      </c>
      <c r="B608" t="s">
        <v>15203</v>
      </c>
      <c r="C608" t="s">
        <v>15134</v>
      </c>
      <c r="D608" t="s">
        <v>15135</v>
      </c>
      <c r="E608">
        <v>72225000</v>
      </c>
    </row>
    <row r="609" spans="1:8" hidden="1" x14ac:dyDescent="0.25">
      <c r="A609">
        <v>8690</v>
      </c>
      <c r="B609" t="s">
        <v>15201</v>
      </c>
      <c r="C609" t="s">
        <v>15134</v>
      </c>
      <c r="D609" t="s">
        <v>15135</v>
      </c>
      <c r="E609">
        <v>72224000</v>
      </c>
    </row>
    <row r="610" spans="1:8" hidden="1" x14ac:dyDescent="0.25">
      <c r="A610">
        <v>9796</v>
      </c>
      <c r="B610" t="s">
        <v>15688</v>
      </c>
      <c r="C610" t="s">
        <v>15134</v>
      </c>
      <c r="D610" t="s">
        <v>15135</v>
      </c>
      <c r="E610">
        <v>102253000</v>
      </c>
    </row>
    <row r="611" spans="1:8" hidden="1" x14ac:dyDescent="0.25">
      <c r="A611">
        <v>8779</v>
      </c>
      <c r="B611" t="s">
        <v>15271</v>
      </c>
      <c r="C611" t="s">
        <v>15134</v>
      </c>
      <c r="D611" t="s">
        <v>15135</v>
      </c>
      <c r="E611">
        <v>72408001</v>
      </c>
      <c r="F611" t="s">
        <v>15145</v>
      </c>
      <c r="G611" t="b">
        <v>1</v>
      </c>
      <c r="H611" t="s">
        <v>15270</v>
      </c>
    </row>
    <row r="612" spans="1:8" hidden="1" x14ac:dyDescent="0.25">
      <c r="A612">
        <v>8779</v>
      </c>
      <c r="B612" t="s">
        <v>15271</v>
      </c>
      <c r="C612" t="s">
        <v>15134</v>
      </c>
      <c r="D612" t="s">
        <v>15135</v>
      </c>
      <c r="E612">
        <v>72408001</v>
      </c>
      <c r="F612" t="s">
        <v>15138</v>
      </c>
      <c r="G612" t="b">
        <v>1</v>
      </c>
      <c r="H612" t="s">
        <v>15270</v>
      </c>
    </row>
    <row r="613" spans="1:8" hidden="1" x14ac:dyDescent="0.25">
      <c r="A613">
        <v>91235</v>
      </c>
      <c r="B613" t="s">
        <v>16755</v>
      </c>
      <c r="C613" t="s">
        <v>15134</v>
      </c>
      <c r="D613" t="s">
        <v>15135</v>
      </c>
      <c r="E613">
        <v>72445000</v>
      </c>
      <c r="F613" t="s">
        <v>15145</v>
      </c>
      <c r="G613" t="b">
        <v>1</v>
      </c>
      <c r="H613" t="s">
        <v>16756</v>
      </c>
    </row>
    <row r="614" spans="1:8" hidden="1" x14ac:dyDescent="0.25">
      <c r="A614">
        <v>42450</v>
      </c>
      <c r="B614" t="s">
        <v>15868</v>
      </c>
      <c r="C614" t="s">
        <v>15134</v>
      </c>
      <c r="D614" t="s">
        <v>15135</v>
      </c>
      <c r="E614">
        <v>143031000</v>
      </c>
      <c r="F614" t="s">
        <v>15138</v>
      </c>
      <c r="G614" t="b">
        <v>0</v>
      </c>
      <c r="H614" t="s">
        <v>15869</v>
      </c>
    </row>
    <row r="615" spans="1:8" hidden="1" x14ac:dyDescent="0.25">
      <c r="A615">
        <v>42450</v>
      </c>
      <c r="B615" t="s">
        <v>15868</v>
      </c>
      <c r="C615" t="s">
        <v>15134</v>
      </c>
      <c r="D615" t="s">
        <v>15135</v>
      </c>
      <c r="E615">
        <v>143031000</v>
      </c>
      <c r="F615" t="s">
        <v>15136</v>
      </c>
      <c r="G615" t="b">
        <v>0</v>
      </c>
      <c r="H615" t="s">
        <v>15869</v>
      </c>
    </row>
    <row r="616" spans="1:8" hidden="1" x14ac:dyDescent="0.25">
      <c r="A616">
        <v>9821</v>
      </c>
      <c r="B616" t="s">
        <v>15699</v>
      </c>
      <c r="C616" t="s">
        <v>15134</v>
      </c>
      <c r="D616" t="s">
        <v>15135</v>
      </c>
      <c r="E616">
        <v>102502000</v>
      </c>
      <c r="F616" t="s">
        <v>15136</v>
      </c>
      <c r="G616" t="b">
        <v>0</v>
      </c>
      <c r="H616" t="s">
        <v>15700</v>
      </c>
    </row>
    <row r="617" spans="1:8" hidden="1" x14ac:dyDescent="0.25">
      <c r="A617">
        <v>9821</v>
      </c>
      <c r="B617" t="s">
        <v>15699</v>
      </c>
      <c r="C617" t="s">
        <v>15134</v>
      </c>
      <c r="D617" t="s">
        <v>15135</v>
      </c>
      <c r="E617">
        <v>102502000</v>
      </c>
      <c r="F617" t="s">
        <v>15138</v>
      </c>
      <c r="G617" t="b">
        <v>0</v>
      </c>
      <c r="H617" t="s">
        <v>15701</v>
      </c>
    </row>
    <row r="618" spans="1:8" hidden="1" x14ac:dyDescent="0.25">
      <c r="A618">
        <v>8742</v>
      </c>
      <c r="B618" t="s">
        <v>15238</v>
      </c>
      <c r="C618" t="s">
        <v>15134</v>
      </c>
      <c r="D618" t="s">
        <v>15135</v>
      </c>
      <c r="E618">
        <v>72297000</v>
      </c>
    </row>
    <row r="619" spans="1:8" hidden="1" x14ac:dyDescent="0.25">
      <c r="A619">
        <v>84668</v>
      </c>
      <c r="B619" t="s">
        <v>16296</v>
      </c>
      <c r="C619" t="s">
        <v>15134</v>
      </c>
      <c r="D619" t="s">
        <v>15135</v>
      </c>
      <c r="E619">
        <v>102241003</v>
      </c>
      <c r="F619" t="s">
        <v>15138</v>
      </c>
      <c r="G619" t="b">
        <v>1</v>
      </c>
      <c r="H619" t="s">
        <v>16297</v>
      </c>
    </row>
    <row r="620" spans="1:8" hidden="1" x14ac:dyDescent="0.25">
      <c r="A620">
        <v>84668</v>
      </c>
      <c r="B620" t="s">
        <v>16296</v>
      </c>
      <c r="C620" t="s">
        <v>15134</v>
      </c>
      <c r="D620" t="s">
        <v>15135</v>
      </c>
      <c r="E620">
        <v>102241003</v>
      </c>
      <c r="F620" t="s">
        <v>15145</v>
      </c>
      <c r="G620" t="b">
        <v>1</v>
      </c>
      <c r="H620" t="s">
        <v>16298</v>
      </c>
    </row>
    <row r="621" spans="1:8" hidden="1" x14ac:dyDescent="0.25">
      <c r="A621">
        <v>86679</v>
      </c>
      <c r="B621" t="s">
        <v>16325</v>
      </c>
      <c r="C621" t="s">
        <v>15134</v>
      </c>
      <c r="D621" t="s">
        <v>15135</v>
      </c>
      <c r="E621">
        <v>73519001</v>
      </c>
      <c r="F621" t="s">
        <v>15138</v>
      </c>
      <c r="G621" t="b">
        <v>1</v>
      </c>
      <c r="H621" t="s">
        <v>16326</v>
      </c>
    </row>
    <row r="622" spans="1:8" hidden="1" x14ac:dyDescent="0.25">
      <c r="A622">
        <v>86679</v>
      </c>
      <c r="B622" t="s">
        <v>16325</v>
      </c>
      <c r="C622" t="s">
        <v>15134</v>
      </c>
      <c r="D622" t="s">
        <v>15135</v>
      </c>
      <c r="E622">
        <v>73519001</v>
      </c>
      <c r="F622" t="s">
        <v>15145</v>
      </c>
      <c r="G622" t="b">
        <v>1</v>
      </c>
      <c r="H622" t="s">
        <v>16326</v>
      </c>
    </row>
    <row r="623" spans="1:8" hidden="1" x14ac:dyDescent="0.25">
      <c r="A623">
        <v>91298</v>
      </c>
      <c r="B623" t="s">
        <v>16764</v>
      </c>
      <c r="C623" t="s">
        <v>15134</v>
      </c>
      <c r="D623" t="s">
        <v>15135</v>
      </c>
      <c r="E623">
        <v>103225001</v>
      </c>
      <c r="F623" t="s">
        <v>15145</v>
      </c>
      <c r="G623" t="b">
        <v>1</v>
      </c>
      <c r="H623" t="s">
        <v>16765</v>
      </c>
    </row>
    <row r="624" spans="1:8" hidden="1" x14ac:dyDescent="0.25">
      <c r="A624">
        <v>89504</v>
      </c>
      <c r="B624" t="s">
        <v>16407</v>
      </c>
      <c r="C624" t="s">
        <v>15134</v>
      </c>
      <c r="D624" t="s">
        <v>15135</v>
      </c>
      <c r="E624">
        <v>72227000</v>
      </c>
      <c r="F624" t="s">
        <v>15145</v>
      </c>
      <c r="G624" t="b">
        <v>1</v>
      </c>
      <c r="H624" t="s">
        <v>16408</v>
      </c>
    </row>
    <row r="625" spans="1:8" hidden="1" x14ac:dyDescent="0.25">
      <c r="A625">
        <v>89504</v>
      </c>
      <c r="B625" t="s">
        <v>16407</v>
      </c>
      <c r="C625" t="s">
        <v>15134</v>
      </c>
      <c r="D625" t="s">
        <v>15135</v>
      </c>
      <c r="E625">
        <v>72227000</v>
      </c>
      <c r="F625" t="s">
        <v>15138</v>
      </c>
      <c r="G625" t="b">
        <v>1</v>
      </c>
      <c r="H625" t="s">
        <v>16408</v>
      </c>
    </row>
    <row r="626" spans="1:8" hidden="1" x14ac:dyDescent="0.25">
      <c r="A626">
        <v>89505</v>
      </c>
      <c r="B626" t="s">
        <v>16409</v>
      </c>
      <c r="C626" t="s">
        <v>15134</v>
      </c>
      <c r="D626" t="s">
        <v>15135</v>
      </c>
      <c r="E626">
        <v>72227001</v>
      </c>
      <c r="F626" t="s">
        <v>15138</v>
      </c>
      <c r="G626" t="b">
        <v>1</v>
      </c>
      <c r="H626" t="s">
        <v>16408</v>
      </c>
    </row>
    <row r="627" spans="1:8" hidden="1" x14ac:dyDescent="0.25">
      <c r="A627">
        <v>89505</v>
      </c>
      <c r="B627" t="s">
        <v>16409</v>
      </c>
      <c r="C627" t="s">
        <v>15134</v>
      </c>
      <c r="D627" t="s">
        <v>15135</v>
      </c>
      <c r="E627">
        <v>72227001</v>
      </c>
      <c r="F627" t="s">
        <v>15145</v>
      </c>
      <c r="G627" t="b">
        <v>1</v>
      </c>
      <c r="H627" t="s">
        <v>16408</v>
      </c>
    </row>
    <row r="628" spans="1:8" hidden="1" x14ac:dyDescent="0.25">
      <c r="A628">
        <v>80659</v>
      </c>
      <c r="B628" t="s">
        <v>16163</v>
      </c>
      <c r="C628" t="s">
        <v>15134</v>
      </c>
      <c r="D628" t="s">
        <v>15135</v>
      </c>
      <c r="E628">
        <v>73254004</v>
      </c>
      <c r="F628" t="s">
        <v>15145</v>
      </c>
      <c r="G628" t="b">
        <v>1</v>
      </c>
      <c r="H628" t="s">
        <v>16164</v>
      </c>
    </row>
    <row r="629" spans="1:8" hidden="1" x14ac:dyDescent="0.25">
      <c r="A629">
        <v>80659</v>
      </c>
      <c r="B629" t="s">
        <v>16163</v>
      </c>
      <c r="C629" t="s">
        <v>15134</v>
      </c>
      <c r="D629" t="s">
        <v>15135</v>
      </c>
      <c r="E629">
        <v>73254004</v>
      </c>
      <c r="F629" t="s">
        <v>15138</v>
      </c>
      <c r="G629" t="b">
        <v>0</v>
      </c>
      <c r="H629" t="s">
        <v>16160</v>
      </c>
    </row>
    <row r="630" spans="1:8" hidden="1" x14ac:dyDescent="0.25">
      <c r="A630">
        <v>89661</v>
      </c>
      <c r="B630" t="s">
        <v>16422</v>
      </c>
      <c r="C630" t="s">
        <v>15134</v>
      </c>
      <c r="D630" t="s">
        <v>15135</v>
      </c>
      <c r="E630">
        <v>133021003</v>
      </c>
      <c r="F630" t="s">
        <v>15145</v>
      </c>
      <c r="G630" t="b">
        <v>1</v>
      </c>
      <c r="H630" t="s">
        <v>16423</v>
      </c>
    </row>
    <row r="631" spans="1:8" hidden="1" x14ac:dyDescent="0.25">
      <c r="A631">
        <v>9423</v>
      </c>
      <c r="B631" t="s">
        <v>15521</v>
      </c>
      <c r="C631" t="s">
        <v>15134</v>
      </c>
      <c r="D631" t="s">
        <v>15135</v>
      </c>
      <c r="E631">
        <v>73257001</v>
      </c>
    </row>
    <row r="632" spans="1:8" hidden="1" x14ac:dyDescent="0.25">
      <c r="A632">
        <v>80658</v>
      </c>
      <c r="B632" t="s">
        <v>16161</v>
      </c>
      <c r="C632" t="s">
        <v>15134</v>
      </c>
      <c r="D632" t="s">
        <v>15135</v>
      </c>
      <c r="E632">
        <v>73254003</v>
      </c>
      <c r="F632" t="s">
        <v>15145</v>
      </c>
      <c r="G632" t="b">
        <v>1</v>
      </c>
      <c r="H632" t="s">
        <v>16162</v>
      </c>
    </row>
    <row r="633" spans="1:8" hidden="1" x14ac:dyDescent="0.25">
      <c r="A633">
        <v>80658</v>
      </c>
      <c r="B633" t="s">
        <v>16161</v>
      </c>
      <c r="C633" t="s">
        <v>15134</v>
      </c>
      <c r="D633" t="s">
        <v>15135</v>
      </c>
      <c r="E633">
        <v>73254003</v>
      </c>
      <c r="F633" t="s">
        <v>15138</v>
      </c>
      <c r="G633" t="b">
        <v>0</v>
      </c>
      <c r="H633" t="s">
        <v>16160</v>
      </c>
    </row>
    <row r="634" spans="1:8" hidden="1" x14ac:dyDescent="0.25">
      <c r="A634">
        <v>91143</v>
      </c>
      <c r="B634" t="s">
        <v>16746</v>
      </c>
      <c r="C634" t="s">
        <v>15134</v>
      </c>
      <c r="D634" t="s">
        <v>15135</v>
      </c>
      <c r="E634">
        <v>73519002</v>
      </c>
      <c r="F634" t="s">
        <v>15145</v>
      </c>
      <c r="G634" t="b">
        <v>1</v>
      </c>
      <c r="H634" t="s">
        <v>16432</v>
      </c>
    </row>
    <row r="635" spans="1:8" hidden="1" x14ac:dyDescent="0.25">
      <c r="A635">
        <v>79355</v>
      </c>
      <c r="B635" t="s">
        <v>15953</v>
      </c>
      <c r="C635" t="s">
        <v>15134</v>
      </c>
      <c r="D635" t="s">
        <v>15135</v>
      </c>
      <c r="E635">
        <v>133021000</v>
      </c>
      <c r="F635" t="s">
        <v>15136</v>
      </c>
      <c r="G635" t="b">
        <v>1</v>
      </c>
      <c r="H635" t="s">
        <v>15954</v>
      </c>
    </row>
    <row r="636" spans="1:8" hidden="1" x14ac:dyDescent="0.25">
      <c r="A636">
        <v>79355</v>
      </c>
      <c r="B636" t="s">
        <v>15953</v>
      </c>
      <c r="C636" t="s">
        <v>15134</v>
      </c>
      <c r="D636" t="s">
        <v>15135</v>
      </c>
      <c r="E636">
        <v>133021000</v>
      </c>
      <c r="F636" t="s">
        <v>15138</v>
      </c>
      <c r="G636" t="b">
        <v>1</v>
      </c>
      <c r="H636" t="s">
        <v>15955</v>
      </c>
    </row>
    <row r="637" spans="1:8" hidden="1" x14ac:dyDescent="0.25">
      <c r="A637">
        <v>8598</v>
      </c>
      <c r="B637" t="s">
        <v>15169</v>
      </c>
      <c r="C637" t="s">
        <v>15134</v>
      </c>
      <c r="D637" t="s">
        <v>15135</v>
      </c>
      <c r="E637">
        <v>52201000</v>
      </c>
    </row>
    <row r="638" spans="1:8" hidden="1" x14ac:dyDescent="0.25">
      <c r="A638">
        <v>8599</v>
      </c>
      <c r="B638" t="s">
        <v>15169</v>
      </c>
      <c r="C638" t="s">
        <v>15134</v>
      </c>
      <c r="D638" t="s">
        <v>15135</v>
      </c>
      <c r="E638">
        <v>52201001</v>
      </c>
    </row>
    <row r="639" spans="1:8" hidden="1" x14ac:dyDescent="0.25">
      <c r="A639">
        <v>639792</v>
      </c>
      <c r="B639" t="s">
        <v>17015</v>
      </c>
      <c r="C639" t="s">
        <v>15134</v>
      </c>
      <c r="D639" t="s">
        <v>15135</v>
      </c>
      <c r="E639">
        <v>32213000</v>
      </c>
      <c r="F639" t="s">
        <v>15136</v>
      </c>
      <c r="G639" t="b">
        <v>1</v>
      </c>
      <c r="H639" t="s">
        <v>17016</v>
      </c>
    </row>
    <row r="640" spans="1:8" hidden="1" x14ac:dyDescent="0.25">
      <c r="A640">
        <v>639792</v>
      </c>
      <c r="B640" t="s">
        <v>17015</v>
      </c>
      <c r="C640" t="s">
        <v>15134</v>
      </c>
      <c r="D640" t="s">
        <v>15135</v>
      </c>
      <c r="E640">
        <v>32213000</v>
      </c>
      <c r="F640" t="s">
        <v>15138</v>
      </c>
      <c r="G640" t="b">
        <v>1</v>
      </c>
      <c r="H640" t="s">
        <v>16082</v>
      </c>
    </row>
    <row r="641" spans="1:8" hidden="1" x14ac:dyDescent="0.25">
      <c r="A641">
        <v>79358</v>
      </c>
      <c r="B641" t="s">
        <v>15959</v>
      </c>
      <c r="C641" t="s">
        <v>15134</v>
      </c>
      <c r="D641" t="s">
        <v>15135</v>
      </c>
      <c r="E641">
        <v>32210000</v>
      </c>
      <c r="F641" t="s">
        <v>15138</v>
      </c>
      <c r="G641" t="b">
        <v>1</v>
      </c>
      <c r="H641" t="s">
        <v>15960</v>
      </c>
    </row>
    <row r="642" spans="1:8" hidden="1" x14ac:dyDescent="0.25">
      <c r="A642">
        <v>79358</v>
      </c>
      <c r="B642" t="s">
        <v>15959</v>
      </c>
      <c r="C642" t="s">
        <v>15134</v>
      </c>
      <c r="D642" t="s">
        <v>15135</v>
      </c>
      <c r="E642">
        <v>32210000</v>
      </c>
      <c r="F642" t="s">
        <v>15145</v>
      </c>
      <c r="G642" t="b">
        <v>1</v>
      </c>
      <c r="H642" t="s">
        <v>15960</v>
      </c>
    </row>
    <row r="643" spans="1:8" hidden="1" x14ac:dyDescent="0.25">
      <c r="A643">
        <v>8733</v>
      </c>
      <c r="B643" t="s">
        <v>15234</v>
      </c>
      <c r="C643" t="s">
        <v>15134</v>
      </c>
      <c r="D643" t="s">
        <v>15135</v>
      </c>
      <c r="E643">
        <v>72292001</v>
      </c>
    </row>
    <row r="644" spans="1:8" hidden="1" x14ac:dyDescent="0.25">
      <c r="A644">
        <v>8732</v>
      </c>
      <c r="B644" t="s">
        <v>15233</v>
      </c>
      <c r="C644" t="s">
        <v>15134</v>
      </c>
      <c r="D644" t="s">
        <v>15135</v>
      </c>
      <c r="E644">
        <v>72292000</v>
      </c>
    </row>
    <row r="645" spans="1:8" hidden="1" x14ac:dyDescent="0.25">
      <c r="A645">
        <v>9173</v>
      </c>
      <c r="B645" t="s">
        <v>15392</v>
      </c>
      <c r="C645" t="s">
        <v>15134</v>
      </c>
      <c r="D645" t="s">
        <v>15135</v>
      </c>
      <c r="E645">
        <v>73116000</v>
      </c>
      <c r="F645" t="s">
        <v>15136</v>
      </c>
      <c r="G645" t="b">
        <v>0</v>
      </c>
      <c r="H645" t="s">
        <v>15393</v>
      </c>
    </row>
    <row r="646" spans="1:8" hidden="1" x14ac:dyDescent="0.25">
      <c r="A646">
        <v>9173</v>
      </c>
      <c r="B646" t="s">
        <v>15392</v>
      </c>
      <c r="C646" t="s">
        <v>15134</v>
      </c>
      <c r="D646" t="s">
        <v>15135</v>
      </c>
      <c r="E646">
        <v>73116000</v>
      </c>
      <c r="F646" t="s">
        <v>15138</v>
      </c>
      <c r="G646" t="b">
        <v>1</v>
      </c>
      <c r="H646" t="s">
        <v>15394</v>
      </c>
    </row>
    <row r="647" spans="1:8" hidden="1" x14ac:dyDescent="0.25">
      <c r="A647">
        <v>8495</v>
      </c>
      <c r="B647" t="s">
        <v>15151</v>
      </c>
      <c r="C647" t="s">
        <v>15134</v>
      </c>
      <c r="D647" t="s">
        <v>15135</v>
      </c>
      <c r="E647">
        <v>22501000</v>
      </c>
      <c r="F647" t="s">
        <v>15136</v>
      </c>
      <c r="G647" t="b">
        <v>0</v>
      </c>
      <c r="H647" t="s">
        <v>15152</v>
      </c>
    </row>
    <row r="648" spans="1:8" hidden="1" x14ac:dyDescent="0.25">
      <c r="A648">
        <v>8495</v>
      </c>
      <c r="B648" t="s">
        <v>15151</v>
      </c>
      <c r="C648" t="s">
        <v>15134</v>
      </c>
      <c r="D648" t="s">
        <v>15135</v>
      </c>
      <c r="E648">
        <v>22501000</v>
      </c>
      <c r="F648" t="s">
        <v>15138</v>
      </c>
      <c r="G648" t="b">
        <v>0</v>
      </c>
      <c r="H648" t="s">
        <v>15152</v>
      </c>
    </row>
    <row r="649" spans="1:8" hidden="1" x14ac:dyDescent="0.25">
      <c r="A649">
        <v>8685</v>
      </c>
      <c r="B649" t="s">
        <v>15197</v>
      </c>
      <c r="C649" t="s">
        <v>15134</v>
      </c>
      <c r="D649" t="s">
        <v>15135</v>
      </c>
      <c r="E649">
        <v>72222000</v>
      </c>
    </row>
    <row r="650" spans="1:8" hidden="1" x14ac:dyDescent="0.25">
      <c r="A650">
        <v>79182</v>
      </c>
      <c r="B650" t="s">
        <v>15902</v>
      </c>
      <c r="C650" t="s">
        <v>15134</v>
      </c>
      <c r="D650" t="s">
        <v>15135</v>
      </c>
      <c r="E650">
        <v>82208000</v>
      </c>
      <c r="F650" t="s">
        <v>15138</v>
      </c>
      <c r="G650" t="b">
        <v>1</v>
      </c>
      <c r="H650" t="s">
        <v>15903</v>
      </c>
    </row>
    <row r="651" spans="1:8" hidden="1" x14ac:dyDescent="0.25">
      <c r="A651">
        <v>79182</v>
      </c>
      <c r="B651" t="s">
        <v>15902</v>
      </c>
      <c r="C651" t="s">
        <v>15134</v>
      </c>
      <c r="D651" t="s">
        <v>15135</v>
      </c>
      <c r="E651">
        <v>82208000</v>
      </c>
      <c r="F651" t="s">
        <v>15136</v>
      </c>
      <c r="G651" t="b">
        <v>1</v>
      </c>
      <c r="H651" t="s">
        <v>15904</v>
      </c>
    </row>
    <row r="652" spans="1:8" hidden="1" x14ac:dyDescent="0.25">
      <c r="A652">
        <v>9883</v>
      </c>
      <c r="B652" t="s">
        <v>15714</v>
      </c>
      <c r="C652" t="s">
        <v>15134</v>
      </c>
      <c r="D652" t="s">
        <v>15135</v>
      </c>
      <c r="E652">
        <v>103022001</v>
      </c>
    </row>
    <row r="653" spans="1:8" hidden="1" x14ac:dyDescent="0.25">
      <c r="A653">
        <v>8677</v>
      </c>
      <c r="B653" t="s">
        <v>15189</v>
      </c>
      <c r="C653" t="s">
        <v>15134</v>
      </c>
      <c r="D653" t="s">
        <v>15135</v>
      </c>
      <c r="E653">
        <v>72213000</v>
      </c>
    </row>
    <row r="654" spans="1:8" hidden="1" x14ac:dyDescent="0.25">
      <c r="A654">
        <v>8660</v>
      </c>
      <c r="B654" t="s">
        <v>15178</v>
      </c>
      <c r="C654" t="s">
        <v>15134</v>
      </c>
      <c r="D654" t="s">
        <v>15135</v>
      </c>
      <c r="E654">
        <v>72204000</v>
      </c>
    </row>
    <row r="655" spans="1:8" hidden="1" x14ac:dyDescent="0.25">
      <c r="A655">
        <v>1000334</v>
      </c>
      <c r="B655" t="s">
        <v>17144</v>
      </c>
      <c r="C655" t="s">
        <v>15134</v>
      </c>
      <c r="D655" t="s">
        <v>15135</v>
      </c>
      <c r="E655">
        <v>73362001</v>
      </c>
      <c r="F655" t="s">
        <v>15136</v>
      </c>
      <c r="G655" t="b">
        <v>1</v>
      </c>
      <c r="H655" t="s">
        <v>17143</v>
      </c>
    </row>
    <row r="656" spans="1:8" hidden="1" x14ac:dyDescent="0.25">
      <c r="A656">
        <v>1000334</v>
      </c>
      <c r="B656" t="s">
        <v>17144</v>
      </c>
      <c r="C656" t="s">
        <v>15134</v>
      </c>
      <c r="D656" t="s">
        <v>15135</v>
      </c>
      <c r="E656">
        <v>73362001</v>
      </c>
      <c r="F656" t="s">
        <v>15138</v>
      </c>
      <c r="G656" t="b">
        <v>1</v>
      </c>
      <c r="H656" t="s">
        <v>17143</v>
      </c>
    </row>
    <row r="657" spans="1:8" hidden="1" x14ac:dyDescent="0.25">
      <c r="A657">
        <v>1000333</v>
      </c>
      <c r="B657" t="s">
        <v>17142</v>
      </c>
      <c r="C657" t="s">
        <v>15134</v>
      </c>
      <c r="D657" t="s">
        <v>15135</v>
      </c>
      <c r="E657">
        <v>73362000</v>
      </c>
      <c r="F657" t="s">
        <v>15136</v>
      </c>
      <c r="G657" t="b">
        <v>1</v>
      </c>
      <c r="H657" t="s">
        <v>17143</v>
      </c>
    </row>
    <row r="658" spans="1:8" hidden="1" x14ac:dyDescent="0.25">
      <c r="A658">
        <v>1000333</v>
      </c>
      <c r="B658" t="s">
        <v>17142</v>
      </c>
      <c r="C658" t="s">
        <v>15134</v>
      </c>
      <c r="D658" t="s">
        <v>15135</v>
      </c>
      <c r="E658">
        <v>73362000</v>
      </c>
      <c r="F658" t="s">
        <v>15138</v>
      </c>
      <c r="G658" t="b">
        <v>1</v>
      </c>
      <c r="H658" t="s">
        <v>17143</v>
      </c>
    </row>
    <row r="659" spans="1:8" hidden="1" x14ac:dyDescent="0.25">
      <c r="A659">
        <v>79147</v>
      </c>
      <c r="B659" t="s">
        <v>15899</v>
      </c>
      <c r="C659" t="s">
        <v>15134</v>
      </c>
      <c r="D659" t="s">
        <v>15135</v>
      </c>
      <c r="E659">
        <v>22204000</v>
      </c>
      <c r="F659" t="s">
        <v>15145</v>
      </c>
      <c r="G659" t="b">
        <v>0</v>
      </c>
      <c r="H659" t="s">
        <v>15900</v>
      </c>
    </row>
    <row r="660" spans="1:8" hidden="1" x14ac:dyDescent="0.25">
      <c r="A660">
        <v>8686</v>
      </c>
      <c r="B660" t="s">
        <v>15198</v>
      </c>
      <c r="C660" t="s">
        <v>15134</v>
      </c>
      <c r="D660" t="s">
        <v>15135</v>
      </c>
      <c r="E660">
        <v>72222001</v>
      </c>
    </row>
    <row r="661" spans="1:8" hidden="1" x14ac:dyDescent="0.25">
      <c r="A661">
        <v>1000210</v>
      </c>
      <c r="B661" t="s">
        <v>17119</v>
      </c>
      <c r="C661" t="s">
        <v>15134</v>
      </c>
      <c r="D661" t="s">
        <v>15135</v>
      </c>
      <c r="E661">
        <v>73354001</v>
      </c>
      <c r="F661" t="s">
        <v>15136</v>
      </c>
      <c r="G661" t="b">
        <v>1</v>
      </c>
      <c r="H661" t="s">
        <v>17112</v>
      </c>
    </row>
    <row r="662" spans="1:8" hidden="1" x14ac:dyDescent="0.25">
      <c r="A662">
        <v>1000210</v>
      </c>
      <c r="B662" t="s">
        <v>17119</v>
      </c>
      <c r="C662" t="s">
        <v>15134</v>
      </c>
      <c r="D662" t="s">
        <v>15135</v>
      </c>
      <c r="E662">
        <v>73354001</v>
      </c>
      <c r="F662" t="s">
        <v>15138</v>
      </c>
      <c r="G662" t="b">
        <v>1</v>
      </c>
      <c r="H662" t="s">
        <v>17112</v>
      </c>
    </row>
    <row r="663" spans="1:8" hidden="1" x14ac:dyDescent="0.25">
      <c r="A663">
        <v>1000194</v>
      </c>
      <c r="B663" t="s">
        <v>17111</v>
      </c>
      <c r="C663" t="s">
        <v>15134</v>
      </c>
      <c r="D663" t="s">
        <v>15135</v>
      </c>
      <c r="E663">
        <v>73354000</v>
      </c>
      <c r="F663" t="s">
        <v>15136</v>
      </c>
      <c r="G663" t="b">
        <v>1</v>
      </c>
      <c r="H663" t="s">
        <v>17112</v>
      </c>
    </row>
    <row r="664" spans="1:8" hidden="1" x14ac:dyDescent="0.25">
      <c r="A664">
        <v>1000194</v>
      </c>
      <c r="B664" t="s">
        <v>17111</v>
      </c>
      <c r="C664" t="s">
        <v>15134</v>
      </c>
      <c r="D664" t="s">
        <v>15135</v>
      </c>
      <c r="E664">
        <v>73354000</v>
      </c>
      <c r="F664" t="s">
        <v>15138</v>
      </c>
      <c r="G664" t="b">
        <v>1</v>
      </c>
      <c r="H664" t="s">
        <v>17112</v>
      </c>
    </row>
    <row r="665" spans="1:8" hidden="1" x14ac:dyDescent="0.25">
      <c r="A665">
        <v>92723</v>
      </c>
      <c r="B665" t="s">
        <v>16915</v>
      </c>
      <c r="C665" t="s">
        <v>15134</v>
      </c>
      <c r="D665" t="s">
        <v>15135</v>
      </c>
      <c r="E665">
        <v>73318000</v>
      </c>
      <c r="F665" t="s">
        <v>15136</v>
      </c>
      <c r="G665" t="b">
        <v>1</v>
      </c>
      <c r="H665" t="s">
        <v>16916</v>
      </c>
    </row>
    <row r="666" spans="1:8" hidden="1" x14ac:dyDescent="0.25">
      <c r="A666">
        <v>92723</v>
      </c>
      <c r="B666" t="s">
        <v>16915</v>
      </c>
      <c r="C666" t="s">
        <v>15134</v>
      </c>
      <c r="D666" t="s">
        <v>15135</v>
      </c>
      <c r="E666">
        <v>73318000</v>
      </c>
      <c r="F666" t="s">
        <v>15138</v>
      </c>
      <c r="G666" t="b">
        <v>1</v>
      </c>
      <c r="H666" t="s">
        <v>16916</v>
      </c>
    </row>
    <row r="667" spans="1:8" hidden="1" x14ac:dyDescent="0.25">
      <c r="A667">
        <v>1000087</v>
      </c>
      <c r="B667" t="s">
        <v>17066</v>
      </c>
      <c r="C667" t="s">
        <v>15134</v>
      </c>
      <c r="D667" t="s">
        <v>15135</v>
      </c>
      <c r="E667">
        <v>103157001</v>
      </c>
      <c r="F667" t="s">
        <v>15138</v>
      </c>
      <c r="G667" t="b">
        <v>0</v>
      </c>
      <c r="H667" t="s">
        <v>17067</v>
      </c>
    </row>
    <row r="668" spans="1:8" hidden="1" x14ac:dyDescent="0.25">
      <c r="A668">
        <v>1000087</v>
      </c>
      <c r="B668" t="s">
        <v>17066</v>
      </c>
      <c r="C668" t="s">
        <v>15134</v>
      </c>
      <c r="D668" t="s">
        <v>15135</v>
      </c>
      <c r="E668">
        <v>103157001</v>
      </c>
      <c r="F668" t="s">
        <v>15136</v>
      </c>
      <c r="G668" t="b">
        <v>0</v>
      </c>
      <c r="H668" t="s">
        <v>17065</v>
      </c>
    </row>
    <row r="669" spans="1:8" hidden="1" x14ac:dyDescent="0.25">
      <c r="A669">
        <v>1000086</v>
      </c>
      <c r="B669" t="s">
        <v>17063</v>
      </c>
      <c r="C669" t="s">
        <v>15134</v>
      </c>
      <c r="D669" t="s">
        <v>15135</v>
      </c>
      <c r="E669">
        <v>103157000</v>
      </c>
      <c r="F669" t="s">
        <v>15138</v>
      </c>
      <c r="G669" t="b">
        <v>1</v>
      </c>
      <c r="H669" t="s">
        <v>17064</v>
      </c>
    </row>
    <row r="670" spans="1:8" hidden="1" x14ac:dyDescent="0.25">
      <c r="A670">
        <v>1000086</v>
      </c>
      <c r="B670" t="s">
        <v>17063</v>
      </c>
      <c r="C670" t="s">
        <v>15134</v>
      </c>
      <c r="D670" t="s">
        <v>15135</v>
      </c>
      <c r="E670">
        <v>103157000</v>
      </c>
      <c r="F670" t="s">
        <v>15136</v>
      </c>
      <c r="G670" t="b">
        <v>0</v>
      </c>
      <c r="H670" t="s">
        <v>17065</v>
      </c>
    </row>
    <row r="671" spans="1:8" hidden="1" x14ac:dyDescent="0.25">
      <c r="A671">
        <v>8750</v>
      </c>
      <c r="B671" t="s">
        <v>15243</v>
      </c>
      <c r="C671" t="s">
        <v>15134</v>
      </c>
      <c r="D671" t="s">
        <v>15135</v>
      </c>
      <c r="E671">
        <v>72401001</v>
      </c>
      <c r="F671" t="s">
        <v>15138</v>
      </c>
      <c r="G671" t="b">
        <v>1</v>
      </c>
      <c r="H671" t="s">
        <v>15244</v>
      </c>
    </row>
    <row r="672" spans="1:8" hidden="1" x14ac:dyDescent="0.25">
      <c r="A672">
        <v>8750</v>
      </c>
      <c r="B672" t="s">
        <v>15243</v>
      </c>
      <c r="C672" t="s">
        <v>15134</v>
      </c>
      <c r="D672" t="s">
        <v>15135</v>
      </c>
      <c r="E672">
        <v>72401001</v>
      </c>
      <c r="F672" t="s">
        <v>15136</v>
      </c>
      <c r="G672" t="b">
        <v>1</v>
      </c>
      <c r="H672" t="s">
        <v>15241</v>
      </c>
    </row>
    <row r="673" spans="1:8" hidden="1" x14ac:dyDescent="0.25">
      <c r="A673">
        <v>91893</v>
      </c>
      <c r="B673" t="s">
        <v>16820</v>
      </c>
      <c r="C673" t="s">
        <v>15134</v>
      </c>
      <c r="D673" t="s">
        <v>15135</v>
      </c>
      <c r="E673">
        <v>73303001</v>
      </c>
      <c r="F673" t="s">
        <v>15145</v>
      </c>
      <c r="G673" t="b">
        <v>1</v>
      </c>
      <c r="H673" t="s">
        <v>16162</v>
      </c>
    </row>
    <row r="674" spans="1:8" hidden="1" x14ac:dyDescent="0.25">
      <c r="A674">
        <v>90114</v>
      </c>
      <c r="B674" t="s">
        <v>16546</v>
      </c>
      <c r="C674" t="s">
        <v>15134</v>
      </c>
      <c r="D674" t="s">
        <v>15135</v>
      </c>
      <c r="E674">
        <v>72439000</v>
      </c>
      <c r="F674" t="s">
        <v>15138</v>
      </c>
      <c r="G674" t="b">
        <v>1</v>
      </c>
      <c r="H674" t="s">
        <v>16547</v>
      </c>
    </row>
    <row r="675" spans="1:8" hidden="1" x14ac:dyDescent="0.25">
      <c r="A675">
        <v>90114</v>
      </c>
      <c r="B675" t="s">
        <v>16546</v>
      </c>
      <c r="C675" t="s">
        <v>15134</v>
      </c>
      <c r="D675" t="s">
        <v>15135</v>
      </c>
      <c r="E675">
        <v>72439000</v>
      </c>
      <c r="F675" t="s">
        <v>15145</v>
      </c>
      <c r="G675" t="b">
        <v>1</v>
      </c>
      <c r="H675" t="s">
        <v>16547</v>
      </c>
    </row>
    <row r="676" spans="1:8" hidden="1" x14ac:dyDescent="0.25">
      <c r="A676">
        <v>9154</v>
      </c>
      <c r="B676" t="s">
        <v>15382</v>
      </c>
      <c r="C676" t="s">
        <v>15134</v>
      </c>
      <c r="D676" t="s">
        <v>15135</v>
      </c>
      <c r="E676">
        <v>73102001</v>
      </c>
    </row>
    <row r="677" spans="1:8" hidden="1" x14ac:dyDescent="0.25">
      <c r="A677">
        <v>10228</v>
      </c>
      <c r="B677" t="s">
        <v>15847</v>
      </c>
      <c r="C677" t="s">
        <v>15134</v>
      </c>
      <c r="D677" t="s">
        <v>15135</v>
      </c>
      <c r="E677">
        <v>153001001</v>
      </c>
    </row>
    <row r="678" spans="1:8" hidden="1" x14ac:dyDescent="0.25">
      <c r="A678">
        <v>9218</v>
      </c>
      <c r="B678" t="s">
        <v>15418</v>
      </c>
      <c r="C678" t="s">
        <v>15134</v>
      </c>
      <c r="D678" t="s">
        <v>15135</v>
      </c>
      <c r="E678">
        <v>73153001</v>
      </c>
    </row>
    <row r="679" spans="1:8" hidden="1" x14ac:dyDescent="0.25">
      <c r="A679">
        <v>9220</v>
      </c>
      <c r="B679" t="s">
        <v>15419</v>
      </c>
      <c r="C679" t="s">
        <v>15134</v>
      </c>
      <c r="D679" t="s">
        <v>15135</v>
      </c>
      <c r="E679">
        <v>73154001</v>
      </c>
    </row>
    <row r="680" spans="1:8" hidden="1" x14ac:dyDescent="0.25">
      <c r="A680">
        <v>8987</v>
      </c>
      <c r="B680" t="s">
        <v>15302</v>
      </c>
      <c r="C680" t="s">
        <v>15134</v>
      </c>
      <c r="D680" t="s">
        <v>15135</v>
      </c>
      <c r="E680">
        <v>73006002</v>
      </c>
    </row>
    <row r="681" spans="1:8" hidden="1" x14ac:dyDescent="0.25">
      <c r="A681">
        <v>8734</v>
      </c>
      <c r="B681" t="s">
        <v>15235</v>
      </c>
      <c r="C681" t="s">
        <v>15134</v>
      </c>
      <c r="D681" t="s">
        <v>15135</v>
      </c>
      <c r="E681">
        <v>72293000</v>
      </c>
    </row>
    <row r="682" spans="1:8" hidden="1" x14ac:dyDescent="0.25">
      <c r="A682">
        <v>8735</v>
      </c>
      <c r="B682" t="s">
        <v>15235</v>
      </c>
      <c r="C682" t="s">
        <v>15134</v>
      </c>
      <c r="D682" t="s">
        <v>15135</v>
      </c>
      <c r="E682">
        <v>72293001</v>
      </c>
    </row>
    <row r="683" spans="1:8" hidden="1" x14ac:dyDescent="0.25">
      <c r="A683">
        <v>92719</v>
      </c>
      <c r="B683" t="s">
        <v>16912</v>
      </c>
      <c r="C683" t="s">
        <v>15134</v>
      </c>
      <c r="D683" t="s">
        <v>15135</v>
      </c>
      <c r="E683">
        <v>73317000</v>
      </c>
      <c r="F683" t="s">
        <v>15138</v>
      </c>
      <c r="G683" t="b">
        <v>1</v>
      </c>
      <c r="H683" t="s">
        <v>16913</v>
      </c>
    </row>
    <row r="684" spans="1:8" hidden="1" x14ac:dyDescent="0.25">
      <c r="A684">
        <v>92719</v>
      </c>
      <c r="B684" t="s">
        <v>16912</v>
      </c>
      <c r="C684" t="s">
        <v>15134</v>
      </c>
      <c r="D684" t="s">
        <v>15135</v>
      </c>
      <c r="E684">
        <v>73317000</v>
      </c>
      <c r="F684" t="s">
        <v>15136</v>
      </c>
      <c r="G684" t="b">
        <v>1</v>
      </c>
      <c r="H684" t="s">
        <v>16913</v>
      </c>
    </row>
    <row r="685" spans="1:8" hidden="1" x14ac:dyDescent="0.25">
      <c r="A685">
        <v>10133</v>
      </c>
      <c r="B685" t="s">
        <v>15817</v>
      </c>
      <c r="C685" t="s">
        <v>15134</v>
      </c>
      <c r="D685" t="s">
        <v>15135</v>
      </c>
      <c r="E685">
        <v>132202001</v>
      </c>
      <c r="F685" t="s">
        <v>15138</v>
      </c>
      <c r="G685" t="b">
        <v>1</v>
      </c>
      <c r="H685" t="s">
        <v>15815</v>
      </c>
    </row>
    <row r="686" spans="1:8" hidden="1" x14ac:dyDescent="0.25">
      <c r="A686">
        <v>10133</v>
      </c>
      <c r="B686" t="s">
        <v>15817</v>
      </c>
      <c r="C686" t="s">
        <v>15134</v>
      </c>
      <c r="D686" t="s">
        <v>15135</v>
      </c>
      <c r="E686">
        <v>132202001</v>
      </c>
      <c r="F686" t="s">
        <v>15145</v>
      </c>
      <c r="G686" t="b">
        <v>1</v>
      </c>
      <c r="H686" t="s">
        <v>15815</v>
      </c>
    </row>
    <row r="687" spans="1:8" hidden="1" x14ac:dyDescent="0.25">
      <c r="A687">
        <v>1001187</v>
      </c>
      <c r="B687" t="s">
        <v>17185</v>
      </c>
      <c r="C687" t="s">
        <v>15134</v>
      </c>
      <c r="D687" t="s">
        <v>15135</v>
      </c>
      <c r="E687">
        <v>73370001</v>
      </c>
      <c r="F687" t="s">
        <v>15136</v>
      </c>
      <c r="G687" t="b">
        <v>1</v>
      </c>
      <c r="H687" t="s">
        <v>15294</v>
      </c>
    </row>
    <row r="688" spans="1:8" hidden="1" x14ac:dyDescent="0.25">
      <c r="A688">
        <v>1001187</v>
      </c>
      <c r="B688" t="s">
        <v>17185</v>
      </c>
      <c r="C688" t="s">
        <v>15134</v>
      </c>
      <c r="D688" t="s">
        <v>15135</v>
      </c>
      <c r="E688">
        <v>73370001</v>
      </c>
      <c r="F688" t="s">
        <v>15138</v>
      </c>
      <c r="G688" t="b">
        <v>1</v>
      </c>
      <c r="H688" t="s">
        <v>17184</v>
      </c>
    </row>
    <row r="689" spans="1:8" hidden="1" x14ac:dyDescent="0.25">
      <c r="A689">
        <v>79347</v>
      </c>
      <c r="B689" t="s">
        <v>15946</v>
      </c>
      <c r="C689" t="s">
        <v>15134</v>
      </c>
      <c r="D689" t="s">
        <v>15135</v>
      </c>
      <c r="E689">
        <v>72425008</v>
      </c>
      <c r="F689" t="s">
        <v>15145</v>
      </c>
      <c r="G689" t="b">
        <v>1</v>
      </c>
      <c r="H689" t="s">
        <v>15947</v>
      </c>
    </row>
    <row r="690" spans="1:8" hidden="1" x14ac:dyDescent="0.25">
      <c r="A690">
        <v>79347</v>
      </c>
      <c r="B690" t="s">
        <v>15946</v>
      </c>
      <c r="C690" t="s">
        <v>15134</v>
      </c>
      <c r="D690" t="s">
        <v>15135</v>
      </c>
      <c r="E690">
        <v>72425008</v>
      </c>
      <c r="F690" t="s">
        <v>15138</v>
      </c>
      <c r="G690" t="b">
        <v>1</v>
      </c>
      <c r="H690" t="s">
        <v>15947</v>
      </c>
    </row>
    <row r="691" spans="1:8" hidden="1" x14ac:dyDescent="0.25">
      <c r="A691">
        <v>9162</v>
      </c>
      <c r="B691" t="s">
        <v>15386</v>
      </c>
      <c r="C691" t="s">
        <v>15134</v>
      </c>
      <c r="D691" t="s">
        <v>15135</v>
      </c>
      <c r="E691">
        <v>73108001</v>
      </c>
    </row>
    <row r="692" spans="1:8" hidden="1" x14ac:dyDescent="0.25">
      <c r="A692">
        <v>9258</v>
      </c>
      <c r="B692" t="s">
        <v>15435</v>
      </c>
      <c r="C692" t="s">
        <v>15134</v>
      </c>
      <c r="D692" t="s">
        <v>15135</v>
      </c>
      <c r="E692">
        <v>73186001</v>
      </c>
    </row>
    <row r="693" spans="1:8" hidden="1" x14ac:dyDescent="0.25">
      <c r="A693">
        <v>725316</v>
      </c>
      <c r="B693" t="s">
        <v>17019</v>
      </c>
      <c r="C693" t="s">
        <v>15134</v>
      </c>
      <c r="D693" t="s">
        <v>15135</v>
      </c>
      <c r="E693">
        <v>73331000</v>
      </c>
      <c r="F693" t="s">
        <v>15136</v>
      </c>
      <c r="G693" t="b">
        <v>1</v>
      </c>
      <c r="H693" t="s">
        <v>17020</v>
      </c>
    </row>
    <row r="694" spans="1:8" hidden="1" x14ac:dyDescent="0.25">
      <c r="A694">
        <v>1001504</v>
      </c>
      <c r="B694" t="s">
        <v>17203</v>
      </c>
      <c r="C694" t="s">
        <v>15134</v>
      </c>
      <c r="D694" t="s">
        <v>15135</v>
      </c>
      <c r="E694">
        <v>73727000</v>
      </c>
      <c r="F694" t="s">
        <v>15138</v>
      </c>
      <c r="G694" t="b">
        <v>0</v>
      </c>
      <c r="H694" t="s">
        <v>17204</v>
      </c>
    </row>
    <row r="695" spans="1:8" hidden="1" x14ac:dyDescent="0.25">
      <c r="A695">
        <v>1001504</v>
      </c>
      <c r="B695" t="s">
        <v>17203</v>
      </c>
      <c r="C695" t="s">
        <v>15134</v>
      </c>
      <c r="D695" t="s">
        <v>15135</v>
      </c>
      <c r="E695">
        <v>73727000</v>
      </c>
      <c r="F695" t="s">
        <v>15136</v>
      </c>
      <c r="G695" t="b">
        <v>1</v>
      </c>
      <c r="H695" t="s">
        <v>17205</v>
      </c>
    </row>
    <row r="696" spans="1:8" hidden="1" x14ac:dyDescent="0.25">
      <c r="A696">
        <v>1001447</v>
      </c>
      <c r="B696" t="s">
        <v>17195</v>
      </c>
      <c r="C696" t="s">
        <v>15134</v>
      </c>
      <c r="D696" t="s">
        <v>15135</v>
      </c>
      <c r="E696">
        <v>73726001</v>
      </c>
      <c r="F696" t="s">
        <v>15138</v>
      </c>
      <c r="G696" t="b">
        <v>1</v>
      </c>
      <c r="H696" t="s">
        <v>17194</v>
      </c>
    </row>
    <row r="697" spans="1:8" hidden="1" x14ac:dyDescent="0.25">
      <c r="A697">
        <v>1001447</v>
      </c>
      <c r="B697" t="s">
        <v>17195</v>
      </c>
      <c r="C697" t="s">
        <v>15134</v>
      </c>
      <c r="D697" t="s">
        <v>15135</v>
      </c>
      <c r="E697">
        <v>73726001</v>
      </c>
      <c r="F697" t="s">
        <v>15136</v>
      </c>
      <c r="G697" t="b">
        <v>1</v>
      </c>
      <c r="H697" t="s">
        <v>17194</v>
      </c>
    </row>
    <row r="698" spans="1:8" hidden="1" x14ac:dyDescent="0.25">
      <c r="A698">
        <v>79396</v>
      </c>
      <c r="B698" t="s">
        <v>15971</v>
      </c>
      <c r="C698" t="s">
        <v>15134</v>
      </c>
      <c r="D698" t="s">
        <v>15135</v>
      </c>
      <c r="E698">
        <v>82209001</v>
      </c>
      <c r="F698" t="s">
        <v>15145</v>
      </c>
      <c r="G698" t="b">
        <v>1</v>
      </c>
      <c r="H698" t="s">
        <v>15970</v>
      </c>
    </row>
    <row r="699" spans="1:8" hidden="1" x14ac:dyDescent="0.25">
      <c r="A699">
        <v>79396</v>
      </c>
      <c r="B699" t="s">
        <v>15971</v>
      </c>
      <c r="C699" t="s">
        <v>15134</v>
      </c>
      <c r="D699" t="s">
        <v>15135</v>
      </c>
      <c r="E699">
        <v>82209001</v>
      </c>
      <c r="F699" t="s">
        <v>15138</v>
      </c>
      <c r="G699" t="b">
        <v>1</v>
      </c>
      <c r="H699" t="s">
        <v>15970</v>
      </c>
    </row>
    <row r="700" spans="1:8" hidden="1" x14ac:dyDescent="0.25">
      <c r="A700">
        <v>8669</v>
      </c>
      <c r="B700" t="s">
        <v>15182</v>
      </c>
      <c r="C700" t="s">
        <v>15134</v>
      </c>
      <c r="D700" t="s">
        <v>15135</v>
      </c>
      <c r="E700">
        <v>72208000</v>
      </c>
    </row>
    <row r="701" spans="1:8" hidden="1" x14ac:dyDescent="0.25">
      <c r="A701">
        <v>8670</v>
      </c>
      <c r="B701" t="s">
        <v>15183</v>
      </c>
      <c r="C701" t="s">
        <v>15134</v>
      </c>
      <c r="D701" t="s">
        <v>15135</v>
      </c>
      <c r="E701">
        <v>72208001</v>
      </c>
    </row>
    <row r="702" spans="1:8" hidden="1" x14ac:dyDescent="0.25">
      <c r="A702">
        <v>1000093</v>
      </c>
      <c r="B702" t="s">
        <v>17076</v>
      </c>
      <c r="C702" t="s">
        <v>15134</v>
      </c>
      <c r="D702" t="s">
        <v>15135</v>
      </c>
      <c r="E702">
        <v>72468004</v>
      </c>
      <c r="F702" t="s">
        <v>15138</v>
      </c>
      <c r="G702" t="b">
        <v>1</v>
      </c>
      <c r="H702" t="s">
        <v>17077</v>
      </c>
    </row>
    <row r="703" spans="1:8" hidden="1" x14ac:dyDescent="0.25">
      <c r="A703">
        <v>1000093</v>
      </c>
      <c r="B703" t="s">
        <v>17076</v>
      </c>
      <c r="C703" t="s">
        <v>15134</v>
      </c>
      <c r="D703" t="s">
        <v>15135</v>
      </c>
      <c r="E703">
        <v>72468004</v>
      </c>
      <c r="F703" t="s">
        <v>15136</v>
      </c>
      <c r="G703" t="b">
        <v>1</v>
      </c>
      <c r="H703" t="s">
        <v>17069</v>
      </c>
    </row>
    <row r="704" spans="1:8" hidden="1" x14ac:dyDescent="0.25">
      <c r="A704">
        <v>9429</v>
      </c>
      <c r="B704" t="s">
        <v>15523</v>
      </c>
      <c r="C704" t="s">
        <v>15134</v>
      </c>
      <c r="D704" t="s">
        <v>15135</v>
      </c>
      <c r="E704">
        <v>73260001</v>
      </c>
    </row>
    <row r="705" spans="1:8" hidden="1" x14ac:dyDescent="0.25">
      <c r="A705">
        <v>9248</v>
      </c>
      <c r="B705" t="s">
        <v>15431</v>
      </c>
      <c r="C705" t="s">
        <v>15134</v>
      </c>
      <c r="D705" t="s">
        <v>15135</v>
      </c>
      <c r="E705">
        <v>73175001</v>
      </c>
    </row>
    <row r="706" spans="1:8" hidden="1" x14ac:dyDescent="0.25">
      <c r="A706">
        <v>90762</v>
      </c>
      <c r="B706" t="s">
        <v>16677</v>
      </c>
      <c r="C706" t="s">
        <v>15134</v>
      </c>
      <c r="D706" t="s">
        <v>15135</v>
      </c>
      <c r="E706">
        <v>133026001</v>
      </c>
      <c r="F706" t="s">
        <v>15145</v>
      </c>
      <c r="G706" t="b">
        <v>1</v>
      </c>
      <c r="H706" t="s">
        <v>16675</v>
      </c>
    </row>
    <row r="707" spans="1:8" hidden="1" x14ac:dyDescent="0.25">
      <c r="A707">
        <v>10151</v>
      </c>
      <c r="B707" t="s">
        <v>15819</v>
      </c>
      <c r="C707" t="s">
        <v>15134</v>
      </c>
      <c r="D707" t="s">
        <v>15135</v>
      </c>
      <c r="E707">
        <v>133016001</v>
      </c>
    </row>
    <row r="708" spans="1:8" hidden="1" x14ac:dyDescent="0.25">
      <c r="A708">
        <v>9919</v>
      </c>
      <c r="B708" t="s">
        <v>15728</v>
      </c>
      <c r="C708" t="s">
        <v>15134</v>
      </c>
      <c r="D708" t="s">
        <v>15135</v>
      </c>
      <c r="E708">
        <v>103051001</v>
      </c>
    </row>
    <row r="709" spans="1:8" hidden="1" x14ac:dyDescent="0.25">
      <c r="A709">
        <v>9909</v>
      </c>
      <c r="B709" t="s">
        <v>15724</v>
      </c>
      <c r="C709" t="s">
        <v>15134</v>
      </c>
      <c r="D709" t="s">
        <v>15135</v>
      </c>
      <c r="E709">
        <v>103044001</v>
      </c>
    </row>
    <row r="710" spans="1:8" hidden="1" x14ac:dyDescent="0.25">
      <c r="A710">
        <v>10039</v>
      </c>
      <c r="B710" t="s">
        <v>15724</v>
      </c>
      <c r="C710" t="s">
        <v>15134</v>
      </c>
      <c r="D710" t="s">
        <v>15135</v>
      </c>
      <c r="E710">
        <v>103104002</v>
      </c>
    </row>
    <row r="711" spans="1:8" hidden="1" x14ac:dyDescent="0.25">
      <c r="A711">
        <v>92652</v>
      </c>
      <c r="B711" t="s">
        <v>16882</v>
      </c>
      <c r="C711" t="s">
        <v>15134</v>
      </c>
      <c r="D711" t="s">
        <v>15135</v>
      </c>
      <c r="E711">
        <v>23016001</v>
      </c>
      <c r="F711" t="s">
        <v>15136</v>
      </c>
      <c r="G711" t="b">
        <v>1</v>
      </c>
      <c r="H711" t="s">
        <v>16881</v>
      </c>
    </row>
    <row r="712" spans="1:8" hidden="1" x14ac:dyDescent="0.25">
      <c r="A712">
        <v>92652</v>
      </c>
      <c r="B712" t="s">
        <v>16882</v>
      </c>
      <c r="C712" t="s">
        <v>15134</v>
      </c>
      <c r="D712" t="s">
        <v>15135</v>
      </c>
      <c r="E712">
        <v>23016001</v>
      </c>
      <c r="F712" t="s">
        <v>15138</v>
      </c>
      <c r="G712" t="b">
        <v>1</v>
      </c>
      <c r="H712" t="s">
        <v>16881</v>
      </c>
    </row>
    <row r="713" spans="1:8" hidden="1" x14ac:dyDescent="0.25">
      <c r="A713">
        <v>486975</v>
      </c>
      <c r="B713" t="s">
        <v>16998</v>
      </c>
      <c r="C713" t="s">
        <v>15134</v>
      </c>
      <c r="D713" t="s">
        <v>15135</v>
      </c>
      <c r="E713">
        <v>103155001</v>
      </c>
      <c r="F713" t="s">
        <v>15136</v>
      </c>
      <c r="G713" t="b">
        <v>1</v>
      </c>
      <c r="H713" t="s">
        <v>16944</v>
      </c>
    </row>
    <row r="714" spans="1:8" hidden="1" x14ac:dyDescent="0.25">
      <c r="A714">
        <v>92881</v>
      </c>
      <c r="B714" t="s">
        <v>16943</v>
      </c>
      <c r="C714" t="s">
        <v>15134</v>
      </c>
      <c r="D714" t="s">
        <v>15135</v>
      </c>
      <c r="E714">
        <v>102273000</v>
      </c>
      <c r="F714" t="s">
        <v>15136</v>
      </c>
      <c r="G714" t="b">
        <v>1</v>
      </c>
      <c r="H714" t="s">
        <v>16944</v>
      </c>
    </row>
    <row r="715" spans="1:8" hidden="1" x14ac:dyDescent="0.25">
      <c r="A715">
        <v>92881</v>
      </c>
      <c r="B715" t="s">
        <v>16943</v>
      </c>
      <c r="C715" t="s">
        <v>15134</v>
      </c>
      <c r="D715" t="s">
        <v>15135</v>
      </c>
      <c r="E715">
        <v>102273000</v>
      </c>
      <c r="F715" t="s">
        <v>15138</v>
      </c>
      <c r="G715" t="b">
        <v>1</v>
      </c>
      <c r="H715" t="s">
        <v>16944</v>
      </c>
    </row>
    <row r="716" spans="1:8" hidden="1" x14ac:dyDescent="0.25">
      <c r="A716">
        <v>92882</v>
      </c>
      <c r="B716" t="s">
        <v>16943</v>
      </c>
      <c r="C716" t="s">
        <v>15134</v>
      </c>
      <c r="D716" t="s">
        <v>15135</v>
      </c>
      <c r="E716">
        <v>102273001</v>
      </c>
      <c r="F716" t="s">
        <v>15138</v>
      </c>
      <c r="G716" t="b">
        <v>1</v>
      </c>
      <c r="H716" t="s">
        <v>16944</v>
      </c>
    </row>
    <row r="717" spans="1:8" hidden="1" x14ac:dyDescent="0.25">
      <c r="A717">
        <v>92882</v>
      </c>
      <c r="B717" t="s">
        <v>16943</v>
      </c>
      <c r="C717" t="s">
        <v>15134</v>
      </c>
      <c r="D717" t="s">
        <v>15135</v>
      </c>
      <c r="E717">
        <v>102273001</v>
      </c>
      <c r="F717" t="s">
        <v>15136</v>
      </c>
      <c r="G717" t="b">
        <v>1</v>
      </c>
      <c r="H717" t="s">
        <v>16944</v>
      </c>
    </row>
    <row r="718" spans="1:8" hidden="1" x14ac:dyDescent="0.25">
      <c r="A718">
        <v>80728</v>
      </c>
      <c r="B718" t="s">
        <v>16201</v>
      </c>
      <c r="C718" t="s">
        <v>15134</v>
      </c>
      <c r="D718" t="s">
        <v>15135</v>
      </c>
      <c r="E718">
        <v>73485000</v>
      </c>
      <c r="F718" t="s">
        <v>15138</v>
      </c>
      <c r="G718" t="b">
        <v>1</v>
      </c>
      <c r="H718" t="s">
        <v>16202</v>
      </c>
    </row>
    <row r="719" spans="1:8" hidden="1" x14ac:dyDescent="0.25">
      <c r="A719">
        <v>80728</v>
      </c>
      <c r="B719" t="s">
        <v>16201</v>
      </c>
      <c r="C719" t="s">
        <v>15134</v>
      </c>
      <c r="D719" t="s">
        <v>15135</v>
      </c>
      <c r="E719">
        <v>73485000</v>
      </c>
      <c r="F719" t="s">
        <v>15136</v>
      </c>
      <c r="G719" t="b">
        <v>1</v>
      </c>
      <c r="H719" t="s">
        <v>16202</v>
      </c>
    </row>
    <row r="720" spans="1:8" hidden="1" x14ac:dyDescent="0.25">
      <c r="A720">
        <v>80729</v>
      </c>
      <c r="B720" t="s">
        <v>16201</v>
      </c>
      <c r="C720" t="s">
        <v>15134</v>
      </c>
      <c r="D720" t="s">
        <v>15135</v>
      </c>
      <c r="E720">
        <v>73485001</v>
      </c>
      <c r="F720" t="s">
        <v>15138</v>
      </c>
      <c r="G720" t="b">
        <v>1</v>
      </c>
      <c r="H720" t="s">
        <v>16203</v>
      </c>
    </row>
    <row r="721" spans="1:8" hidden="1" x14ac:dyDescent="0.25">
      <c r="A721">
        <v>80729</v>
      </c>
      <c r="B721" t="s">
        <v>16201</v>
      </c>
      <c r="C721" t="s">
        <v>15134</v>
      </c>
      <c r="D721" t="s">
        <v>15135</v>
      </c>
      <c r="E721">
        <v>73485001</v>
      </c>
      <c r="F721" t="s">
        <v>15145</v>
      </c>
      <c r="G721" t="b">
        <v>1</v>
      </c>
      <c r="H721" t="s">
        <v>16203</v>
      </c>
    </row>
    <row r="722" spans="1:8" hidden="1" x14ac:dyDescent="0.25">
      <c r="A722">
        <v>1001128</v>
      </c>
      <c r="B722" t="s">
        <v>17174</v>
      </c>
      <c r="C722" t="s">
        <v>15134</v>
      </c>
      <c r="D722" t="s">
        <v>15135</v>
      </c>
      <c r="E722">
        <v>73367000</v>
      </c>
      <c r="F722" t="s">
        <v>15138</v>
      </c>
      <c r="G722" t="b">
        <v>1</v>
      </c>
      <c r="H722" t="s">
        <v>17175</v>
      </c>
    </row>
    <row r="723" spans="1:8" hidden="1" x14ac:dyDescent="0.25">
      <c r="A723">
        <v>1001128</v>
      </c>
      <c r="B723" t="s">
        <v>17174</v>
      </c>
      <c r="C723" t="s">
        <v>15134</v>
      </c>
      <c r="D723" t="s">
        <v>15135</v>
      </c>
      <c r="E723">
        <v>73367000</v>
      </c>
      <c r="F723" t="s">
        <v>15136</v>
      </c>
      <c r="G723" t="b">
        <v>1</v>
      </c>
      <c r="H723" t="s">
        <v>17175</v>
      </c>
    </row>
    <row r="724" spans="1:8" hidden="1" x14ac:dyDescent="0.25">
      <c r="A724">
        <v>9105</v>
      </c>
      <c r="B724" t="s">
        <v>15362</v>
      </c>
      <c r="C724" t="s">
        <v>15134</v>
      </c>
      <c r="D724" t="s">
        <v>15135</v>
      </c>
      <c r="E724">
        <v>73076001</v>
      </c>
    </row>
    <row r="725" spans="1:8" hidden="1" x14ac:dyDescent="0.25">
      <c r="A725">
        <v>9967</v>
      </c>
      <c r="B725" t="s">
        <v>15754</v>
      </c>
      <c r="C725" t="s">
        <v>15134</v>
      </c>
      <c r="D725" t="s">
        <v>15135</v>
      </c>
      <c r="E725">
        <v>103075001</v>
      </c>
    </row>
    <row r="726" spans="1:8" hidden="1" x14ac:dyDescent="0.25">
      <c r="A726">
        <v>8781</v>
      </c>
      <c r="B726" t="s">
        <v>15273</v>
      </c>
      <c r="C726" t="s">
        <v>15134</v>
      </c>
      <c r="D726" t="s">
        <v>15135</v>
      </c>
      <c r="E726">
        <v>72409001</v>
      </c>
    </row>
    <row r="727" spans="1:8" hidden="1" x14ac:dyDescent="0.25">
      <c r="A727">
        <v>10071</v>
      </c>
      <c r="B727" t="s">
        <v>15800</v>
      </c>
      <c r="C727" t="s">
        <v>15134</v>
      </c>
      <c r="D727" t="s">
        <v>15135</v>
      </c>
      <c r="E727">
        <v>109302001</v>
      </c>
      <c r="F727" t="s">
        <v>15138</v>
      </c>
      <c r="G727" t="b">
        <v>0</v>
      </c>
      <c r="H727" t="s">
        <v>15801</v>
      </c>
    </row>
    <row r="728" spans="1:8" hidden="1" x14ac:dyDescent="0.25">
      <c r="A728">
        <v>10071</v>
      </c>
      <c r="B728" t="s">
        <v>15800</v>
      </c>
      <c r="C728" t="s">
        <v>15134</v>
      </c>
      <c r="D728" t="s">
        <v>15135</v>
      </c>
      <c r="E728">
        <v>109302001</v>
      </c>
      <c r="F728" t="s">
        <v>15136</v>
      </c>
      <c r="G728" t="b">
        <v>1</v>
      </c>
      <c r="H728" t="s">
        <v>15802</v>
      </c>
    </row>
    <row r="729" spans="1:8" hidden="1" x14ac:dyDescent="0.25">
      <c r="A729">
        <v>8661</v>
      </c>
      <c r="B729" t="s">
        <v>15179</v>
      </c>
      <c r="C729" t="s">
        <v>15134</v>
      </c>
      <c r="D729" t="s">
        <v>15135</v>
      </c>
      <c r="E729">
        <v>72204001</v>
      </c>
    </row>
    <row r="730" spans="1:8" hidden="1" x14ac:dyDescent="0.25">
      <c r="A730">
        <v>92324</v>
      </c>
      <c r="B730" t="s">
        <v>16853</v>
      </c>
      <c r="C730" t="s">
        <v>15134</v>
      </c>
      <c r="D730" t="s">
        <v>15135</v>
      </c>
      <c r="E730">
        <v>71973001</v>
      </c>
      <c r="F730" t="s">
        <v>15136</v>
      </c>
      <c r="G730" t="b">
        <v>1</v>
      </c>
      <c r="H730" t="s">
        <v>16851</v>
      </c>
    </row>
    <row r="731" spans="1:8" hidden="1" x14ac:dyDescent="0.25">
      <c r="A731">
        <v>92324</v>
      </c>
      <c r="B731" t="s">
        <v>16853</v>
      </c>
      <c r="C731" t="s">
        <v>15134</v>
      </c>
      <c r="D731" t="s">
        <v>15135</v>
      </c>
      <c r="E731">
        <v>71973001</v>
      </c>
      <c r="F731" t="s">
        <v>15138</v>
      </c>
      <c r="G731" t="b">
        <v>1</v>
      </c>
      <c r="H731" t="s">
        <v>16852</v>
      </c>
    </row>
    <row r="732" spans="1:8" hidden="1" x14ac:dyDescent="0.25">
      <c r="A732">
        <v>90853</v>
      </c>
      <c r="B732" t="s">
        <v>16703</v>
      </c>
      <c r="C732" t="s">
        <v>15134</v>
      </c>
      <c r="D732" t="s">
        <v>15135</v>
      </c>
      <c r="E732">
        <v>73562002</v>
      </c>
      <c r="F732" t="s">
        <v>15145</v>
      </c>
      <c r="G732" t="b">
        <v>1</v>
      </c>
      <c r="H732" t="s">
        <v>16004</v>
      </c>
    </row>
    <row r="733" spans="1:8" hidden="1" x14ac:dyDescent="0.25">
      <c r="A733">
        <v>89780</v>
      </c>
      <c r="B733" t="s">
        <v>16457</v>
      </c>
      <c r="C733" t="s">
        <v>15134</v>
      </c>
      <c r="D733" t="s">
        <v>15135</v>
      </c>
      <c r="E733">
        <v>73562001</v>
      </c>
      <c r="F733" t="s">
        <v>15145</v>
      </c>
      <c r="G733" t="b">
        <v>1</v>
      </c>
      <c r="H733" t="s">
        <v>16363</v>
      </c>
    </row>
    <row r="734" spans="1:8" hidden="1" x14ac:dyDescent="0.25">
      <c r="A734">
        <v>89780</v>
      </c>
      <c r="B734" t="s">
        <v>16457</v>
      </c>
      <c r="C734" t="s">
        <v>15134</v>
      </c>
      <c r="D734" t="s">
        <v>15135</v>
      </c>
      <c r="E734">
        <v>73562001</v>
      </c>
      <c r="F734" t="s">
        <v>15138</v>
      </c>
      <c r="G734" t="b">
        <v>1</v>
      </c>
      <c r="H734" t="s">
        <v>16363</v>
      </c>
    </row>
    <row r="735" spans="1:8" hidden="1" x14ac:dyDescent="0.25">
      <c r="A735">
        <v>92785</v>
      </c>
      <c r="B735" t="s">
        <v>16922</v>
      </c>
      <c r="C735" t="s">
        <v>15134</v>
      </c>
      <c r="D735" t="s">
        <v>15135</v>
      </c>
      <c r="E735">
        <v>73321001</v>
      </c>
      <c r="F735" t="s">
        <v>15136</v>
      </c>
      <c r="G735" t="b">
        <v>1</v>
      </c>
      <c r="H735" t="s">
        <v>16921</v>
      </c>
    </row>
    <row r="736" spans="1:8" hidden="1" x14ac:dyDescent="0.25">
      <c r="A736">
        <v>784213</v>
      </c>
      <c r="B736" t="s">
        <v>17024</v>
      </c>
      <c r="C736" t="s">
        <v>15134</v>
      </c>
      <c r="D736" t="s">
        <v>15135</v>
      </c>
      <c r="E736">
        <v>73321002</v>
      </c>
    </row>
    <row r="737" spans="1:8" hidden="1" x14ac:dyDescent="0.25">
      <c r="A737">
        <v>92784</v>
      </c>
      <c r="B737" t="s">
        <v>16920</v>
      </c>
      <c r="C737" t="s">
        <v>15134</v>
      </c>
      <c r="D737" t="s">
        <v>15135</v>
      </c>
      <c r="E737">
        <v>73321000</v>
      </c>
      <c r="F737" t="s">
        <v>15136</v>
      </c>
      <c r="G737" t="b">
        <v>1</v>
      </c>
      <c r="H737" t="s">
        <v>16921</v>
      </c>
    </row>
    <row r="738" spans="1:8" hidden="1" x14ac:dyDescent="0.25">
      <c r="A738">
        <v>92784</v>
      </c>
      <c r="B738" t="s">
        <v>16920</v>
      </c>
      <c r="C738" t="s">
        <v>15134</v>
      </c>
      <c r="D738" t="s">
        <v>15135</v>
      </c>
      <c r="E738">
        <v>73321000</v>
      </c>
      <c r="F738" t="s">
        <v>15138</v>
      </c>
      <c r="G738" t="b">
        <v>1</v>
      </c>
      <c r="H738" t="s">
        <v>16921</v>
      </c>
    </row>
    <row r="739" spans="1:8" hidden="1" x14ac:dyDescent="0.25">
      <c r="A739">
        <v>9644</v>
      </c>
      <c r="B739" t="s">
        <v>15621</v>
      </c>
      <c r="C739" t="s">
        <v>15134</v>
      </c>
      <c r="D739" t="s">
        <v>15135</v>
      </c>
      <c r="E739">
        <v>83011001</v>
      </c>
    </row>
    <row r="740" spans="1:8" hidden="1" x14ac:dyDescent="0.25">
      <c r="A740">
        <v>9738</v>
      </c>
      <c r="B740" t="s">
        <v>15643</v>
      </c>
      <c r="C740" t="s">
        <v>15134</v>
      </c>
      <c r="D740" t="s">
        <v>15135</v>
      </c>
      <c r="E740">
        <v>102217001</v>
      </c>
    </row>
    <row r="741" spans="1:8" hidden="1" x14ac:dyDescent="0.25">
      <c r="A741">
        <v>9622</v>
      </c>
      <c r="B741" t="s">
        <v>15611</v>
      </c>
      <c r="C741" t="s">
        <v>15134</v>
      </c>
      <c r="D741" t="s">
        <v>15135</v>
      </c>
      <c r="E741">
        <v>83002001</v>
      </c>
    </row>
    <row r="742" spans="1:8" hidden="1" x14ac:dyDescent="0.25">
      <c r="A742">
        <v>80531</v>
      </c>
      <c r="B742" t="s">
        <v>16104</v>
      </c>
      <c r="C742" t="s">
        <v>15134</v>
      </c>
      <c r="D742" t="s">
        <v>15135</v>
      </c>
      <c r="E742">
        <v>143009002</v>
      </c>
      <c r="F742" t="s">
        <v>15138</v>
      </c>
      <c r="G742" t="b">
        <v>1</v>
      </c>
      <c r="H742" t="s">
        <v>16105</v>
      </c>
    </row>
    <row r="743" spans="1:8" hidden="1" x14ac:dyDescent="0.25">
      <c r="A743">
        <v>80531</v>
      </c>
      <c r="B743" t="s">
        <v>16104</v>
      </c>
      <c r="C743" t="s">
        <v>15134</v>
      </c>
      <c r="D743" t="s">
        <v>15135</v>
      </c>
      <c r="E743">
        <v>143009002</v>
      </c>
      <c r="F743" t="s">
        <v>15145</v>
      </c>
      <c r="G743" t="b">
        <v>1</v>
      </c>
      <c r="H743" t="s">
        <v>16105</v>
      </c>
    </row>
    <row r="744" spans="1:8" hidden="1" x14ac:dyDescent="0.25">
      <c r="A744">
        <v>9640</v>
      </c>
      <c r="B744" t="s">
        <v>15619</v>
      </c>
      <c r="C744" t="s">
        <v>15134</v>
      </c>
      <c r="D744" t="s">
        <v>15135</v>
      </c>
      <c r="E744">
        <v>83009001</v>
      </c>
    </row>
    <row r="745" spans="1:8" hidden="1" x14ac:dyDescent="0.25">
      <c r="A745">
        <v>10207</v>
      </c>
      <c r="B745" t="s">
        <v>15839</v>
      </c>
      <c r="C745" t="s">
        <v>15134</v>
      </c>
      <c r="D745" t="s">
        <v>15135</v>
      </c>
      <c r="E745">
        <v>143009000</v>
      </c>
      <c r="F745" t="s">
        <v>15138</v>
      </c>
      <c r="G745" t="b">
        <v>1</v>
      </c>
      <c r="H745" t="s">
        <v>15840</v>
      </c>
    </row>
    <row r="746" spans="1:8" hidden="1" x14ac:dyDescent="0.25">
      <c r="A746">
        <v>10207</v>
      </c>
      <c r="B746" t="s">
        <v>15839</v>
      </c>
      <c r="C746" t="s">
        <v>15134</v>
      </c>
      <c r="D746" t="s">
        <v>15135</v>
      </c>
      <c r="E746">
        <v>143009000</v>
      </c>
      <c r="F746" t="s">
        <v>15136</v>
      </c>
      <c r="G746" t="b">
        <v>1</v>
      </c>
      <c r="H746" t="s">
        <v>15841</v>
      </c>
    </row>
    <row r="747" spans="1:8" hidden="1" x14ac:dyDescent="0.25">
      <c r="A747">
        <v>9786</v>
      </c>
      <c r="B747" t="s">
        <v>15678</v>
      </c>
      <c r="C747" t="s">
        <v>15134</v>
      </c>
      <c r="D747" t="s">
        <v>15135</v>
      </c>
      <c r="E747">
        <v>102250004</v>
      </c>
    </row>
    <row r="748" spans="1:8" hidden="1" x14ac:dyDescent="0.25">
      <c r="A748">
        <v>89779</v>
      </c>
      <c r="B748" t="s">
        <v>16456</v>
      </c>
      <c r="C748" t="s">
        <v>15134</v>
      </c>
      <c r="D748" t="s">
        <v>15135</v>
      </c>
      <c r="E748">
        <v>73562000</v>
      </c>
      <c r="F748" t="s">
        <v>15138</v>
      </c>
      <c r="G748" t="b">
        <v>1</v>
      </c>
      <c r="H748" t="s">
        <v>16363</v>
      </c>
    </row>
    <row r="749" spans="1:8" hidden="1" x14ac:dyDescent="0.25">
      <c r="A749">
        <v>89779</v>
      </c>
      <c r="B749" t="s">
        <v>16456</v>
      </c>
      <c r="C749" t="s">
        <v>15134</v>
      </c>
      <c r="D749" t="s">
        <v>15135</v>
      </c>
      <c r="E749">
        <v>73562000</v>
      </c>
      <c r="F749" t="s">
        <v>15136</v>
      </c>
      <c r="G749" t="b">
        <v>1</v>
      </c>
      <c r="H749" t="s">
        <v>16363</v>
      </c>
    </row>
    <row r="750" spans="1:8" hidden="1" x14ac:dyDescent="0.25">
      <c r="A750">
        <v>92323</v>
      </c>
      <c r="B750" t="s">
        <v>16850</v>
      </c>
      <c r="C750" t="s">
        <v>15134</v>
      </c>
      <c r="D750" t="s">
        <v>15135</v>
      </c>
      <c r="E750">
        <v>71973000</v>
      </c>
      <c r="F750" t="s">
        <v>15136</v>
      </c>
      <c r="G750" t="b">
        <v>1</v>
      </c>
      <c r="H750" t="s">
        <v>16851</v>
      </c>
    </row>
    <row r="751" spans="1:8" hidden="1" x14ac:dyDescent="0.25">
      <c r="A751">
        <v>92323</v>
      </c>
      <c r="B751" t="s">
        <v>16850</v>
      </c>
      <c r="C751" t="s">
        <v>15134</v>
      </c>
      <c r="D751" t="s">
        <v>15135</v>
      </c>
      <c r="E751">
        <v>71973000</v>
      </c>
      <c r="F751" t="s">
        <v>15138</v>
      </c>
      <c r="G751" t="b">
        <v>1</v>
      </c>
      <c r="H751" t="s">
        <v>16852</v>
      </c>
    </row>
    <row r="752" spans="1:8" hidden="1" x14ac:dyDescent="0.25">
      <c r="A752">
        <v>9766</v>
      </c>
      <c r="B752" t="s">
        <v>15660</v>
      </c>
      <c r="C752" t="s">
        <v>15134</v>
      </c>
      <c r="D752" t="s">
        <v>15135</v>
      </c>
      <c r="E752">
        <v>102243001</v>
      </c>
    </row>
    <row r="753" spans="1:8" hidden="1" x14ac:dyDescent="0.25">
      <c r="A753">
        <v>8472</v>
      </c>
      <c r="B753" t="s">
        <v>15143</v>
      </c>
      <c r="C753" t="s">
        <v>15134</v>
      </c>
      <c r="D753" t="s">
        <v>15135</v>
      </c>
      <c r="E753">
        <v>13003001</v>
      </c>
    </row>
    <row r="754" spans="1:8" hidden="1" x14ac:dyDescent="0.25">
      <c r="A754">
        <v>1000085</v>
      </c>
      <c r="B754" t="s">
        <v>17062</v>
      </c>
      <c r="C754" t="s">
        <v>15134</v>
      </c>
      <c r="D754" t="s">
        <v>15135</v>
      </c>
      <c r="E754">
        <v>101989001</v>
      </c>
      <c r="F754" t="s">
        <v>15138</v>
      </c>
      <c r="G754" t="b">
        <v>1</v>
      </c>
      <c r="H754" t="s">
        <v>17060</v>
      </c>
    </row>
    <row r="755" spans="1:8" hidden="1" x14ac:dyDescent="0.25">
      <c r="A755">
        <v>1000085</v>
      </c>
      <c r="B755" t="s">
        <v>17062</v>
      </c>
      <c r="C755" t="s">
        <v>15134</v>
      </c>
      <c r="D755" t="s">
        <v>15135</v>
      </c>
      <c r="E755">
        <v>101989001</v>
      </c>
      <c r="F755" t="s">
        <v>15136</v>
      </c>
      <c r="G755" t="b">
        <v>1</v>
      </c>
      <c r="H755" t="s">
        <v>17061</v>
      </c>
    </row>
    <row r="756" spans="1:8" hidden="1" x14ac:dyDescent="0.25">
      <c r="A756">
        <v>1000084</v>
      </c>
      <c r="B756" t="s">
        <v>17059</v>
      </c>
      <c r="C756" t="s">
        <v>15134</v>
      </c>
      <c r="D756" t="s">
        <v>15135</v>
      </c>
      <c r="E756">
        <v>101989000</v>
      </c>
      <c r="F756" t="s">
        <v>15138</v>
      </c>
      <c r="G756" t="b">
        <v>1</v>
      </c>
      <c r="H756" t="s">
        <v>17060</v>
      </c>
    </row>
    <row r="757" spans="1:8" hidden="1" x14ac:dyDescent="0.25">
      <c r="A757">
        <v>1000084</v>
      </c>
      <c r="B757" t="s">
        <v>17059</v>
      </c>
      <c r="C757" t="s">
        <v>15134</v>
      </c>
      <c r="D757" t="s">
        <v>15135</v>
      </c>
      <c r="E757">
        <v>101989000</v>
      </c>
      <c r="F757" t="s">
        <v>15136</v>
      </c>
      <c r="G757" t="b">
        <v>1</v>
      </c>
      <c r="H757" t="s">
        <v>17061</v>
      </c>
    </row>
    <row r="758" spans="1:8" hidden="1" x14ac:dyDescent="0.25">
      <c r="A758">
        <v>8728</v>
      </c>
      <c r="B758" t="s">
        <v>15229</v>
      </c>
      <c r="C758" t="s">
        <v>15134</v>
      </c>
      <c r="D758" t="s">
        <v>15135</v>
      </c>
      <c r="E758">
        <v>72290000</v>
      </c>
    </row>
    <row r="759" spans="1:8" hidden="1" x14ac:dyDescent="0.25">
      <c r="A759">
        <v>8729</v>
      </c>
      <c r="B759" t="s">
        <v>15230</v>
      </c>
      <c r="C759" t="s">
        <v>15134</v>
      </c>
      <c r="D759" t="s">
        <v>15135</v>
      </c>
      <c r="E759">
        <v>72290001</v>
      </c>
    </row>
    <row r="760" spans="1:8" hidden="1" x14ac:dyDescent="0.25">
      <c r="A760">
        <v>92803</v>
      </c>
      <c r="B760" t="s">
        <v>16929</v>
      </c>
      <c r="C760" t="s">
        <v>15134</v>
      </c>
      <c r="D760" t="s">
        <v>15135</v>
      </c>
      <c r="E760">
        <v>142211000</v>
      </c>
      <c r="F760" t="s">
        <v>15136</v>
      </c>
      <c r="G760" t="b">
        <v>0</v>
      </c>
      <c r="H760" t="s">
        <v>16930</v>
      </c>
    </row>
    <row r="761" spans="1:8" hidden="1" x14ac:dyDescent="0.25">
      <c r="A761">
        <v>92803</v>
      </c>
      <c r="B761" t="s">
        <v>16929</v>
      </c>
      <c r="C761" t="s">
        <v>15134</v>
      </c>
      <c r="D761" t="s">
        <v>15135</v>
      </c>
      <c r="E761">
        <v>142211000</v>
      </c>
      <c r="F761" t="s">
        <v>15138</v>
      </c>
      <c r="G761" t="b">
        <v>0</v>
      </c>
      <c r="H761" t="s">
        <v>16930</v>
      </c>
    </row>
    <row r="762" spans="1:8" hidden="1" x14ac:dyDescent="0.25">
      <c r="A762">
        <v>92804</v>
      </c>
      <c r="B762" t="s">
        <v>16929</v>
      </c>
      <c r="C762" t="s">
        <v>15134</v>
      </c>
      <c r="D762" t="s">
        <v>15135</v>
      </c>
      <c r="E762">
        <v>142211001</v>
      </c>
      <c r="F762" t="s">
        <v>15138</v>
      </c>
      <c r="G762" t="b">
        <v>0</v>
      </c>
      <c r="H762" t="s">
        <v>16930</v>
      </c>
    </row>
    <row r="763" spans="1:8" hidden="1" x14ac:dyDescent="0.25">
      <c r="A763">
        <v>92804</v>
      </c>
      <c r="B763" t="s">
        <v>16929</v>
      </c>
      <c r="C763" t="s">
        <v>15134</v>
      </c>
      <c r="D763" t="s">
        <v>15135</v>
      </c>
      <c r="E763">
        <v>142211001</v>
      </c>
      <c r="F763" t="s">
        <v>15136</v>
      </c>
      <c r="G763" t="b">
        <v>0</v>
      </c>
      <c r="H763" t="s">
        <v>16930</v>
      </c>
    </row>
    <row r="764" spans="1:8" hidden="1" x14ac:dyDescent="0.25">
      <c r="A764">
        <v>8711</v>
      </c>
      <c r="B764" t="s">
        <v>15219</v>
      </c>
      <c r="C764" t="s">
        <v>15134</v>
      </c>
      <c r="D764" t="s">
        <v>15135</v>
      </c>
      <c r="E764">
        <v>72279001</v>
      </c>
    </row>
    <row r="765" spans="1:8" hidden="1" x14ac:dyDescent="0.25">
      <c r="A765">
        <v>8683</v>
      </c>
      <c r="B765" t="s">
        <v>15195</v>
      </c>
      <c r="C765" t="s">
        <v>15134</v>
      </c>
      <c r="D765" t="s">
        <v>15135</v>
      </c>
      <c r="E765">
        <v>72219000</v>
      </c>
    </row>
    <row r="766" spans="1:8" hidden="1" x14ac:dyDescent="0.25">
      <c r="A766">
        <v>8684</v>
      </c>
      <c r="B766" t="s">
        <v>15196</v>
      </c>
      <c r="C766" t="s">
        <v>15134</v>
      </c>
      <c r="D766" t="s">
        <v>15135</v>
      </c>
      <c r="E766">
        <v>72219001</v>
      </c>
    </row>
    <row r="767" spans="1:8" hidden="1" x14ac:dyDescent="0.25">
      <c r="A767">
        <v>8687</v>
      </c>
      <c r="B767" t="s">
        <v>15199</v>
      </c>
      <c r="C767" t="s">
        <v>15134</v>
      </c>
      <c r="D767" t="s">
        <v>15135</v>
      </c>
      <c r="E767">
        <v>72222002</v>
      </c>
    </row>
    <row r="768" spans="1:8" hidden="1" x14ac:dyDescent="0.25">
      <c r="A768">
        <v>90152</v>
      </c>
      <c r="B768" t="s">
        <v>16570</v>
      </c>
      <c r="C768" t="s">
        <v>15134</v>
      </c>
      <c r="D768" t="s">
        <v>15135</v>
      </c>
      <c r="E768">
        <v>73577000</v>
      </c>
      <c r="F768" t="s">
        <v>15136</v>
      </c>
      <c r="G768" t="b">
        <v>1</v>
      </c>
      <c r="H768" t="s">
        <v>16571</v>
      </c>
    </row>
    <row r="769" spans="1:8" hidden="1" x14ac:dyDescent="0.25">
      <c r="A769">
        <v>90152</v>
      </c>
      <c r="B769" t="s">
        <v>16570</v>
      </c>
      <c r="C769" t="s">
        <v>15134</v>
      </c>
      <c r="D769" t="s">
        <v>15135</v>
      </c>
      <c r="E769">
        <v>73577000</v>
      </c>
      <c r="F769" t="s">
        <v>15138</v>
      </c>
      <c r="G769" t="b">
        <v>1</v>
      </c>
      <c r="H769" t="s">
        <v>16572</v>
      </c>
    </row>
    <row r="770" spans="1:8" hidden="1" x14ac:dyDescent="0.25">
      <c r="A770">
        <v>9787</v>
      </c>
      <c r="B770" t="s">
        <v>15679</v>
      </c>
      <c r="C770" t="s">
        <v>15134</v>
      </c>
      <c r="D770" t="s">
        <v>15135</v>
      </c>
      <c r="E770">
        <v>102250005</v>
      </c>
    </row>
    <row r="771" spans="1:8" hidden="1" x14ac:dyDescent="0.25">
      <c r="A771">
        <v>8751</v>
      </c>
      <c r="B771" t="s">
        <v>15245</v>
      </c>
      <c r="C771" t="s">
        <v>15134</v>
      </c>
      <c r="D771" t="s">
        <v>15135</v>
      </c>
      <c r="E771">
        <v>72401002</v>
      </c>
      <c r="F771" t="s">
        <v>15136</v>
      </c>
      <c r="G771" t="b">
        <v>1</v>
      </c>
      <c r="H771" t="s">
        <v>15241</v>
      </c>
    </row>
    <row r="772" spans="1:8" hidden="1" x14ac:dyDescent="0.25">
      <c r="A772">
        <v>8751</v>
      </c>
      <c r="B772" t="s">
        <v>15245</v>
      </c>
      <c r="C772" t="s">
        <v>15134</v>
      </c>
      <c r="D772" t="s">
        <v>15135</v>
      </c>
      <c r="E772">
        <v>72401002</v>
      </c>
      <c r="F772" t="s">
        <v>15138</v>
      </c>
      <c r="G772" t="b">
        <v>1</v>
      </c>
      <c r="H772" t="s">
        <v>15246</v>
      </c>
    </row>
    <row r="773" spans="1:8" hidden="1" x14ac:dyDescent="0.25">
      <c r="A773">
        <v>88410</v>
      </c>
      <c r="B773" t="s">
        <v>16370</v>
      </c>
      <c r="C773" t="s">
        <v>15134</v>
      </c>
      <c r="D773" t="s">
        <v>15135</v>
      </c>
      <c r="E773">
        <v>73541000</v>
      </c>
      <c r="F773" t="s">
        <v>15145</v>
      </c>
      <c r="G773" t="b">
        <v>0</v>
      </c>
      <c r="H773" t="s">
        <v>16371</v>
      </c>
    </row>
    <row r="774" spans="1:8" hidden="1" x14ac:dyDescent="0.25">
      <c r="A774">
        <v>93013</v>
      </c>
      <c r="B774" t="s">
        <v>16958</v>
      </c>
      <c r="C774" t="s">
        <v>15134</v>
      </c>
      <c r="D774" t="s">
        <v>15135</v>
      </c>
      <c r="E774">
        <v>83027001</v>
      </c>
      <c r="F774" t="s">
        <v>15138</v>
      </c>
      <c r="G774" t="b">
        <v>0</v>
      </c>
      <c r="H774" t="s">
        <v>16959</v>
      </c>
    </row>
    <row r="775" spans="1:8" hidden="1" x14ac:dyDescent="0.25">
      <c r="A775">
        <v>93013</v>
      </c>
      <c r="B775" t="s">
        <v>16958</v>
      </c>
      <c r="C775" t="s">
        <v>15134</v>
      </c>
      <c r="D775" t="s">
        <v>15135</v>
      </c>
      <c r="E775">
        <v>83027001</v>
      </c>
      <c r="F775" t="s">
        <v>15136</v>
      </c>
      <c r="G775" t="b">
        <v>1</v>
      </c>
      <c r="H775" t="s">
        <v>16960</v>
      </c>
    </row>
    <row r="776" spans="1:8" hidden="1" x14ac:dyDescent="0.25">
      <c r="A776">
        <v>9617</v>
      </c>
      <c r="B776" t="s">
        <v>15608</v>
      </c>
      <c r="C776" t="s">
        <v>15134</v>
      </c>
      <c r="D776" t="s">
        <v>15135</v>
      </c>
      <c r="E776">
        <v>83027000</v>
      </c>
      <c r="F776" t="s">
        <v>15136</v>
      </c>
      <c r="G776" t="b">
        <v>1</v>
      </c>
      <c r="H776" t="s">
        <v>15609</v>
      </c>
    </row>
    <row r="777" spans="1:8" hidden="1" x14ac:dyDescent="0.25">
      <c r="A777">
        <v>9617</v>
      </c>
      <c r="B777" t="s">
        <v>15608</v>
      </c>
      <c r="C777" t="s">
        <v>15134</v>
      </c>
      <c r="D777" t="s">
        <v>15135</v>
      </c>
      <c r="E777">
        <v>83027000</v>
      </c>
      <c r="F777" t="s">
        <v>15138</v>
      </c>
      <c r="G777" t="b">
        <v>0</v>
      </c>
      <c r="H777" t="s">
        <v>15610</v>
      </c>
    </row>
    <row r="778" spans="1:8" hidden="1" x14ac:dyDescent="0.25">
      <c r="A778">
        <v>80148</v>
      </c>
      <c r="B778" t="s">
        <v>16040</v>
      </c>
      <c r="C778" t="s">
        <v>15134</v>
      </c>
      <c r="D778" t="s">
        <v>15135</v>
      </c>
      <c r="E778">
        <v>113017001</v>
      </c>
      <c r="F778" t="s">
        <v>15138</v>
      </c>
      <c r="G778" t="b">
        <v>0</v>
      </c>
      <c r="H778" t="s">
        <v>16038</v>
      </c>
    </row>
    <row r="779" spans="1:8" hidden="1" x14ac:dyDescent="0.25">
      <c r="A779">
        <v>80148</v>
      </c>
      <c r="B779" t="s">
        <v>16040</v>
      </c>
      <c r="C779" t="s">
        <v>15134</v>
      </c>
      <c r="D779" t="s">
        <v>15135</v>
      </c>
      <c r="E779">
        <v>113017001</v>
      </c>
      <c r="F779" t="s">
        <v>15145</v>
      </c>
      <c r="G779" t="b">
        <v>1</v>
      </c>
      <c r="H779" t="s">
        <v>16039</v>
      </c>
    </row>
    <row r="780" spans="1:8" hidden="1" x14ac:dyDescent="0.25">
      <c r="A780">
        <v>80146</v>
      </c>
      <c r="B780" t="s">
        <v>16037</v>
      </c>
      <c r="C780" t="s">
        <v>15134</v>
      </c>
      <c r="D780" t="s">
        <v>15135</v>
      </c>
      <c r="E780">
        <v>113017000</v>
      </c>
      <c r="F780" t="s">
        <v>15138</v>
      </c>
      <c r="G780" t="b">
        <v>0</v>
      </c>
      <c r="H780" t="s">
        <v>16038</v>
      </c>
    </row>
    <row r="781" spans="1:8" hidden="1" x14ac:dyDescent="0.25">
      <c r="A781">
        <v>80146</v>
      </c>
      <c r="B781" t="s">
        <v>16037</v>
      </c>
      <c r="C781" t="s">
        <v>15134</v>
      </c>
      <c r="D781" t="s">
        <v>15135</v>
      </c>
      <c r="E781">
        <v>113017000</v>
      </c>
      <c r="F781" t="s">
        <v>15145</v>
      </c>
      <c r="G781" t="b">
        <v>1</v>
      </c>
      <c r="H781" t="s">
        <v>16039</v>
      </c>
    </row>
    <row r="782" spans="1:8" hidden="1" x14ac:dyDescent="0.25">
      <c r="A782">
        <v>79326</v>
      </c>
      <c r="B782" t="s">
        <v>15919</v>
      </c>
      <c r="C782" t="s">
        <v>15134</v>
      </c>
      <c r="D782" t="s">
        <v>15135</v>
      </c>
      <c r="E782">
        <v>33007001</v>
      </c>
      <c r="F782" t="s">
        <v>15138</v>
      </c>
      <c r="G782" t="b">
        <v>0</v>
      </c>
      <c r="H782" t="s">
        <v>15920</v>
      </c>
    </row>
    <row r="783" spans="1:8" hidden="1" x14ac:dyDescent="0.25">
      <c r="A783">
        <v>79326</v>
      </c>
      <c r="B783" t="s">
        <v>15919</v>
      </c>
      <c r="C783" t="s">
        <v>15134</v>
      </c>
      <c r="D783" t="s">
        <v>15135</v>
      </c>
      <c r="E783">
        <v>33007001</v>
      </c>
      <c r="F783" t="s">
        <v>15145</v>
      </c>
      <c r="G783" t="b">
        <v>0</v>
      </c>
      <c r="H783" t="s">
        <v>15921</v>
      </c>
    </row>
    <row r="784" spans="1:8" hidden="1" x14ac:dyDescent="0.25">
      <c r="A784">
        <v>1000343</v>
      </c>
      <c r="B784" t="s">
        <v>17145</v>
      </c>
      <c r="C784" t="s">
        <v>15134</v>
      </c>
      <c r="D784" t="s">
        <v>15135</v>
      </c>
      <c r="E784">
        <v>92457000</v>
      </c>
      <c r="F784" t="s">
        <v>15136</v>
      </c>
      <c r="G784" t="b">
        <v>1</v>
      </c>
      <c r="H784" t="s">
        <v>17146</v>
      </c>
    </row>
    <row r="785" spans="1:8" hidden="1" x14ac:dyDescent="0.25">
      <c r="A785">
        <v>1000343</v>
      </c>
      <c r="B785" t="s">
        <v>17145</v>
      </c>
      <c r="C785" t="s">
        <v>15134</v>
      </c>
      <c r="D785" t="s">
        <v>15135</v>
      </c>
      <c r="E785">
        <v>92457000</v>
      </c>
      <c r="F785" t="s">
        <v>15138</v>
      </c>
      <c r="G785" t="b">
        <v>1</v>
      </c>
      <c r="H785" t="s">
        <v>17146</v>
      </c>
    </row>
    <row r="786" spans="1:8" hidden="1" x14ac:dyDescent="0.25">
      <c r="A786">
        <v>1000344</v>
      </c>
      <c r="B786" t="s">
        <v>17145</v>
      </c>
      <c r="C786" t="s">
        <v>15134</v>
      </c>
      <c r="D786" t="s">
        <v>15135</v>
      </c>
      <c r="E786">
        <v>92457001</v>
      </c>
      <c r="F786" t="s">
        <v>15136</v>
      </c>
      <c r="G786" t="b">
        <v>1</v>
      </c>
      <c r="H786" t="s">
        <v>17146</v>
      </c>
    </row>
    <row r="787" spans="1:8" hidden="1" x14ac:dyDescent="0.25">
      <c r="A787">
        <v>1000344</v>
      </c>
      <c r="B787" t="s">
        <v>17145</v>
      </c>
      <c r="C787" t="s">
        <v>15134</v>
      </c>
      <c r="D787" t="s">
        <v>15135</v>
      </c>
      <c r="E787">
        <v>92457001</v>
      </c>
      <c r="F787" t="s">
        <v>15138</v>
      </c>
      <c r="G787" t="b">
        <v>1</v>
      </c>
      <c r="H787" t="s">
        <v>17146</v>
      </c>
    </row>
    <row r="788" spans="1:8" hidden="1" x14ac:dyDescent="0.25">
      <c r="A788">
        <v>818718</v>
      </c>
      <c r="B788" t="s">
        <v>17026</v>
      </c>
      <c r="C788" t="s">
        <v>15134</v>
      </c>
      <c r="D788" t="s">
        <v>15135</v>
      </c>
      <c r="E788">
        <v>103156001</v>
      </c>
    </row>
    <row r="789" spans="1:8" hidden="1" x14ac:dyDescent="0.25">
      <c r="A789">
        <v>188924</v>
      </c>
      <c r="B789" t="s">
        <v>16974</v>
      </c>
      <c r="C789" t="s">
        <v>15134</v>
      </c>
      <c r="D789" t="s">
        <v>15135</v>
      </c>
      <c r="E789">
        <v>103156000</v>
      </c>
      <c r="F789" t="s">
        <v>15136</v>
      </c>
      <c r="G789" t="b">
        <v>1</v>
      </c>
      <c r="H789" t="s">
        <v>16449</v>
      </c>
    </row>
    <row r="790" spans="1:8" hidden="1" x14ac:dyDescent="0.25">
      <c r="A790">
        <v>89944</v>
      </c>
      <c r="B790" t="s">
        <v>16510</v>
      </c>
      <c r="C790" t="s">
        <v>15134</v>
      </c>
      <c r="D790" t="s">
        <v>15135</v>
      </c>
      <c r="E790">
        <v>103206001</v>
      </c>
      <c r="F790" t="s">
        <v>15145</v>
      </c>
      <c r="G790" t="b">
        <v>1</v>
      </c>
      <c r="H790" t="s">
        <v>16511</v>
      </c>
    </row>
    <row r="791" spans="1:8" hidden="1" x14ac:dyDescent="0.25">
      <c r="A791">
        <v>89944</v>
      </c>
      <c r="B791" t="s">
        <v>16510</v>
      </c>
      <c r="C791" t="s">
        <v>15134</v>
      </c>
      <c r="D791" t="s">
        <v>15135</v>
      </c>
      <c r="E791">
        <v>103206001</v>
      </c>
      <c r="F791" t="s">
        <v>15138</v>
      </c>
      <c r="G791" t="b">
        <v>1</v>
      </c>
      <c r="H791" t="s">
        <v>16511</v>
      </c>
    </row>
    <row r="792" spans="1:8" hidden="1" x14ac:dyDescent="0.25">
      <c r="A792">
        <v>92724</v>
      </c>
      <c r="B792" t="s">
        <v>16917</v>
      </c>
      <c r="C792" t="s">
        <v>15134</v>
      </c>
      <c r="D792" t="s">
        <v>15135</v>
      </c>
      <c r="E792">
        <v>73318001</v>
      </c>
      <c r="F792" t="s">
        <v>15136</v>
      </c>
      <c r="G792" t="b">
        <v>1</v>
      </c>
      <c r="H792" t="s">
        <v>16328</v>
      </c>
    </row>
    <row r="793" spans="1:8" hidden="1" x14ac:dyDescent="0.25">
      <c r="A793">
        <v>80679</v>
      </c>
      <c r="B793" t="s">
        <v>16181</v>
      </c>
      <c r="C793" t="s">
        <v>15134</v>
      </c>
      <c r="D793" t="s">
        <v>15135</v>
      </c>
      <c r="E793">
        <v>72413005</v>
      </c>
      <c r="F793" t="s">
        <v>15145</v>
      </c>
      <c r="G793" t="b">
        <v>1</v>
      </c>
      <c r="H793" t="s">
        <v>16182</v>
      </c>
    </row>
    <row r="794" spans="1:8" hidden="1" x14ac:dyDescent="0.25">
      <c r="A794">
        <v>80679</v>
      </c>
      <c r="B794" t="s">
        <v>16181</v>
      </c>
      <c r="C794" t="s">
        <v>15134</v>
      </c>
      <c r="D794" t="s">
        <v>15135</v>
      </c>
      <c r="E794">
        <v>72413005</v>
      </c>
      <c r="F794" t="s">
        <v>15138</v>
      </c>
      <c r="G794" t="b">
        <v>1</v>
      </c>
      <c r="H794" t="s">
        <v>16182</v>
      </c>
    </row>
    <row r="795" spans="1:8" hidden="1" x14ac:dyDescent="0.25">
      <c r="A795">
        <v>92682</v>
      </c>
      <c r="B795" t="s">
        <v>16891</v>
      </c>
      <c r="C795" t="s">
        <v>15134</v>
      </c>
      <c r="D795" t="s">
        <v>15135</v>
      </c>
      <c r="E795">
        <v>102401001</v>
      </c>
    </row>
    <row r="796" spans="1:8" hidden="1" x14ac:dyDescent="0.25">
      <c r="A796">
        <v>92683</v>
      </c>
      <c r="B796" t="s">
        <v>16892</v>
      </c>
      <c r="C796" t="s">
        <v>15134</v>
      </c>
      <c r="D796" t="s">
        <v>15135</v>
      </c>
      <c r="E796">
        <v>102401002</v>
      </c>
    </row>
    <row r="797" spans="1:8" hidden="1" x14ac:dyDescent="0.25">
      <c r="A797">
        <v>9730</v>
      </c>
      <c r="B797" t="s">
        <v>15638</v>
      </c>
      <c r="C797" t="s">
        <v>15134</v>
      </c>
      <c r="D797" t="s">
        <v>15135</v>
      </c>
      <c r="E797">
        <v>102205001</v>
      </c>
    </row>
    <row r="798" spans="1:8" hidden="1" x14ac:dyDescent="0.25">
      <c r="A798">
        <v>90897</v>
      </c>
      <c r="B798" t="s">
        <v>16713</v>
      </c>
      <c r="C798" t="s">
        <v>15134</v>
      </c>
      <c r="D798" t="s">
        <v>15135</v>
      </c>
      <c r="E798">
        <v>73715000</v>
      </c>
      <c r="F798" t="s">
        <v>15136</v>
      </c>
      <c r="G798" t="b">
        <v>1</v>
      </c>
      <c r="H798" t="s">
        <v>16714</v>
      </c>
    </row>
    <row r="799" spans="1:8" hidden="1" x14ac:dyDescent="0.25">
      <c r="A799">
        <v>90897</v>
      </c>
      <c r="B799" t="s">
        <v>16713</v>
      </c>
      <c r="C799" t="s">
        <v>15134</v>
      </c>
      <c r="D799" t="s">
        <v>15135</v>
      </c>
      <c r="E799">
        <v>73715000</v>
      </c>
      <c r="F799" t="s">
        <v>15138</v>
      </c>
      <c r="G799" t="b">
        <v>1</v>
      </c>
      <c r="H799" t="s">
        <v>16715</v>
      </c>
    </row>
    <row r="800" spans="1:8" hidden="1" x14ac:dyDescent="0.25">
      <c r="A800">
        <v>9530</v>
      </c>
      <c r="B800" t="s">
        <v>15581</v>
      </c>
      <c r="C800" t="s">
        <v>15134</v>
      </c>
      <c r="D800" t="s">
        <v>15135</v>
      </c>
      <c r="E800">
        <v>73291000</v>
      </c>
      <c r="F800" t="s">
        <v>15138</v>
      </c>
      <c r="G800" t="b">
        <v>1</v>
      </c>
      <c r="H800" t="s">
        <v>15582</v>
      </c>
    </row>
    <row r="801" spans="1:8" hidden="1" x14ac:dyDescent="0.25">
      <c r="A801">
        <v>9530</v>
      </c>
      <c r="B801" t="s">
        <v>15581</v>
      </c>
      <c r="C801" t="s">
        <v>15134</v>
      </c>
      <c r="D801" t="s">
        <v>15135</v>
      </c>
      <c r="E801">
        <v>73291000</v>
      </c>
      <c r="F801" t="s">
        <v>15136</v>
      </c>
      <c r="G801" t="b">
        <v>1</v>
      </c>
      <c r="H801" t="s">
        <v>15583</v>
      </c>
    </row>
    <row r="802" spans="1:8" hidden="1" x14ac:dyDescent="0.25">
      <c r="A802">
        <v>80858</v>
      </c>
      <c r="B802" t="s">
        <v>16228</v>
      </c>
      <c r="C802" t="s">
        <v>15134</v>
      </c>
      <c r="D802" t="s">
        <v>15135</v>
      </c>
      <c r="E802">
        <v>103119000</v>
      </c>
      <c r="F802" t="s">
        <v>15138</v>
      </c>
      <c r="G802" t="b">
        <v>1</v>
      </c>
      <c r="H802" t="s">
        <v>16229</v>
      </c>
    </row>
    <row r="803" spans="1:8" hidden="1" x14ac:dyDescent="0.25">
      <c r="A803">
        <v>80858</v>
      </c>
      <c r="B803" t="s">
        <v>16228</v>
      </c>
      <c r="C803" t="s">
        <v>15134</v>
      </c>
      <c r="D803" t="s">
        <v>15135</v>
      </c>
      <c r="E803">
        <v>103119000</v>
      </c>
      <c r="F803" t="s">
        <v>15145</v>
      </c>
      <c r="G803" t="b">
        <v>1</v>
      </c>
      <c r="H803" t="s">
        <v>16229</v>
      </c>
    </row>
    <row r="804" spans="1:8" hidden="1" x14ac:dyDescent="0.25">
      <c r="A804">
        <v>8572</v>
      </c>
      <c r="B804" t="s">
        <v>15164</v>
      </c>
      <c r="C804" t="s">
        <v>15134</v>
      </c>
      <c r="D804" t="s">
        <v>15135</v>
      </c>
      <c r="E804">
        <v>33003001</v>
      </c>
    </row>
    <row r="805" spans="1:8" hidden="1" x14ac:dyDescent="0.25">
      <c r="A805">
        <v>80575</v>
      </c>
      <c r="B805" t="s">
        <v>16123</v>
      </c>
      <c r="C805" t="s">
        <v>15134</v>
      </c>
      <c r="D805" t="s">
        <v>15135</v>
      </c>
      <c r="E805">
        <v>102245005</v>
      </c>
      <c r="F805" t="s">
        <v>15136</v>
      </c>
      <c r="G805" t="b">
        <v>0</v>
      </c>
      <c r="H805" t="s">
        <v>15695</v>
      </c>
    </row>
    <row r="806" spans="1:8" hidden="1" x14ac:dyDescent="0.25">
      <c r="A806">
        <v>80575</v>
      </c>
      <c r="B806" t="s">
        <v>16123</v>
      </c>
      <c r="C806" t="s">
        <v>15134</v>
      </c>
      <c r="D806" t="s">
        <v>15135</v>
      </c>
      <c r="E806">
        <v>102245005</v>
      </c>
      <c r="F806" t="s">
        <v>15138</v>
      </c>
      <c r="G806" t="b">
        <v>0</v>
      </c>
      <c r="H806" t="s">
        <v>16124</v>
      </c>
    </row>
    <row r="807" spans="1:8" hidden="1" x14ac:dyDescent="0.25">
      <c r="A807">
        <v>90464</v>
      </c>
      <c r="B807" t="s">
        <v>16621</v>
      </c>
      <c r="C807" t="s">
        <v>15134</v>
      </c>
      <c r="D807" t="s">
        <v>15135</v>
      </c>
      <c r="E807">
        <v>143023000</v>
      </c>
      <c r="F807" t="s">
        <v>15138</v>
      </c>
      <c r="G807" t="b">
        <v>1</v>
      </c>
      <c r="H807" t="s">
        <v>16622</v>
      </c>
    </row>
    <row r="808" spans="1:8" hidden="1" x14ac:dyDescent="0.25">
      <c r="A808">
        <v>90464</v>
      </c>
      <c r="B808" t="s">
        <v>16621</v>
      </c>
      <c r="C808" t="s">
        <v>15134</v>
      </c>
      <c r="D808" t="s">
        <v>15135</v>
      </c>
      <c r="E808">
        <v>143023000</v>
      </c>
      <c r="F808" t="s">
        <v>15136</v>
      </c>
      <c r="G808" t="b">
        <v>1</v>
      </c>
      <c r="H808" t="s">
        <v>16623</v>
      </c>
    </row>
    <row r="809" spans="1:8" hidden="1" x14ac:dyDescent="0.25">
      <c r="A809">
        <v>90465</v>
      </c>
      <c r="B809" t="s">
        <v>16621</v>
      </c>
      <c r="C809" t="s">
        <v>15134</v>
      </c>
      <c r="D809" t="s">
        <v>15135</v>
      </c>
      <c r="E809">
        <v>143023001</v>
      </c>
      <c r="F809" t="s">
        <v>15145</v>
      </c>
      <c r="G809" t="b">
        <v>1</v>
      </c>
      <c r="H809" t="s">
        <v>16622</v>
      </c>
    </row>
    <row r="810" spans="1:8" hidden="1" x14ac:dyDescent="0.25">
      <c r="A810">
        <v>91120</v>
      </c>
      <c r="B810" t="s">
        <v>16742</v>
      </c>
      <c r="C810" t="s">
        <v>15134</v>
      </c>
      <c r="D810" t="s">
        <v>15135</v>
      </c>
      <c r="E810">
        <v>103223000</v>
      </c>
      <c r="F810" t="s">
        <v>15136</v>
      </c>
      <c r="G810" t="b">
        <v>1</v>
      </c>
      <c r="H810" t="s">
        <v>16743</v>
      </c>
    </row>
    <row r="811" spans="1:8" hidden="1" x14ac:dyDescent="0.25">
      <c r="A811">
        <v>91120</v>
      </c>
      <c r="B811" t="s">
        <v>16742</v>
      </c>
      <c r="C811" t="s">
        <v>15134</v>
      </c>
      <c r="D811" t="s">
        <v>15135</v>
      </c>
      <c r="E811">
        <v>103223000</v>
      </c>
      <c r="F811" t="s">
        <v>15138</v>
      </c>
      <c r="G811" t="b">
        <v>1</v>
      </c>
      <c r="H811" t="s">
        <v>16743</v>
      </c>
    </row>
    <row r="812" spans="1:8" hidden="1" x14ac:dyDescent="0.25">
      <c r="A812">
        <v>91121</v>
      </c>
      <c r="B812" t="s">
        <v>16744</v>
      </c>
      <c r="C812" t="s">
        <v>15134</v>
      </c>
      <c r="D812" t="s">
        <v>15135</v>
      </c>
      <c r="E812">
        <v>103223001</v>
      </c>
      <c r="F812" t="s">
        <v>15145</v>
      </c>
      <c r="G812" t="b">
        <v>1</v>
      </c>
      <c r="H812" t="s">
        <v>16745</v>
      </c>
    </row>
    <row r="813" spans="1:8" hidden="1" x14ac:dyDescent="0.25">
      <c r="A813">
        <v>89253</v>
      </c>
      <c r="B813" t="s">
        <v>16381</v>
      </c>
      <c r="C813" t="s">
        <v>15134</v>
      </c>
      <c r="D813" t="s">
        <v>15135</v>
      </c>
      <c r="E813">
        <v>103131000</v>
      </c>
      <c r="F813" t="s">
        <v>15138</v>
      </c>
      <c r="G813" t="b">
        <v>1</v>
      </c>
      <c r="H813" t="s">
        <v>16382</v>
      </c>
    </row>
    <row r="814" spans="1:8" hidden="1" x14ac:dyDescent="0.25">
      <c r="A814">
        <v>89253</v>
      </c>
      <c r="B814" t="s">
        <v>16381</v>
      </c>
      <c r="C814" t="s">
        <v>15134</v>
      </c>
      <c r="D814" t="s">
        <v>15135</v>
      </c>
      <c r="E814">
        <v>103131000</v>
      </c>
      <c r="F814" t="s">
        <v>15136</v>
      </c>
      <c r="G814" t="b">
        <v>1</v>
      </c>
      <c r="H814" t="s">
        <v>16383</v>
      </c>
    </row>
    <row r="815" spans="1:8" hidden="1" x14ac:dyDescent="0.25">
      <c r="A815">
        <v>1001444</v>
      </c>
      <c r="B815" t="s">
        <v>17193</v>
      </c>
      <c r="C815" t="s">
        <v>15134</v>
      </c>
      <c r="D815" t="s">
        <v>15135</v>
      </c>
      <c r="E815">
        <v>73726000</v>
      </c>
      <c r="F815" t="s">
        <v>15138</v>
      </c>
      <c r="G815" t="b">
        <v>1</v>
      </c>
      <c r="H815" t="s">
        <v>17194</v>
      </c>
    </row>
    <row r="816" spans="1:8" hidden="1" x14ac:dyDescent="0.25">
      <c r="A816">
        <v>1001444</v>
      </c>
      <c r="B816" t="s">
        <v>17193</v>
      </c>
      <c r="C816" t="s">
        <v>15134</v>
      </c>
      <c r="D816" t="s">
        <v>15135</v>
      </c>
      <c r="E816">
        <v>73726000</v>
      </c>
      <c r="F816" t="s">
        <v>15136</v>
      </c>
      <c r="G816" t="b">
        <v>1</v>
      </c>
      <c r="H816" t="s">
        <v>17194</v>
      </c>
    </row>
    <row r="817" spans="1:8" hidden="1" x14ac:dyDescent="0.25">
      <c r="A817">
        <v>9025</v>
      </c>
      <c r="B817" t="s">
        <v>15322</v>
      </c>
      <c r="C817" t="s">
        <v>15134</v>
      </c>
      <c r="D817" t="s">
        <v>15135</v>
      </c>
      <c r="E817">
        <v>73026001</v>
      </c>
    </row>
    <row r="818" spans="1:8" hidden="1" x14ac:dyDescent="0.25">
      <c r="A818">
        <v>9244</v>
      </c>
      <c r="B818" t="s">
        <v>15322</v>
      </c>
      <c r="C818" t="s">
        <v>15134</v>
      </c>
      <c r="D818" t="s">
        <v>15135</v>
      </c>
      <c r="E818">
        <v>73173001</v>
      </c>
    </row>
    <row r="819" spans="1:8" hidden="1" x14ac:dyDescent="0.25">
      <c r="A819">
        <v>9121</v>
      </c>
      <c r="B819" t="s">
        <v>15371</v>
      </c>
      <c r="C819" t="s">
        <v>15134</v>
      </c>
      <c r="D819" t="s">
        <v>15135</v>
      </c>
      <c r="E819">
        <v>73085001</v>
      </c>
    </row>
    <row r="820" spans="1:8" hidden="1" x14ac:dyDescent="0.25">
      <c r="A820">
        <v>9478</v>
      </c>
      <c r="B820" t="s">
        <v>15371</v>
      </c>
      <c r="C820" t="s">
        <v>15134</v>
      </c>
      <c r="D820" t="s">
        <v>15135</v>
      </c>
      <c r="E820">
        <v>73273001</v>
      </c>
    </row>
    <row r="821" spans="1:8" hidden="1" x14ac:dyDescent="0.25">
      <c r="A821">
        <v>80921</v>
      </c>
      <c r="B821" t="s">
        <v>16242</v>
      </c>
      <c r="C821" t="s">
        <v>15134</v>
      </c>
      <c r="D821" t="s">
        <v>15135</v>
      </c>
      <c r="E821">
        <v>73491000</v>
      </c>
      <c r="F821" t="s">
        <v>15145</v>
      </c>
      <c r="G821" t="b">
        <v>1</v>
      </c>
      <c r="H821" t="s">
        <v>16243</v>
      </c>
    </row>
    <row r="822" spans="1:8" hidden="1" x14ac:dyDescent="0.25">
      <c r="A822">
        <v>80921</v>
      </c>
      <c r="B822" t="s">
        <v>16242</v>
      </c>
      <c r="C822" t="s">
        <v>15134</v>
      </c>
      <c r="D822" t="s">
        <v>15135</v>
      </c>
      <c r="E822">
        <v>73491000</v>
      </c>
      <c r="F822" t="s">
        <v>15138</v>
      </c>
      <c r="G822" t="b">
        <v>1</v>
      </c>
      <c r="H822" t="s">
        <v>16243</v>
      </c>
    </row>
    <row r="823" spans="1:8" hidden="1" x14ac:dyDescent="0.25">
      <c r="A823">
        <v>89388</v>
      </c>
      <c r="B823" t="s">
        <v>16392</v>
      </c>
      <c r="C823" t="s">
        <v>15134</v>
      </c>
      <c r="D823" t="s">
        <v>15135</v>
      </c>
      <c r="E823">
        <v>73546001</v>
      </c>
      <c r="F823" t="s">
        <v>15145</v>
      </c>
      <c r="G823" t="b">
        <v>1</v>
      </c>
      <c r="H823" t="s">
        <v>16391</v>
      </c>
    </row>
    <row r="824" spans="1:8" hidden="1" x14ac:dyDescent="0.25">
      <c r="A824">
        <v>89388</v>
      </c>
      <c r="B824" t="s">
        <v>16392</v>
      </c>
      <c r="C824" t="s">
        <v>15134</v>
      </c>
      <c r="D824" t="s">
        <v>15135</v>
      </c>
      <c r="E824">
        <v>73546001</v>
      </c>
      <c r="F824" t="s">
        <v>15138</v>
      </c>
      <c r="G824" t="b">
        <v>1</v>
      </c>
      <c r="H824" t="s">
        <v>16391</v>
      </c>
    </row>
    <row r="825" spans="1:8" hidden="1" x14ac:dyDescent="0.25">
      <c r="A825">
        <v>89387</v>
      </c>
      <c r="B825" t="s">
        <v>16390</v>
      </c>
      <c r="C825" t="s">
        <v>15134</v>
      </c>
      <c r="D825" t="s">
        <v>15135</v>
      </c>
      <c r="E825">
        <v>73546000</v>
      </c>
      <c r="F825" t="s">
        <v>15138</v>
      </c>
      <c r="G825" t="b">
        <v>1</v>
      </c>
      <c r="H825" t="s">
        <v>16391</v>
      </c>
    </row>
    <row r="826" spans="1:8" hidden="1" x14ac:dyDescent="0.25">
      <c r="A826">
        <v>89387</v>
      </c>
      <c r="B826" t="s">
        <v>16390</v>
      </c>
      <c r="C826" t="s">
        <v>15134</v>
      </c>
      <c r="D826" t="s">
        <v>15135</v>
      </c>
      <c r="E826">
        <v>73546000</v>
      </c>
      <c r="F826" t="s">
        <v>15136</v>
      </c>
      <c r="G826" t="b">
        <v>1</v>
      </c>
      <c r="H826" t="s">
        <v>16391</v>
      </c>
    </row>
    <row r="827" spans="1:8" hidden="1" x14ac:dyDescent="0.25">
      <c r="A827">
        <v>919380</v>
      </c>
      <c r="B827" t="s">
        <v>17028</v>
      </c>
      <c r="C827" t="s">
        <v>15134</v>
      </c>
      <c r="D827" t="s">
        <v>15135</v>
      </c>
      <c r="E827">
        <v>73343001</v>
      </c>
      <c r="F827" t="s">
        <v>15136</v>
      </c>
      <c r="G827" t="b">
        <v>1</v>
      </c>
      <c r="H827" t="s">
        <v>16994</v>
      </c>
    </row>
    <row r="828" spans="1:8" hidden="1" x14ac:dyDescent="0.25">
      <c r="A828">
        <v>426577</v>
      </c>
      <c r="B828" t="s">
        <v>16993</v>
      </c>
      <c r="C828" t="s">
        <v>15134</v>
      </c>
      <c r="D828" t="s">
        <v>15135</v>
      </c>
      <c r="E828">
        <v>73343000</v>
      </c>
      <c r="F828" t="s">
        <v>15136</v>
      </c>
      <c r="G828" t="b">
        <v>1</v>
      </c>
      <c r="H828" t="s">
        <v>16994</v>
      </c>
    </row>
    <row r="829" spans="1:8" hidden="1" x14ac:dyDescent="0.25">
      <c r="A829">
        <v>10115</v>
      </c>
      <c r="B829" t="s">
        <v>15807</v>
      </c>
      <c r="C829" t="s">
        <v>15134</v>
      </c>
      <c r="D829" t="s">
        <v>15135</v>
      </c>
      <c r="E829">
        <v>113007001</v>
      </c>
    </row>
    <row r="830" spans="1:8" hidden="1" x14ac:dyDescent="0.25">
      <c r="A830">
        <v>10117</v>
      </c>
      <c r="B830" t="s">
        <v>15807</v>
      </c>
      <c r="C830" t="s">
        <v>15134</v>
      </c>
      <c r="D830" t="s">
        <v>15135</v>
      </c>
      <c r="E830">
        <v>113008001</v>
      </c>
    </row>
    <row r="831" spans="1:8" hidden="1" x14ac:dyDescent="0.25">
      <c r="A831">
        <v>9087</v>
      </c>
      <c r="B831" t="s">
        <v>15350</v>
      </c>
      <c r="C831" t="s">
        <v>15134</v>
      </c>
      <c r="D831" t="s">
        <v>15135</v>
      </c>
      <c r="E831">
        <v>73065001</v>
      </c>
    </row>
    <row r="832" spans="1:8" hidden="1" x14ac:dyDescent="0.25">
      <c r="A832">
        <v>9479</v>
      </c>
      <c r="B832" t="s">
        <v>15560</v>
      </c>
      <c r="C832" t="s">
        <v>15134</v>
      </c>
      <c r="D832" t="s">
        <v>15135</v>
      </c>
      <c r="E832">
        <v>73273002</v>
      </c>
    </row>
    <row r="833" spans="1:8" hidden="1" x14ac:dyDescent="0.25">
      <c r="A833">
        <v>9525</v>
      </c>
      <c r="B833" t="s">
        <v>15560</v>
      </c>
      <c r="C833" t="s">
        <v>15134</v>
      </c>
      <c r="D833" t="s">
        <v>15135</v>
      </c>
      <c r="E833">
        <v>73288001</v>
      </c>
    </row>
    <row r="834" spans="1:8" hidden="1" x14ac:dyDescent="0.25">
      <c r="A834">
        <v>9377</v>
      </c>
      <c r="B834" t="s">
        <v>15499</v>
      </c>
      <c r="C834" t="s">
        <v>15134</v>
      </c>
      <c r="D834" t="s">
        <v>15135</v>
      </c>
      <c r="E834">
        <v>73234001</v>
      </c>
    </row>
    <row r="835" spans="1:8" hidden="1" x14ac:dyDescent="0.25">
      <c r="A835">
        <v>9376</v>
      </c>
      <c r="B835" t="s">
        <v>15497</v>
      </c>
      <c r="C835" t="s">
        <v>15134</v>
      </c>
      <c r="D835" t="s">
        <v>15135</v>
      </c>
      <c r="E835">
        <v>73234000</v>
      </c>
      <c r="F835" t="s">
        <v>15136</v>
      </c>
      <c r="G835" t="b">
        <v>1</v>
      </c>
      <c r="H835" t="s">
        <v>15498</v>
      </c>
    </row>
    <row r="836" spans="1:8" hidden="1" x14ac:dyDescent="0.25">
      <c r="A836">
        <v>9376</v>
      </c>
      <c r="B836" t="s">
        <v>15497</v>
      </c>
      <c r="C836" t="s">
        <v>15134</v>
      </c>
      <c r="D836" t="s">
        <v>15135</v>
      </c>
      <c r="E836">
        <v>73234000</v>
      </c>
      <c r="F836" t="s">
        <v>15138</v>
      </c>
      <c r="G836" t="b">
        <v>1</v>
      </c>
      <c r="H836" t="s">
        <v>15498</v>
      </c>
    </row>
    <row r="837" spans="1:8" hidden="1" x14ac:dyDescent="0.25">
      <c r="A837">
        <v>9095</v>
      </c>
      <c r="B837" t="s">
        <v>15357</v>
      </c>
      <c r="C837" t="s">
        <v>15134</v>
      </c>
      <c r="D837" t="s">
        <v>15135</v>
      </c>
      <c r="E837">
        <v>73071001</v>
      </c>
      <c r="F837" t="s">
        <v>15138</v>
      </c>
      <c r="G837" t="b">
        <v>1</v>
      </c>
      <c r="H837" t="s">
        <v>15356</v>
      </c>
    </row>
    <row r="838" spans="1:8" hidden="1" x14ac:dyDescent="0.25">
      <c r="A838">
        <v>9095</v>
      </c>
      <c r="B838" t="s">
        <v>15357</v>
      </c>
      <c r="C838" t="s">
        <v>15134</v>
      </c>
      <c r="D838" t="s">
        <v>15135</v>
      </c>
      <c r="E838">
        <v>73071001</v>
      </c>
      <c r="F838" t="s">
        <v>15145</v>
      </c>
      <c r="G838" t="b">
        <v>1</v>
      </c>
      <c r="H838" t="s">
        <v>15356</v>
      </c>
    </row>
    <row r="839" spans="1:8" hidden="1" x14ac:dyDescent="0.25">
      <c r="A839">
        <v>9929</v>
      </c>
      <c r="B839" t="s">
        <v>15733</v>
      </c>
      <c r="C839" t="s">
        <v>15134</v>
      </c>
      <c r="D839" t="s">
        <v>15135</v>
      </c>
      <c r="E839">
        <v>103056001</v>
      </c>
    </row>
    <row r="840" spans="1:8" hidden="1" x14ac:dyDescent="0.25">
      <c r="A840">
        <v>1000417</v>
      </c>
      <c r="B840" t="s">
        <v>17169</v>
      </c>
      <c r="C840" t="s">
        <v>15134</v>
      </c>
      <c r="D840" t="s">
        <v>15135</v>
      </c>
      <c r="E840">
        <v>92227002</v>
      </c>
      <c r="F840" t="s">
        <v>15138</v>
      </c>
      <c r="G840" t="b">
        <v>0</v>
      </c>
      <c r="H840" t="s">
        <v>17170</v>
      </c>
    </row>
    <row r="841" spans="1:8" hidden="1" x14ac:dyDescent="0.25">
      <c r="A841">
        <v>1000417</v>
      </c>
      <c r="B841" t="s">
        <v>17169</v>
      </c>
      <c r="C841" t="s">
        <v>15134</v>
      </c>
      <c r="D841" t="s">
        <v>15135</v>
      </c>
      <c r="E841">
        <v>92227002</v>
      </c>
      <c r="F841" t="s">
        <v>15136</v>
      </c>
      <c r="G841" t="b">
        <v>1</v>
      </c>
      <c r="H841" t="s">
        <v>17171</v>
      </c>
    </row>
    <row r="842" spans="1:8" hidden="1" x14ac:dyDescent="0.25">
      <c r="A842">
        <v>8771</v>
      </c>
      <c r="B842" t="s">
        <v>15264</v>
      </c>
      <c r="C842" t="s">
        <v>15134</v>
      </c>
      <c r="D842" t="s">
        <v>15135</v>
      </c>
      <c r="E842">
        <v>72405004</v>
      </c>
    </row>
    <row r="843" spans="1:8" hidden="1" x14ac:dyDescent="0.25">
      <c r="A843">
        <v>8691</v>
      </c>
      <c r="B843" t="s">
        <v>15202</v>
      </c>
      <c r="C843" t="s">
        <v>15134</v>
      </c>
      <c r="D843" t="s">
        <v>15135</v>
      </c>
      <c r="E843">
        <v>72224001</v>
      </c>
    </row>
    <row r="844" spans="1:8" hidden="1" x14ac:dyDescent="0.25">
      <c r="A844">
        <v>9904</v>
      </c>
      <c r="B844" t="s">
        <v>15720</v>
      </c>
      <c r="C844" t="s">
        <v>15134</v>
      </c>
      <c r="D844" t="s">
        <v>15135</v>
      </c>
      <c r="E844">
        <v>103041000</v>
      </c>
      <c r="F844" t="s">
        <v>15136</v>
      </c>
      <c r="G844" t="b">
        <v>1</v>
      </c>
      <c r="H844" t="s">
        <v>15721</v>
      </c>
    </row>
    <row r="845" spans="1:8" hidden="1" x14ac:dyDescent="0.25">
      <c r="A845">
        <v>9904</v>
      </c>
      <c r="B845" t="s">
        <v>15720</v>
      </c>
      <c r="C845" t="s">
        <v>15134</v>
      </c>
      <c r="D845" t="s">
        <v>15135</v>
      </c>
      <c r="E845">
        <v>103041000</v>
      </c>
      <c r="F845" t="s">
        <v>15138</v>
      </c>
      <c r="G845" t="b">
        <v>1</v>
      </c>
      <c r="H845" t="s">
        <v>15721</v>
      </c>
    </row>
    <row r="846" spans="1:8" hidden="1" x14ac:dyDescent="0.25">
      <c r="A846">
        <v>89819</v>
      </c>
      <c r="B846" t="s">
        <v>16462</v>
      </c>
      <c r="C846" t="s">
        <v>15134</v>
      </c>
      <c r="D846" t="s">
        <v>15135</v>
      </c>
      <c r="E846">
        <v>133023001</v>
      </c>
      <c r="F846" t="s">
        <v>15138</v>
      </c>
      <c r="G846" t="b">
        <v>1</v>
      </c>
      <c r="H846" t="s">
        <v>16461</v>
      </c>
    </row>
    <row r="847" spans="1:8" hidden="1" x14ac:dyDescent="0.25">
      <c r="A847">
        <v>89819</v>
      </c>
      <c r="B847" t="s">
        <v>16462</v>
      </c>
      <c r="C847" t="s">
        <v>15134</v>
      </c>
      <c r="D847" t="s">
        <v>15135</v>
      </c>
      <c r="E847">
        <v>133023001</v>
      </c>
      <c r="F847" t="s">
        <v>15145</v>
      </c>
      <c r="G847" t="b">
        <v>1</v>
      </c>
      <c r="H847" t="s">
        <v>16461</v>
      </c>
    </row>
    <row r="848" spans="1:8" hidden="1" x14ac:dyDescent="0.25">
      <c r="A848">
        <v>89818</v>
      </c>
      <c r="B848" t="s">
        <v>16460</v>
      </c>
      <c r="C848" t="s">
        <v>15134</v>
      </c>
      <c r="D848" t="s">
        <v>15135</v>
      </c>
      <c r="E848">
        <v>133023000</v>
      </c>
      <c r="F848" t="s">
        <v>15136</v>
      </c>
      <c r="G848" t="b">
        <v>1</v>
      </c>
      <c r="H848" t="s">
        <v>16461</v>
      </c>
    </row>
    <row r="849" spans="1:8" hidden="1" x14ac:dyDescent="0.25">
      <c r="A849">
        <v>89818</v>
      </c>
      <c r="B849" t="s">
        <v>16460</v>
      </c>
      <c r="C849" t="s">
        <v>15134</v>
      </c>
      <c r="D849" t="s">
        <v>15135</v>
      </c>
      <c r="E849">
        <v>133023000</v>
      </c>
      <c r="F849" t="s">
        <v>15138</v>
      </c>
      <c r="G849" t="b">
        <v>1</v>
      </c>
      <c r="H849" t="s">
        <v>16461</v>
      </c>
    </row>
    <row r="850" spans="1:8" hidden="1" x14ac:dyDescent="0.25">
      <c r="A850">
        <v>80723</v>
      </c>
      <c r="B850" t="s">
        <v>16195</v>
      </c>
      <c r="C850" t="s">
        <v>15134</v>
      </c>
      <c r="D850" t="s">
        <v>15135</v>
      </c>
      <c r="E850">
        <v>73446000</v>
      </c>
      <c r="F850" t="s">
        <v>15136</v>
      </c>
      <c r="G850" t="b">
        <v>1</v>
      </c>
      <c r="H850" t="s">
        <v>16196</v>
      </c>
    </row>
    <row r="851" spans="1:8" hidden="1" x14ac:dyDescent="0.25">
      <c r="A851">
        <v>80723</v>
      </c>
      <c r="B851" t="s">
        <v>16195</v>
      </c>
      <c r="C851" t="s">
        <v>15134</v>
      </c>
      <c r="D851" t="s">
        <v>15135</v>
      </c>
      <c r="E851">
        <v>73446000</v>
      </c>
      <c r="F851" t="s">
        <v>15138</v>
      </c>
      <c r="G851" t="b">
        <v>1</v>
      </c>
      <c r="H851" t="s">
        <v>16196</v>
      </c>
    </row>
    <row r="852" spans="1:8" hidden="1" x14ac:dyDescent="0.25">
      <c r="A852">
        <v>80724</v>
      </c>
      <c r="B852" t="s">
        <v>16195</v>
      </c>
      <c r="C852" t="s">
        <v>15134</v>
      </c>
      <c r="D852" t="s">
        <v>15135</v>
      </c>
      <c r="E852">
        <v>73446001</v>
      </c>
      <c r="F852" t="s">
        <v>15138</v>
      </c>
      <c r="G852" t="b">
        <v>1</v>
      </c>
      <c r="H852" t="s">
        <v>16196</v>
      </c>
    </row>
    <row r="853" spans="1:8" hidden="1" x14ac:dyDescent="0.25">
      <c r="A853">
        <v>80724</v>
      </c>
      <c r="B853" t="s">
        <v>16195</v>
      </c>
      <c r="C853" t="s">
        <v>15134</v>
      </c>
      <c r="D853" t="s">
        <v>15135</v>
      </c>
      <c r="E853">
        <v>73446001</v>
      </c>
      <c r="F853" t="s">
        <v>15145</v>
      </c>
      <c r="G853" t="b">
        <v>1</v>
      </c>
      <c r="H853" t="s">
        <v>16196</v>
      </c>
    </row>
    <row r="854" spans="1:8" hidden="1" x14ac:dyDescent="0.25">
      <c r="A854">
        <v>90938</v>
      </c>
      <c r="B854" t="s">
        <v>16730</v>
      </c>
      <c r="C854" t="s">
        <v>15134</v>
      </c>
      <c r="D854" t="s">
        <v>15135</v>
      </c>
      <c r="E854">
        <v>72442001</v>
      </c>
      <c r="F854" t="s">
        <v>15138</v>
      </c>
      <c r="G854" t="b">
        <v>0</v>
      </c>
      <c r="H854" t="s">
        <v>16731</v>
      </c>
    </row>
    <row r="855" spans="1:8" hidden="1" x14ac:dyDescent="0.25">
      <c r="A855">
        <v>90938</v>
      </c>
      <c r="B855" t="s">
        <v>16730</v>
      </c>
      <c r="C855" t="s">
        <v>15134</v>
      </c>
      <c r="D855" t="s">
        <v>15135</v>
      </c>
      <c r="E855">
        <v>72442001</v>
      </c>
      <c r="F855" t="s">
        <v>15136</v>
      </c>
      <c r="G855" t="b">
        <v>1</v>
      </c>
      <c r="H855" t="s">
        <v>16732</v>
      </c>
    </row>
    <row r="856" spans="1:8" hidden="1" x14ac:dyDescent="0.25">
      <c r="A856">
        <v>90938</v>
      </c>
      <c r="B856" t="s">
        <v>16730</v>
      </c>
      <c r="C856" t="s">
        <v>15134</v>
      </c>
      <c r="D856" t="s">
        <v>15135</v>
      </c>
      <c r="E856">
        <v>72442001</v>
      </c>
      <c r="F856" t="s">
        <v>15145</v>
      </c>
      <c r="G856" t="b">
        <v>1</v>
      </c>
      <c r="H856" t="s">
        <v>16733</v>
      </c>
    </row>
    <row r="857" spans="1:8" hidden="1" x14ac:dyDescent="0.25">
      <c r="A857">
        <v>9662</v>
      </c>
      <c r="B857" t="s">
        <v>15625</v>
      </c>
      <c r="C857" t="s">
        <v>15134</v>
      </c>
      <c r="D857" t="s">
        <v>15135</v>
      </c>
      <c r="E857">
        <v>92227000</v>
      </c>
    </row>
    <row r="858" spans="1:8" hidden="1" x14ac:dyDescent="0.25">
      <c r="A858">
        <v>9789</v>
      </c>
      <c r="B858" t="s">
        <v>15681</v>
      </c>
      <c r="C858" t="s">
        <v>15134</v>
      </c>
      <c r="D858" t="s">
        <v>15135</v>
      </c>
      <c r="E858">
        <v>102250007</v>
      </c>
    </row>
    <row r="859" spans="1:8" hidden="1" x14ac:dyDescent="0.25">
      <c r="A859">
        <v>80664</v>
      </c>
      <c r="B859" t="s">
        <v>16165</v>
      </c>
      <c r="C859" t="s">
        <v>15134</v>
      </c>
      <c r="D859" t="s">
        <v>15135</v>
      </c>
      <c r="E859">
        <v>143014001</v>
      </c>
      <c r="F859" t="s">
        <v>15145</v>
      </c>
      <c r="G859" t="b">
        <v>1</v>
      </c>
      <c r="H859" t="s">
        <v>16166</v>
      </c>
    </row>
    <row r="860" spans="1:8" hidden="1" x14ac:dyDescent="0.25">
      <c r="A860">
        <v>80664</v>
      </c>
      <c r="B860" t="s">
        <v>16165</v>
      </c>
      <c r="C860" t="s">
        <v>15134</v>
      </c>
      <c r="D860" t="s">
        <v>15135</v>
      </c>
      <c r="E860">
        <v>143014001</v>
      </c>
      <c r="F860" t="s">
        <v>15138</v>
      </c>
      <c r="G860" t="b">
        <v>1</v>
      </c>
      <c r="H860" t="s">
        <v>16166</v>
      </c>
    </row>
    <row r="861" spans="1:8" hidden="1" x14ac:dyDescent="0.25">
      <c r="A861">
        <v>79338</v>
      </c>
      <c r="B861" t="s">
        <v>15936</v>
      </c>
      <c r="C861" t="s">
        <v>15134</v>
      </c>
      <c r="D861" t="s">
        <v>15135</v>
      </c>
      <c r="E861">
        <v>72425019</v>
      </c>
      <c r="F861" t="s">
        <v>15138</v>
      </c>
      <c r="G861" t="b">
        <v>1</v>
      </c>
      <c r="H861" t="s">
        <v>15937</v>
      </c>
    </row>
    <row r="862" spans="1:8" hidden="1" x14ac:dyDescent="0.25">
      <c r="A862">
        <v>79338</v>
      </c>
      <c r="B862" t="s">
        <v>15936</v>
      </c>
      <c r="C862" t="s">
        <v>15134</v>
      </c>
      <c r="D862" t="s">
        <v>15135</v>
      </c>
      <c r="E862">
        <v>72425019</v>
      </c>
      <c r="F862" t="s">
        <v>15145</v>
      </c>
      <c r="G862" t="b">
        <v>1</v>
      </c>
      <c r="H862" t="s">
        <v>15937</v>
      </c>
    </row>
    <row r="863" spans="1:8" hidden="1" x14ac:dyDescent="0.25">
      <c r="A863">
        <v>89513</v>
      </c>
      <c r="B863" t="s">
        <v>16412</v>
      </c>
      <c r="C863" t="s">
        <v>15134</v>
      </c>
      <c r="D863" t="s">
        <v>15135</v>
      </c>
      <c r="E863">
        <v>102271000</v>
      </c>
      <c r="F863" t="s">
        <v>15138</v>
      </c>
      <c r="G863" t="b">
        <v>1</v>
      </c>
      <c r="H863" t="s">
        <v>16413</v>
      </c>
    </row>
    <row r="864" spans="1:8" hidden="1" x14ac:dyDescent="0.25">
      <c r="A864">
        <v>89513</v>
      </c>
      <c r="B864" t="s">
        <v>16412</v>
      </c>
      <c r="C864" t="s">
        <v>15134</v>
      </c>
      <c r="D864" t="s">
        <v>15135</v>
      </c>
      <c r="E864">
        <v>102271000</v>
      </c>
      <c r="F864" t="s">
        <v>15145</v>
      </c>
      <c r="G864" t="b">
        <v>1</v>
      </c>
      <c r="H864" t="s">
        <v>16413</v>
      </c>
    </row>
    <row r="865" spans="1:8" hidden="1" x14ac:dyDescent="0.25">
      <c r="A865">
        <v>89514</v>
      </c>
      <c r="B865" t="s">
        <v>16412</v>
      </c>
      <c r="C865" t="s">
        <v>15134</v>
      </c>
      <c r="D865" t="s">
        <v>15135</v>
      </c>
      <c r="E865">
        <v>102271001</v>
      </c>
      <c r="F865" t="s">
        <v>15145</v>
      </c>
      <c r="G865" t="b">
        <v>1</v>
      </c>
      <c r="H865" t="s">
        <v>16413</v>
      </c>
    </row>
    <row r="866" spans="1:8" hidden="1" x14ac:dyDescent="0.25">
      <c r="A866">
        <v>89514</v>
      </c>
      <c r="B866" t="s">
        <v>16412</v>
      </c>
      <c r="C866" t="s">
        <v>15134</v>
      </c>
      <c r="D866" t="s">
        <v>15135</v>
      </c>
      <c r="E866">
        <v>102271001</v>
      </c>
      <c r="F866" t="s">
        <v>15138</v>
      </c>
      <c r="G866" t="b">
        <v>1</v>
      </c>
      <c r="H866" t="s">
        <v>16413</v>
      </c>
    </row>
    <row r="867" spans="1:8" hidden="1" x14ac:dyDescent="0.25">
      <c r="A867">
        <v>88431</v>
      </c>
      <c r="B867" t="s">
        <v>16373</v>
      </c>
      <c r="C867" t="s">
        <v>15134</v>
      </c>
      <c r="D867" t="s">
        <v>15135</v>
      </c>
      <c r="E867">
        <v>93020001</v>
      </c>
      <c r="F867" t="s">
        <v>15145</v>
      </c>
      <c r="G867" t="b">
        <v>1</v>
      </c>
      <c r="H867" t="s">
        <v>16374</v>
      </c>
    </row>
    <row r="868" spans="1:8" hidden="1" x14ac:dyDescent="0.25">
      <c r="A868">
        <v>88431</v>
      </c>
      <c r="B868" t="s">
        <v>16373</v>
      </c>
      <c r="C868" t="s">
        <v>15134</v>
      </c>
      <c r="D868" t="s">
        <v>15135</v>
      </c>
      <c r="E868">
        <v>93020001</v>
      </c>
      <c r="F868" t="s">
        <v>15138</v>
      </c>
      <c r="G868" t="b">
        <v>0</v>
      </c>
      <c r="H868" t="s">
        <v>16375</v>
      </c>
    </row>
    <row r="869" spans="1:8" hidden="1" x14ac:dyDescent="0.25">
      <c r="A869">
        <v>80680</v>
      </c>
      <c r="B869" t="s">
        <v>16183</v>
      </c>
      <c r="C869" t="s">
        <v>15134</v>
      </c>
      <c r="D869" t="s">
        <v>15135</v>
      </c>
      <c r="E869">
        <v>72413006</v>
      </c>
      <c r="F869" t="s">
        <v>15145</v>
      </c>
      <c r="G869" t="b">
        <v>1</v>
      </c>
      <c r="H869" t="s">
        <v>16184</v>
      </c>
    </row>
    <row r="870" spans="1:8" hidden="1" x14ac:dyDescent="0.25">
      <c r="A870">
        <v>80680</v>
      </c>
      <c r="B870" t="s">
        <v>16183</v>
      </c>
      <c r="C870" t="s">
        <v>15134</v>
      </c>
      <c r="D870" t="s">
        <v>15135</v>
      </c>
      <c r="E870">
        <v>72413006</v>
      </c>
      <c r="F870" t="s">
        <v>15138</v>
      </c>
      <c r="G870" t="b">
        <v>1</v>
      </c>
      <c r="H870" t="s">
        <v>16184</v>
      </c>
    </row>
    <row r="871" spans="1:8" hidden="1" x14ac:dyDescent="0.25">
      <c r="A871">
        <v>90356</v>
      </c>
      <c r="B871" t="s">
        <v>16587</v>
      </c>
      <c r="C871" t="s">
        <v>15134</v>
      </c>
      <c r="D871" t="s">
        <v>15135</v>
      </c>
      <c r="E871">
        <v>73587000</v>
      </c>
      <c r="F871" t="s">
        <v>15136</v>
      </c>
      <c r="G871" t="b">
        <v>1</v>
      </c>
      <c r="H871" t="s">
        <v>16588</v>
      </c>
    </row>
    <row r="872" spans="1:8" hidden="1" x14ac:dyDescent="0.25">
      <c r="A872">
        <v>90356</v>
      </c>
      <c r="B872" t="s">
        <v>16587</v>
      </c>
      <c r="C872" t="s">
        <v>15134</v>
      </c>
      <c r="D872" t="s">
        <v>15135</v>
      </c>
      <c r="E872">
        <v>73587000</v>
      </c>
      <c r="F872" t="s">
        <v>15138</v>
      </c>
      <c r="G872" t="b">
        <v>1</v>
      </c>
      <c r="H872" t="s">
        <v>16588</v>
      </c>
    </row>
    <row r="873" spans="1:8" hidden="1" x14ac:dyDescent="0.25">
      <c r="A873">
        <v>9911</v>
      </c>
      <c r="B873" t="s">
        <v>15725</v>
      </c>
      <c r="C873" t="s">
        <v>15134</v>
      </c>
      <c r="D873" t="s">
        <v>15135</v>
      </c>
      <c r="E873">
        <v>103045001</v>
      </c>
    </row>
    <row r="874" spans="1:8" hidden="1" x14ac:dyDescent="0.25">
      <c r="A874">
        <v>9399</v>
      </c>
      <c r="B874" t="s">
        <v>15509</v>
      </c>
      <c r="C874" t="s">
        <v>15134</v>
      </c>
      <c r="D874" t="s">
        <v>15135</v>
      </c>
      <c r="E874">
        <v>73246001</v>
      </c>
    </row>
    <row r="875" spans="1:8" hidden="1" x14ac:dyDescent="0.25">
      <c r="A875">
        <v>9013</v>
      </c>
      <c r="B875" t="s">
        <v>15313</v>
      </c>
      <c r="C875" t="s">
        <v>15134</v>
      </c>
      <c r="D875" t="s">
        <v>15135</v>
      </c>
      <c r="E875">
        <v>73021001</v>
      </c>
    </row>
    <row r="876" spans="1:8" hidden="1" x14ac:dyDescent="0.25">
      <c r="A876">
        <v>9147</v>
      </c>
      <c r="B876" t="s">
        <v>15379</v>
      </c>
      <c r="C876" t="s">
        <v>15134</v>
      </c>
      <c r="D876" t="s">
        <v>15135</v>
      </c>
      <c r="E876">
        <v>73098001</v>
      </c>
    </row>
    <row r="877" spans="1:8" hidden="1" x14ac:dyDescent="0.25">
      <c r="A877">
        <v>9184</v>
      </c>
      <c r="B877" t="s">
        <v>15400</v>
      </c>
      <c r="C877" t="s">
        <v>15134</v>
      </c>
      <c r="D877" t="s">
        <v>15135</v>
      </c>
      <c r="E877">
        <v>73127001</v>
      </c>
    </row>
    <row r="878" spans="1:8" hidden="1" x14ac:dyDescent="0.25">
      <c r="A878">
        <v>8693</v>
      </c>
      <c r="B878" t="s">
        <v>15204</v>
      </c>
      <c r="C878" t="s">
        <v>15134</v>
      </c>
      <c r="D878" t="s">
        <v>15135</v>
      </c>
      <c r="E878">
        <v>72225001</v>
      </c>
    </row>
    <row r="879" spans="1:8" hidden="1" x14ac:dyDescent="0.25">
      <c r="A879">
        <v>8772</v>
      </c>
      <c r="B879" t="s">
        <v>15204</v>
      </c>
      <c r="C879" t="s">
        <v>15134</v>
      </c>
      <c r="D879" t="s">
        <v>15135</v>
      </c>
      <c r="E879">
        <v>72405005</v>
      </c>
    </row>
    <row r="880" spans="1:8" hidden="1" x14ac:dyDescent="0.25">
      <c r="A880">
        <v>9413</v>
      </c>
      <c r="B880" t="s">
        <v>15204</v>
      </c>
      <c r="C880" t="s">
        <v>15134</v>
      </c>
      <c r="D880" t="s">
        <v>15135</v>
      </c>
      <c r="E880">
        <v>73252001</v>
      </c>
    </row>
    <row r="881" spans="1:8" hidden="1" x14ac:dyDescent="0.25">
      <c r="A881">
        <v>9236</v>
      </c>
      <c r="B881" t="s">
        <v>15426</v>
      </c>
      <c r="C881" t="s">
        <v>15134</v>
      </c>
      <c r="D881" t="s">
        <v>15135</v>
      </c>
      <c r="E881">
        <v>73168001</v>
      </c>
    </row>
    <row r="882" spans="1:8" hidden="1" x14ac:dyDescent="0.25">
      <c r="A882">
        <v>9143</v>
      </c>
      <c r="B882" t="s">
        <v>15377</v>
      </c>
      <c r="C882" t="s">
        <v>15134</v>
      </c>
      <c r="D882" t="s">
        <v>15135</v>
      </c>
      <c r="E882">
        <v>73096001</v>
      </c>
    </row>
    <row r="883" spans="1:8" hidden="1" x14ac:dyDescent="0.25">
      <c r="A883">
        <v>9216</v>
      </c>
      <c r="B883" t="s">
        <v>15417</v>
      </c>
      <c r="C883" t="s">
        <v>15134</v>
      </c>
      <c r="D883" t="s">
        <v>15135</v>
      </c>
      <c r="E883">
        <v>73152001</v>
      </c>
    </row>
    <row r="884" spans="1:8" hidden="1" x14ac:dyDescent="0.25">
      <c r="A884">
        <v>9331</v>
      </c>
      <c r="B884" t="s">
        <v>15475</v>
      </c>
      <c r="C884" t="s">
        <v>15134</v>
      </c>
      <c r="D884" t="s">
        <v>15135</v>
      </c>
      <c r="E884">
        <v>73212001</v>
      </c>
    </row>
    <row r="885" spans="1:8" hidden="1" x14ac:dyDescent="0.25">
      <c r="A885">
        <v>8980</v>
      </c>
      <c r="B885" t="s">
        <v>15296</v>
      </c>
      <c r="C885" t="s">
        <v>15134</v>
      </c>
      <c r="D885" t="s">
        <v>15135</v>
      </c>
      <c r="E885">
        <v>73003001</v>
      </c>
    </row>
    <row r="886" spans="1:8" hidden="1" x14ac:dyDescent="0.25">
      <c r="A886">
        <v>9905</v>
      </c>
      <c r="B886" t="s">
        <v>15722</v>
      </c>
      <c r="C886" t="s">
        <v>15134</v>
      </c>
      <c r="D886" t="s">
        <v>15135</v>
      </c>
      <c r="E886">
        <v>103041001</v>
      </c>
      <c r="F886" t="s">
        <v>15138</v>
      </c>
      <c r="G886" t="b">
        <v>1</v>
      </c>
      <c r="H886" t="s">
        <v>15721</v>
      </c>
    </row>
    <row r="887" spans="1:8" hidden="1" x14ac:dyDescent="0.25">
      <c r="A887">
        <v>9905</v>
      </c>
      <c r="B887" t="s">
        <v>15722</v>
      </c>
      <c r="C887" t="s">
        <v>15134</v>
      </c>
      <c r="D887" t="s">
        <v>15135</v>
      </c>
      <c r="E887">
        <v>103041001</v>
      </c>
      <c r="F887" t="s">
        <v>15145</v>
      </c>
      <c r="G887" t="b">
        <v>1</v>
      </c>
      <c r="H887" t="s">
        <v>15721</v>
      </c>
    </row>
    <row r="888" spans="1:8" hidden="1" x14ac:dyDescent="0.25">
      <c r="A888">
        <v>80539</v>
      </c>
      <c r="B888" t="s">
        <v>16109</v>
      </c>
      <c r="C888" t="s">
        <v>15134</v>
      </c>
      <c r="D888" t="s">
        <v>15135</v>
      </c>
      <c r="E888">
        <v>83007004</v>
      </c>
      <c r="F888" t="s">
        <v>15138</v>
      </c>
      <c r="G888" t="b">
        <v>1</v>
      </c>
      <c r="H888" t="s">
        <v>16110</v>
      </c>
    </row>
    <row r="889" spans="1:8" hidden="1" x14ac:dyDescent="0.25">
      <c r="A889">
        <v>80539</v>
      </c>
      <c r="B889" t="s">
        <v>16109</v>
      </c>
      <c r="C889" t="s">
        <v>15134</v>
      </c>
      <c r="D889" t="s">
        <v>15135</v>
      </c>
      <c r="E889">
        <v>83007004</v>
      </c>
      <c r="F889" t="s">
        <v>15145</v>
      </c>
      <c r="G889" t="b">
        <v>1</v>
      </c>
      <c r="H889" t="s">
        <v>16111</v>
      </c>
    </row>
    <row r="890" spans="1:8" hidden="1" x14ac:dyDescent="0.25">
      <c r="A890">
        <v>9634</v>
      </c>
      <c r="B890" t="s">
        <v>15615</v>
      </c>
      <c r="C890" t="s">
        <v>15134</v>
      </c>
      <c r="D890" t="s">
        <v>15135</v>
      </c>
      <c r="E890">
        <v>83007001</v>
      </c>
    </row>
    <row r="891" spans="1:8" hidden="1" x14ac:dyDescent="0.25">
      <c r="A891">
        <v>9628</v>
      </c>
      <c r="B891" t="s">
        <v>15613</v>
      </c>
      <c r="C891" t="s">
        <v>15134</v>
      </c>
      <c r="D891" t="s">
        <v>15135</v>
      </c>
      <c r="E891">
        <v>83005001</v>
      </c>
    </row>
    <row r="892" spans="1:8" hidden="1" x14ac:dyDescent="0.25">
      <c r="A892">
        <v>9629</v>
      </c>
      <c r="B892" t="s">
        <v>15613</v>
      </c>
      <c r="C892" t="s">
        <v>15134</v>
      </c>
      <c r="D892" t="s">
        <v>15135</v>
      </c>
      <c r="E892">
        <v>83005002</v>
      </c>
    </row>
    <row r="893" spans="1:8" hidden="1" x14ac:dyDescent="0.25">
      <c r="A893">
        <v>9630</v>
      </c>
      <c r="B893" t="s">
        <v>15613</v>
      </c>
      <c r="C893" t="s">
        <v>15134</v>
      </c>
      <c r="D893" t="s">
        <v>15135</v>
      </c>
      <c r="E893">
        <v>83005003</v>
      </c>
    </row>
    <row r="894" spans="1:8" hidden="1" x14ac:dyDescent="0.25">
      <c r="A894">
        <v>9635</v>
      </c>
      <c r="B894" t="s">
        <v>15616</v>
      </c>
      <c r="C894" t="s">
        <v>15134</v>
      </c>
      <c r="D894" t="s">
        <v>15135</v>
      </c>
      <c r="E894">
        <v>83007002</v>
      </c>
    </row>
    <row r="895" spans="1:8" hidden="1" x14ac:dyDescent="0.25">
      <c r="A895">
        <v>79870</v>
      </c>
      <c r="B895" t="s">
        <v>16028</v>
      </c>
      <c r="C895" t="s">
        <v>15134</v>
      </c>
      <c r="D895" t="s">
        <v>15135</v>
      </c>
      <c r="E895">
        <v>73476001</v>
      </c>
    </row>
    <row r="896" spans="1:8" hidden="1" x14ac:dyDescent="0.25">
      <c r="A896">
        <v>79869</v>
      </c>
      <c r="B896" t="s">
        <v>16025</v>
      </c>
      <c r="C896" t="s">
        <v>15134</v>
      </c>
      <c r="D896" t="s">
        <v>15135</v>
      </c>
      <c r="E896">
        <v>73476000</v>
      </c>
      <c r="F896" t="s">
        <v>15136</v>
      </c>
      <c r="G896" t="b">
        <v>1</v>
      </c>
      <c r="H896" t="s">
        <v>16026</v>
      </c>
    </row>
    <row r="897" spans="1:8" hidden="1" x14ac:dyDescent="0.25">
      <c r="A897">
        <v>79869</v>
      </c>
      <c r="B897" t="s">
        <v>16025</v>
      </c>
      <c r="C897" t="s">
        <v>15134</v>
      </c>
      <c r="D897" t="s">
        <v>15135</v>
      </c>
      <c r="E897">
        <v>73476000</v>
      </c>
      <c r="F897" t="s">
        <v>15138</v>
      </c>
      <c r="G897" t="b">
        <v>1</v>
      </c>
      <c r="H897" t="s">
        <v>16027</v>
      </c>
    </row>
    <row r="898" spans="1:8" hidden="1" x14ac:dyDescent="0.25">
      <c r="A898">
        <v>10210</v>
      </c>
      <c r="B898" t="s">
        <v>15844</v>
      </c>
      <c r="C898" t="s">
        <v>15134</v>
      </c>
      <c r="D898" t="s">
        <v>15135</v>
      </c>
      <c r="E898">
        <v>143010001</v>
      </c>
    </row>
    <row r="899" spans="1:8" hidden="1" x14ac:dyDescent="0.25">
      <c r="A899">
        <v>79324</v>
      </c>
      <c r="B899" t="s">
        <v>15917</v>
      </c>
      <c r="C899" t="s">
        <v>15134</v>
      </c>
      <c r="D899" t="s">
        <v>15135</v>
      </c>
      <c r="E899">
        <v>73454001</v>
      </c>
      <c r="F899" t="s">
        <v>15145</v>
      </c>
      <c r="G899" t="b">
        <v>1</v>
      </c>
      <c r="H899" t="s">
        <v>15918</v>
      </c>
    </row>
    <row r="900" spans="1:8" hidden="1" x14ac:dyDescent="0.25">
      <c r="A900">
        <v>79324</v>
      </c>
      <c r="B900" t="s">
        <v>15917</v>
      </c>
      <c r="C900" t="s">
        <v>15134</v>
      </c>
      <c r="D900" t="s">
        <v>15135</v>
      </c>
      <c r="E900">
        <v>73454001</v>
      </c>
      <c r="F900" t="s">
        <v>15138</v>
      </c>
      <c r="G900" t="b">
        <v>1</v>
      </c>
      <c r="H900" t="s">
        <v>15918</v>
      </c>
    </row>
    <row r="901" spans="1:8" hidden="1" x14ac:dyDescent="0.25">
      <c r="A901">
        <v>9435</v>
      </c>
      <c r="B901" t="s">
        <v>15525</v>
      </c>
      <c r="C901" t="s">
        <v>15134</v>
      </c>
      <c r="D901" t="s">
        <v>15135</v>
      </c>
      <c r="E901">
        <v>73264001</v>
      </c>
    </row>
    <row r="902" spans="1:8" hidden="1" x14ac:dyDescent="0.25">
      <c r="A902">
        <v>9329</v>
      </c>
      <c r="B902" t="s">
        <v>15474</v>
      </c>
      <c r="C902" t="s">
        <v>15134</v>
      </c>
      <c r="D902" t="s">
        <v>15135</v>
      </c>
      <c r="E902">
        <v>73211001</v>
      </c>
    </row>
    <row r="903" spans="1:8" hidden="1" x14ac:dyDescent="0.25">
      <c r="A903">
        <v>9359</v>
      </c>
      <c r="B903" t="s">
        <v>15486</v>
      </c>
      <c r="C903" t="s">
        <v>15134</v>
      </c>
      <c r="D903" t="s">
        <v>15135</v>
      </c>
      <c r="E903">
        <v>73225001</v>
      </c>
    </row>
    <row r="904" spans="1:8" hidden="1" x14ac:dyDescent="0.25">
      <c r="A904">
        <v>9325</v>
      </c>
      <c r="B904" t="s">
        <v>15472</v>
      </c>
      <c r="C904" t="s">
        <v>15134</v>
      </c>
      <c r="D904" t="s">
        <v>15135</v>
      </c>
      <c r="E904">
        <v>73209001</v>
      </c>
    </row>
    <row r="905" spans="1:8" hidden="1" x14ac:dyDescent="0.25">
      <c r="A905">
        <v>9321</v>
      </c>
      <c r="B905" t="s">
        <v>15470</v>
      </c>
      <c r="C905" t="s">
        <v>15134</v>
      </c>
      <c r="D905" t="s">
        <v>15135</v>
      </c>
      <c r="E905">
        <v>73207001</v>
      </c>
    </row>
    <row r="906" spans="1:8" hidden="1" x14ac:dyDescent="0.25">
      <c r="A906">
        <v>9323</v>
      </c>
      <c r="B906" t="s">
        <v>15471</v>
      </c>
      <c r="C906" t="s">
        <v>15134</v>
      </c>
      <c r="D906" t="s">
        <v>15135</v>
      </c>
      <c r="E906">
        <v>73208001</v>
      </c>
    </row>
    <row r="907" spans="1:8" hidden="1" x14ac:dyDescent="0.25">
      <c r="A907">
        <v>9489</v>
      </c>
      <c r="B907" t="s">
        <v>15565</v>
      </c>
      <c r="C907" t="s">
        <v>15134</v>
      </c>
      <c r="D907" t="s">
        <v>15135</v>
      </c>
      <c r="E907">
        <v>73276001</v>
      </c>
    </row>
    <row r="908" spans="1:8" hidden="1" x14ac:dyDescent="0.25">
      <c r="A908">
        <v>9490</v>
      </c>
      <c r="B908" t="s">
        <v>15566</v>
      </c>
      <c r="C908" t="s">
        <v>15134</v>
      </c>
      <c r="D908" t="s">
        <v>15135</v>
      </c>
      <c r="E908">
        <v>73276002</v>
      </c>
    </row>
    <row r="909" spans="1:8" hidden="1" x14ac:dyDescent="0.25">
      <c r="A909">
        <v>9491</v>
      </c>
      <c r="B909" t="s">
        <v>15567</v>
      </c>
      <c r="C909" t="s">
        <v>15134</v>
      </c>
      <c r="D909" t="s">
        <v>15135</v>
      </c>
      <c r="E909">
        <v>73276003</v>
      </c>
    </row>
    <row r="910" spans="1:8" hidden="1" x14ac:dyDescent="0.25">
      <c r="A910">
        <v>9492</v>
      </c>
      <c r="B910" t="s">
        <v>15568</v>
      </c>
      <c r="C910" t="s">
        <v>15134</v>
      </c>
      <c r="D910" t="s">
        <v>15135</v>
      </c>
      <c r="E910">
        <v>73276004</v>
      </c>
    </row>
    <row r="911" spans="1:8" hidden="1" x14ac:dyDescent="0.25">
      <c r="A911">
        <v>9493</v>
      </c>
      <c r="B911" t="s">
        <v>15569</v>
      </c>
      <c r="C911" t="s">
        <v>15134</v>
      </c>
      <c r="D911" t="s">
        <v>15135</v>
      </c>
      <c r="E911">
        <v>73276005</v>
      </c>
    </row>
    <row r="912" spans="1:8" hidden="1" x14ac:dyDescent="0.25">
      <c r="A912">
        <v>9494</v>
      </c>
      <c r="B912" t="s">
        <v>15570</v>
      </c>
      <c r="C912" t="s">
        <v>15134</v>
      </c>
      <c r="D912" t="s">
        <v>15135</v>
      </c>
      <c r="E912">
        <v>73276006</v>
      </c>
    </row>
    <row r="913" spans="1:8" hidden="1" x14ac:dyDescent="0.25">
      <c r="A913">
        <v>327735</v>
      </c>
      <c r="B913" t="s">
        <v>16989</v>
      </c>
      <c r="C913" t="s">
        <v>15134</v>
      </c>
      <c r="D913" t="s">
        <v>15135</v>
      </c>
      <c r="E913">
        <v>73333001</v>
      </c>
    </row>
    <row r="914" spans="1:8" hidden="1" x14ac:dyDescent="0.25">
      <c r="A914">
        <v>468011</v>
      </c>
      <c r="B914" t="s">
        <v>16997</v>
      </c>
      <c r="C914" t="s">
        <v>15134</v>
      </c>
      <c r="D914" t="s">
        <v>15135</v>
      </c>
      <c r="E914">
        <v>73333000</v>
      </c>
    </row>
    <row r="915" spans="1:8" hidden="1" x14ac:dyDescent="0.25">
      <c r="A915">
        <v>80529</v>
      </c>
      <c r="B915" t="s">
        <v>16102</v>
      </c>
      <c r="C915" t="s">
        <v>15134</v>
      </c>
      <c r="D915" t="s">
        <v>15135</v>
      </c>
      <c r="E915">
        <v>73443001</v>
      </c>
      <c r="F915" t="s">
        <v>15138</v>
      </c>
      <c r="G915" t="b">
        <v>0</v>
      </c>
      <c r="H915" t="s">
        <v>16103</v>
      </c>
    </row>
    <row r="916" spans="1:8" hidden="1" x14ac:dyDescent="0.25">
      <c r="A916">
        <v>80529</v>
      </c>
      <c r="B916" t="s">
        <v>16102</v>
      </c>
      <c r="C916" t="s">
        <v>15134</v>
      </c>
      <c r="D916" t="s">
        <v>15135</v>
      </c>
      <c r="E916">
        <v>73443001</v>
      </c>
      <c r="F916" t="s">
        <v>15145</v>
      </c>
      <c r="G916" t="b">
        <v>0</v>
      </c>
      <c r="H916" t="s">
        <v>16103</v>
      </c>
    </row>
    <row r="917" spans="1:8" hidden="1" x14ac:dyDescent="0.25">
      <c r="A917">
        <v>80528</v>
      </c>
      <c r="B917" t="s">
        <v>16099</v>
      </c>
      <c r="C917" t="s">
        <v>15134</v>
      </c>
      <c r="D917" t="s">
        <v>15135</v>
      </c>
      <c r="E917">
        <v>73443000</v>
      </c>
      <c r="F917" t="s">
        <v>15136</v>
      </c>
      <c r="G917" t="b">
        <v>1</v>
      </c>
      <c r="H917" t="s">
        <v>16100</v>
      </c>
    </row>
    <row r="918" spans="1:8" hidden="1" x14ac:dyDescent="0.25">
      <c r="A918">
        <v>80528</v>
      </c>
      <c r="B918" t="s">
        <v>16099</v>
      </c>
      <c r="C918" t="s">
        <v>15134</v>
      </c>
      <c r="D918" t="s">
        <v>15135</v>
      </c>
      <c r="E918">
        <v>73443000</v>
      </c>
      <c r="F918" t="s">
        <v>15138</v>
      </c>
      <c r="G918" t="b">
        <v>0</v>
      </c>
      <c r="H918" t="s">
        <v>16101</v>
      </c>
    </row>
    <row r="919" spans="1:8" hidden="1" x14ac:dyDescent="0.25">
      <c r="A919">
        <v>1000067</v>
      </c>
      <c r="B919" t="s">
        <v>17047</v>
      </c>
      <c r="C919" t="s">
        <v>15134</v>
      </c>
      <c r="D919" t="s">
        <v>15135</v>
      </c>
      <c r="E919">
        <v>73347001</v>
      </c>
      <c r="F919" t="s">
        <v>15138</v>
      </c>
      <c r="G919" t="b">
        <v>1</v>
      </c>
      <c r="H919" t="s">
        <v>17046</v>
      </c>
    </row>
    <row r="920" spans="1:8" hidden="1" x14ac:dyDescent="0.25">
      <c r="A920">
        <v>1000067</v>
      </c>
      <c r="B920" t="s">
        <v>17047</v>
      </c>
      <c r="C920" t="s">
        <v>15134</v>
      </c>
      <c r="D920" t="s">
        <v>15135</v>
      </c>
      <c r="E920">
        <v>73347001</v>
      </c>
      <c r="F920" t="s">
        <v>15136</v>
      </c>
      <c r="G920" t="b">
        <v>1</v>
      </c>
      <c r="H920" t="s">
        <v>17046</v>
      </c>
    </row>
    <row r="921" spans="1:8" hidden="1" x14ac:dyDescent="0.25">
      <c r="A921">
        <v>9397</v>
      </c>
      <c r="B921" t="s">
        <v>15508</v>
      </c>
      <c r="C921" t="s">
        <v>15134</v>
      </c>
      <c r="D921" t="s">
        <v>15135</v>
      </c>
      <c r="E921">
        <v>73245001</v>
      </c>
    </row>
    <row r="922" spans="1:8" hidden="1" x14ac:dyDescent="0.25">
      <c r="A922">
        <v>8606</v>
      </c>
      <c r="B922" t="s">
        <v>15172</v>
      </c>
      <c r="C922" t="s">
        <v>15134</v>
      </c>
      <c r="D922" t="s">
        <v>15135</v>
      </c>
      <c r="E922">
        <v>63001001</v>
      </c>
    </row>
    <row r="923" spans="1:8" hidden="1" x14ac:dyDescent="0.25">
      <c r="A923">
        <v>8610</v>
      </c>
      <c r="B923" t="s">
        <v>15172</v>
      </c>
      <c r="C923" t="s">
        <v>15134</v>
      </c>
      <c r="D923" t="s">
        <v>15135</v>
      </c>
      <c r="E923">
        <v>63007001</v>
      </c>
    </row>
    <row r="924" spans="1:8" hidden="1" x14ac:dyDescent="0.25">
      <c r="A924">
        <v>79038</v>
      </c>
      <c r="B924" t="s">
        <v>15897</v>
      </c>
      <c r="C924" t="s">
        <v>15134</v>
      </c>
      <c r="D924" t="s">
        <v>15135</v>
      </c>
      <c r="E924">
        <v>73449001</v>
      </c>
      <c r="F924" t="s">
        <v>15145</v>
      </c>
      <c r="G924" t="b">
        <v>1</v>
      </c>
      <c r="H924" t="s">
        <v>15898</v>
      </c>
    </row>
    <row r="925" spans="1:8" hidden="1" x14ac:dyDescent="0.25">
      <c r="A925">
        <v>79038</v>
      </c>
      <c r="B925" t="s">
        <v>15897</v>
      </c>
      <c r="C925" t="s">
        <v>15134</v>
      </c>
      <c r="D925" t="s">
        <v>15135</v>
      </c>
      <c r="E925">
        <v>73449001</v>
      </c>
      <c r="F925" t="s">
        <v>15138</v>
      </c>
      <c r="G925" t="b">
        <v>1</v>
      </c>
      <c r="H925" t="s">
        <v>15898</v>
      </c>
    </row>
    <row r="926" spans="1:8" hidden="1" x14ac:dyDescent="0.25">
      <c r="A926">
        <v>80628</v>
      </c>
      <c r="B926" t="s">
        <v>15897</v>
      </c>
      <c r="C926" t="s">
        <v>15134</v>
      </c>
      <c r="D926" t="s">
        <v>15135</v>
      </c>
      <c r="E926">
        <v>73473001</v>
      </c>
      <c r="F926" t="s">
        <v>15138</v>
      </c>
      <c r="G926" t="b">
        <v>1</v>
      </c>
      <c r="H926" t="s">
        <v>15898</v>
      </c>
    </row>
    <row r="927" spans="1:8" hidden="1" x14ac:dyDescent="0.25">
      <c r="A927">
        <v>80628</v>
      </c>
      <c r="B927" t="s">
        <v>15897</v>
      </c>
      <c r="C927" t="s">
        <v>15134</v>
      </c>
      <c r="D927" t="s">
        <v>15135</v>
      </c>
      <c r="E927">
        <v>73473001</v>
      </c>
      <c r="F927" t="s">
        <v>15145</v>
      </c>
      <c r="G927" t="b">
        <v>1</v>
      </c>
      <c r="H927" t="s">
        <v>15898</v>
      </c>
    </row>
    <row r="928" spans="1:8" hidden="1" x14ac:dyDescent="0.25">
      <c r="A928">
        <v>80627</v>
      </c>
      <c r="B928" t="s">
        <v>16152</v>
      </c>
      <c r="C928" t="s">
        <v>15134</v>
      </c>
      <c r="D928" t="s">
        <v>15135</v>
      </c>
      <c r="E928">
        <v>73473000</v>
      </c>
      <c r="F928" t="s">
        <v>15138</v>
      </c>
      <c r="G928" t="b">
        <v>1</v>
      </c>
      <c r="H928" t="s">
        <v>15898</v>
      </c>
    </row>
    <row r="929" spans="1:8" hidden="1" x14ac:dyDescent="0.25">
      <c r="A929">
        <v>80627</v>
      </c>
      <c r="B929" t="s">
        <v>16152</v>
      </c>
      <c r="C929" t="s">
        <v>15134</v>
      </c>
      <c r="D929" t="s">
        <v>15135</v>
      </c>
      <c r="E929">
        <v>73473000</v>
      </c>
      <c r="F929" t="s">
        <v>15136</v>
      </c>
      <c r="G929" t="b">
        <v>1</v>
      </c>
      <c r="H929" t="s">
        <v>15898</v>
      </c>
    </row>
    <row r="930" spans="1:8" hidden="1" x14ac:dyDescent="0.25">
      <c r="A930">
        <v>1000238</v>
      </c>
      <c r="B930" t="s">
        <v>17123</v>
      </c>
      <c r="C930" t="s">
        <v>15134</v>
      </c>
      <c r="D930" t="s">
        <v>15135</v>
      </c>
      <c r="E930">
        <v>73356001</v>
      </c>
      <c r="F930" t="s">
        <v>15136</v>
      </c>
      <c r="G930" t="b">
        <v>1</v>
      </c>
      <c r="H930" t="s">
        <v>17122</v>
      </c>
    </row>
    <row r="931" spans="1:8" hidden="1" x14ac:dyDescent="0.25">
      <c r="A931">
        <v>1000238</v>
      </c>
      <c r="B931" t="s">
        <v>17123</v>
      </c>
      <c r="C931" t="s">
        <v>15134</v>
      </c>
      <c r="D931" t="s">
        <v>15135</v>
      </c>
      <c r="E931">
        <v>73356001</v>
      </c>
      <c r="F931" t="s">
        <v>15138</v>
      </c>
      <c r="G931" t="b">
        <v>1</v>
      </c>
      <c r="H931" t="s">
        <v>17122</v>
      </c>
    </row>
    <row r="932" spans="1:8" hidden="1" x14ac:dyDescent="0.25">
      <c r="A932">
        <v>1000236</v>
      </c>
      <c r="B932" t="s">
        <v>17121</v>
      </c>
      <c r="C932" t="s">
        <v>15134</v>
      </c>
      <c r="D932" t="s">
        <v>15135</v>
      </c>
      <c r="E932">
        <v>73356000</v>
      </c>
      <c r="F932" t="s">
        <v>15136</v>
      </c>
      <c r="G932" t="b">
        <v>1</v>
      </c>
      <c r="H932" t="s">
        <v>17122</v>
      </c>
    </row>
    <row r="933" spans="1:8" hidden="1" x14ac:dyDescent="0.25">
      <c r="A933">
        <v>1000236</v>
      </c>
      <c r="B933" t="s">
        <v>17121</v>
      </c>
      <c r="C933" t="s">
        <v>15134</v>
      </c>
      <c r="D933" t="s">
        <v>15135</v>
      </c>
      <c r="E933">
        <v>73356000</v>
      </c>
      <c r="F933" t="s">
        <v>15138</v>
      </c>
      <c r="G933" t="b">
        <v>1</v>
      </c>
      <c r="H933" t="s">
        <v>17122</v>
      </c>
    </row>
    <row r="934" spans="1:8" hidden="1" x14ac:dyDescent="0.25">
      <c r="A934">
        <v>80859</v>
      </c>
      <c r="B934" t="s">
        <v>16230</v>
      </c>
      <c r="C934" t="s">
        <v>15134</v>
      </c>
      <c r="D934" t="s">
        <v>15135</v>
      </c>
      <c r="E934">
        <v>103119001</v>
      </c>
      <c r="F934" t="s">
        <v>15138</v>
      </c>
      <c r="G934" t="b">
        <v>1</v>
      </c>
      <c r="H934" t="s">
        <v>16229</v>
      </c>
    </row>
    <row r="935" spans="1:8" hidden="1" x14ac:dyDescent="0.25">
      <c r="A935">
        <v>80859</v>
      </c>
      <c r="B935" t="s">
        <v>16230</v>
      </c>
      <c r="C935" t="s">
        <v>15134</v>
      </c>
      <c r="D935" t="s">
        <v>15135</v>
      </c>
      <c r="E935">
        <v>103119001</v>
      </c>
      <c r="F935" t="s">
        <v>15145</v>
      </c>
      <c r="G935" t="b">
        <v>1</v>
      </c>
      <c r="H935" t="s">
        <v>16229</v>
      </c>
    </row>
    <row r="936" spans="1:8" hidden="1" x14ac:dyDescent="0.25">
      <c r="A936">
        <v>92330</v>
      </c>
      <c r="B936" t="s">
        <v>16856</v>
      </c>
      <c r="C936" t="s">
        <v>15134</v>
      </c>
      <c r="D936" t="s">
        <v>15135</v>
      </c>
      <c r="E936">
        <v>103149001</v>
      </c>
    </row>
    <row r="937" spans="1:8" hidden="1" x14ac:dyDescent="0.25">
      <c r="A937">
        <v>9891</v>
      </c>
      <c r="B937" t="s">
        <v>15716</v>
      </c>
      <c r="C937" t="s">
        <v>15134</v>
      </c>
      <c r="D937" t="s">
        <v>15135</v>
      </c>
      <c r="E937">
        <v>103028001</v>
      </c>
    </row>
    <row r="938" spans="1:8" hidden="1" x14ac:dyDescent="0.25">
      <c r="A938">
        <v>9969</v>
      </c>
      <c r="B938" t="s">
        <v>15755</v>
      </c>
      <c r="C938" t="s">
        <v>15134</v>
      </c>
      <c r="D938" t="s">
        <v>15135</v>
      </c>
      <c r="E938">
        <v>103076001</v>
      </c>
    </row>
    <row r="939" spans="1:8" hidden="1" x14ac:dyDescent="0.25">
      <c r="A939">
        <v>9897</v>
      </c>
      <c r="B939" t="s">
        <v>15718</v>
      </c>
      <c r="C939" t="s">
        <v>15134</v>
      </c>
      <c r="D939" t="s">
        <v>15135</v>
      </c>
      <c r="E939">
        <v>103034001</v>
      </c>
    </row>
    <row r="940" spans="1:8" hidden="1" x14ac:dyDescent="0.25">
      <c r="A940">
        <v>9939</v>
      </c>
      <c r="B940" t="s">
        <v>15737</v>
      </c>
      <c r="C940" t="s">
        <v>15134</v>
      </c>
      <c r="D940" t="s">
        <v>15135</v>
      </c>
      <c r="E940">
        <v>103061001</v>
      </c>
    </row>
    <row r="941" spans="1:8" hidden="1" x14ac:dyDescent="0.25">
      <c r="A941">
        <v>9923</v>
      </c>
      <c r="B941" t="s">
        <v>15730</v>
      </c>
      <c r="C941" t="s">
        <v>15134</v>
      </c>
      <c r="D941" t="s">
        <v>15135</v>
      </c>
      <c r="E941">
        <v>103053001</v>
      </c>
    </row>
    <row r="942" spans="1:8" hidden="1" x14ac:dyDescent="0.25">
      <c r="A942">
        <v>9947</v>
      </c>
      <c r="B942" t="s">
        <v>15743</v>
      </c>
      <c r="C942" t="s">
        <v>15134</v>
      </c>
      <c r="D942" t="s">
        <v>15135</v>
      </c>
      <c r="E942">
        <v>103065001</v>
      </c>
    </row>
    <row r="943" spans="1:8" hidden="1" x14ac:dyDescent="0.25">
      <c r="A943">
        <v>1000127</v>
      </c>
      <c r="B943" t="s">
        <v>17099</v>
      </c>
      <c r="C943" t="s">
        <v>15134</v>
      </c>
      <c r="D943" t="s">
        <v>15135</v>
      </c>
      <c r="E943">
        <v>73353001</v>
      </c>
      <c r="F943" t="s">
        <v>15136</v>
      </c>
      <c r="G943" t="b">
        <v>0</v>
      </c>
      <c r="H943" t="s">
        <v>17100</v>
      </c>
    </row>
    <row r="944" spans="1:8" hidden="1" x14ac:dyDescent="0.25">
      <c r="A944">
        <v>1000127</v>
      </c>
      <c r="B944" t="s">
        <v>17099</v>
      </c>
      <c r="C944" t="s">
        <v>15134</v>
      </c>
      <c r="D944" t="s">
        <v>15135</v>
      </c>
      <c r="E944">
        <v>73353001</v>
      </c>
      <c r="F944" t="s">
        <v>15138</v>
      </c>
      <c r="G944" t="b">
        <v>0</v>
      </c>
      <c r="H944" t="s">
        <v>17100</v>
      </c>
    </row>
    <row r="945" spans="1:8" hidden="1" x14ac:dyDescent="0.25">
      <c r="A945">
        <v>1000126</v>
      </c>
      <c r="B945" t="s">
        <v>17097</v>
      </c>
      <c r="C945" t="s">
        <v>15134</v>
      </c>
      <c r="D945" t="s">
        <v>15135</v>
      </c>
      <c r="E945">
        <v>73353000</v>
      </c>
      <c r="F945" t="s">
        <v>15136</v>
      </c>
      <c r="G945" t="b">
        <v>0</v>
      </c>
      <c r="H945" t="s">
        <v>17098</v>
      </c>
    </row>
    <row r="946" spans="1:8" hidden="1" x14ac:dyDescent="0.25">
      <c r="A946">
        <v>1000126</v>
      </c>
      <c r="B946" t="s">
        <v>17097</v>
      </c>
      <c r="C946" t="s">
        <v>15134</v>
      </c>
      <c r="D946" t="s">
        <v>15135</v>
      </c>
      <c r="E946">
        <v>73353000</v>
      </c>
      <c r="F946" t="s">
        <v>15138</v>
      </c>
      <c r="G946" t="b">
        <v>0</v>
      </c>
      <c r="H946" t="s">
        <v>17098</v>
      </c>
    </row>
    <row r="947" spans="1:8" hidden="1" x14ac:dyDescent="0.25">
      <c r="A947">
        <v>92807</v>
      </c>
      <c r="B947" t="s">
        <v>16935</v>
      </c>
      <c r="C947" t="s">
        <v>15134</v>
      </c>
      <c r="D947" t="s">
        <v>15135</v>
      </c>
      <c r="E947">
        <v>122202000</v>
      </c>
      <c r="F947" t="s">
        <v>15138</v>
      </c>
      <c r="G947" t="b">
        <v>1</v>
      </c>
      <c r="H947" t="s">
        <v>16936</v>
      </c>
    </row>
    <row r="948" spans="1:8" hidden="1" x14ac:dyDescent="0.25">
      <c r="A948">
        <v>92807</v>
      </c>
      <c r="B948" t="s">
        <v>16935</v>
      </c>
      <c r="C948" t="s">
        <v>15134</v>
      </c>
      <c r="D948" t="s">
        <v>15135</v>
      </c>
      <c r="E948">
        <v>122202000</v>
      </c>
      <c r="F948" t="s">
        <v>15136</v>
      </c>
      <c r="G948" t="b">
        <v>1</v>
      </c>
      <c r="H948" t="s">
        <v>16936</v>
      </c>
    </row>
    <row r="949" spans="1:8" hidden="1" x14ac:dyDescent="0.25">
      <c r="A949">
        <v>92808</v>
      </c>
      <c r="B949" t="s">
        <v>16935</v>
      </c>
      <c r="C949" t="s">
        <v>15134</v>
      </c>
      <c r="D949" t="s">
        <v>15135</v>
      </c>
      <c r="E949">
        <v>122202001</v>
      </c>
      <c r="F949" t="s">
        <v>15138</v>
      </c>
      <c r="G949" t="b">
        <v>1</v>
      </c>
      <c r="H949" t="s">
        <v>16936</v>
      </c>
    </row>
    <row r="950" spans="1:8" hidden="1" x14ac:dyDescent="0.25">
      <c r="A950">
        <v>92808</v>
      </c>
      <c r="B950" t="s">
        <v>16935</v>
      </c>
      <c r="C950" t="s">
        <v>15134</v>
      </c>
      <c r="D950" t="s">
        <v>15135</v>
      </c>
      <c r="E950">
        <v>122202001</v>
      </c>
      <c r="F950" t="s">
        <v>15136</v>
      </c>
      <c r="G950" t="b">
        <v>1</v>
      </c>
      <c r="H950" t="s">
        <v>16936</v>
      </c>
    </row>
    <row r="951" spans="1:8" hidden="1" x14ac:dyDescent="0.25">
      <c r="A951">
        <v>90531</v>
      </c>
      <c r="B951" t="s">
        <v>16653</v>
      </c>
      <c r="C951" t="s">
        <v>15134</v>
      </c>
      <c r="D951" t="s">
        <v>15135</v>
      </c>
      <c r="E951">
        <v>73702001</v>
      </c>
      <c r="F951" t="s">
        <v>15145</v>
      </c>
      <c r="G951" t="b">
        <v>1</v>
      </c>
      <c r="H951" t="s">
        <v>16654</v>
      </c>
    </row>
    <row r="952" spans="1:8" hidden="1" x14ac:dyDescent="0.25">
      <c r="A952">
        <v>9351</v>
      </c>
      <c r="B952" t="s">
        <v>15484</v>
      </c>
      <c r="C952" t="s">
        <v>15134</v>
      </c>
      <c r="D952" t="s">
        <v>15135</v>
      </c>
      <c r="E952">
        <v>73221001</v>
      </c>
    </row>
    <row r="953" spans="1:8" hidden="1" x14ac:dyDescent="0.25">
      <c r="A953">
        <v>9373</v>
      </c>
      <c r="B953" t="s">
        <v>15484</v>
      </c>
      <c r="C953" t="s">
        <v>15134</v>
      </c>
      <c r="D953" t="s">
        <v>15135</v>
      </c>
      <c r="E953">
        <v>73232001</v>
      </c>
    </row>
    <row r="954" spans="1:8" hidden="1" x14ac:dyDescent="0.25">
      <c r="A954">
        <v>1001142</v>
      </c>
      <c r="B954" t="s">
        <v>17181</v>
      </c>
      <c r="C954" t="s">
        <v>15134</v>
      </c>
      <c r="D954" t="s">
        <v>15135</v>
      </c>
      <c r="E954">
        <v>73369000</v>
      </c>
      <c r="F954" t="s">
        <v>15138</v>
      </c>
      <c r="G954" t="b">
        <v>1</v>
      </c>
      <c r="H954" t="s">
        <v>17182</v>
      </c>
    </row>
    <row r="955" spans="1:8" hidden="1" x14ac:dyDescent="0.25">
      <c r="A955">
        <v>1001142</v>
      </c>
      <c r="B955" t="s">
        <v>17181</v>
      </c>
      <c r="C955" t="s">
        <v>15134</v>
      </c>
      <c r="D955" t="s">
        <v>15135</v>
      </c>
      <c r="E955">
        <v>73369000</v>
      </c>
      <c r="F955" t="s">
        <v>15136</v>
      </c>
      <c r="G955" t="b">
        <v>1</v>
      </c>
      <c r="H955" t="s">
        <v>17117</v>
      </c>
    </row>
    <row r="956" spans="1:8" hidden="1" x14ac:dyDescent="0.25">
      <c r="A956">
        <v>1001162</v>
      </c>
      <c r="B956" t="s">
        <v>17181</v>
      </c>
      <c r="C956" t="s">
        <v>15134</v>
      </c>
      <c r="D956" t="s">
        <v>15135</v>
      </c>
      <c r="E956">
        <v>73369001</v>
      </c>
      <c r="F956" t="s">
        <v>15136</v>
      </c>
      <c r="G956" t="b">
        <v>1</v>
      </c>
      <c r="H956" t="s">
        <v>17117</v>
      </c>
    </row>
    <row r="957" spans="1:8" hidden="1" x14ac:dyDescent="0.25">
      <c r="A957">
        <v>1001162</v>
      </c>
      <c r="B957" t="s">
        <v>17181</v>
      </c>
      <c r="C957" t="s">
        <v>15134</v>
      </c>
      <c r="D957" t="s">
        <v>15135</v>
      </c>
      <c r="E957">
        <v>73369001</v>
      </c>
      <c r="F957" t="s">
        <v>15138</v>
      </c>
      <c r="G957" t="b">
        <v>1</v>
      </c>
      <c r="H957" t="s">
        <v>17182</v>
      </c>
    </row>
    <row r="958" spans="1:8" hidden="1" x14ac:dyDescent="0.25">
      <c r="A958">
        <v>9545</v>
      </c>
      <c r="B958" t="s">
        <v>15589</v>
      </c>
      <c r="C958" t="s">
        <v>15134</v>
      </c>
      <c r="D958" t="s">
        <v>15135</v>
      </c>
      <c r="E958">
        <v>73408000</v>
      </c>
    </row>
    <row r="959" spans="1:8" hidden="1" x14ac:dyDescent="0.25">
      <c r="A959">
        <v>79818</v>
      </c>
      <c r="B959" t="s">
        <v>16010</v>
      </c>
      <c r="C959" t="s">
        <v>15134</v>
      </c>
      <c r="D959" t="s">
        <v>15135</v>
      </c>
      <c r="E959">
        <v>73468001</v>
      </c>
      <c r="F959" t="s">
        <v>15138</v>
      </c>
      <c r="G959" t="b">
        <v>1</v>
      </c>
      <c r="H959" t="s">
        <v>16011</v>
      </c>
    </row>
    <row r="960" spans="1:8" hidden="1" x14ac:dyDescent="0.25">
      <c r="A960">
        <v>79818</v>
      </c>
      <c r="B960" t="s">
        <v>16010</v>
      </c>
      <c r="C960" t="s">
        <v>15134</v>
      </c>
      <c r="D960" t="s">
        <v>15135</v>
      </c>
      <c r="E960">
        <v>73468001</v>
      </c>
      <c r="F960" t="s">
        <v>15145</v>
      </c>
      <c r="G960" t="b">
        <v>1</v>
      </c>
      <c r="H960" t="s">
        <v>16012</v>
      </c>
    </row>
    <row r="961" spans="1:8" hidden="1" x14ac:dyDescent="0.25">
      <c r="A961">
        <v>1000009</v>
      </c>
      <c r="B961" t="s">
        <v>17035</v>
      </c>
      <c r="C961" t="s">
        <v>15134</v>
      </c>
      <c r="D961" t="s">
        <v>15135</v>
      </c>
      <c r="E961">
        <v>73344000</v>
      </c>
      <c r="F961" t="s">
        <v>15138</v>
      </c>
      <c r="G961" t="b">
        <v>1</v>
      </c>
      <c r="H961" t="s">
        <v>17036</v>
      </c>
    </row>
    <row r="962" spans="1:8" hidden="1" x14ac:dyDescent="0.25">
      <c r="A962">
        <v>1000009</v>
      </c>
      <c r="B962" t="s">
        <v>17035</v>
      </c>
      <c r="C962" t="s">
        <v>15134</v>
      </c>
      <c r="D962" t="s">
        <v>15135</v>
      </c>
      <c r="E962">
        <v>73344000</v>
      </c>
      <c r="F962" t="s">
        <v>15136</v>
      </c>
      <c r="G962" t="b">
        <v>1</v>
      </c>
      <c r="H962" t="s">
        <v>17036</v>
      </c>
    </row>
    <row r="963" spans="1:8" hidden="1" x14ac:dyDescent="0.25">
      <c r="A963">
        <v>9030</v>
      </c>
      <c r="B963" t="s">
        <v>15325</v>
      </c>
      <c r="C963" t="s">
        <v>15134</v>
      </c>
      <c r="D963" t="s">
        <v>15135</v>
      </c>
      <c r="E963">
        <v>73029000</v>
      </c>
      <c r="F963" t="s">
        <v>15136</v>
      </c>
      <c r="G963" t="b">
        <v>1</v>
      </c>
      <c r="H963" t="s">
        <v>15326</v>
      </c>
    </row>
    <row r="964" spans="1:8" hidden="1" x14ac:dyDescent="0.25">
      <c r="A964">
        <v>9030</v>
      </c>
      <c r="B964" t="s">
        <v>15325</v>
      </c>
      <c r="C964" t="s">
        <v>15134</v>
      </c>
      <c r="D964" t="s">
        <v>15135</v>
      </c>
      <c r="E964">
        <v>73029000</v>
      </c>
      <c r="F964" t="s">
        <v>15138</v>
      </c>
      <c r="G964" t="b">
        <v>1</v>
      </c>
      <c r="H964" t="s">
        <v>15327</v>
      </c>
    </row>
    <row r="965" spans="1:8" hidden="1" x14ac:dyDescent="0.25">
      <c r="A965">
        <v>87901</v>
      </c>
      <c r="B965" t="s">
        <v>16349</v>
      </c>
      <c r="C965" t="s">
        <v>15134</v>
      </c>
      <c r="D965" t="s">
        <v>15135</v>
      </c>
      <c r="E965">
        <v>73029002</v>
      </c>
      <c r="F965" t="s">
        <v>15136</v>
      </c>
      <c r="G965" t="b">
        <v>1</v>
      </c>
      <c r="H965" t="s">
        <v>15326</v>
      </c>
    </row>
    <row r="966" spans="1:8" hidden="1" x14ac:dyDescent="0.25">
      <c r="A966">
        <v>87901</v>
      </c>
      <c r="B966" t="s">
        <v>16349</v>
      </c>
      <c r="C966" t="s">
        <v>15134</v>
      </c>
      <c r="D966" t="s">
        <v>15135</v>
      </c>
      <c r="E966">
        <v>73029002</v>
      </c>
      <c r="F966" t="s">
        <v>15138</v>
      </c>
      <c r="G966" t="b">
        <v>1</v>
      </c>
      <c r="H966" t="s">
        <v>15327</v>
      </c>
    </row>
    <row r="967" spans="1:8" hidden="1" x14ac:dyDescent="0.25">
      <c r="A967">
        <v>8603</v>
      </c>
      <c r="B967" t="s">
        <v>15171</v>
      </c>
      <c r="C967" t="s">
        <v>15134</v>
      </c>
      <c r="D967" t="s">
        <v>15135</v>
      </c>
      <c r="E967">
        <v>53002001</v>
      </c>
    </row>
    <row r="968" spans="1:8" hidden="1" x14ac:dyDescent="0.25">
      <c r="A968">
        <v>761607</v>
      </c>
      <c r="B968" t="s">
        <v>17022</v>
      </c>
      <c r="C968" t="s">
        <v>15134</v>
      </c>
      <c r="D968" t="s">
        <v>15135</v>
      </c>
      <c r="E968">
        <v>73539002</v>
      </c>
      <c r="F968" t="s">
        <v>15136</v>
      </c>
      <c r="G968" t="b">
        <v>1</v>
      </c>
      <c r="H968" t="s">
        <v>17023</v>
      </c>
    </row>
    <row r="969" spans="1:8" hidden="1" x14ac:dyDescent="0.25">
      <c r="A969">
        <v>1000212</v>
      </c>
      <c r="B969" t="s">
        <v>17120</v>
      </c>
      <c r="C969" t="s">
        <v>15134</v>
      </c>
      <c r="D969" t="s">
        <v>15135</v>
      </c>
      <c r="E969">
        <v>73355001</v>
      </c>
      <c r="F969" t="s">
        <v>15136</v>
      </c>
      <c r="G969" t="b">
        <v>1</v>
      </c>
      <c r="H969" t="s">
        <v>17118</v>
      </c>
    </row>
    <row r="970" spans="1:8" hidden="1" x14ac:dyDescent="0.25">
      <c r="A970">
        <v>1000212</v>
      </c>
      <c r="B970" t="s">
        <v>17120</v>
      </c>
      <c r="C970" t="s">
        <v>15134</v>
      </c>
      <c r="D970" t="s">
        <v>15135</v>
      </c>
      <c r="E970">
        <v>73355001</v>
      </c>
      <c r="F970" t="s">
        <v>15138</v>
      </c>
      <c r="G970" t="b">
        <v>1</v>
      </c>
      <c r="H970" t="s">
        <v>17118</v>
      </c>
    </row>
    <row r="971" spans="1:8" hidden="1" x14ac:dyDescent="0.25">
      <c r="A971">
        <v>88358</v>
      </c>
      <c r="B971" t="s">
        <v>16368</v>
      </c>
      <c r="C971" t="s">
        <v>15134</v>
      </c>
      <c r="D971" t="s">
        <v>15135</v>
      </c>
      <c r="E971">
        <v>73539000</v>
      </c>
      <c r="F971" t="s">
        <v>15145</v>
      </c>
      <c r="G971" t="b">
        <v>0</v>
      </c>
      <c r="H971" t="s">
        <v>16369</v>
      </c>
    </row>
    <row r="972" spans="1:8" hidden="1" x14ac:dyDescent="0.25">
      <c r="A972">
        <v>1000206</v>
      </c>
      <c r="B972" t="s">
        <v>17116</v>
      </c>
      <c r="C972" t="s">
        <v>15134</v>
      </c>
      <c r="D972" t="s">
        <v>15135</v>
      </c>
      <c r="E972">
        <v>73355000</v>
      </c>
      <c r="F972" t="s">
        <v>15136</v>
      </c>
      <c r="G972" t="b">
        <v>1</v>
      </c>
      <c r="H972" t="s">
        <v>17117</v>
      </c>
    </row>
    <row r="973" spans="1:8" hidden="1" x14ac:dyDescent="0.25">
      <c r="A973">
        <v>1000206</v>
      </c>
      <c r="B973" t="s">
        <v>17116</v>
      </c>
      <c r="C973" t="s">
        <v>15134</v>
      </c>
      <c r="D973" t="s">
        <v>15135</v>
      </c>
      <c r="E973">
        <v>73355000</v>
      </c>
      <c r="F973" t="s">
        <v>15138</v>
      </c>
      <c r="G973" t="b">
        <v>1</v>
      </c>
      <c r="H973" t="s">
        <v>17118</v>
      </c>
    </row>
    <row r="974" spans="1:8" hidden="1" x14ac:dyDescent="0.25">
      <c r="A974">
        <v>90497</v>
      </c>
      <c r="B974" t="s">
        <v>16632</v>
      </c>
      <c r="C974" t="s">
        <v>15134</v>
      </c>
      <c r="D974" t="s">
        <v>15135</v>
      </c>
      <c r="E974">
        <v>103215001</v>
      </c>
      <c r="F974" t="s">
        <v>15145</v>
      </c>
      <c r="G974" t="b">
        <v>1</v>
      </c>
      <c r="H974" t="s">
        <v>16077</v>
      </c>
    </row>
    <row r="975" spans="1:8" hidden="1" x14ac:dyDescent="0.25">
      <c r="A975">
        <v>9343</v>
      </c>
      <c r="B975" t="s">
        <v>15480</v>
      </c>
      <c r="C975" t="s">
        <v>15134</v>
      </c>
      <c r="D975" t="s">
        <v>15135</v>
      </c>
      <c r="E975">
        <v>73218000</v>
      </c>
      <c r="F975" t="s">
        <v>15136</v>
      </c>
      <c r="G975" t="b">
        <v>1</v>
      </c>
      <c r="H975" t="s">
        <v>15481</v>
      </c>
    </row>
    <row r="976" spans="1:8" hidden="1" x14ac:dyDescent="0.25">
      <c r="A976">
        <v>9343</v>
      </c>
      <c r="B976" t="s">
        <v>15480</v>
      </c>
      <c r="C976" t="s">
        <v>15134</v>
      </c>
      <c r="D976" t="s">
        <v>15135</v>
      </c>
      <c r="E976">
        <v>73218000</v>
      </c>
      <c r="F976" t="s">
        <v>15138</v>
      </c>
      <c r="G976" t="b">
        <v>1</v>
      </c>
      <c r="H976" t="s">
        <v>15482</v>
      </c>
    </row>
    <row r="977" spans="1:8" hidden="1" x14ac:dyDescent="0.25">
      <c r="A977">
        <v>80518</v>
      </c>
      <c r="B977" t="s">
        <v>16085</v>
      </c>
      <c r="C977" t="s">
        <v>15134</v>
      </c>
      <c r="D977" t="s">
        <v>15135</v>
      </c>
      <c r="E977">
        <v>73218004</v>
      </c>
      <c r="F977" t="s">
        <v>15145</v>
      </c>
      <c r="G977" t="b">
        <v>1</v>
      </c>
      <c r="H977" t="s">
        <v>16086</v>
      </c>
    </row>
    <row r="978" spans="1:8" hidden="1" x14ac:dyDescent="0.25">
      <c r="A978">
        <v>80518</v>
      </c>
      <c r="B978" t="s">
        <v>16085</v>
      </c>
      <c r="C978" t="s">
        <v>15134</v>
      </c>
      <c r="D978" t="s">
        <v>15135</v>
      </c>
      <c r="E978">
        <v>73218004</v>
      </c>
      <c r="F978" t="s">
        <v>15138</v>
      </c>
      <c r="G978" t="b">
        <v>0</v>
      </c>
      <c r="H978" t="s">
        <v>16087</v>
      </c>
    </row>
    <row r="979" spans="1:8" hidden="1" x14ac:dyDescent="0.25">
      <c r="A979">
        <v>80519</v>
      </c>
      <c r="B979" t="s">
        <v>16088</v>
      </c>
      <c r="C979" t="s">
        <v>15134</v>
      </c>
      <c r="D979" t="s">
        <v>15135</v>
      </c>
      <c r="E979">
        <v>73336001</v>
      </c>
      <c r="F979" t="s">
        <v>15138</v>
      </c>
      <c r="G979" t="b">
        <v>1</v>
      </c>
      <c r="H979" t="s">
        <v>16089</v>
      </c>
    </row>
    <row r="980" spans="1:8" hidden="1" x14ac:dyDescent="0.25">
      <c r="A980">
        <v>80519</v>
      </c>
      <c r="B980" t="s">
        <v>16088</v>
      </c>
      <c r="C980" t="s">
        <v>15134</v>
      </c>
      <c r="D980" t="s">
        <v>15135</v>
      </c>
      <c r="E980">
        <v>73336001</v>
      </c>
      <c r="F980" t="s">
        <v>15136</v>
      </c>
      <c r="G980" t="b">
        <v>1</v>
      </c>
      <c r="H980" t="s">
        <v>15481</v>
      </c>
    </row>
    <row r="981" spans="1:8" hidden="1" x14ac:dyDescent="0.25">
      <c r="A981">
        <v>84664</v>
      </c>
      <c r="B981" t="s">
        <v>16294</v>
      </c>
      <c r="C981" t="s">
        <v>15134</v>
      </c>
      <c r="D981" t="s">
        <v>15135</v>
      </c>
      <c r="E981">
        <v>73218006</v>
      </c>
      <c r="F981" t="s">
        <v>15145</v>
      </c>
      <c r="G981" t="b">
        <v>1</v>
      </c>
      <c r="H981" t="s">
        <v>16295</v>
      </c>
    </row>
    <row r="982" spans="1:8" hidden="1" x14ac:dyDescent="0.25">
      <c r="A982">
        <v>84664</v>
      </c>
      <c r="B982" t="s">
        <v>16294</v>
      </c>
      <c r="C982" t="s">
        <v>15134</v>
      </c>
      <c r="D982" t="s">
        <v>15135</v>
      </c>
      <c r="E982">
        <v>73218006</v>
      </c>
      <c r="F982" t="s">
        <v>15138</v>
      </c>
      <c r="G982" t="b">
        <v>0</v>
      </c>
      <c r="H982" t="s">
        <v>16087</v>
      </c>
    </row>
    <row r="983" spans="1:8" hidden="1" x14ac:dyDescent="0.25">
      <c r="A983">
        <v>9338</v>
      </c>
      <c r="B983" t="s">
        <v>15479</v>
      </c>
      <c r="C983" t="s">
        <v>15134</v>
      </c>
      <c r="D983" t="s">
        <v>15135</v>
      </c>
      <c r="E983">
        <v>73215001</v>
      </c>
    </row>
    <row r="984" spans="1:8" hidden="1" x14ac:dyDescent="0.25">
      <c r="A984">
        <v>91342</v>
      </c>
      <c r="B984" t="s">
        <v>16783</v>
      </c>
      <c r="C984" t="s">
        <v>15134</v>
      </c>
      <c r="D984" t="s">
        <v>15135</v>
      </c>
      <c r="E984">
        <v>103227001</v>
      </c>
      <c r="F984" t="s">
        <v>15145</v>
      </c>
      <c r="G984" t="b">
        <v>1</v>
      </c>
      <c r="H984" t="s">
        <v>16511</v>
      </c>
    </row>
    <row r="985" spans="1:8" hidden="1" x14ac:dyDescent="0.25">
      <c r="A985">
        <v>91342</v>
      </c>
      <c r="B985" t="s">
        <v>16783</v>
      </c>
      <c r="C985" t="s">
        <v>15134</v>
      </c>
      <c r="D985" t="s">
        <v>15135</v>
      </c>
      <c r="E985">
        <v>103227001</v>
      </c>
      <c r="F985" t="s">
        <v>15138</v>
      </c>
      <c r="G985" t="b">
        <v>1</v>
      </c>
      <c r="H985" t="s">
        <v>16511</v>
      </c>
    </row>
    <row r="986" spans="1:8" hidden="1" x14ac:dyDescent="0.25">
      <c r="A986">
        <v>91341</v>
      </c>
      <c r="B986" t="s">
        <v>16782</v>
      </c>
      <c r="C986" t="s">
        <v>15134</v>
      </c>
      <c r="D986" t="s">
        <v>15135</v>
      </c>
      <c r="E986">
        <v>103227000</v>
      </c>
      <c r="F986" t="s">
        <v>15138</v>
      </c>
      <c r="G986" t="b">
        <v>1</v>
      </c>
      <c r="H986" t="s">
        <v>16511</v>
      </c>
    </row>
    <row r="987" spans="1:8" hidden="1" x14ac:dyDescent="0.25">
      <c r="A987">
        <v>91341</v>
      </c>
      <c r="B987" t="s">
        <v>16782</v>
      </c>
      <c r="C987" t="s">
        <v>15134</v>
      </c>
      <c r="D987" t="s">
        <v>15135</v>
      </c>
      <c r="E987">
        <v>103227000</v>
      </c>
      <c r="F987" t="s">
        <v>15136</v>
      </c>
      <c r="G987" t="b">
        <v>1</v>
      </c>
      <c r="H987" t="s">
        <v>16511</v>
      </c>
    </row>
    <row r="988" spans="1:8" hidden="1" x14ac:dyDescent="0.25">
      <c r="A988">
        <v>89935</v>
      </c>
      <c r="B988" t="s">
        <v>16509</v>
      </c>
      <c r="C988" t="s">
        <v>15134</v>
      </c>
      <c r="D988" t="s">
        <v>15135</v>
      </c>
      <c r="E988">
        <v>73565001</v>
      </c>
      <c r="F988" t="s">
        <v>15145</v>
      </c>
      <c r="G988" t="b">
        <v>1</v>
      </c>
      <c r="H988" t="s">
        <v>16508</v>
      </c>
    </row>
    <row r="989" spans="1:8" hidden="1" x14ac:dyDescent="0.25">
      <c r="A989">
        <v>89935</v>
      </c>
      <c r="B989" t="s">
        <v>16509</v>
      </c>
      <c r="C989" t="s">
        <v>15134</v>
      </c>
      <c r="D989" t="s">
        <v>15135</v>
      </c>
      <c r="E989">
        <v>73565001</v>
      </c>
      <c r="F989" t="s">
        <v>15138</v>
      </c>
      <c r="G989" t="b">
        <v>1</v>
      </c>
      <c r="H989" t="s">
        <v>16508</v>
      </c>
    </row>
    <row r="990" spans="1:8" hidden="1" x14ac:dyDescent="0.25">
      <c r="A990">
        <v>89934</v>
      </c>
      <c r="B990" t="s">
        <v>16507</v>
      </c>
      <c r="C990" t="s">
        <v>15134</v>
      </c>
      <c r="D990" t="s">
        <v>15135</v>
      </c>
      <c r="E990">
        <v>73565000</v>
      </c>
      <c r="F990" t="s">
        <v>15138</v>
      </c>
      <c r="G990" t="b">
        <v>1</v>
      </c>
      <c r="H990" t="s">
        <v>16508</v>
      </c>
    </row>
    <row r="991" spans="1:8" hidden="1" x14ac:dyDescent="0.25">
      <c r="A991">
        <v>89934</v>
      </c>
      <c r="B991" t="s">
        <v>16507</v>
      </c>
      <c r="C991" t="s">
        <v>15134</v>
      </c>
      <c r="D991" t="s">
        <v>15135</v>
      </c>
      <c r="E991">
        <v>73565000</v>
      </c>
      <c r="F991" t="s">
        <v>15136</v>
      </c>
      <c r="G991" t="b">
        <v>1</v>
      </c>
      <c r="H991" t="s">
        <v>16508</v>
      </c>
    </row>
    <row r="992" spans="1:8" hidden="1" x14ac:dyDescent="0.25">
      <c r="A992">
        <v>9317</v>
      </c>
      <c r="B992" t="s">
        <v>15468</v>
      </c>
      <c r="C992" t="s">
        <v>15134</v>
      </c>
      <c r="D992" t="s">
        <v>15135</v>
      </c>
      <c r="E992">
        <v>73205001</v>
      </c>
    </row>
    <row r="993" spans="1:8" hidden="1" x14ac:dyDescent="0.25">
      <c r="A993">
        <v>9496</v>
      </c>
      <c r="B993" t="s">
        <v>15468</v>
      </c>
      <c r="C993" t="s">
        <v>15134</v>
      </c>
      <c r="D993" t="s">
        <v>15135</v>
      </c>
      <c r="E993">
        <v>73277001</v>
      </c>
    </row>
    <row r="994" spans="1:8" hidden="1" x14ac:dyDescent="0.25">
      <c r="A994">
        <v>9053</v>
      </c>
      <c r="B994" t="s">
        <v>15339</v>
      </c>
      <c r="C994" t="s">
        <v>15134</v>
      </c>
      <c r="D994" t="s">
        <v>15135</v>
      </c>
      <c r="E994">
        <v>73046001</v>
      </c>
    </row>
    <row r="995" spans="1:8" hidden="1" x14ac:dyDescent="0.25">
      <c r="A995">
        <v>9921</v>
      </c>
      <c r="B995" t="s">
        <v>15729</v>
      </c>
      <c r="C995" t="s">
        <v>15134</v>
      </c>
      <c r="D995" t="s">
        <v>15135</v>
      </c>
      <c r="E995">
        <v>103052001</v>
      </c>
    </row>
    <row r="996" spans="1:8" hidden="1" x14ac:dyDescent="0.25">
      <c r="A996">
        <v>10029</v>
      </c>
      <c r="B996" t="s">
        <v>15729</v>
      </c>
      <c r="C996" t="s">
        <v>15134</v>
      </c>
      <c r="D996" t="s">
        <v>15135</v>
      </c>
      <c r="E996">
        <v>103101001</v>
      </c>
    </row>
    <row r="997" spans="1:8" hidden="1" x14ac:dyDescent="0.25">
      <c r="A997">
        <v>9940</v>
      </c>
      <c r="B997" t="s">
        <v>15738</v>
      </c>
      <c r="C997" t="s">
        <v>15134</v>
      </c>
      <c r="D997" t="s">
        <v>15135</v>
      </c>
      <c r="E997">
        <v>103062000</v>
      </c>
      <c r="F997" t="s">
        <v>15136</v>
      </c>
      <c r="G997" t="b">
        <v>1</v>
      </c>
      <c r="H997" t="s">
        <v>15739</v>
      </c>
    </row>
    <row r="998" spans="1:8" hidden="1" x14ac:dyDescent="0.25">
      <c r="A998">
        <v>9940</v>
      </c>
      <c r="B998" t="s">
        <v>15738</v>
      </c>
      <c r="C998" t="s">
        <v>15134</v>
      </c>
      <c r="D998" t="s">
        <v>15135</v>
      </c>
      <c r="E998">
        <v>103062000</v>
      </c>
      <c r="F998" t="s">
        <v>15138</v>
      </c>
      <c r="G998" t="b">
        <v>1</v>
      </c>
      <c r="H998" t="s">
        <v>15739</v>
      </c>
    </row>
    <row r="999" spans="1:8" hidden="1" x14ac:dyDescent="0.25">
      <c r="A999">
        <v>9941</v>
      </c>
      <c r="B999" t="s">
        <v>15740</v>
      </c>
      <c r="C999" t="s">
        <v>15134</v>
      </c>
      <c r="D999" t="s">
        <v>15135</v>
      </c>
      <c r="E999">
        <v>103062001</v>
      </c>
    </row>
    <row r="1000" spans="1:8" hidden="1" x14ac:dyDescent="0.25">
      <c r="A1000">
        <v>89254</v>
      </c>
      <c r="B1000" t="s">
        <v>16384</v>
      </c>
      <c r="C1000" t="s">
        <v>15134</v>
      </c>
      <c r="D1000" t="s">
        <v>15135</v>
      </c>
      <c r="E1000">
        <v>103131001</v>
      </c>
      <c r="F1000" t="s">
        <v>15138</v>
      </c>
      <c r="G1000" t="b">
        <v>1</v>
      </c>
      <c r="H1000" t="s">
        <v>16383</v>
      </c>
    </row>
    <row r="1001" spans="1:8" hidden="1" x14ac:dyDescent="0.25">
      <c r="A1001">
        <v>89254</v>
      </c>
      <c r="B1001" t="s">
        <v>16384</v>
      </c>
      <c r="C1001" t="s">
        <v>15134</v>
      </c>
      <c r="D1001" t="s">
        <v>15135</v>
      </c>
      <c r="E1001">
        <v>103131001</v>
      </c>
      <c r="F1001" t="s">
        <v>15145</v>
      </c>
      <c r="G1001" t="b">
        <v>1</v>
      </c>
      <c r="H1001" t="s">
        <v>16382</v>
      </c>
    </row>
    <row r="1002" spans="1:8" hidden="1" x14ac:dyDescent="0.25">
      <c r="A1002">
        <v>83312</v>
      </c>
      <c r="B1002" t="s">
        <v>16263</v>
      </c>
      <c r="C1002" t="s">
        <v>15134</v>
      </c>
      <c r="D1002" t="s">
        <v>15135</v>
      </c>
      <c r="E1002">
        <v>73498001</v>
      </c>
      <c r="F1002" t="s">
        <v>15138</v>
      </c>
      <c r="G1002" t="b">
        <v>1</v>
      </c>
      <c r="H1002" t="s">
        <v>16262</v>
      </c>
    </row>
    <row r="1003" spans="1:8" hidden="1" x14ac:dyDescent="0.25">
      <c r="A1003">
        <v>83312</v>
      </c>
      <c r="B1003" t="s">
        <v>16263</v>
      </c>
      <c r="C1003" t="s">
        <v>15134</v>
      </c>
      <c r="D1003" t="s">
        <v>15135</v>
      </c>
      <c r="E1003">
        <v>73498001</v>
      </c>
      <c r="F1003" t="s">
        <v>15136</v>
      </c>
      <c r="G1003" t="b">
        <v>1</v>
      </c>
      <c r="H1003" t="s">
        <v>16262</v>
      </c>
    </row>
    <row r="1004" spans="1:8" hidden="1" x14ac:dyDescent="0.25">
      <c r="A1004">
        <v>83311</v>
      </c>
      <c r="B1004" t="s">
        <v>16261</v>
      </c>
      <c r="C1004" t="s">
        <v>15134</v>
      </c>
      <c r="D1004" t="s">
        <v>15135</v>
      </c>
      <c r="E1004">
        <v>73498000</v>
      </c>
      <c r="F1004" t="s">
        <v>15138</v>
      </c>
      <c r="G1004" t="b">
        <v>1</v>
      </c>
      <c r="H1004" t="s">
        <v>16262</v>
      </c>
    </row>
    <row r="1005" spans="1:8" hidden="1" x14ac:dyDescent="0.25">
      <c r="A1005">
        <v>83311</v>
      </c>
      <c r="B1005" t="s">
        <v>16261</v>
      </c>
      <c r="C1005" t="s">
        <v>15134</v>
      </c>
      <c r="D1005" t="s">
        <v>15135</v>
      </c>
      <c r="E1005">
        <v>73498000</v>
      </c>
      <c r="F1005" t="s">
        <v>15136</v>
      </c>
      <c r="G1005" t="b">
        <v>1</v>
      </c>
      <c r="H1005" t="s">
        <v>16262</v>
      </c>
    </row>
    <row r="1006" spans="1:8" hidden="1" x14ac:dyDescent="0.25">
      <c r="A1006">
        <v>9877</v>
      </c>
      <c r="B1006" t="s">
        <v>15711</v>
      </c>
      <c r="C1006" t="s">
        <v>15134</v>
      </c>
      <c r="D1006" t="s">
        <v>15135</v>
      </c>
      <c r="E1006">
        <v>103008001</v>
      </c>
    </row>
    <row r="1007" spans="1:8" hidden="1" x14ac:dyDescent="0.25">
      <c r="A1007">
        <v>9885</v>
      </c>
      <c r="B1007" t="s">
        <v>15711</v>
      </c>
      <c r="C1007" t="s">
        <v>15134</v>
      </c>
      <c r="D1007" t="s">
        <v>15135</v>
      </c>
      <c r="E1007">
        <v>103023001</v>
      </c>
    </row>
    <row r="1008" spans="1:8" hidden="1" x14ac:dyDescent="0.25">
      <c r="A1008">
        <v>90789</v>
      </c>
      <c r="B1008" t="s">
        <v>16684</v>
      </c>
      <c r="C1008" t="s">
        <v>15134</v>
      </c>
      <c r="D1008" t="s">
        <v>15135</v>
      </c>
      <c r="E1008">
        <v>103220001</v>
      </c>
      <c r="F1008" t="s">
        <v>15145</v>
      </c>
      <c r="G1008" t="b">
        <v>1</v>
      </c>
      <c r="H1008" t="s">
        <v>16682</v>
      </c>
    </row>
    <row r="1009" spans="1:8" hidden="1" x14ac:dyDescent="0.25">
      <c r="A1009">
        <v>90788</v>
      </c>
      <c r="B1009" t="s">
        <v>16681</v>
      </c>
      <c r="C1009" t="s">
        <v>15134</v>
      </c>
      <c r="D1009" t="s">
        <v>15135</v>
      </c>
      <c r="E1009">
        <v>103220000</v>
      </c>
      <c r="F1009" t="s">
        <v>15138</v>
      </c>
      <c r="G1009" t="b">
        <v>1</v>
      </c>
      <c r="H1009" t="s">
        <v>16682</v>
      </c>
    </row>
    <row r="1010" spans="1:8" hidden="1" x14ac:dyDescent="0.25">
      <c r="A1010">
        <v>90788</v>
      </c>
      <c r="B1010" t="s">
        <v>16681</v>
      </c>
      <c r="C1010" t="s">
        <v>15134</v>
      </c>
      <c r="D1010" t="s">
        <v>15135</v>
      </c>
      <c r="E1010">
        <v>103220000</v>
      </c>
      <c r="F1010" t="s">
        <v>15136</v>
      </c>
      <c r="G1010" t="b">
        <v>1</v>
      </c>
      <c r="H1010" t="s">
        <v>16683</v>
      </c>
    </row>
    <row r="1011" spans="1:8" hidden="1" x14ac:dyDescent="0.25">
      <c r="A1011">
        <v>1000096</v>
      </c>
      <c r="B1011" t="s">
        <v>17082</v>
      </c>
      <c r="C1011" t="s">
        <v>15134</v>
      </c>
      <c r="D1011" t="s">
        <v>15135</v>
      </c>
      <c r="E1011">
        <v>73350001</v>
      </c>
      <c r="F1011" t="s">
        <v>15138</v>
      </c>
      <c r="G1011" t="b">
        <v>1</v>
      </c>
      <c r="H1011" t="s">
        <v>17083</v>
      </c>
    </row>
    <row r="1012" spans="1:8" hidden="1" x14ac:dyDescent="0.25">
      <c r="A1012">
        <v>1000096</v>
      </c>
      <c r="B1012" t="s">
        <v>17082</v>
      </c>
      <c r="C1012" t="s">
        <v>15134</v>
      </c>
      <c r="D1012" t="s">
        <v>15135</v>
      </c>
      <c r="E1012">
        <v>73350001</v>
      </c>
      <c r="F1012" t="s">
        <v>15136</v>
      </c>
      <c r="G1012" t="b">
        <v>1</v>
      </c>
      <c r="H1012" t="s">
        <v>17083</v>
      </c>
    </row>
    <row r="1013" spans="1:8" hidden="1" x14ac:dyDescent="0.25">
      <c r="A1013">
        <v>91940</v>
      </c>
      <c r="B1013" t="s">
        <v>16833</v>
      </c>
      <c r="C1013" t="s">
        <v>15134</v>
      </c>
      <c r="D1013" t="s">
        <v>15135</v>
      </c>
      <c r="E1013">
        <v>73569002</v>
      </c>
      <c r="F1013" t="s">
        <v>15145</v>
      </c>
      <c r="G1013" t="b">
        <v>1</v>
      </c>
      <c r="H1013" t="s">
        <v>16834</v>
      </c>
    </row>
    <row r="1014" spans="1:8" hidden="1" x14ac:dyDescent="0.25">
      <c r="A1014">
        <v>90088</v>
      </c>
      <c r="B1014" t="s">
        <v>16532</v>
      </c>
      <c r="C1014" t="s">
        <v>15134</v>
      </c>
      <c r="D1014" t="s">
        <v>15135</v>
      </c>
      <c r="E1014">
        <v>73569000</v>
      </c>
      <c r="F1014" t="s">
        <v>15138</v>
      </c>
      <c r="G1014" t="b">
        <v>1</v>
      </c>
      <c r="H1014" t="s">
        <v>16533</v>
      </c>
    </row>
    <row r="1015" spans="1:8" hidden="1" x14ac:dyDescent="0.25">
      <c r="A1015">
        <v>90088</v>
      </c>
      <c r="B1015" t="s">
        <v>16532</v>
      </c>
      <c r="C1015" t="s">
        <v>15134</v>
      </c>
      <c r="D1015" t="s">
        <v>15135</v>
      </c>
      <c r="E1015">
        <v>73569000</v>
      </c>
      <c r="F1015" t="s">
        <v>15136</v>
      </c>
      <c r="G1015" t="b">
        <v>1</v>
      </c>
      <c r="H1015" t="s">
        <v>16534</v>
      </c>
    </row>
    <row r="1016" spans="1:8" hidden="1" x14ac:dyDescent="0.25">
      <c r="A1016">
        <v>8574</v>
      </c>
      <c r="B1016" t="s">
        <v>15165</v>
      </c>
      <c r="C1016" t="s">
        <v>15134</v>
      </c>
      <c r="D1016" t="s">
        <v>15135</v>
      </c>
      <c r="E1016">
        <v>33004001</v>
      </c>
    </row>
    <row r="1017" spans="1:8" hidden="1" x14ac:dyDescent="0.25">
      <c r="A1017">
        <v>90921</v>
      </c>
      <c r="B1017" t="s">
        <v>16722</v>
      </c>
      <c r="C1017" t="s">
        <v>15134</v>
      </c>
      <c r="D1017" t="s">
        <v>15135</v>
      </c>
      <c r="E1017">
        <v>73716001</v>
      </c>
      <c r="F1017" t="s">
        <v>15145</v>
      </c>
      <c r="G1017" t="b">
        <v>1</v>
      </c>
      <c r="H1017" t="s">
        <v>16723</v>
      </c>
    </row>
    <row r="1018" spans="1:8" hidden="1" x14ac:dyDescent="0.25">
      <c r="A1018">
        <v>92427</v>
      </c>
      <c r="B1018" t="s">
        <v>16867</v>
      </c>
      <c r="C1018" t="s">
        <v>15134</v>
      </c>
      <c r="D1018" t="s">
        <v>15135</v>
      </c>
      <c r="E1018">
        <v>73716002</v>
      </c>
      <c r="F1018" t="s">
        <v>15145</v>
      </c>
      <c r="G1018" t="b">
        <v>0</v>
      </c>
      <c r="H1018" t="s">
        <v>16868</v>
      </c>
    </row>
    <row r="1019" spans="1:8" hidden="1" x14ac:dyDescent="0.25">
      <c r="A1019">
        <v>84679</v>
      </c>
      <c r="B1019" t="s">
        <v>16305</v>
      </c>
      <c r="C1019" t="s">
        <v>15134</v>
      </c>
      <c r="D1019" t="s">
        <v>15135</v>
      </c>
      <c r="E1019">
        <v>93017001</v>
      </c>
      <c r="F1019" t="s">
        <v>15145</v>
      </c>
      <c r="G1019" t="b">
        <v>1</v>
      </c>
      <c r="H1019" t="s">
        <v>16304</v>
      </c>
    </row>
    <row r="1020" spans="1:8" hidden="1" x14ac:dyDescent="0.25">
      <c r="A1020">
        <v>84679</v>
      </c>
      <c r="B1020" t="s">
        <v>16305</v>
      </c>
      <c r="C1020" t="s">
        <v>15134</v>
      </c>
      <c r="D1020" t="s">
        <v>15135</v>
      </c>
      <c r="E1020">
        <v>93017001</v>
      </c>
      <c r="F1020" t="s">
        <v>15138</v>
      </c>
      <c r="G1020" t="b">
        <v>1</v>
      </c>
      <c r="H1020" t="s">
        <v>16304</v>
      </c>
    </row>
    <row r="1021" spans="1:8" hidden="1" x14ac:dyDescent="0.25">
      <c r="A1021">
        <v>84678</v>
      </c>
      <c r="B1021" t="s">
        <v>16303</v>
      </c>
      <c r="C1021" t="s">
        <v>15134</v>
      </c>
      <c r="D1021" t="s">
        <v>15135</v>
      </c>
      <c r="E1021">
        <v>93017000</v>
      </c>
      <c r="F1021" t="s">
        <v>15136</v>
      </c>
      <c r="G1021" t="b">
        <v>1</v>
      </c>
      <c r="H1021" t="s">
        <v>16304</v>
      </c>
    </row>
    <row r="1022" spans="1:8" hidden="1" x14ac:dyDescent="0.25">
      <c r="A1022">
        <v>84678</v>
      </c>
      <c r="B1022" t="s">
        <v>16303</v>
      </c>
      <c r="C1022" t="s">
        <v>15134</v>
      </c>
      <c r="D1022" t="s">
        <v>15135</v>
      </c>
      <c r="E1022">
        <v>93017000</v>
      </c>
      <c r="F1022" t="s">
        <v>15138</v>
      </c>
      <c r="G1022" t="b">
        <v>1</v>
      </c>
      <c r="H1022" t="s">
        <v>16304</v>
      </c>
    </row>
    <row r="1023" spans="1:8" hidden="1" x14ac:dyDescent="0.25">
      <c r="A1023">
        <v>90115</v>
      </c>
      <c r="B1023" t="s">
        <v>16548</v>
      </c>
      <c r="C1023" t="s">
        <v>15134</v>
      </c>
      <c r="D1023" t="s">
        <v>15135</v>
      </c>
      <c r="E1023">
        <v>72439001</v>
      </c>
      <c r="F1023" t="s">
        <v>15138</v>
      </c>
      <c r="G1023" t="b">
        <v>1</v>
      </c>
      <c r="H1023" t="s">
        <v>16547</v>
      </c>
    </row>
    <row r="1024" spans="1:8" hidden="1" x14ac:dyDescent="0.25">
      <c r="A1024">
        <v>90115</v>
      </c>
      <c r="B1024" t="s">
        <v>16548</v>
      </c>
      <c r="C1024" t="s">
        <v>15134</v>
      </c>
      <c r="D1024" t="s">
        <v>15135</v>
      </c>
      <c r="E1024">
        <v>72439001</v>
      </c>
      <c r="F1024" t="s">
        <v>15145</v>
      </c>
      <c r="G1024" t="b">
        <v>1</v>
      </c>
      <c r="H1024" t="s">
        <v>16547</v>
      </c>
    </row>
    <row r="1025" spans="1:8" hidden="1" x14ac:dyDescent="0.25">
      <c r="A1025">
        <v>86678</v>
      </c>
      <c r="B1025" t="s">
        <v>16322</v>
      </c>
      <c r="C1025" t="s">
        <v>15134</v>
      </c>
      <c r="D1025" t="s">
        <v>15135</v>
      </c>
      <c r="E1025">
        <v>73519000</v>
      </c>
      <c r="F1025" t="s">
        <v>15138</v>
      </c>
      <c r="G1025" t="b">
        <v>0</v>
      </c>
      <c r="H1025" t="s">
        <v>16323</v>
      </c>
    </row>
    <row r="1026" spans="1:8" hidden="1" x14ac:dyDescent="0.25">
      <c r="A1026">
        <v>86678</v>
      </c>
      <c r="B1026" t="s">
        <v>16322</v>
      </c>
      <c r="C1026" t="s">
        <v>15134</v>
      </c>
      <c r="D1026" t="s">
        <v>15135</v>
      </c>
      <c r="E1026">
        <v>73519000</v>
      </c>
      <c r="F1026" t="s">
        <v>15136</v>
      </c>
      <c r="G1026" t="b">
        <v>0</v>
      </c>
      <c r="H1026" t="s">
        <v>16324</v>
      </c>
    </row>
    <row r="1027" spans="1:8" hidden="1" x14ac:dyDescent="0.25">
      <c r="A1027">
        <v>1001498</v>
      </c>
      <c r="B1027" t="s">
        <v>17202</v>
      </c>
      <c r="C1027" t="s">
        <v>15134</v>
      </c>
      <c r="D1027" t="s">
        <v>15135</v>
      </c>
      <c r="E1027">
        <v>103702001</v>
      </c>
      <c r="F1027" t="s">
        <v>15138</v>
      </c>
      <c r="G1027" t="b">
        <v>0</v>
      </c>
      <c r="H1027" t="s">
        <v>17201</v>
      </c>
    </row>
    <row r="1028" spans="1:8" hidden="1" x14ac:dyDescent="0.25">
      <c r="A1028">
        <v>1001498</v>
      </c>
      <c r="B1028" t="s">
        <v>17202</v>
      </c>
      <c r="C1028" t="s">
        <v>15134</v>
      </c>
      <c r="D1028" t="s">
        <v>15135</v>
      </c>
      <c r="E1028">
        <v>103702001</v>
      </c>
      <c r="F1028" t="s">
        <v>15136</v>
      </c>
      <c r="G1028" t="b">
        <v>0</v>
      </c>
      <c r="H1028" t="s">
        <v>17201</v>
      </c>
    </row>
    <row r="1029" spans="1:8" hidden="1" x14ac:dyDescent="0.25">
      <c r="A1029">
        <v>1001497</v>
      </c>
      <c r="B1029" t="s">
        <v>17200</v>
      </c>
      <c r="C1029" t="s">
        <v>15134</v>
      </c>
      <c r="D1029" t="s">
        <v>15135</v>
      </c>
      <c r="E1029">
        <v>103702000</v>
      </c>
      <c r="F1029" t="s">
        <v>15138</v>
      </c>
      <c r="G1029" t="b">
        <v>0</v>
      </c>
      <c r="H1029" t="s">
        <v>17201</v>
      </c>
    </row>
    <row r="1030" spans="1:8" hidden="1" x14ac:dyDescent="0.25">
      <c r="A1030">
        <v>1001497</v>
      </c>
      <c r="B1030" t="s">
        <v>17200</v>
      </c>
      <c r="C1030" t="s">
        <v>15134</v>
      </c>
      <c r="D1030" t="s">
        <v>15135</v>
      </c>
      <c r="E1030">
        <v>103702000</v>
      </c>
      <c r="F1030" t="s">
        <v>15136</v>
      </c>
      <c r="G1030" t="b">
        <v>0</v>
      </c>
      <c r="H1030" t="s">
        <v>17201</v>
      </c>
    </row>
    <row r="1031" spans="1:8" hidden="1" x14ac:dyDescent="0.25">
      <c r="A1031">
        <v>8376</v>
      </c>
      <c r="B1031" t="s">
        <v>15140</v>
      </c>
      <c r="C1031" t="s">
        <v>15134</v>
      </c>
      <c r="D1031" t="s">
        <v>15135</v>
      </c>
      <c r="E1031">
        <v>12207001</v>
      </c>
    </row>
    <row r="1032" spans="1:8" hidden="1" x14ac:dyDescent="0.25">
      <c r="A1032">
        <v>80506</v>
      </c>
      <c r="B1032" t="s">
        <v>16078</v>
      </c>
      <c r="C1032" t="s">
        <v>15134</v>
      </c>
      <c r="D1032" t="s">
        <v>15135</v>
      </c>
      <c r="E1032">
        <v>32210004</v>
      </c>
      <c r="F1032" t="s">
        <v>15145</v>
      </c>
      <c r="G1032" t="b">
        <v>1</v>
      </c>
      <c r="H1032" t="s">
        <v>15937</v>
      </c>
    </row>
    <row r="1033" spans="1:8" hidden="1" x14ac:dyDescent="0.25">
      <c r="A1033">
        <v>80506</v>
      </c>
      <c r="B1033" t="s">
        <v>16078</v>
      </c>
      <c r="C1033" t="s">
        <v>15134</v>
      </c>
      <c r="D1033" t="s">
        <v>15135</v>
      </c>
      <c r="E1033">
        <v>32210004</v>
      </c>
      <c r="F1033" t="s">
        <v>15138</v>
      </c>
      <c r="G1033" t="b">
        <v>1</v>
      </c>
      <c r="H1033" t="s">
        <v>15960</v>
      </c>
    </row>
    <row r="1034" spans="1:8" hidden="1" x14ac:dyDescent="0.25">
      <c r="A1034">
        <v>1000325</v>
      </c>
      <c r="B1034" t="s">
        <v>17135</v>
      </c>
      <c r="C1034" t="s">
        <v>15134</v>
      </c>
      <c r="D1034" t="s">
        <v>15135</v>
      </c>
      <c r="E1034">
        <v>73360001</v>
      </c>
      <c r="F1034" t="s">
        <v>15138</v>
      </c>
      <c r="G1034" t="b">
        <v>1</v>
      </c>
      <c r="H1034" t="s">
        <v>17136</v>
      </c>
    </row>
    <row r="1035" spans="1:8" hidden="1" x14ac:dyDescent="0.25">
      <c r="A1035">
        <v>1000325</v>
      </c>
      <c r="B1035" t="s">
        <v>17135</v>
      </c>
      <c r="C1035" t="s">
        <v>15134</v>
      </c>
      <c r="D1035" t="s">
        <v>15135</v>
      </c>
      <c r="E1035">
        <v>73360001</v>
      </c>
      <c r="F1035" t="s">
        <v>15136</v>
      </c>
      <c r="G1035" t="b">
        <v>1</v>
      </c>
      <c r="H1035" t="s">
        <v>17136</v>
      </c>
    </row>
    <row r="1036" spans="1:8" hidden="1" x14ac:dyDescent="0.25">
      <c r="A1036">
        <v>92806</v>
      </c>
      <c r="B1036" t="s">
        <v>16933</v>
      </c>
      <c r="C1036" t="s">
        <v>15134</v>
      </c>
      <c r="D1036" t="s">
        <v>15135</v>
      </c>
      <c r="E1036">
        <v>72452001</v>
      </c>
      <c r="F1036" t="s">
        <v>15136</v>
      </c>
      <c r="G1036" t="b">
        <v>1</v>
      </c>
      <c r="H1036" t="s">
        <v>16934</v>
      </c>
    </row>
    <row r="1037" spans="1:8" hidden="1" x14ac:dyDescent="0.25">
      <c r="A1037">
        <v>92806</v>
      </c>
      <c r="B1037" t="s">
        <v>16933</v>
      </c>
      <c r="C1037" t="s">
        <v>15134</v>
      </c>
      <c r="D1037" t="s">
        <v>15135</v>
      </c>
      <c r="E1037">
        <v>72452001</v>
      </c>
      <c r="F1037" t="s">
        <v>15138</v>
      </c>
      <c r="G1037" t="b">
        <v>1</v>
      </c>
      <c r="H1037" t="s">
        <v>16934</v>
      </c>
    </row>
    <row r="1038" spans="1:8" hidden="1" x14ac:dyDescent="0.25">
      <c r="A1038">
        <v>92805</v>
      </c>
      <c r="B1038" t="s">
        <v>16931</v>
      </c>
      <c r="C1038" t="s">
        <v>15134</v>
      </c>
      <c r="D1038" t="s">
        <v>15135</v>
      </c>
      <c r="E1038">
        <v>72452000</v>
      </c>
      <c r="F1038" t="s">
        <v>15138</v>
      </c>
      <c r="G1038" t="b">
        <v>1</v>
      </c>
      <c r="H1038" t="s">
        <v>16932</v>
      </c>
    </row>
    <row r="1039" spans="1:8" hidden="1" x14ac:dyDescent="0.25">
      <c r="A1039">
        <v>92805</v>
      </c>
      <c r="B1039" t="s">
        <v>16931</v>
      </c>
      <c r="C1039" t="s">
        <v>15134</v>
      </c>
      <c r="D1039" t="s">
        <v>15135</v>
      </c>
      <c r="E1039">
        <v>72452000</v>
      </c>
      <c r="F1039" t="s">
        <v>15136</v>
      </c>
      <c r="G1039" t="b">
        <v>1</v>
      </c>
      <c r="H1039" t="s">
        <v>16932</v>
      </c>
    </row>
    <row r="1040" spans="1:8" hidden="1" x14ac:dyDescent="0.25">
      <c r="A1040">
        <v>91332</v>
      </c>
      <c r="B1040" t="s">
        <v>16775</v>
      </c>
      <c r="C1040" t="s">
        <v>15134</v>
      </c>
      <c r="D1040" t="s">
        <v>15135</v>
      </c>
      <c r="E1040">
        <v>73214031</v>
      </c>
      <c r="F1040" t="s">
        <v>15145</v>
      </c>
      <c r="G1040" t="b">
        <v>1</v>
      </c>
      <c r="H1040" t="s">
        <v>16759</v>
      </c>
    </row>
    <row r="1041" spans="1:8" hidden="1" x14ac:dyDescent="0.25">
      <c r="A1041">
        <v>91332</v>
      </c>
      <c r="B1041" t="s">
        <v>16775</v>
      </c>
      <c r="C1041" t="s">
        <v>15134</v>
      </c>
      <c r="D1041" t="s">
        <v>15135</v>
      </c>
      <c r="E1041">
        <v>73214031</v>
      </c>
      <c r="F1041" t="s">
        <v>15138</v>
      </c>
      <c r="G1041" t="b">
        <v>1</v>
      </c>
      <c r="H1041" t="s">
        <v>16759</v>
      </c>
    </row>
    <row r="1042" spans="1:8" hidden="1" x14ac:dyDescent="0.25">
      <c r="A1042">
        <v>92862</v>
      </c>
      <c r="B1042" t="s">
        <v>16941</v>
      </c>
      <c r="C1042" t="s">
        <v>15134</v>
      </c>
      <c r="D1042" t="s">
        <v>15135</v>
      </c>
      <c r="E1042">
        <v>73214035</v>
      </c>
      <c r="F1042" t="s">
        <v>15138</v>
      </c>
      <c r="G1042" t="b">
        <v>1</v>
      </c>
      <c r="H1042" t="s">
        <v>16942</v>
      </c>
    </row>
    <row r="1043" spans="1:8" hidden="1" x14ac:dyDescent="0.25">
      <c r="A1043">
        <v>84187</v>
      </c>
      <c r="B1043" t="s">
        <v>16264</v>
      </c>
      <c r="C1043" t="s">
        <v>15134</v>
      </c>
      <c r="D1043" t="s">
        <v>15135</v>
      </c>
      <c r="E1043">
        <v>73214017</v>
      </c>
      <c r="F1043" t="s">
        <v>15145</v>
      </c>
      <c r="G1043" t="b">
        <v>1</v>
      </c>
      <c r="H1043" t="s">
        <v>16265</v>
      </c>
    </row>
    <row r="1044" spans="1:8" hidden="1" x14ac:dyDescent="0.25">
      <c r="A1044">
        <v>84187</v>
      </c>
      <c r="B1044" t="s">
        <v>16264</v>
      </c>
      <c r="C1044" t="s">
        <v>15134</v>
      </c>
      <c r="D1044" t="s">
        <v>15135</v>
      </c>
      <c r="E1044">
        <v>73214017</v>
      </c>
      <c r="F1044" t="s">
        <v>15138</v>
      </c>
      <c r="G1044" t="b">
        <v>1</v>
      </c>
      <c r="H1044" t="s">
        <v>16265</v>
      </c>
    </row>
    <row r="1045" spans="1:8" hidden="1" x14ac:dyDescent="0.25">
      <c r="A1045">
        <v>91333</v>
      </c>
      <c r="B1045" t="s">
        <v>16776</v>
      </c>
      <c r="C1045" t="s">
        <v>15134</v>
      </c>
      <c r="D1045" t="s">
        <v>15135</v>
      </c>
      <c r="E1045">
        <v>73214032</v>
      </c>
      <c r="F1045" t="s">
        <v>15145</v>
      </c>
      <c r="G1045" t="b">
        <v>1</v>
      </c>
      <c r="H1045" t="s">
        <v>16777</v>
      </c>
    </row>
    <row r="1046" spans="1:8" hidden="1" x14ac:dyDescent="0.25">
      <c r="A1046">
        <v>91333</v>
      </c>
      <c r="B1046" t="s">
        <v>16776</v>
      </c>
      <c r="C1046" t="s">
        <v>15134</v>
      </c>
      <c r="D1046" t="s">
        <v>15135</v>
      </c>
      <c r="E1046">
        <v>73214032</v>
      </c>
      <c r="F1046" t="s">
        <v>15138</v>
      </c>
      <c r="G1046" t="b">
        <v>1</v>
      </c>
      <c r="H1046" t="s">
        <v>16777</v>
      </c>
    </row>
    <row r="1047" spans="1:8" hidden="1" x14ac:dyDescent="0.25">
      <c r="A1047">
        <v>84189</v>
      </c>
      <c r="B1047" t="s">
        <v>16266</v>
      </c>
      <c r="C1047" t="s">
        <v>15134</v>
      </c>
      <c r="D1047" t="s">
        <v>15135</v>
      </c>
      <c r="E1047">
        <v>73214015</v>
      </c>
      <c r="F1047" t="s">
        <v>15145</v>
      </c>
      <c r="G1047" t="b">
        <v>1</v>
      </c>
      <c r="H1047" t="s">
        <v>16267</v>
      </c>
    </row>
    <row r="1048" spans="1:8" hidden="1" x14ac:dyDescent="0.25">
      <c r="A1048">
        <v>84189</v>
      </c>
      <c r="B1048" t="s">
        <v>16266</v>
      </c>
      <c r="C1048" t="s">
        <v>15134</v>
      </c>
      <c r="D1048" t="s">
        <v>15135</v>
      </c>
      <c r="E1048">
        <v>73214015</v>
      </c>
      <c r="F1048" t="s">
        <v>15138</v>
      </c>
      <c r="G1048" t="b">
        <v>1</v>
      </c>
      <c r="H1048" t="s">
        <v>16267</v>
      </c>
    </row>
    <row r="1049" spans="1:8" hidden="1" x14ac:dyDescent="0.25">
      <c r="A1049">
        <v>84190</v>
      </c>
      <c r="B1049" t="s">
        <v>16268</v>
      </c>
      <c r="C1049" t="s">
        <v>15134</v>
      </c>
      <c r="D1049" t="s">
        <v>15135</v>
      </c>
      <c r="E1049">
        <v>73214014</v>
      </c>
      <c r="F1049" t="s">
        <v>15145</v>
      </c>
      <c r="G1049" t="b">
        <v>1</v>
      </c>
      <c r="H1049" t="s">
        <v>16269</v>
      </c>
    </row>
    <row r="1050" spans="1:8" hidden="1" x14ac:dyDescent="0.25">
      <c r="A1050">
        <v>84190</v>
      </c>
      <c r="B1050" t="s">
        <v>16268</v>
      </c>
      <c r="C1050" t="s">
        <v>15134</v>
      </c>
      <c r="D1050" t="s">
        <v>15135</v>
      </c>
      <c r="E1050">
        <v>73214014</v>
      </c>
      <c r="F1050" t="s">
        <v>15138</v>
      </c>
      <c r="G1050" t="b">
        <v>1</v>
      </c>
      <c r="H1050" t="s">
        <v>16269</v>
      </c>
    </row>
    <row r="1051" spans="1:8" hidden="1" x14ac:dyDescent="0.25">
      <c r="A1051">
        <v>92680</v>
      </c>
      <c r="B1051" t="s">
        <v>16890</v>
      </c>
      <c r="C1051" t="s">
        <v>15134</v>
      </c>
      <c r="D1051" t="s">
        <v>15135</v>
      </c>
      <c r="E1051">
        <v>73214034</v>
      </c>
    </row>
    <row r="1052" spans="1:8" hidden="1" x14ac:dyDescent="0.25">
      <c r="A1052">
        <v>80617</v>
      </c>
      <c r="B1052" t="s">
        <v>16141</v>
      </c>
      <c r="C1052" t="s">
        <v>15134</v>
      </c>
      <c r="D1052" t="s">
        <v>15135</v>
      </c>
      <c r="E1052">
        <v>73214011</v>
      </c>
      <c r="F1052" t="s">
        <v>15138</v>
      </c>
      <c r="G1052" t="b">
        <v>1</v>
      </c>
      <c r="H1052" t="s">
        <v>16142</v>
      </c>
    </row>
    <row r="1053" spans="1:8" hidden="1" x14ac:dyDescent="0.25">
      <c r="A1053">
        <v>80617</v>
      </c>
      <c r="B1053" t="s">
        <v>16141</v>
      </c>
      <c r="C1053" t="s">
        <v>15134</v>
      </c>
      <c r="D1053" t="s">
        <v>15135</v>
      </c>
      <c r="E1053">
        <v>73214011</v>
      </c>
      <c r="F1053" t="s">
        <v>15145</v>
      </c>
      <c r="G1053" t="b">
        <v>1</v>
      </c>
      <c r="H1053" t="s">
        <v>16142</v>
      </c>
    </row>
    <row r="1054" spans="1:8" hidden="1" x14ac:dyDescent="0.25">
      <c r="A1054">
        <v>80618</v>
      </c>
      <c r="B1054" t="s">
        <v>16143</v>
      </c>
      <c r="C1054" t="s">
        <v>15134</v>
      </c>
      <c r="D1054" t="s">
        <v>15135</v>
      </c>
      <c r="E1054">
        <v>73214012</v>
      </c>
      <c r="F1054" t="s">
        <v>15145</v>
      </c>
      <c r="G1054" t="b">
        <v>1</v>
      </c>
      <c r="H1054" t="s">
        <v>16144</v>
      </c>
    </row>
    <row r="1055" spans="1:8" hidden="1" x14ac:dyDescent="0.25">
      <c r="A1055">
        <v>80618</v>
      </c>
      <c r="B1055" t="s">
        <v>16143</v>
      </c>
      <c r="C1055" t="s">
        <v>15134</v>
      </c>
      <c r="D1055" t="s">
        <v>15135</v>
      </c>
      <c r="E1055">
        <v>73214012</v>
      </c>
      <c r="F1055" t="s">
        <v>15138</v>
      </c>
      <c r="G1055" t="b">
        <v>1</v>
      </c>
      <c r="H1055" t="s">
        <v>16144</v>
      </c>
    </row>
    <row r="1056" spans="1:8" hidden="1" x14ac:dyDescent="0.25">
      <c r="A1056">
        <v>87912</v>
      </c>
      <c r="B1056" t="s">
        <v>16353</v>
      </c>
      <c r="C1056" t="s">
        <v>15134</v>
      </c>
      <c r="D1056" t="s">
        <v>15135</v>
      </c>
      <c r="E1056">
        <v>73214020</v>
      </c>
      <c r="F1056" t="s">
        <v>15138</v>
      </c>
      <c r="G1056" t="b">
        <v>1</v>
      </c>
      <c r="H1056" t="s">
        <v>16354</v>
      </c>
    </row>
    <row r="1057" spans="1:8" hidden="1" x14ac:dyDescent="0.25">
      <c r="A1057">
        <v>87912</v>
      </c>
      <c r="B1057" t="s">
        <v>16353</v>
      </c>
      <c r="C1057" t="s">
        <v>15134</v>
      </c>
      <c r="D1057" t="s">
        <v>15135</v>
      </c>
      <c r="E1057">
        <v>73214020</v>
      </c>
      <c r="F1057" t="s">
        <v>15145</v>
      </c>
      <c r="G1057" t="b">
        <v>1</v>
      </c>
      <c r="H1057" t="s">
        <v>16354</v>
      </c>
    </row>
    <row r="1058" spans="1:8" hidden="1" x14ac:dyDescent="0.25">
      <c r="A1058">
        <v>80619</v>
      </c>
      <c r="B1058" t="s">
        <v>16145</v>
      </c>
      <c r="C1058" t="s">
        <v>15134</v>
      </c>
      <c r="D1058" t="s">
        <v>15135</v>
      </c>
      <c r="E1058">
        <v>73214013</v>
      </c>
      <c r="F1058" t="s">
        <v>15145</v>
      </c>
      <c r="G1058" t="b">
        <v>1</v>
      </c>
      <c r="H1058" t="s">
        <v>16146</v>
      </c>
    </row>
    <row r="1059" spans="1:8" hidden="1" x14ac:dyDescent="0.25">
      <c r="A1059">
        <v>80619</v>
      </c>
      <c r="B1059" t="s">
        <v>16145</v>
      </c>
      <c r="C1059" t="s">
        <v>15134</v>
      </c>
      <c r="D1059" t="s">
        <v>15135</v>
      </c>
      <c r="E1059">
        <v>73214013</v>
      </c>
      <c r="F1059" t="s">
        <v>15138</v>
      </c>
      <c r="G1059" t="b">
        <v>1</v>
      </c>
      <c r="H1059" t="s">
        <v>16146</v>
      </c>
    </row>
    <row r="1060" spans="1:8" hidden="1" x14ac:dyDescent="0.25">
      <c r="A1060">
        <v>89724</v>
      </c>
      <c r="B1060" t="s">
        <v>16438</v>
      </c>
      <c r="C1060" t="s">
        <v>15134</v>
      </c>
      <c r="D1060" t="s">
        <v>15135</v>
      </c>
      <c r="E1060">
        <v>73214024</v>
      </c>
      <c r="F1060" t="s">
        <v>15145</v>
      </c>
      <c r="G1060" t="b">
        <v>1</v>
      </c>
      <c r="H1060" t="s">
        <v>16439</v>
      </c>
    </row>
    <row r="1061" spans="1:8" hidden="1" x14ac:dyDescent="0.25">
      <c r="A1061">
        <v>89724</v>
      </c>
      <c r="B1061" t="s">
        <v>16438</v>
      </c>
      <c r="C1061" t="s">
        <v>15134</v>
      </c>
      <c r="D1061" t="s">
        <v>15135</v>
      </c>
      <c r="E1061">
        <v>73214024</v>
      </c>
      <c r="F1061" t="s">
        <v>15138</v>
      </c>
      <c r="G1061" t="b">
        <v>1</v>
      </c>
      <c r="H1061" t="s">
        <v>16439</v>
      </c>
    </row>
    <row r="1062" spans="1:8" hidden="1" x14ac:dyDescent="0.25">
      <c r="A1062">
        <v>89727</v>
      </c>
      <c r="B1062" t="s">
        <v>16440</v>
      </c>
      <c r="C1062" t="s">
        <v>15134</v>
      </c>
      <c r="D1062" t="s">
        <v>15135</v>
      </c>
      <c r="E1062">
        <v>73214027</v>
      </c>
      <c r="F1062" t="s">
        <v>15145</v>
      </c>
      <c r="G1062" t="b">
        <v>0</v>
      </c>
      <c r="H1062" t="s">
        <v>16441</v>
      </c>
    </row>
    <row r="1063" spans="1:8" hidden="1" x14ac:dyDescent="0.25">
      <c r="A1063">
        <v>89727</v>
      </c>
      <c r="B1063" t="s">
        <v>16440</v>
      </c>
      <c r="C1063" t="s">
        <v>15134</v>
      </c>
      <c r="D1063" t="s">
        <v>15135</v>
      </c>
      <c r="E1063">
        <v>73214027</v>
      </c>
      <c r="F1063" t="s">
        <v>15138</v>
      </c>
      <c r="G1063" t="b">
        <v>0</v>
      </c>
      <c r="H1063" t="s">
        <v>16441</v>
      </c>
    </row>
    <row r="1064" spans="1:8" hidden="1" x14ac:dyDescent="0.25">
      <c r="A1064">
        <v>78763</v>
      </c>
      <c r="B1064" t="s">
        <v>15886</v>
      </c>
      <c r="C1064" t="s">
        <v>15134</v>
      </c>
      <c r="D1064" t="s">
        <v>15135</v>
      </c>
      <c r="E1064">
        <v>103105006</v>
      </c>
    </row>
    <row r="1065" spans="1:8" hidden="1" x14ac:dyDescent="0.25">
      <c r="A1065">
        <v>80577</v>
      </c>
      <c r="B1065" t="s">
        <v>16125</v>
      </c>
      <c r="C1065" t="s">
        <v>15134</v>
      </c>
      <c r="D1065" t="s">
        <v>15135</v>
      </c>
      <c r="E1065">
        <v>103105008</v>
      </c>
      <c r="F1065" t="s">
        <v>15138</v>
      </c>
      <c r="G1065" t="b">
        <v>1</v>
      </c>
      <c r="H1065" t="s">
        <v>16126</v>
      </c>
    </row>
    <row r="1066" spans="1:8" hidden="1" x14ac:dyDescent="0.25">
      <c r="A1066">
        <v>80577</v>
      </c>
      <c r="B1066" t="s">
        <v>16125</v>
      </c>
      <c r="C1066" t="s">
        <v>15134</v>
      </c>
      <c r="D1066" t="s">
        <v>15135</v>
      </c>
      <c r="E1066">
        <v>103105008</v>
      </c>
      <c r="F1066" t="s">
        <v>15145</v>
      </c>
      <c r="G1066" t="b">
        <v>1</v>
      </c>
      <c r="H1066" t="s">
        <v>16126</v>
      </c>
    </row>
    <row r="1067" spans="1:8" hidden="1" x14ac:dyDescent="0.25">
      <c r="A1067">
        <v>80580</v>
      </c>
      <c r="B1067" t="s">
        <v>16129</v>
      </c>
      <c r="C1067" t="s">
        <v>15134</v>
      </c>
      <c r="D1067" t="s">
        <v>15135</v>
      </c>
      <c r="E1067">
        <v>103105011</v>
      </c>
      <c r="F1067" t="s">
        <v>15138</v>
      </c>
      <c r="G1067" t="b">
        <v>1</v>
      </c>
      <c r="H1067" t="s">
        <v>16130</v>
      </c>
    </row>
    <row r="1068" spans="1:8" hidden="1" x14ac:dyDescent="0.25">
      <c r="A1068">
        <v>80580</v>
      </c>
      <c r="B1068" t="s">
        <v>16129</v>
      </c>
      <c r="C1068" t="s">
        <v>15134</v>
      </c>
      <c r="D1068" t="s">
        <v>15135</v>
      </c>
      <c r="E1068">
        <v>103105011</v>
      </c>
      <c r="F1068" t="s">
        <v>15145</v>
      </c>
      <c r="G1068" t="b">
        <v>1</v>
      </c>
      <c r="H1068" t="s">
        <v>16130</v>
      </c>
    </row>
    <row r="1069" spans="1:8" hidden="1" x14ac:dyDescent="0.25">
      <c r="A1069">
        <v>80823</v>
      </c>
      <c r="B1069" t="s">
        <v>16213</v>
      </c>
      <c r="C1069" t="s">
        <v>15134</v>
      </c>
      <c r="D1069" t="s">
        <v>15135</v>
      </c>
      <c r="E1069">
        <v>103105012</v>
      </c>
      <c r="F1069" t="s">
        <v>15145</v>
      </c>
      <c r="G1069" t="b">
        <v>1</v>
      </c>
      <c r="H1069" t="s">
        <v>16214</v>
      </c>
    </row>
    <row r="1070" spans="1:8" hidden="1" x14ac:dyDescent="0.25">
      <c r="A1070">
        <v>80823</v>
      </c>
      <c r="B1070" t="s">
        <v>16213</v>
      </c>
      <c r="C1070" t="s">
        <v>15134</v>
      </c>
      <c r="D1070" t="s">
        <v>15135</v>
      </c>
      <c r="E1070">
        <v>103105012</v>
      </c>
      <c r="F1070" t="s">
        <v>15138</v>
      </c>
      <c r="G1070" t="b">
        <v>1</v>
      </c>
      <c r="H1070" t="s">
        <v>16214</v>
      </c>
    </row>
    <row r="1071" spans="1:8" hidden="1" x14ac:dyDescent="0.25">
      <c r="A1071">
        <v>80578</v>
      </c>
      <c r="B1071" t="s">
        <v>16127</v>
      </c>
      <c r="C1071" t="s">
        <v>15134</v>
      </c>
      <c r="D1071" t="s">
        <v>15135</v>
      </c>
      <c r="E1071">
        <v>103105009</v>
      </c>
      <c r="F1071" t="s">
        <v>15138</v>
      </c>
      <c r="G1071" t="b">
        <v>1</v>
      </c>
      <c r="H1071" t="s">
        <v>16128</v>
      </c>
    </row>
    <row r="1072" spans="1:8" hidden="1" x14ac:dyDescent="0.25">
      <c r="A1072">
        <v>80578</v>
      </c>
      <c r="B1072" t="s">
        <v>16127</v>
      </c>
      <c r="C1072" t="s">
        <v>15134</v>
      </c>
      <c r="D1072" t="s">
        <v>15135</v>
      </c>
      <c r="E1072">
        <v>103105009</v>
      </c>
      <c r="F1072" t="s">
        <v>15145</v>
      </c>
      <c r="G1072" t="b">
        <v>1</v>
      </c>
      <c r="H1072" t="s">
        <v>16128</v>
      </c>
    </row>
    <row r="1073" spans="1:8" hidden="1" x14ac:dyDescent="0.25">
      <c r="A1073">
        <v>90058</v>
      </c>
      <c r="B1073" t="s">
        <v>16516</v>
      </c>
      <c r="C1073" t="s">
        <v>15134</v>
      </c>
      <c r="D1073" t="s">
        <v>15135</v>
      </c>
      <c r="E1073">
        <v>103105017</v>
      </c>
      <c r="F1073" t="s">
        <v>15145</v>
      </c>
      <c r="G1073" t="b">
        <v>0</v>
      </c>
      <c r="H1073" t="s">
        <v>16517</v>
      </c>
    </row>
    <row r="1074" spans="1:8" hidden="1" x14ac:dyDescent="0.25">
      <c r="A1074">
        <v>90852</v>
      </c>
      <c r="B1074" t="s">
        <v>16702</v>
      </c>
      <c r="C1074" t="s">
        <v>15134</v>
      </c>
      <c r="D1074" t="s">
        <v>15135</v>
      </c>
      <c r="E1074">
        <v>103105020</v>
      </c>
      <c r="F1074" t="s">
        <v>15145</v>
      </c>
      <c r="G1074" t="b">
        <v>1</v>
      </c>
      <c r="H1074" t="s">
        <v>16126</v>
      </c>
    </row>
    <row r="1075" spans="1:8" hidden="1" x14ac:dyDescent="0.25">
      <c r="A1075">
        <v>92293</v>
      </c>
      <c r="B1075" t="s">
        <v>16845</v>
      </c>
      <c r="C1075" t="s">
        <v>15134</v>
      </c>
      <c r="D1075" t="s">
        <v>15135</v>
      </c>
      <c r="E1075">
        <v>103105026</v>
      </c>
      <c r="F1075" t="s">
        <v>15145</v>
      </c>
      <c r="G1075" t="b">
        <v>1</v>
      </c>
      <c r="H1075" t="s">
        <v>16130</v>
      </c>
    </row>
    <row r="1076" spans="1:8" hidden="1" x14ac:dyDescent="0.25">
      <c r="A1076">
        <v>89712</v>
      </c>
      <c r="B1076" t="s">
        <v>16433</v>
      </c>
      <c r="C1076" t="s">
        <v>15134</v>
      </c>
      <c r="D1076" t="s">
        <v>15135</v>
      </c>
      <c r="E1076">
        <v>103105014</v>
      </c>
      <c r="F1076" t="s">
        <v>15145</v>
      </c>
      <c r="G1076" t="b">
        <v>1</v>
      </c>
      <c r="H1076" t="s">
        <v>16128</v>
      </c>
    </row>
    <row r="1077" spans="1:8" hidden="1" x14ac:dyDescent="0.25">
      <c r="A1077">
        <v>89712</v>
      </c>
      <c r="B1077" t="s">
        <v>16433</v>
      </c>
      <c r="C1077" t="s">
        <v>15134</v>
      </c>
      <c r="D1077" t="s">
        <v>15135</v>
      </c>
      <c r="E1077">
        <v>103105014</v>
      </c>
      <c r="F1077" t="s">
        <v>15138</v>
      </c>
      <c r="G1077" t="b">
        <v>1</v>
      </c>
      <c r="H1077" t="s">
        <v>16128</v>
      </c>
    </row>
    <row r="1078" spans="1:8" hidden="1" x14ac:dyDescent="0.25">
      <c r="A1078">
        <v>90804</v>
      </c>
      <c r="B1078" t="s">
        <v>16689</v>
      </c>
      <c r="C1078" t="s">
        <v>15134</v>
      </c>
      <c r="D1078" t="s">
        <v>15135</v>
      </c>
      <c r="E1078">
        <v>103105019</v>
      </c>
      <c r="F1078" t="s">
        <v>15145</v>
      </c>
      <c r="G1078" t="b">
        <v>1</v>
      </c>
      <c r="H1078" t="s">
        <v>16690</v>
      </c>
    </row>
    <row r="1079" spans="1:8" hidden="1" x14ac:dyDescent="0.25">
      <c r="A1079">
        <v>92456</v>
      </c>
      <c r="B1079" t="s">
        <v>16869</v>
      </c>
      <c r="C1079" t="s">
        <v>15134</v>
      </c>
      <c r="D1079" t="s">
        <v>15135</v>
      </c>
      <c r="E1079">
        <v>103105023</v>
      </c>
    </row>
    <row r="1080" spans="1:8" hidden="1" x14ac:dyDescent="0.25">
      <c r="A1080">
        <v>89745</v>
      </c>
      <c r="B1080" t="s">
        <v>16450</v>
      </c>
      <c r="C1080" t="s">
        <v>15134</v>
      </c>
      <c r="D1080" t="s">
        <v>15135</v>
      </c>
      <c r="E1080">
        <v>103105015</v>
      </c>
      <c r="F1080" t="s">
        <v>15145</v>
      </c>
      <c r="G1080" t="b">
        <v>1</v>
      </c>
      <c r="H1080" t="s">
        <v>16451</v>
      </c>
    </row>
    <row r="1081" spans="1:8" hidden="1" x14ac:dyDescent="0.25">
      <c r="A1081">
        <v>89745</v>
      </c>
      <c r="B1081" t="s">
        <v>16450</v>
      </c>
      <c r="C1081" t="s">
        <v>15134</v>
      </c>
      <c r="D1081" t="s">
        <v>15135</v>
      </c>
      <c r="E1081">
        <v>103105015</v>
      </c>
      <c r="F1081" t="s">
        <v>15138</v>
      </c>
      <c r="G1081" t="b">
        <v>1</v>
      </c>
      <c r="H1081" t="s">
        <v>16451</v>
      </c>
    </row>
    <row r="1082" spans="1:8" hidden="1" x14ac:dyDescent="0.25">
      <c r="A1082">
        <v>92363</v>
      </c>
      <c r="B1082" t="s">
        <v>16860</v>
      </c>
      <c r="C1082" t="s">
        <v>15134</v>
      </c>
      <c r="D1082" t="s">
        <v>15135</v>
      </c>
      <c r="E1082">
        <v>103105027</v>
      </c>
    </row>
    <row r="1083" spans="1:8" hidden="1" x14ac:dyDescent="0.25">
      <c r="A1083">
        <v>92666</v>
      </c>
      <c r="B1083" t="s">
        <v>16884</v>
      </c>
      <c r="C1083" t="s">
        <v>15134</v>
      </c>
      <c r="D1083" t="s">
        <v>15135</v>
      </c>
      <c r="E1083">
        <v>103105028</v>
      </c>
    </row>
    <row r="1084" spans="1:8" hidden="1" x14ac:dyDescent="0.25">
      <c r="A1084">
        <v>90939</v>
      </c>
      <c r="B1084" t="s">
        <v>16734</v>
      </c>
      <c r="C1084" t="s">
        <v>15134</v>
      </c>
      <c r="D1084" t="s">
        <v>15135</v>
      </c>
      <c r="E1084">
        <v>103105022</v>
      </c>
      <c r="F1084" t="s">
        <v>15145</v>
      </c>
      <c r="G1084" t="b">
        <v>1</v>
      </c>
      <c r="H1084" t="s">
        <v>16735</v>
      </c>
    </row>
    <row r="1085" spans="1:8" hidden="1" x14ac:dyDescent="0.25">
      <c r="A1085">
        <v>90935</v>
      </c>
      <c r="B1085" t="s">
        <v>16726</v>
      </c>
      <c r="C1085" t="s">
        <v>15134</v>
      </c>
      <c r="D1085" t="s">
        <v>15135</v>
      </c>
      <c r="E1085">
        <v>103105021</v>
      </c>
      <c r="F1085" t="s">
        <v>15145</v>
      </c>
      <c r="G1085" t="b">
        <v>1</v>
      </c>
      <c r="H1085" t="s">
        <v>16727</v>
      </c>
    </row>
    <row r="1086" spans="1:8" hidden="1" x14ac:dyDescent="0.25">
      <c r="A1086">
        <v>10041</v>
      </c>
      <c r="B1086" t="s">
        <v>15792</v>
      </c>
      <c r="C1086" t="s">
        <v>15134</v>
      </c>
      <c r="D1086" t="s">
        <v>15135</v>
      </c>
      <c r="E1086">
        <v>103105001</v>
      </c>
    </row>
    <row r="1087" spans="1:8" hidden="1" x14ac:dyDescent="0.25">
      <c r="A1087">
        <v>10003</v>
      </c>
      <c r="B1087" t="s">
        <v>15776</v>
      </c>
      <c r="C1087" t="s">
        <v>15134</v>
      </c>
      <c r="D1087" t="s">
        <v>15135</v>
      </c>
      <c r="E1087">
        <v>103086001</v>
      </c>
    </row>
    <row r="1088" spans="1:8" hidden="1" x14ac:dyDescent="0.25">
      <c r="A1088">
        <v>10015</v>
      </c>
      <c r="B1088" t="s">
        <v>15781</v>
      </c>
      <c r="C1088" t="s">
        <v>15134</v>
      </c>
      <c r="D1088" t="s">
        <v>15135</v>
      </c>
      <c r="E1088">
        <v>103092001</v>
      </c>
    </row>
    <row r="1089" spans="1:8" hidden="1" x14ac:dyDescent="0.25">
      <c r="A1089">
        <v>10009</v>
      </c>
      <c r="B1089" t="s">
        <v>15779</v>
      </c>
      <c r="C1089" t="s">
        <v>15134</v>
      </c>
      <c r="D1089" t="s">
        <v>15135</v>
      </c>
      <c r="E1089">
        <v>103089001</v>
      </c>
    </row>
    <row r="1090" spans="1:8" hidden="1" x14ac:dyDescent="0.25">
      <c r="A1090">
        <v>10043</v>
      </c>
      <c r="B1090" t="s">
        <v>15779</v>
      </c>
      <c r="C1090" t="s">
        <v>15134</v>
      </c>
      <c r="D1090" t="s">
        <v>15135</v>
      </c>
      <c r="E1090">
        <v>103105003</v>
      </c>
    </row>
    <row r="1091" spans="1:8" hidden="1" x14ac:dyDescent="0.25">
      <c r="A1091">
        <v>10044</v>
      </c>
      <c r="B1091" t="s">
        <v>15793</v>
      </c>
      <c r="C1091" t="s">
        <v>15134</v>
      </c>
      <c r="D1091" t="s">
        <v>15135</v>
      </c>
      <c r="E1091">
        <v>103105004</v>
      </c>
    </row>
    <row r="1092" spans="1:8" hidden="1" x14ac:dyDescent="0.25">
      <c r="A1092">
        <v>78764</v>
      </c>
      <c r="B1092" t="s">
        <v>15887</v>
      </c>
      <c r="C1092" t="s">
        <v>15134</v>
      </c>
      <c r="D1092" t="s">
        <v>15135</v>
      </c>
      <c r="E1092">
        <v>103105007</v>
      </c>
    </row>
    <row r="1093" spans="1:8" hidden="1" x14ac:dyDescent="0.25">
      <c r="A1093">
        <v>80824</v>
      </c>
      <c r="B1093" t="s">
        <v>16215</v>
      </c>
      <c r="C1093" t="s">
        <v>15134</v>
      </c>
      <c r="D1093" t="s">
        <v>15135</v>
      </c>
      <c r="E1093">
        <v>103105013</v>
      </c>
      <c r="F1093" t="s">
        <v>15138</v>
      </c>
      <c r="G1093" t="b">
        <v>1</v>
      </c>
      <c r="H1093" t="s">
        <v>16216</v>
      </c>
    </row>
    <row r="1094" spans="1:8" hidden="1" x14ac:dyDescent="0.25">
      <c r="A1094">
        <v>91930</v>
      </c>
      <c r="B1094" t="s">
        <v>16827</v>
      </c>
      <c r="C1094" t="s">
        <v>15134</v>
      </c>
      <c r="D1094" t="s">
        <v>15135</v>
      </c>
      <c r="E1094">
        <v>73214033</v>
      </c>
      <c r="F1094" t="s">
        <v>15145</v>
      </c>
      <c r="G1094" t="b">
        <v>1</v>
      </c>
      <c r="H1094" t="s">
        <v>16828</v>
      </c>
    </row>
    <row r="1095" spans="1:8" hidden="1" x14ac:dyDescent="0.25">
      <c r="A1095">
        <v>10007</v>
      </c>
      <c r="B1095" t="s">
        <v>15778</v>
      </c>
      <c r="C1095" t="s">
        <v>15134</v>
      </c>
      <c r="D1095" t="s">
        <v>15135</v>
      </c>
      <c r="E1095">
        <v>103088001</v>
      </c>
    </row>
    <row r="1096" spans="1:8" hidden="1" x14ac:dyDescent="0.25">
      <c r="A1096">
        <v>10011</v>
      </c>
      <c r="B1096" t="s">
        <v>15778</v>
      </c>
      <c r="C1096" t="s">
        <v>15134</v>
      </c>
      <c r="D1096" t="s">
        <v>15135</v>
      </c>
      <c r="E1096">
        <v>103090001</v>
      </c>
    </row>
    <row r="1097" spans="1:8" hidden="1" x14ac:dyDescent="0.25">
      <c r="A1097">
        <v>91240</v>
      </c>
      <c r="B1097" t="s">
        <v>16758</v>
      </c>
      <c r="C1097" t="s">
        <v>15134</v>
      </c>
      <c r="D1097" t="s">
        <v>15135</v>
      </c>
      <c r="E1097">
        <v>73032000</v>
      </c>
      <c r="F1097" t="s">
        <v>15138</v>
      </c>
      <c r="G1097" t="b">
        <v>1</v>
      </c>
      <c r="H1097" t="s">
        <v>16759</v>
      </c>
    </row>
    <row r="1098" spans="1:8" hidden="1" x14ac:dyDescent="0.25">
      <c r="A1098">
        <v>91240</v>
      </c>
      <c r="B1098" t="s">
        <v>16758</v>
      </c>
      <c r="C1098" t="s">
        <v>15134</v>
      </c>
      <c r="D1098" t="s">
        <v>15135</v>
      </c>
      <c r="E1098">
        <v>73032000</v>
      </c>
      <c r="F1098" t="s">
        <v>15145</v>
      </c>
      <c r="G1098" t="b">
        <v>1</v>
      </c>
      <c r="H1098" t="s">
        <v>16759</v>
      </c>
    </row>
    <row r="1099" spans="1:8" hidden="1" x14ac:dyDescent="0.25">
      <c r="A1099">
        <v>91241</v>
      </c>
      <c r="B1099" t="s">
        <v>16758</v>
      </c>
      <c r="C1099" t="s">
        <v>15134</v>
      </c>
      <c r="D1099" t="s">
        <v>15135</v>
      </c>
      <c r="E1099">
        <v>73032001</v>
      </c>
      <c r="F1099" t="s">
        <v>15145</v>
      </c>
      <c r="G1099" t="b">
        <v>1</v>
      </c>
      <c r="H1099" t="s">
        <v>16759</v>
      </c>
    </row>
    <row r="1100" spans="1:8" hidden="1" x14ac:dyDescent="0.25">
      <c r="A1100">
        <v>91241</v>
      </c>
      <c r="B1100" t="s">
        <v>16758</v>
      </c>
      <c r="C1100" t="s">
        <v>15134</v>
      </c>
      <c r="D1100" t="s">
        <v>15135</v>
      </c>
      <c r="E1100">
        <v>73032001</v>
      </c>
      <c r="F1100" t="s">
        <v>15138</v>
      </c>
      <c r="G1100" t="b">
        <v>1</v>
      </c>
      <c r="H1100" t="s">
        <v>16759</v>
      </c>
    </row>
    <row r="1101" spans="1:8" hidden="1" x14ac:dyDescent="0.25">
      <c r="A1101">
        <v>1000403</v>
      </c>
      <c r="B1101" t="s">
        <v>17164</v>
      </c>
      <c r="C1101" t="s">
        <v>15134</v>
      </c>
      <c r="D1101" t="s">
        <v>15135</v>
      </c>
      <c r="E1101">
        <v>73105001</v>
      </c>
      <c r="F1101" t="s">
        <v>15138</v>
      </c>
      <c r="G1101" t="b">
        <v>1</v>
      </c>
      <c r="H1101" t="s">
        <v>17165</v>
      </c>
    </row>
    <row r="1102" spans="1:8" hidden="1" x14ac:dyDescent="0.25">
      <c r="A1102">
        <v>1000403</v>
      </c>
      <c r="B1102" t="s">
        <v>17164</v>
      </c>
      <c r="C1102" t="s">
        <v>15134</v>
      </c>
      <c r="D1102" t="s">
        <v>15135</v>
      </c>
      <c r="E1102">
        <v>73105001</v>
      </c>
      <c r="F1102" t="s">
        <v>15136</v>
      </c>
      <c r="G1102" t="b">
        <v>1</v>
      </c>
      <c r="H1102" t="s">
        <v>17165</v>
      </c>
    </row>
    <row r="1103" spans="1:8" hidden="1" x14ac:dyDescent="0.25">
      <c r="A1103">
        <v>10001</v>
      </c>
      <c r="B1103" t="s">
        <v>15775</v>
      </c>
      <c r="C1103" t="s">
        <v>15134</v>
      </c>
      <c r="D1103" t="s">
        <v>15135</v>
      </c>
      <c r="E1103">
        <v>103085001</v>
      </c>
    </row>
    <row r="1104" spans="1:8" hidden="1" x14ac:dyDescent="0.25">
      <c r="A1104">
        <v>10005</v>
      </c>
      <c r="B1104" t="s">
        <v>15777</v>
      </c>
      <c r="C1104" t="s">
        <v>15134</v>
      </c>
      <c r="D1104" t="s">
        <v>15135</v>
      </c>
      <c r="E1104">
        <v>103087001</v>
      </c>
    </row>
    <row r="1105" spans="1:8" hidden="1" x14ac:dyDescent="0.25">
      <c r="A1105">
        <v>9999</v>
      </c>
      <c r="B1105" t="s">
        <v>15774</v>
      </c>
      <c r="C1105" t="s">
        <v>15134</v>
      </c>
      <c r="D1105" t="s">
        <v>15135</v>
      </c>
      <c r="E1105">
        <v>103084001</v>
      </c>
    </row>
    <row r="1106" spans="1:8" hidden="1" x14ac:dyDescent="0.25">
      <c r="A1106">
        <v>9977</v>
      </c>
      <c r="B1106" t="s">
        <v>15763</v>
      </c>
      <c r="C1106" t="s">
        <v>15134</v>
      </c>
      <c r="D1106" t="s">
        <v>15135</v>
      </c>
      <c r="E1106">
        <v>103080001</v>
      </c>
    </row>
    <row r="1107" spans="1:8" hidden="1" x14ac:dyDescent="0.25">
      <c r="A1107">
        <v>9978</v>
      </c>
      <c r="B1107" t="s">
        <v>15763</v>
      </c>
      <c r="C1107" t="s">
        <v>15134</v>
      </c>
      <c r="D1107" t="s">
        <v>15135</v>
      </c>
      <c r="E1107">
        <v>103080002</v>
      </c>
    </row>
    <row r="1108" spans="1:8" hidden="1" x14ac:dyDescent="0.25">
      <c r="A1108">
        <v>9979</v>
      </c>
      <c r="B1108" t="s">
        <v>15763</v>
      </c>
      <c r="C1108" t="s">
        <v>15134</v>
      </c>
      <c r="D1108" t="s">
        <v>15135</v>
      </c>
      <c r="E1108">
        <v>103080003</v>
      </c>
    </row>
    <row r="1109" spans="1:8" hidden="1" x14ac:dyDescent="0.25">
      <c r="A1109">
        <v>9980</v>
      </c>
      <c r="B1109" t="s">
        <v>15763</v>
      </c>
      <c r="C1109" t="s">
        <v>15134</v>
      </c>
      <c r="D1109" t="s">
        <v>15135</v>
      </c>
      <c r="E1109">
        <v>103080004</v>
      </c>
    </row>
    <row r="1110" spans="1:8" hidden="1" x14ac:dyDescent="0.25">
      <c r="A1110">
        <v>9981</v>
      </c>
      <c r="B1110" t="s">
        <v>15763</v>
      </c>
      <c r="C1110" t="s">
        <v>15134</v>
      </c>
      <c r="D1110" t="s">
        <v>15135</v>
      </c>
      <c r="E1110">
        <v>103080005</v>
      </c>
    </row>
    <row r="1111" spans="1:8" hidden="1" x14ac:dyDescent="0.25">
      <c r="A1111">
        <v>9982</v>
      </c>
      <c r="B1111" t="s">
        <v>15763</v>
      </c>
      <c r="C1111" t="s">
        <v>15134</v>
      </c>
      <c r="D1111" t="s">
        <v>15135</v>
      </c>
      <c r="E1111">
        <v>103080006</v>
      </c>
    </row>
    <row r="1112" spans="1:8" hidden="1" x14ac:dyDescent="0.25">
      <c r="A1112">
        <v>9983</v>
      </c>
      <c r="B1112" t="s">
        <v>15763</v>
      </c>
      <c r="C1112" t="s">
        <v>15134</v>
      </c>
      <c r="D1112" t="s">
        <v>15135</v>
      </c>
      <c r="E1112">
        <v>103080007</v>
      </c>
    </row>
    <row r="1113" spans="1:8" hidden="1" x14ac:dyDescent="0.25">
      <c r="A1113">
        <v>9984</v>
      </c>
      <c r="B1113" t="s">
        <v>15763</v>
      </c>
      <c r="C1113" t="s">
        <v>15134</v>
      </c>
      <c r="D1113" t="s">
        <v>15135</v>
      </c>
      <c r="E1113">
        <v>103080008</v>
      </c>
    </row>
    <row r="1114" spans="1:8" hidden="1" x14ac:dyDescent="0.25">
      <c r="A1114">
        <v>9985</v>
      </c>
      <c r="B1114" t="s">
        <v>15763</v>
      </c>
      <c r="C1114" t="s">
        <v>15134</v>
      </c>
      <c r="D1114" t="s">
        <v>15135</v>
      </c>
      <c r="E1114">
        <v>103080009</v>
      </c>
    </row>
    <row r="1115" spans="1:8" hidden="1" x14ac:dyDescent="0.25">
      <c r="A1115">
        <v>10040</v>
      </c>
      <c r="B1115" t="s">
        <v>15790</v>
      </c>
      <c r="C1115" t="s">
        <v>15134</v>
      </c>
      <c r="D1115" t="s">
        <v>15135</v>
      </c>
      <c r="E1115">
        <v>103105000</v>
      </c>
      <c r="F1115" t="s">
        <v>15138</v>
      </c>
      <c r="G1115" t="b">
        <v>1</v>
      </c>
      <c r="H1115" t="s">
        <v>15791</v>
      </c>
    </row>
    <row r="1116" spans="1:8" hidden="1" x14ac:dyDescent="0.25">
      <c r="A1116">
        <v>10040</v>
      </c>
      <c r="B1116" t="s">
        <v>15790</v>
      </c>
      <c r="C1116" t="s">
        <v>15134</v>
      </c>
      <c r="D1116" t="s">
        <v>15135</v>
      </c>
      <c r="E1116">
        <v>103105000</v>
      </c>
      <c r="F1116" t="s">
        <v>15136</v>
      </c>
      <c r="G1116" t="b">
        <v>1</v>
      </c>
      <c r="H1116" t="s">
        <v>15791</v>
      </c>
    </row>
    <row r="1117" spans="1:8" hidden="1" x14ac:dyDescent="0.25">
      <c r="A1117">
        <v>80611</v>
      </c>
      <c r="B1117" t="s">
        <v>16139</v>
      </c>
      <c r="C1117" t="s">
        <v>15134</v>
      </c>
      <c r="D1117" t="s">
        <v>15135</v>
      </c>
      <c r="E1117">
        <v>73214005</v>
      </c>
      <c r="F1117" t="s">
        <v>15138</v>
      </c>
      <c r="G1117" t="b">
        <v>1</v>
      </c>
      <c r="H1117" t="s">
        <v>16140</v>
      </c>
    </row>
    <row r="1118" spans="1:8" hidden="1" x14ac:dyDescent="0.25">
      <c r="A1118">
        <v>80611</v>
      </c>
      <c r="B1118" t="s">
        <v>16139</v>
      </c>
      <c r="C1118" t="s">
        <v>15134</v>
      </c>
      <c r="D1118" t="s">
        <v>15135</v>
      </c>
      <c r="E1118">
        <v>73214005</v>
      </c>
      <c r="F1118" t="s">
        <v>15145</v>
      </c>
      <c r="G1118" t="b">
        <v>1</v>
      </c>
      <c r="H1118" t="s">
        <v>16140</v>
      </c>
    </row>
    <row r="1119" spans="1:8" hidden="1" x14ac:dyDescent="0.25">
      <c r="A1119">
        <v>91931</v>
      </c>
      <c r="B1119" t="s">
        <v>16829</v>
      </c>
      <c r="C1119" t="s">
        <v>15134</v>
      </c>
      <c r="D1119" t="s">
        <v>15135</v>
      </c>
      <c r="E1119">
        <v>103105024</v>
      </c>
      <c r="F1119" t="s">
        <v>15145</v>
      </c>
      <c r="G1119" t="b">
        <v>1</v>
      </c>
      <c r="H1119" t="s">
        <v>16830</v>
      </c>
    </row>
    <row r="1120" spans="1:8" hidden="1" x14ac:dyDescent="0.25">
      <c r="A1120">
        <v>91932</v>
      </c>
      <c r="B1120" t="s">
        <v>16831</v>
      </c>
      <c r="C1120" t="s">
        <v>15134</v>
      </c>
      <c r="D1120" t="s">
        <v>15135</v>
      </c>
      <c r="E1120">
        <v>103105025</v>
      </c>
      <c r="F1120" t="s">
        <v>15145</v>
      </c>
      <c r="G1120" t="b">
        <v>1</v>
      </c>
      <c r="H1120" t="s">
        <v>16832</v>
      </c>
    </row>
    <row r="1121" spans="1:8" hidden="1" x14ac:dyDescent="0.25">
      <c r="A1121">
        <v>9959</v>
      </c>
      <c r="B1121" t="s">
        <v>15750</v>
      </c>
      <c r="C1121" t="s">
        <v>15134</v>
      </c>
      <c r="D1121" t="s">
        <v>15135</v>
      </c>
      <c r="E1121">
        <v>103071001</v>
      </c>
    </row>
    <row r="1122" spans="1:8" hidden="1" x14ac:dyDescent="0.25">
      <c r="A1122">
        <v>87351</v>
      </c>
      <c r="B1122" t="s">
        <v>16345</v>
      </c>
      <c r="C1122" t="s">
        <v>15134</v>
      </c>
      <c r="D1122" t="s">
        <v>15135</v>
      </c>
      <c r="E1122">
        <v>73527000</v>
      </c>
      <c r="F1122" t="s">
        <v>15138</v>
      </c>
      <c r="G1122" t="b">
        <v>1</v>
      </c>
      <c r="H1122" t="s">
        <v>16346</v>
      </c>
    </row>
    <row r="1123" spans="1:8" hidden="1" x14ac:dyDescent="0.25">
      <c r="A1123">
        <v>87351</v>
      </c>
      <c r="B1123" t="s">
        <v>16345</v>
      </c>
      <c r="C1123" t="s">
        <v>15134</v>
      </c>
      <c r="D1123" t="s">
        <v>15135</v>
      </c>
      <c r="E1123">
        <v>73527000</v>
      </c>
      <c r="F1123" t="s">
        <v>15136</v>
      </c>
      <c r="G1123" t="b">
        <v>1</v>
      </c>
      <c r="H1123" t="s">
        <v>16347</v>
      </c>
    </row>
    <row r="1124" spans="1:8" hidden="1" x14ac:dyDescent="0.25">
      <c r="A1124">
        <v>87352</v>
      </c>
      <c r="B1124" t="s">
        <v>16345</v>
      </c>
      <c r="C1124" t="s">
        <v>15134</v>
      </c>
      <c r="D1124" t="s">
        <v>15135</v>
      </c>
      <c r="E1124">
        <v>73527001</v>
      </c>
      <c r="F1124" t="s">
        <v>15138</v>
      </c>
      <c r="G1124" t="b">
        <v>1</v>
      </c>
      <c r="H1124" t="s">
        <v>16347</v>
      </c>
    </row>
    <row r="1125" spans="1:8" hidden="1" x14ac:dyDescent="0.25">
      <c r="A1125">
        <v>87352</v>
      </c>
      <c r="B1125" t="s">
        <v>16345</v>
      </c>
      <c r="C1125" t="s">
        <v>15134</v>
      </c>
      <c r="D1125" t="s">
        <v>15135</v>
      </c>
      <c r="E1125">
        <v>73527001</v>
      </c>
      <c r="F1125" t="s">
        <v>15145</v>
      </c>
      <c r="G1125" t="b">
        <v>1</v>
      </c>
      <c r="H1125" t="s">
        <v>16346</v>
      </c>
    </row>
    <row r="1126" spans="1:8" hidden="1" x14ac:dyDescent="0.25">
      <c r="A1126">
        <v>1000326</v>
      </c>
      <c r="B1126" t="s">
        <v>17137</v>
      </c>
      <c r="C1126" t="s">
        <v>15134</v>
      </c>
      <c r="D1126" t="s">
        <v>15135</v>
      </c>
      <c r="E1126">
        <v>73360000</v>
      </c>
      <c r="F1126" t="s">
        <v>15136</v>
      </c>
      <c r="G1126" t="b">
        <v>1</v>
      </c>
      <c r="H1126" t="s">
        <v>17136</v>
      </c>
    </row>
    <row r="1127" spans="1:8" hidden="1" x14ac:dyDescent="0.25">
      <c r="A1127">
        <v>1000326</v>
      </c>
      <c r="B1127" t="s">
        <v>17137</v>
      </c>
      <c r="C1127" t="s">
        <v>15134</v>
      </c>
      <c r="D1127" t="s">
        <v>15135</v>
      </c>
      <c r="E1127">
        <v>73360000</v>
      </c>
      <c r="F1127" t="s">
        <v>15138</v>
      </c>
      <c r="G1127" t="b">
        <v>1</v>
      </c>
      <c r="H1127" t="s">
        <v>17136</v>
      </c>
    </row>
    <row r="1128" spans="1:8" hidden="1" x14ac:dyDescent="0.25">
      <c r="A1128">
        <v>90146</v>
      </c>
      <c r="B1128" t="s">
        <v>16567</v>
      </c>
      <c r="C1128" t="s">
        <v>15134</v>
      </c>
      <c r="D1128" t="s">
        <v>15135</v>
      </c>
      <c r="E1128">
        <v>73527002</v>
      </c>
      <c r="F1128" t="s">
        <v>15145</v>
      </c>
      <c r="G1128" t="b">
        <v>1</v>
      </c>
      <c r="H1128" t="s">
        <v>16568</v>
      </c>
    </row>
    <row r="1129" spans="1:8" hidden="1" x14ac:dyDescent="0.25">
      <c r="A1129">
        <v>90146</v>
      </c>
      <c r="B1129" t="s">
        <v>16567</v>
      </c>
      <c r="C1129" t="s">
        <v>15134</v>
      </c>
      <c r="D1129" t="s">
        <v>15135</v>
      </c>
      <c r="E1129">
        <v>73527002</v>
      </c>
      <c r="F1129" t="s">
        <v>15136</v>
      </c>
      <c r="G1129" t="b">
        <v>1</v>
      </c>
      <c r="H1129" t="s">
        <v>16568</v>
      </c>
    </row>
    <row r="1130" spans="1:8" hidden="1" x14ac:dyDescent="0.25">
      <c r="A1130">
        <v>90146</v>
      </c>
      <c r="B1130" t="s">
        <v>16567</v>
      </c>
      <c r="C1130" t="s">
        <v>15134</v>
      </c>
      <c r="D1130" t="s">
        <v>15135</v>
      </c>
      <c r="E1130">
        <v>73527002</v>
      </c>
      <c r="F1130" t="s">
        <v>15138</v>
      </c>
      <c r="G1130" t="b">
        <v>1</v>
      </c>
      <c r="H1130" t="s">
        <v>16569</v>
      </c>
    </row>
    <row r="1131" spans="1:8" hidden="1" x14ac:dyDescent="0.25">
      <c r="A1131">
        <v>92809</v>
      </c>
      <c r="B1131" t="s">
        <v>16937</v>
      </c>
      <c r="C1131" t="s">
        <v>15134</v>
      </c>
      <c r="D1131" t="s">
        <v>15135</v>
      </c>
      <c r="E1131">
        <v>72453000</v>
      </c>
      <c r="F1131" t="s">
        <v>15136</v>
      </c>
      <c r="G1131" t="b">
        <v>1</v>
      </c>
      <c r="H1131" t="s">
        <v>16938</v>
      </c>
    </row>
    <row r="1132" spans="1:8" hidden="1" x14ac:dyDescent="0.25">
      <c r="A1132">
        <v>92809</v>
      </c>
      <c r="B1132" t="s">
        <v>16937</v>
      </c>
      <c r="C1132" t="s">
        <v>15134</v>
      </c>
      <c r="D1132" t="s">
        <v>15135</v>
      </c>
      <c r="E1132">
        <v>72453000</v>
      </c>
      <c r="F1132" t="s">
        <v>15138</v>
      </c>
      <c r="G1132" t="b">
        <v>1</v>
      </c>
      <c r="H1132" t="s">
        <v>16938</v>
      </c>
    </row>
    <row r="1133" spans="1:8" hidden="1" x14ac:dyDescent="0.25">
      <c r="A1133">
        <v>92810</v>
      </c>
      <c r="B1133" t="s">
        <v>16937</v>
      </c>
      <c r="C1133" t="s">
        <v>15134</v>
      </c>
      <c r="D1133" t="s">
        <v>15135</v>
      </c>
      <c r="E1133">
        <v>72453001</v>
      </c>
      <c r="F1133" t="s">
        <v>15136</v>
      </c>
      <c r="G1133" t="b">
        <v>1</v>
      </c>
      <c r="H1133" t="s">
        <v>16938</v>
      </c>
    </row>
    <row r="1134" spans="1:8" hidden="1" x14ac:dyDescent="0.25">
      <c r="A1134">
        <v>92810</v>
      </c>
      <c r="B1134" t="s">
        <v>16937</v>
      </c>
      <c r="C1134" t="s">
        <v>15134</v>
      </c>
      <c r="D1134" t="s">
        <v>15135</v>
      </c>
      <c r="E1134">
        <v>72453001</v>
      </c>
      <c r="F1134" t="s">
        <v>15138</v>
      </c>
      <c r="G1134" t="b">
        <v>1</v>
      </c>
      <c r="H1134" t="s">
        <v>16938</v>
      </c>
    </row>
    <row r="1135" spans="1:8" hidden="1" x14ac:dyDescent="0.25">
      <c r="A1135">
        <v>80507</v>
      </c>
      <c r="B1135" t="s">
        <v>16079</v>
      </c>
      <c r="C1135" t="s">
        <v>15134</v>
      </c>
      <c r="D1135" t="s">
        <v>15135</v>
      </c>
      <c r="E1135">
        <v>32210005</v>
      </c>
      <c r="F1135" t="s">
        <v>15145</v>
      </c>
      <c r="G1135" t="b">
        <v>1</v>
      </c>
      <c r="H1135" t="s">
        <v>16080</v>
      </c>
    </row>
    <row r="1136" spans="1:8" hidden="1" x14ac:dyDescent="0.25">
      <c r="A1136">
        <v>80507</v>
      </c>
      <c r="B1136" t="s">
        <v>16079</v>
      </c>
      <c r="C1136" t="s">
        <v>15134</v>
      </c>
      <c r="D1136" t="s">
        <v>15135</v>
      </c>
      <c r="E1136">
        <v>32210005</v>
      </c>
      <c r="F1136" t="s">
        <v>15138</v>
      </c>
      <c r="G1136" t="b">
        <v>1</v>
      </c>
      <c r="H1136" t="s">
        <v>15960</v>
      </c>
    </row>
    <row r="1137" spans="1:8" hidden="1" x14ac:dyDescent="0.25">
      <c r="A1137">
        <v>8501</v>
      </c>
      <c r="B1137" t="s">
        <v>15155</v>
      </c>
      <c r="C1137" t="s">
        <v>15134</v>
      </c>
      <c r="D1137" t="s">
        <v>15135</v>
      </c>
      <c r="E1137">
        <v>23005001</v>
      </c>
    </row>
    <row r="1138" spans="1:8" hidden="1" x14ac:dyDescent="0.25">
      <c r="A1138">
        <v>9171</v>
      </c>
      <c r="B1138" t="s">
        <v>15389</v>
      </c>
      <c r="C1138" t="s">
        <v>15134</v>
      </c>
      <c r="D1138" t="s">
        <v>15135</v>
      </c>
      <c r="E1138">
        <v>73114000</v>
      </c>
      <c r="F1138" t="s">
        <v>15138</v>
      </c>
      <c r="G1138" t="b">
        <v>1</v>
      </c>
      <c r="H1138" t="s">
        <v>15390</v>
      </c>
    </row>
    <row r="1139" spans="1:8" hidden="1" x14ac:dyDescent="0.25">
      <c r="A1139">
        <v>9171</v>
      </c>
      <c r="B1139" t="s">
        <v>15389</v>
      </c>
      <c r="C1139" t="s">
        <v>15134</v>
      </c>
      <c r="D1139" t="s">
        <v>15135</v>
      </c>
      <c r="E1139">
        <v>73114000</v>
      </c>
      <c r="F1139" t="s">
        <v>15136</v>
      </c>
      <c r="G1139" t="b">
        <v>1</v>
      </c>
      <c r="H1139" t="s">
        <v>15390</v>
      </c>
    </row>
    <row r="1140" spans="1:8" hidden="1" x14ac:dyDescent="0.25">
      <c r="A1140">
        <v>9172</v>
      </c>
      <c r="B1140" t="s">
        <v>15391</v>
      </c>
      <c r="C1140" t="s">
        <v>15134</v>
      </c>
      <c r="D1140" t="s">
        <v>15135</v>
      </c>
      <c r="E1140">
        <v>73114001</v>
      </c>
    </row>
    <row r="1141" spans="1:8" hidden="1" x14ac:dyDescent="0.25">
      <c r="A1141">
        <v>80836</v>
      </c>
      <c r="B1141" t="s">
        <v>16221</v>
      </c>
      <c r="C1141" t="s">
        <v>15134</v>
      </c>
      <c r="D1141" t="s">
        <v>15135</v>
      </c>
      <c r="E1141">
        <v>103121001</v>
      </c>
      <c r="F1141" t="s">
        <v>15138</v>
      </c>
      <c r="G1141" t="b">
        <v>1</v>
      </c>
      <c r="H1141" t="s">
        <v>16220</v>
      </c>
    </row>
    <row r="1142" spans="1:8" hidden="1" x14ac:dyDescent="0.25">
      <c r="A1142">
        <v>80836</v>
      </c>
      <c r="B1142" t="s">
        <v>16221</v>
      </c>
      <c r="C1142" t="s">
        <v>15134</v>
      </c>
      <c r="D1142" t="s">
        <v>15135</v>
      </c>
      <c r="E1142">
        <v>103121001</v>
      </c>
      <c r="F1142" t="s">
        <v>15145</v>
      </c>
      <c r="G1142" t="b">
        <v>1</v>
      </c>
      <c r="H1142" t="s">
        <v>16220</v>
      </c>
    </row>
    <row r="1143" spans="1:8" hidden="1" x14ac:dyDescent="0.25">
      <c r="A1143">
        <v>89735</v>
      </c>
      <c r="B1143" t="s">
        <v>16445</v>
      </c>
      <c r="C1143" t="s">
        <v>15134</v>
      </c>
      <c r="D1143" t="s">
        <v>15135</v>
      </c>
      <c r="E1143">
        <v>103121004</v>
      </c>
      <c r="F1143" t="s">
        <v>15145</v>
      </c>
      <c r="G1143" t="b">
        <v>1</v>
      </c>
      <c r="H1143" t="s">
        <v>16223</v>
      </c>
    </row>
    <row r="1144" spans="1:8" hidden="1" x14ac:dyDescent="0.25">
      <c r="A1144">
        <v>80835</v>
      </c>
      <c r="B1144" t="s">
        <v>16219</v>
      </c>
      <c r="C1144" t="s">
        <v>15134</v>
      </c>
      <c r="D1144" t="s">
        <v>15135</v>
      </c>
      <c r="E1144">
        <v>103121000</v>
      </c>
      <c r="F1144" t="s">
        <v>15138</v>
      </c>
      <c r="G1144" t="b">
        <v>1</v>
      </c>
      <c r="H1144" t="s">
        <v>16220</v>
      </c>
    </row>
    <row r="1145" spans="1:8" hidden="1" x14ac:dyDescent="0.25">
      <c r="A1145">
        <v>80835</v>
      </c>
      <c r="B1145" t="s">
        <v>16219</v>
      </c>
      <c r="C1145" t="s">
        <v>15134</v>
      </c>
      <c r="D1145" t="s">
        <v>15135</v>
      </c>
      <c r="E1145">
        <v>103121000</v>
      </c>
      <c r="F1145" t="s">
        <v>15136</v>
      </c>
      <c r="G1145" t="b">
        <v>1</v>
      </c>
      <c r="H1145" t="s">
        <v>16220</v>
      </c>
    </row>
    <row r="1146" spans="1:8" hidden="1" x14ac:dyDescent="0.25">
      <c r="A1146">
        <v>80837</v>
      </c>
      <c r="B1146" t="s">
        <v>16222</v>
      </c>
      <c r="C1146" t="s">
        <v>15134</v>
      </c>
      <c r="D1146" t="s">
        <v>15135</v>
      </c>
      <c r="E1146">
        <v>103121002</v>
      </c>
      <c r="F1146" t="s">
        <v>15145</v>
      </c>
      <c r="G1146" t="b">
        <v>1</v>
      </c>
      <c r="H1146" t="s">
        <v>16223</v>
      </c>
    </row>
    <row r="1147" spans="1:8" hidden="1" x14ac:dyDescent="0.25">
      <c r="A1147">
        <v>80838</v>
      </c>
      <c r="B1147" t="s">
        <v>16224</v>
      </c>
      <c r="C1147" t="s">
        <v>15134</v>
      </c>
      <c r="D1147" t="s">
        <v>15135</v>
      </c>
      <c r="E1147">
        <v>103121003</v>
      </c>
      <c r="F1147" t="s">
        <v>15145</v>
      </c>
      <c r="G1147" t="b">
        <v>1</v>
      </c>
      <c r="H1147" t="s">
        <v>16225</v>
      </c>
    </row>
    <row r="1148" spans="1:8" hidden="1" x14ac:dyDescent="0.25">
      <c r="A1148">
        <v>80838</v>
      </c>
      <c r="B1148" t="s">
        <v>16224</v>
      </c>
      <c r="C1148" t="s">
        <v>15134</v>
      </c>
      <c r="D1148" t="s">
        <v>15135</v>
      </c>
      <c r="E1148">
        <v>103121003</v>
      </c>
      <c r="F1148" t="s">
        <v>15138</v>
      </c>
      <c r="G1148" t="b">
        <v>1</v>
      </c>
      <c r="H1148" t="s">
        <v>16220</v>
      </c>
    </row>
    <row r="1149" spans="1:8" hidden="1" x14ac:dyDescent="0.25">
      <c r="A1149">
        <v>7921</v>
      </c>
      <c r="B1149" t="s">
        <v>15133</v>
      </c>
      <c r="C1149" t="s">
        <v>15134</v>
      </c>
      <c r="D1149" t="s">
        <v>15135</v>
      </c>
      <c r="E1149">
        <v>102139000</v>
      </c>
      <c r="F1149" t="s">
        <v>15136</v>
      </c>
      <c r="G1149" t="b">
        <v>1</v>
      </c>
      <c r="H1149" t="s">
        <v>15137</v>
      </c>
    </row>
    <row r="1150" spans="1:8" hidden="1" x14ac:dyDescent="0.25">
      <c r="A1150">
        <v>7921</v>
      </c>
      <c r="B1150" t="s">
        <v>15133</v>
      </c>
      <c r="C1150" t="s">
        <v>15134</v>
      </c>
      <c r="D1150" t="s">
        <v>15135</v>
      </c>
      <c r="E1150">
        <v>102139000</v>
      </c>
      <c r="F1150" t="s">
        <v>15138</v>
      </c>
      <c r="G1150" t="b">
        <v>1</v>
      </c>
      <c r="H1150" t="s">
        <v>15139</v>
      </c>
    </row>
    <row r="1151" spans="1:8" hidden="1" x14ac:dyDescent="0.25">
      <c r="A1151">
        <v>7922</v>
      </c>
      <c r="B1151" t="s">
        <v>15133</v>
      </c>
      <c r="C1151" t="s">
        <v>15134</v>
      </c>
      <c r="D1151" t="s">
        <v>15135</v>
      </c>
      <c r="E1151">
        <v>102139001</v>
      </c>
      <c r="F1151" t="s">
        <v>15138</v>
      </c>
      <c r="G1151" t="b">
        <v>1</v>
      </c>
      <c r="H1151" t="s">
        <v>15139</v>
      </c>
    </row>
    <row r="1152" spans="1:8" hidden="1" x14ac:dyDescent="0.25">
      <c r="A1152">
        <v>7922</v>
      </c>
      <c r="B1152" t="s">
        <v>15133</v>
      </c>
      <c r="C1152" t="s">
        <v>15134</v>
      </c>
      <c r="D1152" t="s">
        <v>15135</v>
      </c>
      <c r="E1152">
        <v>102139001</v>
      </c>
      <c r="F1152" t="s">
        <v>15136</v>
      </c>
      <c r="G1152" t="b">
        <v>1</v>
      </c>
      <c r="H1152" t="s">
        <v>15139</v>
      </c>
    </row>
    <row r="1153" spans="1:8" hidden="1" x14ac:dyDescent="0.25">
      <c r="A1153">
        <v>86676</v>
      </c>
      <c r="B1153" t="s">
        <v>16319</v>
      </c>
      <c r="C1153" t="s">
        <v>15134</v>
      </c>
      <c r="D1153" t="s">
        <v>15135</v>
      </c>
      <c r="E1153">
        <v>73518000</v>
      </c>
      <c r="F1153" t="s">
        <v>15145</v>
      </c>
      <c r="G1153" t="b">
        <v>1</v>
      </c>
      <c r="H1153" t="s">
        <v>16320</v>
      </c>
    </row>
    <row r="1154" spans="1:8" hidden="1" x14ac:dyDescent="0.25">
      <c r="A1154">
        <v>86676</v>
      </c>
      <c r="B1154" t="s">
        <v>16319</v>
      </c>
      <c r="C1154" t="s">
        <v>15134</v>
      </c>
      <c r="D1154" t="s">
        <v>15135</v>
      </c>
      <c r="E1154">
        <v>73518000</v>
      </c>
      <c r="F1154" t="s">
        <v>15138</v>
      </c>
      <c r="G1154" t="b">
        <v>0</v>
      </c>
      <c r="H1154" t="s">
        <v>16321</v>
      </c>
    </row>
    <row r="1155" spans="1:8" hidden="1" x14ac:dyDescent="0.25">
      <c r="A1155">
        <v>86677</v>
      </c>
      <c r="B1155" t="s">
        <v>16319</v>
      </c>
      <c r="C1155" t="s">
        <v>15134</v>
      </c>
      <c r="D1155" t="s">
        <v>15135</v>
      </c>
      <c r="E1155">
        <v>73518001</v>
      </c>
      <c r="F1155" t="s">
        <v>15145</v>
      </c>
      <c r="G1155" t="b">
        <v>1</v>
      </c>
      <c r="H1155" t="s">
        <v>16320</v>
      </c>
    </row>
    <row r="1156" spans="1:8" hidden="1" x14ac:dyDescent="0.25">
      <c r="A1156">
        <v>86677</v>
      </c>
      <c r="B1156" t="s">
        <v>16319</v>
      </c>
      <c r="C1156" t="s">
        <v>15134</v>
      </c>
      <c r="D1156" t="s">
        <v>15135</v>
      </c>
      <c r="E1156">
        <v>73518001</v>
      </c>
      <c r="F1156" t="s">
        <v>15138</v>
      </c>
      <c r="G1156" t="b">
        <v>0</v>
      </c>
      <c r="H1156" t="s">
        <v>16321</v>
      </c>
    </row>
    <row r="1157" spans="1:8" hidden="1" x14ac:dyDescent="0.25">
      <c r="A1157">
        <v>92701</v>
      </c>
      <c r="B1157" t="s">
        <v>16903</v>
      </c>
      <c r="C1157" t="s">
        <v>15134</v>
      </c>
      <c r="D1157" t="s">
        <v>15135</v>
      </c>
      <c r="E1157">
        <v>73315001</v>
      </c>
      <c r="F1157" t="s">
        <v>15138</v>
      </c>
      <c r="G1157" t="b">
        <v>1</v>
      </c>
      <c r="H1157" t="s">
        <v>16902</v>
      </c>
    </row>
    <row r="1158" spans="1:8" hidden="1" x14ac:dyDescent="0.25">
      <c r="A1158">
        <v>92700</v>
      </c>
      <c r="B1158" t="s">
        <v>16901</v>
      </c>
      <c r="C1158" t="s">
        <v>15134</v>
      </c>
      <c r="D1158" t="s">
        <v>15135</v>
      </c>
      <c r="E1158">
        <v>73315000</v>
      </c>
      <c r="F1158" t="s">
        <v>15138</v>
      </c>
      <c r="G1158" t="b">
        <v>1</v>
      </c>
      <c r="H1158" t="s">
        <v>16902</v>
      </c>
    </row>
    <row r="1159" spans="1:8" hidden="1" x14ac:dyDescent="0.25">
      <c r="A1159">
        <v>92700</v>
      </c>
      <c r="B1159" t="s">
        <v>16901</v>
      </c>
      <c r="C1159" t="s">
        <v>15134</v>
      </c>
      <c r="D1159" t="s">
        <v>15135</v>
      </c>
      <c r="E1159">
        <v>73315000</v>
      </c>
      <c r="F1159" t="s">
        <v>15136</v>
      </c>
      <c r="G1159" t="b">
        <v>1</v>
      </c>
      <c r="H1159" t="s">
        <v>16902</v>
      </c>
    </row>
    <row r="1160" spans="1:8" hidden="1" x14ac:dyDescent="0.25">
      <c r="A1160">
        <v>91880</v>
      </c>
      <c r="B1160" t="s">
        <v>16808</v>
      </c>
      <c r="C1160" t="s">
        <v>15134</v>
      </c>
      <c r="D1160" t="s">
        <v>15135</v>
      </c>
      <c r="E1160">
        <v>72449000</v>
      </c>
      <c r="F1160" t="s">
        <v>15145</v>
      </c>
      <c r="G1160" t="b">
        <v>1</v>
      </c>
      <c r="H1160" t="s">
        <v>16809</v>
      </c>
    </row>
    <row r="1161" spans="1:8" hidden="1" x14ac:dyDescent="0.25">
      <c r="A1161">
        <v>91880</v>
      </c>
      <c r="B1161" t="s">
        <v>16808</v>
      </c>
      <c r="C1161" t="s">
        <v>15134</v>
      </c>
      <c r="D1161" t="s">
        <v>15135</v>
      </c>
      <c r="E1161">
        <v>72449000</v>
      </c>
      <c r="F1161" t="s">
        <v>15138</v>
      </c>
      <c r="G1161" t="b">
        <v>1</v>
      </c>
      <c r="H1161" t="s">
        <v>16810</v>
      </c>
    </row>
    <row r="1162" spans="1:8" hidden="1" x14ac:dyDescent="0.25">
      <c r="A1162">
        <v>80501</v>
      </c>
      <c r="B1162" t="s">
        <v>16072</v>
      </c>
      <c r="C1162" t="s">
        <v>15134</v>
      </c>
      <c r="D1162" t="s">
        <v>15135</v>
      </c>
      <c r="E1162">
        <v>103114005</v>
      </c>
      <c r="F1162" t="s">
        <v>15145</v>
      </c>
      <c r="G1162" t="b">
        <v>1</v>
      </c>
      <c r="H1162" t="s">
        <v>16073</v>
      </c>
    </row>
    <row r="1163" spans="1:8" hidden="1" x14ac:dyDescent="0.25">
      <c r="A1163">
        <v>80501</v>
      </c>
      <c r="B1163" t="s">
        <v>16072</v>
      </c>
      <c r="C1163" t="s">
        <v>15134</v>
      </c>
      <c r="D1163" t="s">
        <v>15135</v>
      </c>
      <c r="E1163">
        <v>103114005</v>
      </c>
      <c r="F1163" t="s">
        <v>15138</v>
      </c>
      <c r="G1163" t="b">
        <v>0</v>
      </c>
      <c r="H1163" t="s">
        <v>16069</v>
      </c>
    </row>
    <row r="1164" spans="1:8" hidden="1" x14ac:dyDescent="0.25">
      <c r="A1164">
        <v>80502</v>
      </c>
      <c r="B1164" t="s">
        <v>16074</v>
      </c>
      <c r="C1164" t="s">
        <v>15134</v>
      </c>
      <c r="D1164" t="s">
        <v>15135</v>
      </c>
      <c r="E1164">
        <v>103114006</v>
      </c>
      <c r="F1164" t="s">
        <v>15145</v>
      </c>
      <c r="G1164" t="b">
        <v>1</v>
      </c>
      <c r="H1164" t="s">
        <v>16075</v>
      </c>
    </row>
    <row r="1165" spans="1:8" hidden="1" x14ac:dyDescent="0.25">
      <c r="A1165">
        <v>80502</v>
      </c>
      <c r="B1165" t="s">
        <v>16074</v>
      </c>
      <c r="C1165" t="s">
        <v>15134</v>
      </c>
      <c r="D1165" t="s">
        <v>15135</v>
      </c>
      <c r="E1165">
        <v>103114006</v>
      </c>
      <c r="F1165" t="s">
        <v>15138</v>
      </c>
      <c r="G1165" t="b">
        <v>0</v>
      </c>
      <c r="H1165" t="s">
        <v>16069</v>
      </c>
    </row>
    <row r="1166" spans="1:8" hidden="1" x14ac:dyDescent="0.25">
      <c r="A1166">
        <v>80503</v>
      </c>
      <c r="B1166" t="s">
        <v>16076</v>
      </c>
      <c r="C1166" t="s">
        <v>15134</v>
      </c>
      <c r="D1166" t="s">
        <v>15135</v>
      </c>
      <c r="E1166">
        <v>103114007</v>
      </c>
      <c r="F1166" t="s">
        <v>15145</v>
      </c>
      <c r="G1166" t="b">
        <v>1</v>
      </c>
      <c r="H1166" t="s">
        <v>16077</v>
      </c>
    </row>
    <row r="1167" spans="1:8" hidden="1" x14ac:dyDescent="0.25">
      <c r="A1167">
        <v>80503</v>
      </c>
      <c r="B1167" t="s">
        <v>16076</v>
      </c>
      <c r="C1167" t="s">
        <v>15134</v>
      </c>
      <c r="D1167" t="s">
        <v>15135</v>
      </c>
      <c r="E1167">
        <v>103114007</v>
      </c>
      <c r="F1167" t="s">
        <v>15138</v>
      </c>
      <c r="G1167" t="b">
        <v>0</v>
      </c>
      <c r="H1167" t="s">
        <v>16069</v>
      </c>
    </row>
    <row r="1168" spans="1:8" hidden="1" x14ac:dyDescent="0.25">
      <c r="A1168">
        <v>80496</v>
      </c>
      <c r="B1168" t="s">
        <v>16060</v>
      </c>
      <c r="C1168" t="s">
        <v>15134</v>
      </c>
      <c r="D1168" t="s">
        <v>15135</v>
      </c>
      <c r="E1168">
        <v>103114000</v>
      </c>
      <c r="F1168" t="s">
        <v>15136</v>
      </c>
      <c r="G1168" t="b">
        <v>1</v>
      </c>
      <c r="H1168" t="s">
        <v>16061</v>
      </c>
    </row>
    <row r="1169" spans="1:8" hidden="1" x14ac:dyDescent="0.25">
      <c r="A1169">
        <v>80496</v>
      </c>
      <c r="B1169" t="s">
        <v>16060</v>
      </c>
      <c r="C1169" t="s">
        <v>15134</v>
      </c>
      <c r="D1169" t="s">
        <v>15135</v>
      </c>
      <c r="E1169">
        <v>103114000</v>
      </c>
      <c r="F1169" t="s">
        <v>15138</v>
      </c>
      <c r="G1169" t="b">
        <v>1</v>
      </c>
      <c r="H1169" t="s">
        <v>16062</v>
      </c>
    </row>
    <row r="1170" spans="1:8" hidden="1" x14ac:dyDescent="0.25">
      <c r="A1170">
        <v>80866</v>
      </c>
      <c r="B1170" t="s">
        <v>16231</v>
      </c>
      <c r="C1170" t="s">
        <v>15134</v>
      </c>
      <c r="D1170" t="s">
        <v>15135</v>
      </c>
      <c r="E1170">
        <v>142503001</v>
      </c>
      <c r="F1170" t="s">
        <v>15136</v>
      </c>
      <c r="G1170" t="b">
        <v>1</v>
      </c>
      <c r="H1170" t="s">
        <v>16232</v>
      </c>
    </row>
    <row r="1171" spans="1:8" hidden="1" x14ac:dyDescent="0.25">
      <c r="A1171">
        <v>80866</v>
      </c>
      <c r="B1171" t="s">
        <v>16231</v>
      </c>
      <c r="C1171" t="s">
        <v>15134</v>
      </c>
      <c r="D1171" t="s">
        <v>15135</v>
      </c>
      <c r="E1171">
        <v>142503001</v>
      </c>
      <c r="F1171" t="s">
        <v>15138</v>
      </c>
      <c r="G1171" t="b">
        <v>1</v>
      </c>
      <c r="H1171" t="s">
        <v>16232</v>
      </c>
    </row>
    <row r="1172" spans="1:8" hidden="1" x14ac:dyDescent="0.25">
      <c r="A1172">
        <v>8978</v>
      </c>
      <c r="B1172" t="s">
        <v>15295</v>
      </c>
      <c r="C1172" t="s">
        <v>15134</v>
      </c>
      <c r="D1172" t="s">
        <v>15135</v>
      </c>
      <c r="E1172">
        <v>73002001</v>
      </c>
    </row>
    <row r="1173" spans="1:8" hidden="1" x14ac:dyDescent="0.25">
      <c r="A1173">
        <v>89875</v>
      </c>
      <c r="B1173" t="s">
        <v>16472</v>
      </c>
      <c r="C1173" t="s">
        <v>15134</v>
      </c>
      <c r="D1173" t="s">
        <v>15135</v>
      </c>
      <c r="E1173">
        <v>103205000</v>
      </c>
      <c r="F1173" t="s">
        <v>15136</v>
      </c>
      <c r="G1173" t="b">
        <v>1</v>
      </c>
      <c r="H1173" t="s">
        <v>16473</v>
      </c>
    </row>
    <row r="1174" spans="1:8" hidden="1" x14ac:dyDescent="0.25">
      <c r="A1174">
        <v>89875</v>
      </c>
      <c r="B1174" t="s">
        <v>16472</v>
      </c>
      <c r="C1174" t="s">
        <v>15134</v>
      </c>
      <c r="D1174" t="s">
        <v>15135</v>
      </c>
      <c r="E1174">
        <v>103205000</v>
      </c>
      <c r="F1174" t="s">
        <v>15138</v>
      </c>
      <c r="G1174" t="b">
        <v>1</v>
      </c>
      <c r="H1174" t="s">
        <v>16474</v>
      </c>
    </row>
    <row r="1175" spans="1:8" hidden="1" x14ac:dyDescent="0.25">
      <c r="A1175">
        <v>89876</v>
      </c>
      <c r="B1175" t="s">
        <v>16472</v>
      </c>
      <c r="C1175" t="s">
        <v>15134</v>
      </c>
      <c r="D1175" t="s">
        <v>15135</v>
      </c>
      <c r="E1175">
        <v>103205001</v>
      </c>
      <c r="F1175" t="s">
        <v>15145</v>
      </c>
      <c r="G1175" t="b">
        <v>1</v>
      </c>
      <c r="H1175" t="s">
        <v>16474</v>
      </c>
    </row>
    <row r="1176" spans="1:8" hidden="1" x14ac:dyDescent="0.25">
      <c r="A1176">
        <v>969135</v>
      </c>
      <c r="B1176" t="s">
        <v>17033</v>
      </c>
      <c r="C1176" t="s">
        <v>15134</v>
      </c>
      <c r="D1176" t="s">
        <v>15135</v>
      </c>
      <c r="E1176">
        <v>73338000</v>
      </c>
      <c r="F1176" t="s">
        <v>15136</v>
      </c>
      <c r="G1176" t="b">
        <v>1</v>
      </c>
      <c r="H1176" t="s">
        <v>17034</v>
      </c>
    </row>
    <row r="1177" spans="1:8" hidden="1" x14ac:dyDescent="0.25">
      <c r="A1177">
        <v>79916</v>
      </c>
      <c r="B1177" t="s">
        <v>16029</v>
      </c>
      <c r="C1177" t="s">
        <v>15134</v>
      </c>
      <c r="D1177" t="s">
        <v>15135</v>
      </c>
      <c r="E1177">
        <v>103118000</v>
      </c>
      <c r="F1177" t="s">
        <v>15138</v>
      </c>
      <c r="G1177" t="b">
        <v>1</v>
      </c>
      <c r="H1177" t="s">
        <v>16030</v>
      </c>
    </row>
    <row r="1178" spans="1:8" hidden="1" x14ac:dyDescent="0.25">
      <c r="A1178">
        <v>79916</v>
      </c>
      <c r="B1178" t="s">
        <v>16029</v>
      </c>
      <c r="C1178" t="s">
        <v>15134</v>
      </c>
      <c r="D1178" t="s">
        <v>15135</v>
      </c>
      <c r="E1178">
        <v>103118000</v>
      </c>
      <c r="F1178" t="s">
        <v>15145</v>
      </c>
      <c r="G1178" t="b">
        <v>1</v>
      </c>
      <c r="H1178" t="s">
        <v>16031</v>
      </c>
    </row>
    <row r="1179" spans="1:8" hidden="1" x14ac:dyDescent="0.25">
      <c r="A1179">
        <v>79917</v>
      </c>
      <c r="B1179" t="s">
        <v>16032</v>
      </c>
      <c r="C1179" t="s">
        <v>15134</v>
      </c>
      <c r="D1179" t="s">
        <v>15135</v>
      </c>
      <c r="E1179">
        <v>103118001</v>
      </c>
      <c r="F1179" t="s">
        <v>15138</v>
      </c>
      <c r="G1179" t="b">
        <v>1</v>
      </c>
      <c r="H1179" t="s">
        <v>16030</v>
      </c>
    </row>
    <row r="1180" spans="1:8" hidden="1" x14ac:dyDescent="0.25">
      <c r="A1180">
        <v>79917</v>
      </c>
      <c r="B1180" t="s">
        <v>16032</v>
      </c>
      <c r="C1180" t="s">
        <v>15134</v>
      </c>
      <c r="D1180" t="s">
        <v>15135</v>
      </c>
      <c r="E1180">
        <v>103118001</v>
      </c>
      <c r="F1180" t="s">
        <v>15145</v>
      </c>
      <c r="G1180" t="b">
        <v>1</v>
      </c>
      <c r="H1180" t="s">
        <v>16031</v>
      </c>
    </row>
    <row r="1181" spans="1:8" hidden="1" x14ac:dyDescent="0.25">
      <c r="A1181">
        <v>9933</v>
      </c>
      <c r="B1181" t="s">
        <v>15735</v>
      </c>
      <c r="C1181" t="s">
        <v>15134</v>
      </c>
      <c r="D1181" t="s">
        <v>15135</v>
      </c>
      <c r="E1181">
        <v>103058001</v>
      </c>
    </row>
    <row r="1182" spans="1:8" hidden="1" x14ac:dyDescent="0.25">
      <c r="A1182">
        <v>9193</v>
      </c>
      <c r="B1182" t="s">
        <v>15405</v>
      </c>
      <c r="C1182" t="s">
        <v>15134</v>
      </c>
      <c r="D1182" t="s">
        <v>15135</v>
      </c>
      <c r="E1182">
        <v>73135000</v>
      </c>
      <c r="F1182" t="s">
        <v>15138</v>
      </c>
      <c r="G1182" t="b">
        <v>1</v>
      </c>
      <c r="H1182" t="s">
        <v>15406</v>
      </c>
    </row>
    <row r="1183" spans="1:8" hidden="1" x14ac:dyDescent="0.25">
      <c r="A1183">
        <v>9193</v>
      </c>
      <c r="B1183" t="s">
        <v>15405</v>
      </c>
      <c r="C1183" t="s">
        <v>15134</v>
      </c>
      <c r="D1183" t="s">
        <v>15135</v>
      </c>
      <c r="E1183">
        <v>73135000</v>
      </c>
      <c r="F1183" t="s">
        <v>15136</v>
      </c>
      <c r="G1183" t="b">
        <v>1</v>
      </c>
      <c r="H1183" t="s">
        <v>15406</v>
      </c>
    </row>
    <row r="1184" spans="1:8" hidden="1" x14ac:dyDescent="0.25">
      <c r="A1184">
        <v>9194</v>
      </c>
      <c r="B1184" t="s">
        <v>15405</v>
      </c>
      <c r="C1184" t="s">
        <v>15134</v>
      </c>
      <c r="D1184" t="s">
        <v>15135</v>
      </c>
      <c r="E1184">
        <v>73135001</v>
      </c>
    </row>
    <row r="1185" spans="1:8" hidden="1" x14ac:dyDescent="0.25">
      <c r="A1185">
        <v>9107</v>
      </c>
      <c r="B1185" t="s">
        <v>15363</v>
      </c>
      <c r="C1185" t="s">
        <v>15134</v>
      </c>
      <c r="D1185" t="s">
        <v>15135</v>
      </c>
      <c r="E1185">
        <v>73077001</v>
      </c>
    </row>
    <row r="1186" spans="1:8" hidden="1" x14ac:dyDescent="0.25">
      <c r="A1186">
        <v>9349</v>
      </c>
      <c r="B1186" t="s">
        <v>15363</v>
      </c>
      <c r="C1186" t="s">
        <v>15134</v>
      </c>
      <c r="D1186" t="s">
        <v>15135</v>
      </c>
      <c r="E1186">
        <v>73220001</v>
      </c>
    </row>
    <row r="1187" spans="1:8" hidden="1" x14ac:dyDescent="0.25">
      <c r="A1187">
        <v>9276</v>
      </c>
      <c r="B1187" t="s">
        <v>15441</v>
      </c>
      <c r="C1187" t="s">
        <v>15134</v>
      </c>
      <c r="D1187" t="s">
        <v>15135</v>
      </c>
      <c r="E1187">
        <v>73195001</v>
      </c>
    </row>
    <row r="1188" spans="1:8" hidden="1" x14ac:dyDescent="0.25">
      <c r="A1188">
        <v>9277</v>
      </c>
      <c r="B1188" t="s">
        <v>15442</v>
      </c>
      <c r="C1188" t="s">
        <v>15134</v>
      </c>
      <c r="D1188" t="s">
        <v>15135</v>
      </c>
      <c r="E1188">
        <v>73195002</v>
      </c>
    </row>
    <row r="1189" spans="1:8" hidden="1" x14ac:dyDescent="0.25">
      <c r="A1189">
        <v>9188</v>
      </c>
      <c r="B1189" t="s">
        <v>15402</v>
      </c>
      <c r="C1189" t="s">
        <v>15134</v>
      </c>
      <c r="D1189" t="s">
        <v>15135</v>
      </c>
      <c r="E1189">
        <v>73129001</v>
      </c>
    </row>
    <row r="1190" spans="1:8" hidden="1" x14ac:dyDescent="0.25">
      <c r="A1190">
        <v>80727</v>
      </c>
      <c r="B1190" t="s">
        <v>16199</v>
      </c>
      <c r="C1190" t="s">
        <v>15134</v>
      </c>
      <c r="D1190" t="s">
        <v>15135</v>
      </c>
      <c r="E1190">
        <v>32210010</v>
      </c>
      <c r="F1190" t="s">
        <v>15138</v>
      </c>
      <c r="G1190" t="b">
        <v>1</v>
      </c>
      <c r="H1190" t="s">
        <v>15960</v>
      </c>
    </row>
    <row r="1191" spans="1:8" hidden="1" x14ac:dyDescent="0.25">
      <c r="A1191">
        <v>80727</v>
      </c>
      <c r="B1191" t="s">
        <v>16199</v>
      </c>
      <c r="C1191" t="s">
        <v>15134</v>
      </c>
      <c r="D1191" t="s">
        <v>15135</v>
      </c>
      <c r="E1191">
        <v>32210010</v>
      </c>
      <c r="F1191" t="s">
        <v>15145</v>
      </c>
      <c r="G1191" t="b">
        <v>0</v>
      </c>
      <c r="H1191" t="s">
        <v>16200</v>
      </c>
    </row>
    <row r="1192" spans="1:8" hidden="1" x14ac:dyDescent="0.25">
      <c r="A1192">
        <v>91236</v>
      </c>
      <c r="B1192" t="s">
        <v>16757</v>
      </c>
      <c r="C1192" t="s">
        <v>15134</v>
      </c>
      <c r="D1192" t="s">
        <v>15135</v>
      </c>
      <c r="E1192">
        <v>72445001</v>
      </c>
      <c r="F1192" t="s">
        <v>15145</v>
      </c>
      <c r="G1192" t="b">
        <v>1</v>
      </c>
      <c r="H1192" t="s">
        <v>16756</v>
      </c>
    </row>
    <row r="1193" spans="1:8" hidden="1" x14ac:dyDescent="0.25">
      <c r="A1193">
        <v>1000399</v>
      </c>
      <c r="B1193" t="s">
        <v>17163</v>
      </c>
      <c r="C1193" t="s">
        <v>15134</v>
      </c>
      <c r="D1193" t="s">
        <v>15135</v>
      </c>
      <c r="E1193">
        <v>73364001</v>
      </c>
      <c r="F1193" t="s">
        <v>15138</v>
      </c>
      <c r="G1193" t="b">
        <v>1</v>
      </c>
      <c r="H1193" t="s">
        <v>17159</v>
      </c>
    </row>
    <row r="1194" spans="1:8" hidden="1" x14ac:dyDescent="0.25">
      <c r="A1194">
        <v>1000399</v>
      </c>
      <c r="B1194" t="s">
        <v>17163</v>
      </c>
      <c r="C1194" t="s">
        <v>15134</v>
      </c>
      <c r="D1194" t="s">
        <v>15135</v>
      </c>
      <c r="E1194">
        <v>73364001</v>
      </c>
      <c r="F1194" t="s">
        <v>15136</v>
      </c>
      <c r="G1194" t="b">
        <v>1</v>
      </c>
      <c r="H1194" t="s">
        <v>17159</v>
      </c>
    </row>
    <row r="1195" spans="1:8" hidden="1" x14ac:dyDescent="0.25">
      <c r="A1195">
        <v>1000398</v>
      </c>
      <c r="B1195" t="s">
        <v>17162</v>
      </c>
      <c r="C1195" t="s">
        <v>15134</v>
      </c>
      <c r="D1195" t="s">
        <v>15135</v>
      </c>
      <c r="E1195">
        <v>73365001</v>
      </c>
      <c r="F1195" t="s">
        <v>15138</v>
      </c>
      <c r="G1195" t="b">
        <v>1</v>
      </c>
      <c r="H1195" t="s">
        <v>17161</v>
      </c>
    </row>
    <row r="1196" spans="1:8" hidden="1" x14ac:dyDescent="0.25">
      <c r="A1196">
        <v>1000398</v>
      </c>
      <c r="B1196" t="s">
        <v>17162</v>
      </c>
      <c r="C1196" t="s">
        <v>15134</v>
      </c>
      <c r="D1196" t="s">
        <v>15135</v>
      </c>
      <c r="E1196">
        <v>73365001</v>
      </c>
      <c r="F1196" t="s">
        <v>15136</v>
      </c>
      <c r="G1196" t="b">
        <v>1</v>
      </c>
      <c r="H1196" t="s">
        <v>17161</v>
      </c>
    </row>
    <row r="1197" spans="1:8" hidden="1" x14ac:dyDescent="0.25">
      <c r="A1197">
        <v>460999</v>
      </c>
      <c r="B1197" t="s">
        <v>16996</v>
      </c>
      <c r="C1197" t="s">
        <v>15134</v>
      </c>
      <c r="D1197" t="s">
        <v>15135</v>
      </c>
      <c r="E1197">
        <v>73327001</v>
      </c>
    </row>
    <row r="1198" spans="1:8" hidden="1" x14ac:dyDescent="0.25">
      <c r="A1198">
        <v>150723</v>
      </c>
      <c r="B1198" t="s">
        <v>16971</v>
      </c>
      <c r="C1198" t="s">
        <v>15134</v>
      </c>
      <c r="D1198" t="s">
        <v>15135</v>
      </c>
      <c r="E1198">
        <v>73327000</v>
      </c>
    </row>
    <row r="1199" spans="1:8" hidden="1" x14ac:dyDescent="0.25">
      <c r="A1199">
        <v>934629</v>
      </c>
      <c r="B1199" t="s">
        <v>17031</v>
      </c>
      <c r="C1199" t="s">
        <v>15134</v>
      </c>
      <c r="D1199" t="s">
        <v>15135</v>
      </c>
      <c r="E1199">
        <v>113027001</v>
      </c>
      <c r="F1199" t="s">
        <v>15136</v>
      </c>
      <c r="G1199" t="b">
        <v>1</v>
      </c>
      <c r="H1199" t="s">
        <v>16978</v>
      </c>
    </row>
    <row r="1200" spans="1:8" hidden="1" x14ac:dyDescent="0.25">
      <c r="A1200">
        <v>272472</v>
      </c>
      <c r="B1200" t="s">
        <v>16977</v>
      </c>
      <c r="C1200" t="s">
        <v>15134</v>
      </c>
      <c r="D1200" t="s">
        <v>15135</v>
      </c>
      <c r="E1200">
        <v>113027000</v>
      </c>
      <c r="F1200" t="s">
        <v>15136</v>
      </c>
      <c r="G1200" t="b">
        <v>1</v>
      </c>
      <c r="H1200" t="s">
        <v>16978</v>
      </c>
    </row>
    <row r="1201" spans="1:8" hidden="1" x14ac:dyDescent="0.25">
      <c r="A1201">
        <v>9679</v>
      </c>
      <c r="B1201" t="s">
        <v>15627</v>
      </c>
      <c r="C1201" t="s">
        <v>15134</v>
      </c>
      <c r="D1201" t="s">
        <v>15135</v>
      </c>
      <c r="E1201">
        <v>93009001</v>
      </c>
    </row>
    <row r="1202" spans="1:8" hidden="1" x14ac:dyDescent="0.25">
      <c r="A1202">
        <v>9687</v>
      </c>
      <c r="B1202" t="s">
        <v>15627</v>
      </c>
      <c r="C1202" t="s">
        <v>15134</v>
      </c>
      <c r="D1202" t="s">
        <v>15135</v>
      </c>
      <c r="E1202">
        <v>93014001</v>
      </c>
    </row>
    <row r="1203" spans="1:8" hidden="1" x14ac:dyDescent="0.25">
      <c r="A1203">
        <v>8664</v>
      </c>
      <c r="B1203" t="s">
        <v>15181</v>
      </c>
      <c r="C1203" t="s">
        <v>15134</v>
      </c>
      <c r="D1203" t="s">
        <v>15135</v>
      </c>
      <c r="E1203">
        <v>72206000</v>
      </c>
    </row>
    <row r="1204" spans="1:8" hidden="1" x14ac:dyDescent="0.25">
      <c r="A1204">
        <v>8665</v>
      </c>
      <c r="B1204" t="s">
        <v>15181</v>
      </c>
      <c r="C1204" t="s">
        <v>15134</v>
      </c>
      <c r="D1204" t="s">
        <v>15135</v>
      </c>
      <c r="E1204">
        <v>72206001</v>
      </c>
    </row>
    <row r="1205" spans="1:8" hidden="1" x14ac:dyDescent="0.25">
      <c r="A1205">
        <v>79867</v>
      </c>
      <c r="B1205" t="s">
        <v>16021</v>
      </c>
      <c r="C1205" t="s">
        <v>15134</v>
      </c>
      <c r="D1205" t="s">
        <v>15135</v>
      </c>
      <c r="E1205">
        <v>73474000</v>
      </c>
      <c r="F1205" t="s">
        <v>15136</v>
      </c>
      <c r="G1205" t="b">
        <v>1</v>
      </c>
      <c r="H1205" t="s">
        <v>16022</v>
      </c>
    </row>
    <row r="1206" spans="1:8" hidden="1" x14ac:dyDescent="0.25">
      <c r="A1206">
        <v>79867</v>
      </c>
      <c r="B1206" t="s">
        <v>16021</v>
      </c>
      <c r="C1206" t="s">
        <v>15134</v>
      </c>
      <c r="D1206" t="s">
        <v>15135</v>
      </c>
      <c r="E1206">
        <v>73474000</v>
      </c>
      <c r="F1206" t="s">
        <v>15138</v>
      </c>
      <c r="G1206" t="b">
        <v>1</v>
      </c>
      <c r="H1206" t="s">
        <v>16023</v>
      </c>
    </row>
    <row r="1207" spans="1:8" hidden="1" x14ac:dyDescent="0.25">
      <c r="A1207">
        <v>89268</v>
      </c>
      <c r="B1207" t="s">
        <v>16387</v>
      </c>
      <c r="C1207" t="s">
        <v>15134</v>
      </c>
      <c r="D1207" t="s">
        <v>15135</v>
      </c>
      <c r="E1207">
        <v>73092001</v>
      </c>
    </row>
    <row r="1208" spans="1:8" hidden="1" x14ac:dyDescent="0.25">
      <c r="A1208">
        <v>79868</v>
      </c>
      <c r="B1208" t="s">
        <v>16024</v>
      </c>
      <c r="C1208" t="s">
        <v>15134</v>
      </c>
      <c r="D1208" t="s">
        <v>15135</v>
      </c>
      <c r="E1208">
        <v>73474001</v>
      </c>
      <c r="F1208" t="s">
        <v>15138</v>
      </c>
      <c r="G1208" t="b">
        <v>1</v>
      </c>
      <c r="H1208" t="s">
        <v>16022</v>
      </c>
    </row>
    <row r="1209" spans="1:8" hidden="1" x14ac:dyDescent="0.25">
      <c r="A1209">
        <v>89831</v>
      </c>
      <c r="B1209" t="s">
        <v>16463</v>
      </c>
      <c r="C1209" t="s">
        <v>15134</v>
      </c>
      <c r="D1209" t="s">
        <v>15135</v>
      </c>
      <c r="E1209">
        <v>103133003</v>
      </c>
      <c r="F1209" t="s">
        <v>15145</v>
      </c>
      <c r="G1209" t="b">
        <v>1</v>
      </c>
      <c r="H1209" t="s">
        <v>16464</v>
      </c>
    </row>
    <row r="1210" spans="1:8" hidden="1" x14ac:dyDescent="0.25">
      <c r="A1210">
        <v>89675</v>
      </c>
      <c r="B1210" t="s">
        <v>16429</v>
      </c>
      <c r="C1210" t="s">
        <v>15134</v>
      </c>
      <c r="D1210" t="s">
        <v>15135</v>
      </c>
      <c r="E1210">
        <v>103133001</v>
      </c>
      <c r="F1210" t="s">
        <v>15145</v>
      </c>
      <c r="G1210" t="b">
        <v>1</v>
      </c>
      <c r="H1210" t="s">
        <v>16430</v>
      </c>
    </row>
    <row r="1211" spans="1:8" hidden="1" x14ac:dyDescent="0.25">
      <c r="A1211">
        <v>89751</v>
      </c>
      <c r="B1211" t="s">
        <v>16452</v>
      </c>
      <c r="C1211" t="s">
        <v>15134</v>
      </c>
      <c r="D1211" t="s">
        <v>15135</v>
      </c>
      <c r="E1211">
        <v>103133002</v>
      </c>
      <c r="F1211" t="s">
        <v>15145</v>
      </c>
      <c r="G1211" t="b">
        <v>0</v>
      </c>
      <c r="H1211" t="s">
        <v>16453</v>
      </c>
    </row>
    <row r="1212" spans="1:8" hidden="1" x14ac:dyDescent="0.25">
      <c r="A1212">
        <v>10120</v>
      </c>
      <c r="B1212" t="s">
        <v>15809</v>
      </c>
      <c r="C1212" t="s">
        <v>15134</v>
      </c>
      <c r="D1212" t="s">
        <v>15135</v>
      </c>
      <c r="E1212">
        <v>113010000</v>
      </c>
      <c r="F1212" t="s">
        <v>15136</v>
      </c>
      <c r="G1212" t="b">
        <v>1</v>
      </c>
      <c r="H1212" t="s">
        <v>15810</v>
      </c>
    </row>
    <row r="1213" spans="1:8" hidden="1" x14ac:dyDescent="0.25">
      <c r="A1213">
        <v>10120</v>
      </c>
      <c r="B1213" t="s">
        <v>15809</v>
      </c>
      <c r="C1213" t="s">
        <v>15134</v>
      </c>
      <c r="D1213" t="s">
        <v>15135</v>
      </c>
      <c r="E1213">
        <v>113010000</v>
      </c>
      <c r="F1213" t="s">
        <v>15138</v>
      </c>
      <c r="G1213" t="b">
        <v>1</v>
      </c>
      <c r="H1213" t="s">
        <v>15810</v>
      </c>
    </row>
    <row r="1214" spans="1:8" hidden="1" x14ac:dyDescent="0.25">
      <c r="A1214">
        <v>9965</v>
      </c>
      <c r="B1214" t="s">
        <v>15753</v>
      </c>
      <c r="C1214" t="s">
        <v>15134</v>
      </c>
      <c r="D1214" t="s">
        <v>15135</v>
      </c>
      <c r="E1214">
        <v>103074001</v>
      </c>
    </row>
    <row r="1215" spans="1:8" hidden="1" x14ac:dyDescent="0.25">
      <c r="A1215">
        <v>9368</v>
      </c>
      <c r="B1215" t="s">
        <v>15490</v>
      </c>
      <c r="C1215" t="s">
        <v>15134</v>
      </c>
      <c r="D1215" t="s">
        <v>15135</v>
      </c>
      <c r="E1215">
        <v>73230000</v>
      </c>
      <c r="F1215" t="s">
        <v>15136</v>
      </c>
      <c r="G1215" t="b">
        <v>1</v>
      </c>
      <c r="H1215" t="s">
        <v>15491</v>
      </c>
    </row>
    <row r="1216" spans="1:8" hidden="1" x14ac:dyDescent="0.25">
      <c r="A1216">
        <v>9368</v>
      </c>
      <c r="B1216" t="s">
        <v>15490</v>
      </c>
      <c r="C1216" t="s">
        <v>15134</v>
      </c>
      <c r="D1216" t="s">
        <v>15135</v>
      </c>
      <c r="E1216">
        <v>73230000</v>
      </c>
      <c r="F1216" t="s">
        <v>15138</v>
      </c>
      <c r="G1216" t="b">
        <v>1</v>
      </c>
      <c r="H1216" t="s">
        <v>15492</v>
      </c>
    </row>
    <row r="1217" spans="1:8" hidden="1" x14ac:dyDescent="0.25">
      <c r="A1217">
        <v>90495</v>
      </c>
      <c r="B1217" t="s">
        <v>16629</v>
      </c>
      <c r="C1217" t="s">
        <v>15134</v>
      </c>
      <c r="D1217" t="s">
        <v>15135</v>
      </c>
      <c r="E1217">
        <v>103214001</v>
      </c>
      <c r="F1217" t="s">
        <v>15145</v>
      </c>
      <c r="G1217" t="b">
        <v>1</v>
      </c>
      <c r="H1217" t="s">
        <v>16628</v>
      </c>
    </row>
    <row r="1218" spans="1:8" hidden="1" x14ac:dyDescent="0.25">
      <c r="A1218">
        <v>92710</v>
      </c>
      <c r="B1218" t="s">
        <v>16908</v>
      </c>
      <c r="C1218" t="s">
        <v>15134</v>
      </c>
      <c r="D1218" t="s">
        <v>15135</v>
      </c>
      <c r="E1218">
        <v>103151001</v>
      </c>
    </row>
    <row r="1219" spans="1:8" hidden="1" x14ac:dyDescent="0.25">
      <c r="A1219">
        <v>92709</v>
      </c>
      <c r="B1219" t="s">
        <v>16905</v>
      </c>
      <c r="C1219" t="s">
        <v>15134</v>
      </c>
      <c r="D1219" t="s">
        <v>15135</v>
      </c>
      <c r="E1219">
        <v>103151000</v>
      </c>
      <c r="F1219" t="s">
        <v>15138</v>
      </c>
      <c r="G1219" t="b">
        <v>1</v>
      </c>
      <c r="H1219" t="s">
        <v>16906</v>
      </c>
    </row>
    <row r="1220" spans="1:8" hidden="1" x14ac:dyDescent="0.25">
      <c r="A1220">
        <v>92709</v>
      </c>
      <c r="B1220" t="s">
        <v>16905</v>
      </c>
      <c r="C1220" t="s">
        <v>15134</v>
      </c>
      <c r="D1220" t="s">
        <v>15135</v>
      </c>
      <c r="E1220">
        <v>103151000</v>
      </c>
      <c r="F1220" t="s">
        <v>15136</v>
      </c>
      <c r="G1220" t="b">
        <v>1</v>
      </c>
      <c r="H1220" t="s">
        <v>16907</v>
      </c>
    </row>
    <row r="1221" spans="1:8" hidden="1" x14ac:dyDescent="0.25">
      <c r="A1221">
        <v>90494</v>
      </c>
      <c r="B1221" t="s">
        <v>16626</v>
      </c>
      <c r="C1221" t="s">
        <v>15134</v>
      </c>
      <c r="D1221" t="s">
        <v>15135</v>
      </c>
      <c r="E1221">
        <v>103214000</v>
      </c>
      <c r="F1221" t="s">
        <v>15136</v>
      </c>
      <c r="G1221" t="b">
        <v>1</v>
      </c>
      <c r="H1221" t="s">
        <v>16627</v>
      </c>
    </row>
    <row r="1222" spans="1:8" hidden="1" x14ac:dyDescent="0.25">
      <c r="A1222">
        <v>90494</v>
      </c>
      <c r="B1222" t="s">
        <v>16626</v>
      </c>
      <c r="C1222" t="s">
        <v>15134</v>
      </c>
      <c r="D1222" t="s">
        <v>15135</v>
      </c>
      <c r="E1222">
        <v>103214000</v>
      </c>
      <c r="F1222" t="s">
        <v>15138</v>
      </c>
      <c r="G1222" t="b">
        <v>1</v>
      </c>
      <c r="H1222" t="s">
        <v>16628</v>
      </c>
    </row>
    <row r="1223" spans="1:8" hidden="1" x14ac:dyDescent="0.25">
      <c r="A1223">
        <v>1000121</v>
      </c>
      <c r="B1223" t="s">
        <v>17091</v>
      </c>
      <c r="C1223" t="s">
        <v>15134</v>
      </c>
      <c r="D1223" t="s">
        <v>15135</v>
      </c>
      <c r="E1223">
        <v>103158001</v>
      </c>
      <c r="F1223" t="s">
        <v>15138</v>
      </c>
      <c r="G1223" t="b">
        <v>1</v>
      </c>
      <c r="H1223" t="s">
        <v>17090</v>
      </c>
    </row>
    <row r="1224" spans="1:8" hidden="1" x14ac:dyDescent="0.25">
      <c r="A1224">
        <v>1000121</v>
      </c>
      <c r="B1224" t="s">
        <v>17091</v>
      </c>
      <c r="C1224" t="s">
        <v>15134</v>
      </c>
      <c r="D1224" t="s">
        <v>15135</v>
      </c>
      <c r="E1224">
        <v>103158001</v>
      </c>
      <c r="F1224" t="s">
        <v>15136</v>
      </c>
      <c r="G1224" t="b">
        <v>1</v>
      </c>
      <c r="H1224" t="s">
        <v>17090</v>
      </c>
    </row>
    <row r="1225" spans="1:8" hidden="1" x14ac:dyDescent="0.25">
      <c r="A1225">
        <v>1000120</v>
      </c>
      <c r="B1225" t="s">
        <v>17089</v>
      </c>
      <c r="C1225" t="s">
        <v>15134</v>
      </c>
      <c r="D1225" t="s">
        <v>15135</v>
      </c>
      <c r="E1225">
        <v>103158000</v>
      </c>
      <c r="F1225" t="s">
        <v>15138</v>
      </c>
      <c r="G1225" t="b">
        <v>1</v>
      </c>
      <c r="H1225" t="s">
        <v>17090</v>
      </c>
    </row>
    <row r="1226" spans="1:8" hidden="1" x14ac:dyDescent="0.25">
      <c r="A1226">
        <v>1000120</v>
      </c>
      <c r="B1226" t="s">
        <v>17089</v>
      </c>
      <c r="C1226" t="s">
        <v>15134</v>
      </c>
      <c r="D1226" t="s">
        <v>15135</v>
      </c>
      <c r="E1226">
        <v>103158000</v>
      </c>
      <c r="F1226" t="s">
        <v>15136</v>
      </c>
      <c r="G1226" t="b">
        <v>1</v>
      </c>
      <c r="H1226" t="s">
        <v>17090</v>
      </c>
    </row>
    <row r="1227" spans="1:8" hidden="1" x14ac:dyDescent="0.25">
      <c r="A1227">
        <v>80917</v>
      </c>
      <c r="B1227" t="s">
        <v>16235</v>
      </c>
      <c r="C1227" t="s">
        <v>15134</v>
      </c>
      <c r="D1227" t="s">
        <v>15135</v>
      </c>
      <c r="E1227">
        <v>73492000</v>
      </c>
      <c r="F1227" t="s">
        <v>15145</v>
      </c>
      <c r="G1227" t="b">
        <v>1</v>
      </c>
      <c r="H1227" t="s">
        <v>16236</v>
      </c>
    </row>
    <row r="1228" spans="1:8" hidden="1" x14ac:dyDescent="0.25">
      <c r="A1228">
        <v>80918</v>
      </c>
      <c r="B1228" t="s">
        <v>16235</v>
      </c>
      <c r="C1228" t="s">
        <v>15134</v>
      </c>
      <c r="D1228" t="s">
        <v>15135</v>
      </c>
      <c r="E1228">
        <v>73492001</v>
      </c>
      <c r="F1228" t="s">
        <v>15145</v>
      </c>
      <c r="G1228" t="b">
        <v>1</v>
      </c>
      <c r="H1228" t="s">
        <v>16236</v>
      </c>
    </row>
    <row r="1229" spans="1:8" hidden="1" x14ac:dyDescent="0.25">
      <c r="A1229">
        <v>9795</v>
      </c>
      <c r="B1229" t="s">
        <v>15687</v>
      </c>
      <c r="C1229" t="s">
        <v>15134</v>
      </c>
      <c r="D1229" t="s">
        <v>15135</v>
      </c>
      <c r="E1229">
        <v>102252001</v>
      </c>
    </row>
    <row r="1230" spans="1:8" hidden="1" x14ac:dyDescent="0.25">
      <c r="A1230">
        <v>10155</v>
      </c>
      <c r="B1230" t="s">
        <v>15820</v>
      </c>
      <c r="C1230" t="s">
        <v>15134</v>
      </c>
      <c r="D1230" t="s">
        <v>15135</v>
      </c>
      <c r="E1230">
        <v>133018001</v>
      </c>
    </row>
    <row r="1231" spans="1:8" hidden="1" x14ac:dyDescent="0.25">
      <c r="A1231">
        <v>10149</v>
      </c>
      <c r="B1231" t="s">
        <v>15818</v>
      </c>
      <c r="C1231" t="s">
        <v>15134</v>
      </c>
      <c r="D1231" t="s">
        <v>15135</v>
      </c>
      <c r="E1231">
        <v>133015001</v>
      </c>
    </row>
    <row r="1232" spans="1:8" hidden="1" x14ac:dyDescent="0.25">
      <c r="A1232">
        <v>89841</v>
      </c>
      <c r="B1232" t="s">
        <v>16468</v>
      </c>
      <c r="C1232" t="s">
        <v>15134</v>
      </c>
      <c r="D1232" t="s">
        <v>15135</v>
      </c>
      <c r="E1232">
        <v>83022001</v>
      </c>
      <c r="F1232" t="s">
        <v>15145</v>
      </c>
      <c r="G1232" t="b">
        <v>1</v>
      </c>
      <c r="H1232" t="s">
        <v>16467</v>
      </c>
    </row>
    <row r="1233" spans="1:8" hidden="1" x14ac:dyDescent="0.25">
      <c r="A1233">
        <v>92406</v>
      </c>
      <c r="B1233" t="s">
        <v>16866</v>
      </c>
      <c r="C1233" t="s">
        <v>15134</v>
      </c>
      <c r="D1233" t="s">
        <v>15135</v>
      </c>
      <c r="E1233">
        <v>73309001</v>
      </c>
    </row>
    <row r="1234" spans="1:8" hidden="1" x14ac:dyDescent="0.25">
      <c r="A1234">
        <v>92962</v>
      </c>
      <c r="B1234" t="s">
        <v>16949</v>
      </c>
      <c r="C1234" t="s">
        <v>15134</v>
      </c>
      <c r="D1234" t="s">
        <v>15135</v>
      </c>
      <c r="E1234">
        <v>73309002</v>
      </c>
    </row>
    <row r="1235" spans="1:8" hidden="1" x14ac:dyDescent="0.25">
      <c r="A1235">
        <v>92405</v>
      </c>
      <c r="B1235" t="s">
        <v>16865</v>
      </c>
      <c r="C1235" t="s">
        <v>15134</v>
      </c>
      <c r="D1235" t="s">
        <v>15135</v>
      </c>
      <c r="E1235">
        <v>73309000</v>
      </c>
      <c r="F1235" t="s">
        <v>15136</v>
      </c>
      <c r="G1235" t="b">
        <v>1</v>
      </c>
      <c r="H1235" t="s">
        <v>16075</v>
      </c>
    </row>
    <row r="1236" spans="1:8" hidden="1" x14ac:dyDescent="0.25">
      <c r="A1236">
        <v>92405</v>
      </c>
      <c r="B1236" t="s">
        <v>16865</v>
      </c>
      <c r="C1236" t="s">
        <v>15134</v>
      </c>
      <c r="D1236" t="s">
        <v>15135</v>
      </c>
      <c r="E1236">
        <v>73309000</v>
      </c>
      <c r="F1236" t="s">
        <v>15138</v>
      </c>
      <c r="G1236" t="b">
        <v>1</v>
      </c>
      <c r="H1236" t="s">
        <v>16075</v>
      </c>
    </row>
    <row r="1237" spans="1:8" hidden="1" x14ac:dyDescent="0.25">
      <c r="A1237">
        <v>1000077</v>
      </c>
      <c r="B1237" t="s">
        <v>17056</v>
      </c>
      <c r="C1237" t="s">
        <v>15134</v>
      </c>
      <c r="D1237" t="s">
        <v>15135</v>
      </c>
      <c r="E1237">
        <v>73349001</v>
      </c>
      <c r="F1237" t="s">
        <v>15138</v>
      </c>
      <c r="G1237" t="b">
        <v>1</v>
      </c>
      <c r="H1237" t="s">
        <v>17055</v>
      </c>
    </row>
    <row r="1238" spans="1:8" hidden="1" x14ac:dyDescent="0.25">
      <c r="A1238">
        <v>1000077</v>
      </c>
      <c r="B1238" t="s">
        <v>17056</v>
      </c>
      <c r="C1238" t="s">
        <v>15134</v>
      </c>
      <c r="D1238" t="s">
        <v>15135</v>
      </c>
      <c r="E1238">
        <v>73349001</v>
      </c>
      <c r="F1238" t="s">
        <v>15136</v>
      </c>
      <c r="G1238" t="b">
        <v>1</v>
      </c>
      <c r="H1238" t="s">
        <v>17055</v>
      </c>
    </row>
    <row r="1239" spans="1:8" hidden="1" x14ac:dyDescent="0.25">
      <c r="A1239">
        <v>1000076</v>
      </c>
      <c r="B1239" t="s">
        <v>17054</v>
      </c>
      <c r="C1239" t="s">
        <v>15134</v>
      </c>
      <c r="D1239" t="s">
        <v>15135</v>
      </c>
      <c r="E1239">
        <v>73349000</v>
      </c>
      <c r="F1239" t="s">
        <v>15138</v>
      </c>
      <c r="G1239" t="b">
        <v>1</v>
      </c>
      <c r="H1239" t="s">
        <v>17055</v>
      </c>
    </row>
    <row r="1240" spans="1:8" hidden="1" x14ac:dyDescent="0.25">
      <c r="A1240">
        <v>1000076</v>
      </c>
      <c r="B1240" t="s">
        <v>17054</v>
      </c>
      <c r="C1240" t="s">
        <v>15134</v>
      </c>
      <c r="D1240" t="s">
        <v>15135</v>
      </c>
      <c r="E1240">
        <v>73349000</v>
      </c>
      <c r="F1240" t="s">
        <v>15136</v>
      </c>
      <c r="G1240" t="b">
        <v>1</v>
      </c>
      <c r="H1240" t="s">
        <v>17055</v>
      </c>
    </row>
    <row r="1241" spans="1:8" hidden="1" x14ac:dyDescent="0.25">
      <c r="A1241">
        <v>93787</v>
      </c>
      <c r="B1241" t="s">
        <v>16966</v>
      </c>
      <c r="C1241" t="s">
        <v>15134</v>
      </c>
      <c r="D1241" t="s">
        <v>15135</v>
      </c>
      <c r="E1241">
        <v>73341000</v>
      </c>
      <c r="F1241" t="s">
        <v>15138</v>
      </c>
      <c r="G1241" t="b">
        <v>1</v>
      </c>
      <c r="H1241" t="s">
        <v>16967</v>
      </c>
    </row>
    <row r="1242" spans="1:8" hidden="1" x14ac:dyDescent="0.25">
      <c r="A1242">
        <v>93787</v>
      </c>
      <c r="B1242" t="s">
        <v>16966</v>
      </c>
      <c r="C1242" t="s">
        <v>15134</v>
      </c>
      <c r="D1242" t="s">
        <v>15135</v>
      </c>
      <c r="E1242">
        <v>73341000</v>
      </c>
      <c r="F1242" t="s">
        <v>15136</v>
      </c>
      <c r="G1242" t="b">
        <v>1</v>
      </c>
      <c r="H1242" t="s">
        <v>16968</v>
      </c>
    </row>
    <row r="1243" spans="1:8" hidden="1" x14ac:dyDescent="0.25">
      <c r="A1243">
        <v>79350</v>
      </c>
      <c r="B1243" t="s">
        <v>15952</v>
      </c>
      <c r="C1243" t="s">
        <v>15134</v>
      </c>
      <c r="D1243" t="s">
        <v>15135</v>
      </c>
      <c r="E1243">
        <v>73455001</v>
      </c>
      <c r="F1243" t="s">
        <v>15145</v>
      </c>
      <c r="G1243" t="b">
        <v>1</v>
      </c>
      <c r="H1243" t="s">
        <v>15951</v>
      </c>
    </row>
    <row r="1244" spans="1:8" hidden="1" x14ac:dyDescent="0.25">
      <c r="A1244">
        <v>79350</v>
      </c>
      <c r="B1244" t="s">
        <v>15952</v>
      </c>
      <c r="C1244" t="s">
        <v>15134</v>
      </c>
      <c r="D1244" t="s">
        <v>15135</v>
      </c>
      <c r="E1244">
        <v>73455001</v>
      </c>
      <c r="F1244" t="s">
        <v>15138</v>
      </c>
      <c r="G1244" t="b">
        <v>1</v>
      </c>
      <c r="H1244" t="s">
        <v>15951</v>
      </c>
    </row>
    <row r="1245" spans="1:8" hidden="1" x14ac:dyDescent="0.25">
      <c r="A1245">
        <v>79033</v>
      </c>
      <c r="B1245" t="s">
        <v>15894</v>
      </c>
      <c r="C1245" t="s">
        <v>15134</v>
      </c>
      <c r="D1245" t="s">
        <v>15135</v>
      </c>
      <c r="E1245">
        <v>73448001</v>
      </c>
      <c r="F1245" t="s">
        <v>15145</v>
      </c>
      <c r="G1245" t="b">
        <v>1</v>
      </c>
      <c r="H1245" t="s">
        <v>15895</v>
      </c>
    </row>
    <row r="1246" spans="1:8" hidden="1" x14ac:dyDescent="0.25">
      <c r="A1246">
        <v>79033</v>
      </c>
      <c r="B1246" t="s">
        <v>15894</v>
      </c>
      <c r="C1246" t="s">
        <v>15134</v>
      </c>
      <c r="D1246" t="s">
        <v>15135</v>
      </c>
      <c r="E1246">
        <v>73448001</v>
      </c>
      <c r="F1246" t="s">
        <v>15138</v>
      </c>
      <c r="G1246" t="b">
        <v>1</v>
      </c>
      <c r="H1246" t="s">
        <v>15896</v>
      </c>
    </row>
    <row r="1247" spans="1:8" hidden="1" x14ac:dyDescent="0.25">
      <c r="A1247">
        <v>8470</v>
      </c>
      <c r="B1247" t="s">
        <v>15142</v>
      </c>
      <c r="C1247" t="s">
        <v>15134</v>
      </c>
      <c r="D1247" t="s">
        <v>15135</v>
      </c>
      <c r="E1247">
        <v>13002001</v>
      </c>
    </row>
    <row r="1248" spans="1:8" hidden="1" x14ac:dyDescent="0.25">
      <c r="A1248">
        <v>1000125</v>
      </c>
      <c r="B1248" t="s">
        <v>17096</v>
      </c>
      <c r="C1248" t="s">
        <v>15134</v>
      </c>
      <c r="D1248" t="s">
        <v>15135</v>
      </c>
      <c r="E1248">
        <v>103159001</v>
      </c>
      <c r="F1248" t="s">
        <v>15138</v>
      </c>
      <c r="G1248" t="b">
        <v>1</v>
      </c>
      <c r="H1248" t="s">
        <v>17095</v>
      </c>
    </row>
    <row r="1249" spans="1:8" hidden="1" x14ac:dyDescent="0.25">
      <c r="A1249">
        <v>1000125</v>
      </c>
      <c r="B1249" t="s">
        <v>17096</v>
      </c>
      <c r="C1249" t="s">
        <v>15134</v>
      </c>
      <c r="D1249" t="s">
        <v>15135</v>
      </c>
      <c r="E1249">
        <v>103159001</v>
      </c>
      <c r="F1249" t="s">
        <v>15136</v>
      </c>
      <c r="G1249" t="b">
        <v>1</v>
      </c>
      <c r="H1249" t="s">
        <v>17095</v>
      </c>
    </row>
    <row r="1250" spans="1:8" hidden="1" x14ac:dyDescent="0.25">
      <c r="A1250">
        <v>1000124</v>
      </c>
      <c r="B1250" t="s">
        <v>17094</v>
      </c>
      <c r="C1250" t="s">
        <v>15134</v>
      </c>
      <c r="D1250" t="s">
        <v>15135</v>
      </c>
      <c r="E1250">
        <v>103159000</v>
      </c>
      <c r="F1250" t="s">
        <v>15136</v>
      </c>
      <c r="G1250" t="b">
        <v>1</v>
      </c>
      <c r="H1250" t="s">
        <v>17095</v>
      </c>
    </row>
    <row r="1251" spans="1:8" hidden="1" x14ac:dyDescent="0.25">
      <c r="A1251">
        <v>1000124</v>
      </c>
      <c r="B1251" t="s">
        <v>17094</v>
      </c>
      <c r="C1251" t="s">
        <v>15134</v>
      </c>
      <c r="D1251" t="s">
        <v>15135</v>
      </c>
      <c r="E1251">
        <v>103159000</v>
      </c>
      <c r="F1251" t="s">
        <v>15138</v>
      </c>
      <c r="G1251" t="b">
        <v>1</v>
      </c>
      <c r="H1251" t="s">
        <v>17095</v>
      </c>
    </row>
    <row r="1252" spans="1:8" hidden="1" x14ac:dyDescent="0.25">
      <c r="A1252">
        <v>61230</v>
      </c>
      <c r="B1252" t="s">
        <v>15872</v>
      </c>
      <c r="C1252" t="s">
        <v>15134</v>
      </c>
      <c r="D1252" t="s">
        <v>15135</v>
      </c>
      <c r="E1252">
        <v>73334001</v>
      </c>
    </row>
    <row r="1253" spans="1:8" hidden="1" x14ac:dyDescent="0.25">
      <c r="A1253">
        <v>36972</v>
      </c>
      <c r="B1253" t="s">
        <v>15867</v>
      </c>
      <c r="C1253" t="s">
        <v>15134</v>
      </c>
      <c r="D1253" t="s">
        <v>15135</v>
      </c>
      <c r="E1253">
        <v>73334000</v>
      </c>
    </row>
    <row r="1254" spans="1:8" hidden="1" x14ac:dyDescent="0.25">
      <c r="A1254">
        <v>91923</v>
      </c>
      <c r="B1254" t="s">
        <v>16824</v>
      </c>
      <c r="C1254" t="s">
        <v>15134</v>
      </c>
      <c r="D1254" t="s">
        <v>15135</v>
      </c>
      <c r="E1254">
        <v>103230000</v>
      </c>
      <c r="F1254" t="s">
        <v>15136</v>
      </c>
      <c r="G1254" t="b">
        <v>1</v>
      </c>
      <c r="H1254" t="s">
        <v>16825</v>
      </c>
    </row>
    <row r="1255" spans="1:8" hidden="1" x14ac:dyDescent="0.25">
      <c r="A1255">
        <v>91923</v>
      </c>
      <c r="B1255" t="s">
        <v>16824</v>
      </c>
      <c r="C1255" t="s">
        <v>15134</v>
      </c>
      <c r="D1255" t="s">
        <v>15135</v>
      </c>
      <c r="E1255">
        <v>103230000</v>
      </c>
      <c r="F1255" t="s">
        <v>15138</v>
      </c>
      <c r="G1255" t="b">
        <v>1</v>
      </c>
      <c r="H1255" t="s">
        <v>16220</v>
      </c>
    </row>
    <row r="1256" spans="1:8" hidden="1" x14ac:dyDescent="0.25">
      <c r="A1256">
        <v>91924</v>
      </c>
      <c r="B1256" t="s">
        <v>16826</v>
      </c>
      <c r="C1256" t="s">
        <v>15134</v>
      </c>
      <c r="D1256" t="s">
        <v>15135</v>
      </c>
      <c r="E1256">
        <v>103230001</v>
      </c>
      <c r="F1256" t="s">
        <v>15136</v>
      </c>
      <c r="G1256" t="b">
        <v>1</v>
      </c>
      <c r="H1256" t="s">
        <v>16825</v>
      </c>
    </row>
    <row r="1257" spans="1:8" hidden="1" x14ac:dyDescent="0.25">
      <c r="A1257">
        <v>91924</v>
      </c>
      <c r="B1257" t="s">
        <v>16826</v>
      </c>
      <c r="C1257" t="s">
        <v>15134</v>
      </c>
      <c r="D1257" t="s">
        <v>15135</v>
      </c>
      <c r="E1257">
        <v>103230001</v>
      </c>
      <c r="F1257" t="s">
        <v>15138</v>
      </c>
      <c r="G1257" t="b">
        <v>1</v>
      </c>
      <c r="H1257" t="s">
        <v>16825</v>
      </c>
    </row>
    <row r="1258" spans="1:8" hidden="1" x14ac:dyDescent="0.25">
      <c r="A1258">
        <v>9556</v>
      </c>
      <c r="B1258" t="s">
        <v>15591</v>
      </c>
      <c r="C1258" t="s">
        <v>15134</v>
      </c>
      <c r="D1258" t="s">
        <v>15135</v>
      </c>
      <c r="E1258">
        <v>73415000</v>
      </c>
      <c r="F1258" t="s">
        <v>15138</v>
      </c>
      <c r="G1258" t="b">
        <v>1</v>
      </c>
      <c r="H1258" t="s">
        <v>15592</v>
      </c>
    </row>
    <row r="1259" spans="1:8" hidden="1" x14ac:dyDescent="0.25">
      <c r="A1259">
        <v>9556</v>
      </c>
      <c r="B1259" t="s">
        <v>15591</v>
      </c>
      <c r="C1259" t="s">
        <v>15134</v>
      </c>
      <c r="D1259" t="s">
        <v>15135</v>
      </c>
      <c r="E1259">
        <v>73415000</v>
      </c>
      <c r="F1259" t="s">
        <v>15136</v>
      </c>
      <c r="G1259" t="b">
        <v>1</v>
      </c>
      <c r="H1259" t="s">
        <v>15592</v>
      </c>
    </row>
    <row r="1260" spans="1:8" hidden="1" x14ac:dyDescent="0.25">
      <c r="A1260">
        <v>10362</v>
      </c>
      <c r="B1260" t="s">
        <v>15851</v>
      </c>
      <c r="C1260" t="s">
        <v>15134</v>
      </c>
      <c r="D1260" t="s">
        <v>15135</v>
      </c>
      <c r="E1260">
        <v>73414001</v>
      </c>
      <c r="F1260" t="s">
        <v>15136</v>
      </c>
      <c r="G1260" t="b">
        <v>1</v>
      </c>
      <c r="H1260" t="s">
        <v>15852</v>
      </c>
    </row>
    <row r="1261" spans="1:8" hidden="1" x14ac:dyDescent="0.25">
      <c r="A1261">
        <v>10362</v>
      </c>
      <c r="B1261" t="s">
        <v>15851</v>
      </c>
      <c r="C1261" t="s">
        <v>15134</v>
      </c>
      <c r="D1261" t="s">
        <v>15135</v>
      </c>
      <c r="E1261">
        <v>73414001</v>
      </c>
      <c r="F1261" t="s">
        <v>15138</v>
      </c>
      <c r="G1261" t="b">
        <v>1</v>
      </c>
      <c r="H1261" t="s">
        <v>15852</v>
      </c>
    </row>
    <row r="1262" spans="1:8" hidden="1" x14ac:dyDescent="0.25">
      <c r="A1262">
        <v>1000370</v>
      </c>
      <c r="B1262" t="s">
        <v>17152</v>
      </c>
      <c r="C1262" t="s">
        <v>15134</v>
      </c>
      <c r="D1262" t="s">
        <v>15135</v>
      </c>
      <c r="E1262">
        <v>83029000</v>
      </c>
      <c r="F1262" t="s">
        <v>15136</v>
      </c>
      <c r="G1262" t="b">
        <v>1</v>
      </c>
      <c r="H1262" t="s">
        <v>17153</v>
      </c>
    </row>
    <row r="1263" spans="1:8" hidden="1" x14ac:dyDescent="0.25">
      <c r="A1263">
        <v>1000370</v>
      </c>
      <c r="B1263" t="s">
        <v>17152</v>
      </c>
      <c r="C1263" t="s">
        <v>15134</v>
      </c>
      <c r="D1263" t="s">
        <v>15135</v>
      </c>
      <c r="E1263">
        <v>83029000</v>
      </c>
      <c r="F1263" t="s">
        <v>15138</v>
      </c>
      <c r="G1263" t="b">
        <v>1</v>
      </c>
      <c r="H1263" t="s">
        <v>17153</v>
      </c>
    </row>
    <row r="1264" spans="1:8" hidden="1" x14ac:dyDescent="0.25">
      <c r="A1264">
        <v>1000371</v>
      </c>
      <c r="B1264" t="s">
        <v>17152</v>
      </c>
      <c r="C1264" t="s">
        <v>15134</v>
      </c>
      <c r="D1264" t="s">
        <v>15135</v>
      </c>
      <c r="E1264">
        <v>83029001</v>
      </c>
      <c r="F1264" t="s">
        <v>15136</v>
      </c>
      <c r="G1264" t="b">
        <v>1</v>
      </c>
      <c r="H1264" t="s">
        <v>17153</v>
      </c>
    </row>
    <row r="1265" spans="1:8" hidden="1" x14ac:dyDescent="0.25">
      <c r="A1265">
        <v>1000371</v>
      </c>
      <c r="B1265" t="s">
        <v>17152</v>
      </c>
      <c r="C1265" t="s">
        <v>15134</v>
      </c>
      <c r="D1265" t="s">
        <v>15135</v>
      </c>
      <c r="E1265">
        <v>83029001</v>
      </c>
      <c r="F1265" t="s">
        <v>15138</v>
      </c>
      <c r="G1265" t="b">
        <v>1</v>
      </c>
      <c r="H1265" t="s">
        <v>17153</v>
      </c>
    </row>
    <row r="1266" spans="1:8" hidden="1" x14ac:dyDescent="0.25">
      <c r="A1266">
        <v>9260</v>
      </c>
      <c r="B1266" t="s">
        <v>15436</v>
      </c>
      <c r="C1266" t="s">
        <v>15134</v>
      </c>
      <c r="D1266" t="s">
        <v>15135</v>
      </c>
      <c r="E1266">
        <v>73187001</v>
      </c>
    </row>
    <row r="1267" spans="1:8" hidden="1" x14ac:dyDescent="0.25">
      <c r="A1267">
        <v>80021</v>
      </c>
      <c r="B1267" t="s">
        <v>16033</v>
      </c>
      <c r="C1267" t="s">
        <v>15134</v>
      </c>
      <c r="D1267" t="s">
        <v>15135</v>
      </c>
      <c r="E1267">
        <v>73481000</v>
      </c>
      <c r="F1267" t="s">
        <v>15145</v>
      </c>
      <c r="G1267" t="b">
        <v>0</v>
      </c>
      <c r="H1267" t="s">
        <v>16034</v>
      </c>
    </row>
    <row r="1268" spans="1:8" hidden="1" x14ac:dyDescent="0.25">
      <c r="A1268">
        <v>80022</v>
      </c>
      <c r="B1268" t="s">
        <v>16033</v>
      </c>
      <c r="C1268" t="s">
        <v>15134</v>
      </c>
      <c r="D1268" t="s">
        <v>15135</v>
      </c>
      <c r="E1268">
        <v>73481001</v>
      </c>
      <c r="F1268" t="s">
        <v>15145</v>
      </c>
      <c r="G1268" t="b">
        <v>0</v>
      </c>
      <c r="H1268" t="s">
        <v>16034</v>
      </c>
    </row>
    <row r="1269" spans="1:8" hidden="1" x14ac:dyDescent="0.25">
      <c r="A1269">
        <v>9202</v>
      </c>
      <c r="B1269" t="s">
        <v>15411</v>
      </c>
      <c r="C1269" t="s">
        <v>15134</v>
      </c>
      <c r="D1269" t="s">
        <v>15135</v>
      </c>
      <c r="E1269">
        <v>73141001</v>
      </c>
    </row>
    <row r="1270" spans="1:8" hidden="1" x14ac:dyDescent="0.25">
      <c r="A1270">
        <v>9497</v>
      </c>
      <c r="B1270" t="s">
        <v>15571</v>
      </c>
      <c r="C1270" t="s">
        <v>15134</v>
      </c>
      <c r="D1270" t="s">
        <v>15135</v>
      </c>
      <c r="E1270">
        <v>73277002</v>
      </c>
    </row>
    <row r="1271" spans="1:8" hidden="1" x14ac:dyDescent="0.25">
      <c r="A1271">
        <v>9379</v>
      </c>
      <c r="B1271" t="s">
        <v>15500</v>
      </c>
      <c r="C1271" t="s">
        <v>15134</v>
      </c>
      <c r="D1271" t="s">
        <v>15135</v>
      </c>
      <c r="E1271">
        <v>73235001</v>
      </c>
    </row>
    <row r="1272" spans="1:8" hidden="1" x14ac:dyDescent="0.25">
      <c r="A1272">
        <v>8997</v>
      </c>
      <c r="B1272" t="s">
        <v>15305</v>
      </c>
      <c r="C1272" t="s">
        <v>15134</v>
      </c>
      <c r="D1272" t="s">
        <v>15135</v>
      </c>
      <c r="E1272">
        <v>73012001</v>
      </c>
    </row>
    <row r="1273" spans="1:8" hidden="1" x14ac:dyDescent="0.25">
      <c r="A1273">
        <v>9131</v>
      </c>
      <c r="B1273" t="s">
        <v>15305</v>
      </c>
      <c r="C1273" t="s">
        <v>15134</v>
      </c>
      <c r="D1273" t="s">
        <v>15135</v>
      </c>
      <c r="E1273">
        <v>73090001</v>
      </c>
    </row>
    <row r="1274" spans="1:8" hidden="1" x14ac:dyDescent="0.25">
      <c r="A1274">
        <v>9881</v>
      </c>
      <c r="B1274" t="s">
        <v>15713</v>
      </c>
      <c r="C1274" t="s">
        <v>15134</v>
      </c>
      <c r="D1274" t="s">
        <v>15135</v>
      </c>
      <c r="E1274">
        <v>103017001</v>
      </c>
    </row>
    <row r="1275" spans="1:8" hidden="1" x14ac:dyDescent="0.25">
      <c r="A1275">
        <v>10036</v>
      </c>
      <c r="B1275" t="s">
        <v>15713</v>
      </c>
      <c r="C1275" t="s">
        <v>15134</v>
      </c>
      <c r="D1275" t="s">
        <v>15135</v>
      </c>
      <c r="E1275">
        <v>103103002</v>
      </c>
    </row>
    <row r="1276" spans="1:8" hidden="1" x14ac:dyDescent="0.25">
      <c r="A1276">
        <v>90513</v>
      </c>
      <c r="B1276" t="s">
        <v>16640</v>
      </c>
      <c r="C1276" t="s">
        <v>15134</v>
      </c>
      <c r="D1276" t="s">
        <v>15135</v>
      </c>
      <c r="E1276">
        <v>103218001</v>
      </c>
      <c r="F1276" t="s">
        <v>15145</v>
      </c>
      <c r="G1276" t="b">
        <v>1</v>
      </c>
      <c r="H1276" t="s">
        <v>16641</v>
      </c>
    </row>
    <row r="1277" spans="1:8" hidden="1" x14ac:dyDescent="0.25">
      <c r="A1277">
        <v>90513</v>
      </c>
      <c r="B1277" t="s">
        <v>16640</v>
      </c>
      <c r="C1277" t="s">
        <v>15134</v>
      </c>
      <c r="D1277" t="s">
        <v>15135</v>
      </c>
      <c r="E1277">
        <v>103218001</v>
      </c>
      <c r="F1277" t="s">
        <v>15138</v>
      </c>
      <c r="G1277" t="b">
        <v>1</v>
      </c>
      <c r="H1277" t="s">
        <v>16641</v>
      </c>
    </row>
    <row r="1278" spans="1:8" hidden="1" x14ac:dyDescent="0.25">
      <c r="A1278">
        <v>90513</v>
      </c>
      <c r="B1278" t="s">
        <v>16640</v>
      </c>
      <c r="C1278" t="s">
        <v>15134</v>
      </c>
      <c r="D1278" t="s">
        <v>15135</v>
      </c>
      <c r="E1278">
        <v>103218001</v>
      </c>
      <c r="F1278" t="s">
        <v>15136</v>
      </c>
      <c r="G1278" t="b">
        <v>1</v>
      </c>
      <c r="H1278" t="s">
        <v>16641</v>
      </c>
    </row>
    <row r="1279" spans="1:8" hidden="1" x14ac:dyDescent="0.25">
      <c r="A1279">
        <v>1001511</v>
      </c>
      <c r="B1279" t="s">
        <v>17206</v>
      </c>
      <c r="C1279" t="s">
        <v>15134</v>
      </c>
      <c r="D1279" t="s">
        <v>15135</v>
      </c>
      <c r="E1279">
        <v>103218002</v>
      </c>
      <c r="F1279" t="s">
        <v>15138</v>
      </c>
      <c r="G1279" t="b">
        <v>0</v>
      </c>
      <c r="H1279" t="s">
        <v>17207</v>
      </c>
    </row>
    <row r="1280" spans="1:8" hidden="1" x14ac:dyDescent="0.25">
      <c r="A1280">
        <v>1001511</v>
      </c>
      <c r="B1280" t="s">
        <v>17206</v>
      </c>
      <c r="C1280" t="s">
        <v>15134</v>
      </c>
      <c r="D1280" t="s">
        <v>15135</v>
      </c>
      <c r="E1280">
        <v>103218002</v>
      </c>
      <c r="F1280" t="s">
        <v>15136</v>
      </c>
      <c r="G1280" t="b">
        <v>1</v>
      </c>
      <c r="H1280" t="s">
        <v>17208</v>
      </c>
    </row>
    <row r="1281" spans="1:8" hidden="1" x14ac:dyDescent="0.25">
      <c r="A1281">
        <v>90512</v>
      </c>
      <c r="B1281" t="s">
        <v>16638</v>
      </c>
      <c r="C1281" t="s">
        <v>15134</v>
      </c>
      <c r="D1281" t="s">
        <v>15135</v>
      </c>
      <c r="E1281">
        <v>103218000</v>
      </c>
      <c r="F1281" t="s">
        <v>15136</v>
      </c>
      <c r="G1281" t="b">
        <v>1</v>
      </c>
      <c r="H1281" t="s">
        <v>16538</v>
      </c>
    </row>
    <row r="1282" spans="1:8" hidden="1" x14ac:dyDescent="0.25">
      <c r="A1282">
        <v>90512</v>
      </c>
      <c r="B1282" t="s">
        <v>16638</v>
      </c>
      <c r="C1282" t="s">
        <v>15134</v>
      </c>
      <c r="D1282" t="s">
        <v>15135</v>
      </c>
      <c r="E1282">
        <v>103218000</v>
      </c>
      <c r="F1282" t="s">
        <v>15138</v>
      </c>
      <c r="G1282" t="b">
        <v>1</v>
      </c>
      <c r="H1282" t="s">
        <v>16639</v>
      </c>
    </row>
    <row r="1283" spans="1:8" hidden="1" x14ac:dyDescent="0.25">
      <c r="A1283">
        <v>92712</v>
      </c>
      <c r="B1283" t="s">
        <v>16911</v>
      </c>
      <c r="C1283" t="s">
        <v>15134</v>
      </c>
      <c r="D1283" t="s">
        <v>15135</v>
      </c>
      <c r="E1283">
        <v>73316001</v>
      </c>
    </row>
    <row r="1284" spans="1:8" hidden="1" x14ac:dyDescent="0.25">
      <c r="A1284">
        <v>92960</v>
      </c>
      <c r="B1284" t="s">
        <v>16947</v>
      </c>
      <c r="C1284" t="s">
        <v>15134</v>
      </c>
      <c r="D1284" t="s">
        <v>15135</v>
      </c>
      <c r="E1284">
        <v>73316002</v>
      </c>
      <c r="F1284" t="s">
        <v>15138</v>
      </c>
      <c r="G1284" t="b">
        <v>1</v>
      </c>
      <c r="H1284" t="s">
        <v>16948</v>
      </c>
    </row>
    <row r="1285" spans="1:8" hidden="1" x14ac:dyDescent="0.25">
      <c r="A1285">
        <v>92711</v>
      </c>
      <c r="B1285" t="s">
        <v>16909</v>
      </c>
      <c r="C1285" t="s">
        <v>15134</v>
      </c>
      <c r="D1285" t="s">
        <v>15135</v>
      </c>
      <c r="E1285">
        <v>73316000</v>
      </c>
      <c r="F1285" t="s">
        <v>15136</v>
      </c>
      <c r="G1285" t="b">
        <v>1</v>
      </c>
      <c r="H1285" t="s">
        <v>16910</v>
      </c>
    </row>
    <row r="1286" spans="1:8" hidden="1" x14ac:dyDescent="0.25">
      <c r="A1286">
        <v>92711</v>
      </c>
      <c r="B1286" t="s">
        <v>16909</v>
      </c>
      <c r="C1286" t="s">
        <v>15134</v>
      </c>
      <c r="D1286" t="s">
        <v>15135</v>
      </c>
      <c r="E1286">
        <v>73316000</v>
      </c>
      <c r="F1286" t="s">
        <v>15138</v>
      </c>
      <c r="G1286" t="b">
        <v>1</v>
      </c>
      <c r="H1286" t="s">
        <v>16910</v>
      </c>
    </row>
    <row r="1287" spans="1:8" hidden="1" x14ac:dyDescent="0.25">
      <c r="A1287">
        <v>90703</v>
      </c>
      <c r="B1287" t="s">
        <v>16667</v>
      </c>
      <c r="C1287" t="s">
        <v>15134</v>
      </c>
      <c r="D1287" t="s">
        <v>15135</v>
      </c>
      <c r="E1287">
        <v>73706002</v>
      </c>
      <c r="F1287" t="s">
        <v>15145</v>
      </c>
      <c r="G1287" t="b">
        <v>1</v>
      </c>
      <c r="H1287" t="s">
        <v>16668</v>
      </c>
    </row>
    <row r="1288" spans="1:8" hidden="1" x14ac:dyDescent="0.25">
      <c r="A1288">
        <v>90702</v>
      </c>
      <c r="B1288" t="s">
        <v>16665</v>
      </c>
      <c r="C1288" t="s">
        <v>15134</v>
      </c>
      <c r="D1288" t="s">
        <v>15135</v>
      </c>
      <c r="E1288">
        <v>73706001</v>
      </c>
      <c r="F1288" t="s">
        <v>15145</v>
      </c>
      <c r="G1288" t="b">
        <v>1</v>
      </c>
      <c r="H1288" t="s">
        <v>16666</v>
      </c>
    </row>
    <row r="1289" spans="1:8" hidden="1" x14ac:dyDescent="0.25">
      <c r="A1289">
        <v>90701</v>
      </c>
      <c r="B1289" t="s">
        <v>16662</v>
      </c>
      <c r="C1289" t="s">
        <v>15134</v>
      </c>
      <c r="D1289" t="s">
        <v>15135</v>
      </c>
      <c r="E1289">
        <v>73706000</v>
      </c>
      <c r="F1289" t="s">
        <v>15138</v>
      </c>
      <c r="G1289" t="b">
        <v>0</v>
      </c>
      <c r="H1289" t="s">
        <v>16663</v>
      </c>
    </row>
    <row r="1290" spans="1:8" hidden="1" x14ac:dyDescent="0.25">
      <c r="A1290">
        <v>90701</v>
      </c>
      <c r="B1290" t="s">
        <v>16662</v>
      </c>
      <c r="C1290" t="s">
        <v>15134</v>
      </c>
      <c r="D1290" t="s">
        <v>15135</v>
      </c>
      <c r="E1290">
        <v>73706000</v>
      </c>
      <c r="F1290" t="s">
        <v>15136</v>
      </c>
      <c r="G1290" t="b">
        <v>1</v>
      </c>
      <c r="H1290" t="s">
        <v>16664</v>
      </c>
    </row>
    <row r="1291" spans="1:8" hidden="1" x14ac:dyDescent="0.25">
      <c r="A1291">
        <v>89933</v>
      </c>
      <c r="B1291" t="s">
        <v>16506</v>
      </c>
      <c r="C1291" t="s">
        <v>15134</v>
      </c>
      <c r="D1291" t="s">
        <v>15135</v>
      </c>
      <c r="E1291">
        <v>83023001</v>
      </c>
      <c r="F1291" t="s">
        <v>15145</v>
      </c>
      <c r="G1291" t="b">
        <v>1</v>
      </c>
      <c r="H1291" t="s">
        <v>16504</v>
      </c>
    </row>
    <row r="1292" spans="1:8" hidden="1" x14ac:dyDescent="0.25">
      <c r="A1292">
        <v>89933</v>
      </c>
      <c r="B1292" t="s">
        <v>16506</v>
      </c>
      <c r="C1292" t="s">
        <v>15134</v>
      </c>
      <c r="D1292" t="s">
        <v>15135</v>
      </c>
      <c r="E1292">
        <v>83023001</v>
      </c>
      <c r="F1292" t="s">
        <v>15138</v>
      </c>
      <c r="G1292" t="b">
        <v>1</v>
      </c>
      <c r="H1292" t="s">
        <v>16504</v>
      </c>
    </row>
    <row r="1293" spans="1:8" hidden="1" x14ac:dyDescent="0.25">
      <c r="A1293">
        <v>89932</v>
      </c>
      <c r="B1293" t="s">
        <v>16503</v>
      </c>
      <c r="C1293" t="s">
        <v>15134</v>
      </c>
      <c r="D1293" t="s">
        <v>15135</v>
      </c>
      <c r="E1293">
        <v>83023000</v>
      </c>
      <c r="F1293" t="s">
        <v>15138</v>
      </c>
      <c r="G1293" t="b">
        <v>1</v>
      </c>
      <c r="H1293" t="s">
        <v>16504</v>
      </c>
    </row>
    <row r="1294" spans="1:8" hidden="1" x14ac:dyDescent="0.25">
      <c r="A1294">
        <v>89932</v>
      </c>
      <c r="B1294" t="s">
        <v>16503</v>
      </c>
      <c r="C1294" t="s">
        <v>15134</v>
      </c>
      <c r="D1294" t="s">
        <v>15135</v>
      </c>
      <c r="E1294">
        <v>83023000</v>
      </c>
      <c r="F1294" t="s">
        <v>15136</v>
      </c>
      <c r="G1294" t="b">
        <v>1</v>
      </c>
      <c r="H1294" t="s">
        <v>16505</v>
      </c>
    </row>
    <row r="1295" spans="1:8" hidden="1" x14ac:dyDescent="0.25">
      <c r="A1295">
        <v>9199</v>
      </c>
      <c r="B1295" t="s">
        <v>15409</v>
      </c>
      <c r="C1295" t="s">
        <v>15134</v>
      </c>
      <c r="D1295" t="s">
        <v>15135</v>
      </c>
      <c r="E1295">
        <v>73140000</v>
      </c>
      <c r="F1295" t="s">
        <v>15136</v>
      </c>
      <c r="G1295" t="b">
        <v>1</v>
      </c>
      <c r="H1295" t="s">
        <v>15410</v>
      </c>
    </row>
    <row r="1296" spans="1:8" hidden="1" x14ac:dyDescent="0.25">
      <c r="A1296">
        <v>9199</v>
      </c>
      <c r="B1296" t="s">
        <v>15409</v>
      </c>
      <c r="C1296" t="s">
        <v>15134</v>
      </c>
      <c r="D1296" t="s">
        <v>15135</v>
      </c>
      <c r="E1296">
        <v>73140000</v>
      </c>
      <c r="F1296" t="s">
        <v>15138</v>
      </c>
      <c r="G1296" t="b">
        <v>1</v>
      </c>
      <c r="H1296" t="s">
        <v>15410</v>
      </c>
    </row>
    <row r="1297" spans="1:8" hidden="1" x14ac:dyDescent="0.25">
      <c r="A1297">
        <v>9200</v>
      </c>
      <c r="B1297" t="s">
        <v>15409</v>
      </c>
      <c r="C1297" t="s">
        <v>15134</v>
      </c>
      <c r="D1297" t="s">
        <v>15135</v>
      </c>
      <c r="E1297">
        <v>73140001</v>
      </c>
    </row>
    <row r="1298" spans="1:8" hidden="1" x14ac:dyDescent="0.25">
      <c r="A1298">
        <v>9974</v>
      </c>
      <c r="B1298" t="s">
        <v>15760</v>
      </c>
      <c r="C1298" t="s">
        <v>15134</v>
      </c>
      <c r="D1298" t="s">
        <v>15135</v>
      </c>
      <c r="E1298">
        <v>103079000</v>
      </c>
      <c r="F1298" t="s">
        <v>15136</v>
      </c>
      <c r="G1298" t="b">
        <v>0</v>
      </c>
      <c r="H1298" t="s">
        <v>15761</v>
      </c>
    </row>
    <row r="1299" spans="1:8" hidden="1" x14ac:dyDescent="0.25">
      <c r="A1299">
        <v>9974</v>
      </c>
      <c r="B1299" t="s">
        <v>15760</v>
      </c>
      <c r="C1299" t="s">
        <v>15134</v>
      </c>
      <c r="D1299" t="s">
        <v>15135</v>
      </c>
      <c r="E1299">
        <v>103079000</v>
      </c>
      <c r="F1299" t="s">
        <v>15138</v>
      </c>
      <c r="G1299" t="b">
        <v>0</v>
      </c>
      <c r="H1299" t="s">
        <v>15761</v>
      </c>
    </row>
    <row r="1300" spans="1:8" hidden="1" x14ac:dyDescent="0.25">
      <c r="A1300">
        <v>9975</v>
      </c>
      <c r="B1300" t="s">
        <v>15762</v>
      </c>
      <c r="C1300" t="s">
        <v>15134</v>
      </c>
      <c r="D1300" t="s">
        <v>15135</v>
      </c>
      <c r="E1300">
        <v>103079001</v>
      </c>
    </row>
    <row r="1301" spans="1:8" hidden="1" x14ac:dyDescent="0.25">
      <c r="A1301">
        <v>80545</v>
      </c>
      <c r="B1301" t="s">
        <v>16112</v>
      </c>
      <c r="C1301" t="s">
        <v>15134</v>
      </c>
      <c r="D1301" t="s">
        <v>15135</v>
      </c>
      <c r="E1301">
        <v>73434001</v>
      </c>
      <c r="F1301" t="s">
        <v>15138</v>
      </c>
      <c r="G1301" t="b">
        <v>1</v>
      </c>
      <c r="H1301" t="s">
        <v>16113</v>
      </c>
    </row>
    <row r="1302" spans="1:8" hidden="1" x14ac:dyDescent="0.25">
      <c r="A1302">
        <v>80545</v>
      </c>
      <c r="B1302" t="s">
        <v>16112</v>
      </c>
      <c r="C1302" t="s">
        <v>15134</v>
      </c>
      <c r="D1302" t="s">
        <v>15135</v>
      </c>
      <c r="E1302">
        <v>73434001</v>
      </c>
      <c r="F1302" t="s">
        <v>15145</v>
      </c>
      <c r="G1302" t="b">
        <v>1</v>
      </c>
      <c r="H1302" t="s">
        <v>16113</v>
      </c>
    </row>
    <row r="1303" spans="1:8" hidden="1" x14ac:dyDescent="0.25">
      <c r="A1303">
        <v>9097</v>
      </c>
      <c r="B1303" t="s">
        <v>15358</v>
      </c>
      <c r="C1303" t="s">
        <v>15134</v>
      </c>
      <c r="D1303" t="s">
        <v>15135</v>
      </c>
      <c r="E1303">
        <v>73072001</v>
      </c>
    </row>
    <row r="1304" spans="1:8" hidden="1" x14ac:dyDescent="0.25">
      <c r="A1304">
        <v>9209</v>
      </c>
      <c r="B1304" t="s">
        <v>15413</v>
      </c>
      <c r="C1304" t="s">
        <v>15134</v>
      </c>
      <c r="D1304" t="s">
        <v>15135</v>
      </c>
      <c r="E1304">
        <v>73147001</v>
      </c>
    </row>
    <row r="1305" spans="1:8" hidden="1" x14ac:dyDescent="0.25">
      <c r="A1305">
        <v>9210</v>
      </c>
      <c r="B1305" t="s">
        <v>15414</v>
      </c>
      <c r="C1305" t="s">
        <v>15134</v>
      </c>
      <c r="D1305" t="s">
        <v>15135</v>
      </c>
      <c r="E1305">
        <v>73147002</v>
      </c>
    </row>
    <row r="1306" spans="1:8" hidden="1" x14ac:dyDescent="0.25">
      <c r="A1306">
        <v>518521</v>
      </c>
      <c r="B1306" t="s">
        <v>17004</v>
      </c>
      <c r="C1306" t="s">
        <v>15134</v>
      </c>
      <c r="D1306" t="s">
        <v>15135</v>
      </c>
      <c r="E1306">
        <v>103154000</v>
      </c>
      <c r="F1306" t="s">
        <v>15136</v>
      </c>
      <c r="G1306" t="b">
        <v>1</v>
      </c>
      <c r="H1306" t="s">
        <v>17005</v>
      </c>
    </row>
    <row r="1307" spans="1:8" hidden="1" x14ac:dyDescent="0.25">
      <c r="A1307">
        <v>815714</v>
      </c>
      <c r="B1307" t="s">
        <v>17025</v>
      </c>
      <c r="C1307" t="s">
        <v>15134</v>
      </c>
      <c r="D1307" t="s">
        <v>15135</v>
      </c>
      <c r="E1307">
        <v>73339001</v>
      </c>
      <c r="F1307" t="s">
        <v>15136</v>
      </c>
      <c r="G1307" t="b">
        <v>1</v>
      </c>
      <c r="H1307" t="s">
        <v>15871</v>
      </c>
    </row>
    <row r="1308" spans="1:8" hidden="1" x14ac:dyDescent="0.25">
      <c r="A1308">
        <v>50949</v>
      </c>
      <c r="B1308" t="s">
        <v>15870</v>
      </c>
      <c r="C1308" t="s">
        <v>15134</v>
      </c>
      <c r="D1308" t="s">
        <v>15135</v>
      </c>
      <c r="E1308">
        <v>73339000</v>
      </c>
      <c r="F1308" t="s">
        <v>15136</v>
      </c>
      <c r="G1308" t="b">
        <v>1</v>
      </c>
      <c r="H1308" t="s">
        <v>15871</v>
      </c>
    </row>
    <row r="1309" spans="1:8" hidden="1" x14ac:dyDescent="0.25">
      <c r="A1309">
        <v>79752</v>
      </c>
      <c r="B1309" t="s">
        <v>15988</v>
      </c>
      <c r="C1309" t="s">
        <v>15134</v>
      </c>
      <c r="D1309" t="s">
        <v>15135</v>
      </c>
      <c r="E1309">
        <v>73463001</v>
      </c>
      <c r="F1309" t="s">
        <v>15138</v>
      </c>
      <c r="G1309" t="b">
        <v>1</v>
      </c>
      <c r="H1309" t="s">
        <v>15989</v>
      </c>
    </row>
    <row r="1310" spans="1:8" hidden="1" x14ac:dyDescent="0.25">
      <c r="A1310">
        <v>79752</v>
      </c>
      <c r="B1310" t="s">
        <v>15988</v>
      </c>
      <c r="C1310" t="s">
        <v>15134</v>
      </c>
      <c r="D1310" t="s">
        <v>15135</v>
      </c>
      <c r="E1310">
        <v>73463001</v>
      </c>
      <c r="F1310" t="s">
        <v>15145</v>
      </c>
      <c r="G1310" t="b">
        <v>1</v>
      </c>
      <c r="H1310" t="s">
        <v>15990</v>
      </c>
    </row>
    <row r="1311" spans="1:8" hidden="1" x14ac:dyDescent="0.25">
      <c r="A1311">
        <v>89642</v>
      </c>
      <c r="B1311" t="s">
        <v>16417</v>
      </c>
      <c r="C1311" t="s">
        <v>15134</v>
      </c>
      <c r="D1311" t="s">
        <v>15135</v>
      </c>
      <c r="E1311">
        <v>23014001</v>
      </c>
      <c r="F1311" t="s">
        <v>15145</v>
      </c>
      <c r="G1311" t="b">
        <v>1</v>
      </c>
      <c r="H1311" t="s">
        <v>16418</v>
      </c>
    </row>
    <row r="1312" spans="1:8" hidden="1" x14ac:dyDescent="0.25">
      <c r="A1312">
        <v>89642</v>
      </c>
      <c r="B1312" t="s">
        <v>16417</v>
      </c>
      <c r="C1312" t="s">
        <v>15134</v>
      </c>
      <c r="D1312" t="s">
        <v>15135</v>
      </c>
      <c r="E1312">
        <v>23014001</v>
      </c>
      <c r="F1312" t="s">
        <v>15138</v>
      </c>
      <c r="G1312" t="b">
        <v>1</v>
      </c>
      <c r="H1312" t="s">
        <v>16418</v>
      </c>
    </row>
    <row r="1313" spans="1:8" hidden="1" x14ac:dyDescent="0.25">
      <c r="A1313">
        <v>92307</v>
      </c>
      <c r="B1313" t="s">
        <v>16849</v>
      </c>
      <c r="C1313" t="s">
        <v>15134</v>
      </c>
      <c r="D1313" t="s">
        <v>15135</v>
      </c>
      <c r="E1313">
        <v>23014002</v>
      </c>
    </row>
    <row r="1314" spans="1:8" hidden="1" x14ac:dyDescent="0.25">
      <c r="A1314">
        <v>89737</v>
      </c>
      <c r="B1314" t="s">
        <v>16446</v>
      </c>
      <c r="C1314" t="s">
        <v>15134</v>
      </c>
      <c r="D1314" t="s">
        <v>15135</v>
      </c>
      <c r="E1314">
        <v>83021001</v>
      </c>
      <c r="F1314" t="s">
        <v>15145</v>
      </c>
      <c r="G1314" t="b">
        <v>1</v>
      </c>
      <c r="H1314" t="s">
        <v>16447</v>
      </c>
    </row>
    <row r="1315" spans="1:8" hidden="1" x14ac:dyDescent="0.25">
      <c r="A1315">
        <v>89737</v>
      </c>
      <c r="B1315" t="s">
        <v>16446</v>
      </c>
      <c r="C1315" t="s">
        <v>15134</v>
      </c>
      <c r="D1315" t="s">
        <v>15135</v>
      </c>
      <c r="E1315">
        <v>83021001</v>
      </c>
      <c r="F1315" t="s">
        <v>15138</v>
      </c>
      <c r="G1315" t="b">
        <v>1</v>
      </c>
      <c r="H1315" t="s">
        <v>16447</v>
      </c>
    </row>
    <row r="1316" spans="1:8" hidden="1" x14ac:dyDescent="0.25">
      <c r="A1316">
        <v>90940</v>
      </c>
      <c r="B1316" t="s">
        <v>16736</v>
      </c>
      <c r="C1316" t="s">
        <v>15134</v>
      </c>
      <c r="D1316" t="s">
        <v>15135</v>
      </c>
      <c r="E1316">
        <v>103222000</v>
      </c>
      <c r="F1316" t="s">
        <v>15136</v>
      </c>
      <c r="G1316" t="b">
        <v>0</v>
      </c>
      <c r="H1316" t="s">
        <v>16737</v>
      </c>
    </row>
    <row r="1317" spans="1:8" hidden="1" x14ac:dyDescent="0.25">
      <c r="A1317">
        <v>90940</v>
      </c>
      <c r="B1317" t="s">
        <v>16736</v>
      </c>
      <c r="C1317" t="s">
        <v>15134</v>
      </c>
      <c r="D1317" t="s">
        <v>15135</v>
      </c>
      <c r="E1317">
        <v>103222000</v>
      </c>
      <c r="F1317" t="s">
        <v>15138</v>
      </c>
      <c r="G1317" t="b">
        <v>0</v>
      </c>
      <c r="H1317" t="s">
        <v>16738</v>
      </c>
    </row>
    <row r="1318" spans="1:8" hidden="1" x14ac:dyDescent="0.25">
      <c r="A1318">
        <v>90941</v>
      </c>
      <c r="B1318" t="s">
        <v>16736</v>
      </c>
      <c r="C1318" t="s">
        <v>15134</v>
      </c>
      <c r="D1318" t="s">
        <v>15135</v>
      </c>
      <c r="E1318">
        <v>103222001</v>
      </c>
      <c r="F1318" t="s">
        <v>15136</v>
      </c>
      <c r="G1318" t="b">
        <v>0</v>
      </c>
      <c r="H1318" t="s">
        <v>16737</v>
      </c>
    </row>
    <row r="1319" spans="1:8" hidden="1" x14ac:dyDescent="0.25">
      <c r="A1319">
        <v>90941</v>
      </c>
      <c r="B1319" t="s">
        <v>16736</v>
      </c>
      <c r="C1319" t="s">
        <v>15134</v>
      </c>
      <c r="D1319" t="s">
        <v>15135</v>
      </c>
      <c r="E1319">
        <v>103222001</v>
      </c>
      <c r="F1319" t="s">
        <v>15138</v>
      </c>
      <c r="G1319" t="b">
        <v>0</v>
      </c>
      <c r="H1319" t="s">
        <v>16737</v>
      </c>
    </row>
    <row r="1320" spans="1:8" hidden="1" x14ac:dyDescent="0.25">
      <c r="A1320">
        <v>90941</v>
      </c>
      <c r="B1320" t="s">
        <v>16736</v>
      </c>
      <c r="C1320" t="s">
        <v>15134</v>
      </c>
      <c r="D1320" t="s">
        <v>15135</v>
      </c>
      <c r="E1320">
        <v>103222001</v>
      </c>
      <c r="F1320" t="s">
        <v>15145</v>
      </c>
      <c r="G1320" t="b">
        <v>0</v>
      </c>
      <c r="H1320" t="s">
        <v>16738</v>
      </c>
    </row>
    <row r="1321" spans="1:8" hidden="1" x14ac:dyDescent="0.25">
      <c r="A1321">
        <v>91347</v>
      </c>
      <c r="B1321" t="s">
        <v>16784</v>
      </c>
      <c r="C1321" t="s">
        <v>15134</v>
      </c>
      <c r="D1321" t="s">
        <v>15135</v>
      </c>
      <c r="E1321">
        <v>103226002</v>
      </c>
      <c r="F1321" t="s">
        <v>15145</v>
      </c>
      <c r="G1321" t="b">
        <v>1</v>
      </c>
      <c r="H1321" t="s">
        <v>16779</v>
      </c>
    </row>
    <row r="1322" spans="1:8" hidden="1" x14ac:dyDescent="0.25">
      <c r="A1322">
        <v>91336</v>
      </c>
      <c r="B1322" t="s">
        <v>16778</v>
      </c>
      <c r="C1322" t="s">
        <v>15134</v>
      </c>
      <c r="D1322" t="s">
        <v>15135</v>
      </c>
      <c r="E1322">
        <v>103226000</v>
      </c>
      <c r="F1322" t="s">
        <v>15138</v>
      </c>
      <c r="G1322" t="b">
        <v>1</v>
      </c>
      <c r="H1322" t="s">
        <v>16779</v>
      </c>
    </row>
    <row r="1323" spans="1:8" hidden="1" x14ac:dyDescent="0.25">
      <c r="A1323">
        <v>91336</v>
      </c>
      <c r="B1323" t="s">
        <v>16778</v>
      </c>
      <c r="C1323" t="s">
        <v>15134</v>
      </c>
      <c r="D1323" t="s">
        <v>15135</v>
      </c>
      <c r="E1323">
        <v>103226000</v>
      </c>
      <c r="F1323" t="s">
        <v>15136</v>
      </c>
      <c r="G1323" t="b">
        <v>1</v>
      </c>
      <c r="H1323" t="s">
        <v>16780</v>
      </c>
    </row>
    <row r="1324" spans="1:8" hidden="1" x14ac:dyDescent="0.25">
      <c r="A1324">
        <v>91337</v>
      </c>
      <c r="B1324" t="s">
        <v>16778</v>
      </c>
      <c r="C1324" t="s">
        <v>15134</v>
      </c>
      <c r="D1324" t="s">
        <v>15135</v>
      </c>
      <c r="E1324">
        <v>103226001</v>
      </c>
      <c r="F1324" t="s">
        <v>15145</v>
      </c>
      <c r="G1324" t="b">
        <v>1</v>
      </c>
      <c r="H1324" t="s">
        <v>16781</v>
      </c>
    </row>
    <row r="1325" spans="1:8" hidden="1" x14ac:dyDescent="0.25">
      <c r="A1325">
        <v>91337</v>
      </c>
      <c r="B1325" t="s">
        <v>16778</v>
      </c>
      <c r="C1325" t="s">
        <v>15134</v>
      </c>
      <c r="D1325" t="s">
        <v>15135</v>
      </c>
      <c r="E1325">
        <v>103226001</v>
      </c>
      <c r="F1325" t="s">
        <v>15138</v>
      </c>
      <c r="G1325" t="b">
        <v>1</v>
      </c>
      <c r="H1325" t="s">
        <v>16781</v>
      </c>
    </row>
    <row r="1326" spans="1:8" hidden="1" x14ac:dyDescent="0.25">
      <c r="A1326">
        <v>555412</v>
      </c>
      <c r="B1326" t="s">
        <v>17008</v>
      </c>
      <c r="C1326" t="s">
        <v>15134</v>
      </c>
      <c r="D1326" t="s">
        <v>15135</v>
      </c>
      <c r="E1326">
        <v>73721000</v>
      </c>
      <c r="F1326" t="s">
        <v>15136</v>
      </c>
      <c r="G1326" t="b">
        <v>1</v>
      </c>
      <c r="H1326" t="s">
        <v>17009</v>
      </c>
    </row>
    <row r="1327" spans="1:8" hidden="1" x14ac:dyDescent="0.25">
      <c r="A1327">
        <v>555412</v>
      </c>
      <c r="B1327" t="s">
        <v>17008</v>
      </c>
      <c r="C1327" t="s">
        <v>15134</v>
      </c>
      <c r="D1327" t="s">
        <v>15135</v>
      </c>
      <c r="E1327">
        <v>73721000</v>
      </c>
      <c r="F1327" t="s">
        <v>15138</v>
      </c>
      <c r="G1327" t="b">
        <v>1</v>
      </c>
      <c r="H1327" t="s">
        <v>17010</v>
      </c>
    </row>
    <row r="1328" spans="1:8" hidden="1" x14ac:dyDescent="0.25">
      <c r="A1328">
        <v>1000141</v>
      </c>
      <c r="B1328" t="s">
        <v>17105</v>
      </c>
      <c r="C1328" t="s">
        <v>15134</v>
      </c>
      <c r="D1328" t="s">
        <v>15135</v>
      </c>
      <c r="E1328">
        <v>73721002</v>
      </c>
      <c r="F1328" t="s">
        <v>15136</v>
      </c>
      <c r="G1328" t="b">
        <v>1</v>
      </c>
      <c r="H1328" t="s">
        <v>17106</v>
      </c>
    </row>
    <row r="1329" spans="1:8" hidden="1" x14ac:dyDescent="0.25">
      <c r="A1329">
        <v>1000141</v>
      </c>
      <c r="B1329" t="s">
        <v>17105</v>
      </c>
      <c r="C1329" t="s">
        <v>15134</v>
      </c>
      <c r="D1329" t="s">
        <v>15135</v>
      </c>
      <c r="E1329">
        <v>73721002</v>
      </c>
      <c r="F1329" t="s">
        <v>15138</v>
      </c>
      <c r="G1329" t="b">
        <v>1</v>
      </c>
      <c r="H1329" t="s">
        <v>17106</v>
      </c>
    </row>
    <row r="1330" spans="1:8" hidden="1" x14ac:dyDescent="0.25">
      <c r="A1330">
        <v>9021</v>
      </c>
      <c r="B1330" t="s">
        <v>15319</v>
      </c>
      <c r="C1330" t="s">
        <v>15134</v>
      </c>
      <c r="D1330" t="s">
        <v>15135</v>
      </c>
      <c r="E1330">
        <v>73025001</v>
      </c>
    </row>
    <row r="1331" spans="1:8" hidden="1" x14ac:dyDescent="0.25">
      <c r="A1331">
        <v>89671</v>
      </c>
      <c r="B1331" t="s">
        <v>16428</v>
      </c>
      <c r="C1331" t="s">
        <v>15134</v>
      </c>
      <c r="D1331" t="s">
        <v>15135</v>
      </c>
      <c r="E1331">
        <v>73556001</v>
      </c>
      <c r="F1331" t="s">
        <v>15145</v>
      </c>
      <c r="G1331" t="b">
        <v>1</v>
      </c>
      <c r="H1331" t="s">
        <v>16427</v>
      </c>
    </row>
    <row r="1332" spans="1:8" hidden="1" x14ac:dyDescent="0.25">
      <c r="A1332">
        <v>89671</v>
      </c>
      <c r="B1332" t="s">
        <v>16428</v>
      </c>
      <c r="C1332" t="s">
        <v>15134</v>
      </c>
      <c r="D1332" t="s">
        <v>15135</v>
      </c>
      <c r="E1332">
        <v>73556001</v>
      </c>
      <c r="F1332" t="s">
        <v>15138</v>
      </c>
      <c r="G1332" t="b">
        <v>1</v>
      </c>
      <c r="H1332" t="s">
        <v>16427</v>
      </c>
    </row>
    <row r="1333" spans="1:8" hidden="1" x14ac:dyDescent="0.25">
      <c r="A1333">
        <v>89670</v>
      </c>
      <c r="B1333" t="s">
        <v>16426</v>
      </c>
      <c r="C1333" t="s">
        <v>15134</v>
      </c>
      <c r="D1333" t="s">
        <v>15135</v>
      </c>
      <c r="E1333">
        <v>73556000</v>
      </c>
      <c r="F1333" t="s">
        <v>15138</v>
      </c>
      <c r="G1333" t="b">
        <v>1</v>
      </c>
      <c r="H1333" t="s">
        <v>16427</v>
      </c>
    </row>
    <row r="1334" spans="1:8" hidden="1" x14ac:dyDescent="0.25">
      <c r="A1334">
        <v>89670</v>
      </c>
      <c r="B1334" t="s">
        <v>16426</v>
      </c>
      <c r="C1334" t="s">
        <v>15134</v>
      </c>
      <c r="D1334" t="s">
        <v>15135</v>
      </c>
      <c r="E1334">
        <v>73556000</v>
      </c>
      <c r="F1334" t="s">
        <v>15136</v>
      </c>
      <c r="G1334" t="b">
        <v>1</v>
      </c>
      <c r="H1334" t="s">
        <v>16427</v>
      </c>
    </row>
    <row r="1335" spans="1:8" hidden="1" x14ac:dyDescent="0.25">
      <c r="A1335">
        <v>142280</v>
      </c>
      <c r="B1335" t="s">
        <v>16970</v>
      </c>
      <c r="C1335" t="s">
        <v>15134</v>
      </c>
      <c r="D1335" t="s">
        <v>15135</v>
      </c>
      <c r="E1335">
        <v>103207006</v>
      </c>
    </row>
    <row r="1336" spans="1:8" hidden="1" x14ac:dyDescent="0.25">
      <c r="A1336">
        <v>9417</v>
      </c>
      <c r="B1336" t="s">
        <v>15519</v>
      </c>
      <c r="C1336" t="s">
        <v>15134</v>
      </c>
      <c r="D1336" t="s">
        <v>15135</v>
      </c>
      <c r="E1336">
        <v>73254001</v>
      </c>
    </row>
    <row r="1337" spans="1:8" hidden="1" x14ac:dyDescent="0.25">
      <c r="A1337">
        <v>9416</v>
      </c>
      <c r="B1337" t="s">
        <v>15516</v>
      </c>
      <c r="C1337" t="s">
        <v>15134</v>
      </c>
      <c r="D1337" t="s">
        <v>15135</v>
      </c>
      <c r="E1337">
        <v>73254000</v>
      </c>
      <c r="F1337" t="s">
        <v>15136</v>
      </c>
      <c r="G1337" t="b">
        <v>1</v>
      </c>
      <c r="H1337" t="s">
        <v>15517</v>
      </c>
    </row>
    <row r="1338" spans="1:8" hidden="1" x14ac:dyDescent="0.25">
      <c r="A1338">
        <v>9416</v>
      </c>
      <c r="B1338" t="s">
        <v>15516</v>
      </c>
      <c r="C1338" t="s">
        <v>15134</v>
      </c>
      <c r="D1338" t="s">
        <v>15135</v>
      </c>
      <c r="E1338">
        <v>73254000</v>
      </c>
      <c r="F1338" t="s">
        <v>15138</v>
      </c>
      <c r="G1338" t="b">
        <v>1</v>
      </c>
      <c r="H1338" t="s">
        <v>15518</v>
      </c>
    </row>
    <row r="1339" spans="1:8" hidden="1" x14ac:dyDescent="0.25">
      <c r="A1339">
        <v>80657</v>
      </c>
      <c r="B1339" t="s">
        <v>16158</v>
      </c>
      <c r="C1339" t="s">
        <v>15134</v>
      </c>
      <c r="D1339" t="s">
        <v>15135</v>
      </c>
      <c r="E1339">
        <v>73254002</v>
      </c>
      <c r="F1339" t="s">
        <v>15145</v>
      </c>
      <c r="G1339" t="b">
        <v>1</v>
      </c>
      <c r="H1339" t="s">
        <v>16159</v>
      </c>
    </row>
    <row r="1340" spans="1:8" hidden="1" x14ac:dyDescent="0.25">
      <c r="A1340">
        <v>80657</v>
      </c>
      <c r="B1340" t="s">
        <v>16158</v>
      </c>
      <c r="C1340" t="s">
        <v>15134</v>
      </c>
      <c r="D1340" t="s">
        <v>15135</v>
      </c>
      <c r="E1340">
        <v>73254002</v>
      </c>
      <c r="F1340" t="s">
        <v>15138</v>
      </c>
      <c r="G1340" t="b">
        <v>0</v>
      </c>
      <c r="H1340" t="s">
        <v>16160</v>
      </c>
    </row>
    <row r="1341" spans="1:8" hidden="1" x14ac:dyDescent="0.25">
      <c r="A1341">
        <v>92675</v>
      </c>
      <c r="B1341" t="s">
        <v>16888</v>
      </c>
      <c r="C1341" t="s">
        <v>15134</v>
      </c>
      <c r="D1341" t="s">
        <v>15135</v>
      </c>
      <c r="E1341">
        <v>72451006</v>
      </c>
      <c r="F1341" t="s">
        <v>15138</v>
      </c>
      <c r="G1341" t="b">
        <v>1</v>
      </c>
      <c r="H1341" t="s">
        <v>15596</v>
      </c>
    </row>
    <row r="1342" spans="1:8" hidden="1" x14ac:dyDescent="0.25">
      <c r="A1342">
        <v>8700</v>
      </c>
      <c r="B1342" t="s">
        <v>15210</v>
      </c>
      <c r="C1342" t="s">
        <v>15134</v>
      </c>
      <c r="D1342" t="s">
        <v>15135</v>
      </c>
      <c r="E1342">
        <v>72251000</v>
      </c>
    </row>
    <row r="1343" spans="1:8" hidden="1" x14ac:dyDescent="0.25">
      <c r="A1343">
        <v>8701</v>
      </c>
      <c r="B1343" t="s">
        <v>15211</v>
      </c>
      <c r="C1343" t="s">
        <v>15134</v>
      </c>
      <c r="D1343" t="s">
        <v>15135</v>
      </c>
      <c r="E1343">
        <v>72251001</v>
      </c>
    </row>
    <row r="1344" spans="1:8" hidden="1" x14ac:dyDescent="0.25">
      <c r="A1344">
        <v>8795</v>
      </c>
      <c r="B1344" t="s">
        <v>15287</v>
      </c>
      <c r="C1344" t="s">
        <v>15134</v>
      </c>
      <c r="D1344" t="s">
        <v>15135</v>
      </c>
      <c r="E1344">
        <v>72515000</v>
      </c>
      <c r="F1344" t="s">
        <v>15136</v>
      </c>
      <c r="G1344" t="b">
        <v>1</v>
      </c>
      <c r="H1344" t="s">
        <v>15288</v>
      </c>
    </row>
    <row r="1345" spans="1:8" hidden="1" x14ac:dyDescent="0.25">
      <c r="A1345">
        <v>8795</v>
      </c>
      <c r="B1345" t="s">
        <v>15287</v>
      </c>
      <c r="C1345" t="s">
        <v>15134</v>
      </c>
      <c r="D1345" t="s">
        <v>15135</v>
      </c>
      <c r="E1345">
        <v>72515000</v>
      </c>
      <c r="F1345" t="s">
        <v>15138</v>
      </c>
      <c r="G1345" t="b">
        <v>1</v>
      </c>
      <c r="H1345" t="s">
        <v>15289</v>
      </c>
    </row>
    <row r="1346" spans="1:8" hidden="1" x14ac:dyDescent="0.25">
      <c r="A1346">
        <v>8712</v>
      </c>
      <c r="B1346" t="s">
        <v>15220</v>
      </c>
      <c r="C1346" t="s">
        <v>15134</v>
      </c>
      <c r="D1346" t="s">
        <v>15135</v>
      </c>
      <c r="E1346">
        <v>72281000</v>
      </c>
    </row>
    <row r="1347" spans="1:8" hidden="1" x14ac:dyDescent="0.25">
      <c r="A1347">
        <v>8713</v>
      </c>
      <c r="B1347" t="s">
        <v>15221</v>
      </c>
      <c r="C1347" t="s">
        <v>15134</v>
      </c>
      <c r="D1347" t="s">
        <v>15135</v>
      </c>
      <c r="E1347">
        <v>72281001</v>
      </c>
    </row>
    <row r="1348" spans="1:8" hidden="1" x14ac:dyDescent="0.25">
      <c r="A1348">
        <v>79340</v>
      </c>
      <c r="B1348" t="s">
        <v>5149</v>
      </c>
      <c r="C1348" t="s">
        <v>15134</v>
      </c>
      <c r="D1348" t="s">
        <v>15135</v>
      </c>
      <c r="E1348">
        <v>72425017</v>
      </c>
      <c r="F1348" t="s">
        <v>15138</v>
      </c>
      <c r="G1348" t="b">
        <v>1</v>
      </c>
      <c r="H1348" t="s">
        <v>15940</v>
      </c>
    </row>
    <row r="1349" spans="1:8" hidden="1" x14ac:dyDescent="0.25">
      <c r="A1349">
        <v>79340</v>
      </c>
      <c r="B1349" t="s">
        <v>5149</v>
      </c>
      <c r="C1349" t="s">
        <v>15134</v>
      </c>
      <c r="D1349" t="s">
        <v>15135</v>
      </c>
      <c r="E1349">
        <v>72425017</v>
      </c>
      <c r="F1349" t="s">
        <v>15145</v>
      </c>
      <c r="G1349" t="b">
        <v>1</v>
      </c>
      <c r="H1349" t="s">
        <v>15940</v>
      </c>
    </row>
    <row r="1350" spans="1:8" hidden="1" x14ac:dyDescent="0.25">
      <c r="A1350">
        <v>8710</v>
      </c>
      <c r="B1350" t="s">
        <v>15218</v>
      </c>
      <c r="C1350" t="s">
        <v>15134</v>
      </c>
      <c r="D1350" t="s">
        <v>15135</v>
      </c>
      <c r="E1350">
        <v>72279000</v>
      </c>
    </row>
    <row r="1351" spans="1:8" hidden="1" x14ac:dyDescent="0.25">
      <c r="A1351">
        <v>1000072</v>
      </c>
      <c r="B1351" t="s">
        <v>17048</v>
      </c>
      <c r="C1351" t="s">
        <v>15134</v>
      </c>
      <c r="D1351" t="s">
        <v>15135</v>
      </c>
      <c r="E1351">
        <v>72456000</v>
      </c>
      <c r="F1351" t="s">
        <v>15138</v>
      </c>
      <c r="G1351" t="b">
        <v>1</v>
      </c>
      <c r="H1351" t="s">
        <v>17049</v>
      </c>
    </row>
    <row r="1352" spans="1:8" hidden="1" x14ac:dyDescent="0.25">
      <c r="A1352">
        <v>1000072</v>
      </c>
      <c r="B1352" t="s">
        <v>17048</v>
      </c>
      <c r="C1352" t="s">
        <v>15134</v>
      </c>
      <c r="D1352" t="s">
        <v>15135</v>
      </c>
      <c r="E1352">
        <v>72456000</v>
      </c>
      <c r="F1352" t="s">
        <v>15136</v>
      </c>
      <c r="G1352" t="b">
        <v>1</v>
      </c>
      <c r="H1352" t="s">
        <v>17049</v>
      </c>
    </row>
    <row r="1353" spans="1:8" hidden="1" x14ac:dyDescent="0.25">
      <c r="A1353">
        <v>1000073</v>
      </c>
      <c r="B1353" t="s">
        <v>17050</v>
      </c>
      <c r="C1353" t="s">
        <v>15134</v>
      </c>
      <c r="D1353" t="s">
        <v>15135</v>
      </c>
      <c r="E1353">
        <v>72456001</v>
      </c>
      <c r="F1353" t="s">
        <v>15136</v>
      </c>
      <c r="G1353" t="b">
        <v>1</v>
      </c>
      <c r="H1353" t="s">
        <v>17049</v>
      </c>
    </row>
    <row r="1354" spans="1:8" hidden="1" x14ac:dyDescent="0.25">
      <c r="A1354">
        <v>1000073</v>
      </c>
      <c r="B1354" t="s">
        <v>17050</v>
      </c>
      <c r="C1354" t="s">
        <v>15134</v>
      </c>
      <c r="D1354" t="s">
        <v>15135</v>
      </c>
      <c r="E1354">
        <v>72456001</v>
      </c>
      <c r="F1354" t="s">
        <v>15138</v>
      </c>
      <c r="G1354" t="b">
        <v>1</v>
      </c>
      <c r="H1354" t="s">
        <v>17049</v>
      </c>
    </row>
    <row r="1355" spans="1:8" hidden="1" x14ac:dyDescent="0.25">
      <c r="A1355">
        <v>1000090</v>
      </c>
      <c r="B1355" t="s">
        <v>17070</v>
      </c>
      <c r="C1355" t="s">
        <v>15134</v>
      </c>
      <c r="D1355" t="s">
        <v>15135</v>
      </c>
      <c r="E1355">
        <v>72468001</v>
      </c>
      <c r="F1355" t="s">
        <v>15138</v>
      </c>
      <c r="G1355" t="b">
        <v>1</v>
      </c>
      <c r="H1355" t="s">
        <v>17071</v>
      </c>
    </row>
    <row r="1356" spans="1:8" hidden="1" x14ac:dyDescent="0.25">
      <c r="A1356">
        <v>1000090</v>
      </c>
      <c r="B1356" t="s">
        <v>17070</v>
      </c>
      <c r="C1356" t="s">
        <v>15134</v>
      </c>
      <c r="D1356" t="s">
        <v>15135</v>
      </c>
      <c r="E1356">
        <v>72468001</v>
      </c>
      <c r="F1356" t="s">
        <v>15136</v>
      </c>
      <c r="G1356" t="b">
        <v>1</v>
      </c>
      <c r="H1356" t="s">
        <v>17069</v>
      </c>
    </row>
    <row r="1357" spans="1:8" hidden="1" x14ac:dyDescent="0.25">
      <c r="A1357">
        <v>92720</v>
      </c>
      <c r="B1357" t="s">
        <v>16914</v>
      </c>
      <c r="C1357" t="s">
        <v>15134</v>
      </c>
      <c r="D1357" t="s">
        <v>15135</v>
      </c>
      <c r="E1357">
        <v>73317001</v>
      </c>
      <c r="F1357" t="s">
        <v>15138</v>
      </c>
      <c r="G1357" t="b">
        <v>1</v>
      </c>
      <c r="H1357" t="s">
        <v>16913</v>
      </c>
    </row>
    <row r="1358" spans="1:8" hidden="1" x14ac:dyDescent="0.25">
      <c r="A1358">
        <v>92720</v>
      </c>
      <c r="B1358" t="s">
        <v>16914</v>
      </c>
      <c r="C1358" t="s">
        <v>15134</v>
      </c>
      <c r="D1358" t="s">
        <v>15135</v>
      </c>
      <c r="E1358">
        <v>73317001</v>
      </c>
      <c r="F1358" t="s">
        <v>15136</v>
      </c>
      <c r="G1358" t="b">
        <v>1</v>
      </c>
      <c r="H1358" t="s">
        <v>16913</v>
      </c>
    </row>
    <row r="1359" spans="1:8" hidden="1" x14ac:dyDescent="0.25">
      <c r="A1359">
        <v>10035</v>
      </c>
      <c r="B1359" t="s">
        <v>15789</v>
      </c>
      <c r="C1359" t="s">
        <v>15134</v>
      </c>
      <c r="D1359" t="s">
        <v>15135</v>
      </c>
      <c r="E1359">
        <v>103103001</v>
      </c>
    </row>
    <row r="1360" spans="1:8" hidden="1" x14ac:dyDescent="0.25">
      <c r="A1360">
        <v>9409</v>
      </c>
      <c r="B1360" t="s">
        <v>15513</v>
      </c>
      <c r="C1360" t="s">
        <v>15134</v>
      </c>
      <c r="D1360" t="s">
        <v>15135</v>
      </c>
      <c r="E1360">
        <v>73250001</v>
      </c>
    </row>
    <row r="1361" spans="1:8" hidden="1" x14ac:dyDescent="0.25">
      <c r="A1361">
        <v>89874</v>
      </c>
      <c r="B1361" t="s">
        <v>16471</v>
      </c>
      <c r="C1361" t="s">
        <v>15134</v>
      </c>
      <c r="D1361" t="s">
        <v>15135</v>
      </c>
      <c r="E1361">
        <v>73564001</v>
      </c>
      <c r="F1361" t="s">
        <v>15145</v>
      </c>
      <c r="G1361" t="b">
        <v>1</v>
      </c>
      <c r="H1361" t="s">
        <v>16470</v>
      </c>
    </row>
    <row r="1362" spans="1:8" hidden="1" x14ac:dyDescent="0.25">
      <c r="A1362">
        <v>89874</v>
      </c>
      <c r="B1362" t="s">
        <v>16471</v>
      </c>
      <c r="C1362" t="s">
        <v>15134</v>
      </c>
      <c r="D1362" t="s">
        <v>15135</v>
      </c>
      <c r="E1362">
        <v>73564001</v>
      </c>
      <c r="F1362" t="s">
        <v>15138</v>
      </c>
      <c r="G1362" t="b">
        <v>1</v>
      </c>
      <c r="H1362" t="s">
        <v>16470</v>
      </c>
    </row>
    <row r="1363" spans="1:8" hidden="1" x14ac:dyDescent="0.25">
      <c r="A1363">
        <v>89873</v>
      </c>
      <c r="B1363" t="s">
        <v>16469</v>
      </c>
      <c r="C1363" t="s">
        <v>15134</v>
      </c>
      <c r="D1363" t="s">
        <v>15135</v>
      </c>
      <c r="E1363">
        <v>73564000</v>
      </c>
      <c r="F1363" t="s">
        <v>15136</v>
      </c>
      <c r="G1363" t="b">
        <v>1</v>
      </c>
      <c r="H1363" t="s">
        <v>16470</v>
      </c>
    </row>
    <row r="1364" spans="1:8" hidden="1" x14ac:dyDescent="0.25">
      <c r="A1364">
        <v>89873</v>
      </c>
      <c r="B1364" t="s">
        <v>16469</v>
      </c>
      <c r="C1364" t="s">
        <v>15134</v>
      </c>
      <c r="D1364" t="s">
        <v>15135</v>
      </c>
      <c r="E1364">
        <v>73564000</v>
      </c>
      <c r="F1364" t="s">
        <v>15138</v>
      </c>
      <c r="G1364" t="b">
        <v>1</v>
      </c>
      <c r="H1364" t="s">
        <v>16470</v>
      </c>
    </row>
    <row r="1365" spans="1:8" hidden="1" x14ac:dyDescent="0.25">
      <c r="A1365">
        <v>9527</v>
      </c>
      <c r="B1365" t="s">
        <v>15580</v>
      </c>
      <c r="C1365" t="s">
        <v>15134</v>
      </c>
      <c r="D1365" t="s">
        <v>15135</v>
      </c>
      <c r="E1365">
        <v>73289001</v>
      </c>
    </row>
    <row r="1366" spans="1:8" hidden="1" x14ac:dyDescent="0.25">
      <c r="A1366">
        <v>85861</v>
      </c>
      <c r="B1366" t="s">
        <v>16309</v>
      </c>
      <c r="C1366" t="s">
        <v>15134</v>
      </c>
      <c r="D1366" t="s">
        <v>15135</v>
      </c>
      <c r="E1366">
        <v>71435001</v>
      </c>
    </row>
    <row r="1367" spans="1:8" hidden="1" x14ac:dyDescent="0.25">
      <c r="A1367">
        <v>80478</v>
      </c>
      <c r="B1367" t="s">
        <v>16051</v>
      </c>
      <c r="C1367" t="s">
        <v>15134</v>
      </c>
      <c r="D1367" t="s">
        <v>15135</v>
      </c>
      <c r="E1367">
        <v>102504000</v>
      </c>
      <c r="F1367" t="s">
        <v>15138</v>
      </c>
      <c r="G1367" t="b">
        <v>1</v>
      </c>
      <c r="H1367" t="s">
        <v>16052</v>
      </c>
    </row>
    <row r="1368" spans="1:8" hidden="1" x14ac:dyDescent="0.25">
      <c r="A1368">
        <v>80478</v>
      </c>
      <c r="B1368" t="s">
        <v>16051</v>
      </c>
      <c r="C1368" t="s">
        <v>15134</v>
      </c>
      <c r="D1368" t="s">
        <v>15135</v>
      </c>
      <c r="E1368">
        <v>102504000</v>
      </c>
      <c r="F1368" t="s">
        <v>15136</v>
      </c>
      <c r="G1368" t="b">
        <v>1</v>
      </c>
      <c r="H1368" t="s">
        <v>16052</v>
      </c>
    </row>
    <row r="1369" spans="1:8" hidden="1" x14ac:dyDescent="0.25">
      <c r="A1369">
        <v>90496</v>
      </c>
      <c r="B1369" t="s">
        <v>16630</v>
      </c>
      <c r="C1369" t="s">
        <v>15134</v>
      </c>
      <c r="D1369" t="s">
        <v>15135</v>
      </c>
      <c r="E1369">
        <v>103215000</v>
      </c>
      <c r="F1369" t="s">
        <v>15138</v>
      </c>
      <c r="G1369" t="b">
        <v>1</v>
      </c>
      <c r="H1369" t="s">
        <v>16077</v>
      </c>
    </row>
    <row r="1370" spans="1:8" hidden="1" x14ac:dyDescent="0.25">
      <c r="A1370">
        <v>90496</v>
      </c>
      <c r="B1370" t="s">
        <v>16630</v>
      </c>
      <c r="C1370" t="s">
        <v>15134</v>
      </c>
      <c r="D1370" t="s">
        <v>15135</v>
      </c>
      <c r="E1370">
        <v>103215000</v>
      </c>
      <c r="F1370" t="s">
        <v>15136</v>
      </c>
      <c r="G1370" t="b">
        <v>1</v>
      </c>
      <c r="H1370" t="s">
        <v>16631</v>
      </c>
    </row>
    <row r="1371" spans="1:8" hidden="1" x14ac:dyDescent="0.25">
      <c r="A1371">
        <v>78773</v>
      </c>
      <c r="B1371" t="s">
        <v>15889</v>
      </c>
      <c r="C1371" t="s">
        <v>15134</v>
      </c>
      <c r="D1371" t="s">
        <v>15135</v>
      </c>
      <c r="E1371">
        <v>113013001</v>
      </c>
    </row>
    <row r="1372" spans="1:8" hidden="1" x14ac:dyDescent="0.25">
      <c r="A1372">
        <v>90463</v>
      </c>
      <c r="B1372" t="s">
        <v>16620</v>
      </c>
      <c r="C1372" t="s">
        <v>15134</v>
      </c>
      <c r="D1372" t="s">
        <v>15135</v>
      </c>
      <c r="E1372">
        <v>72432002</v>
      </c>
      <c r="F1372" t="s">
        <v>15145</v>
      </c>
      <c r="G1372" t="b">
        <v>1</v>
      </c>
      <c r="H1372" t="s">
        <v>16018</v>
      </c>
    </row>
    <row r="1373" spans="1:8" hidden="1" x14ac:dyDescent="0.25">
      <c r="A1373">
        <v>79828</v>
      </c>
      <c r="B1373" t="s">
        <v>16019</v>
      </c>
      <c r="C1373" t="s">
        <v>15134</v>
      </c>
      <c r="D1373" t="s">
        <v>15135</v>
      </c>
      <c r="E1373">
        <v>72432001</v>
      </c>
      <c r="F1373" t="s">
        <v>15138</v>
      </c>
      <c r="G1373" t="b">
        <v>1</v>
      </c>
      <c r="H1373" t="s">
        <v>16020</v>
      </c>
    </row>
    <row r="1374" spans="1:8" hidden="1" x14ac:dyDescent="0.25">
      <c r="A1374">
        <v>79828</v>
      </c>
      <c r="B1374" t="s">
        <v>16019</v>
      </c>
      <c r="C1374" t="s">
        <v>15134</v>
      </c>
      <c r="D1374" t="s">
        <v>15135</v>
      </c>
      <c r="E1374">
        <v>72432001</v>
      </c>
      <c r="F1374" t="s">
        <v>15145</v>
      </c>
      <c r="G1374" t="b">
        <v>1</v>
      </c>
      <c r="H1374" t="s">
        <v>16020</v>
      </c>
    </row>
    <row r="1375" spans="1:8" hidden="1" x14ac:dyDescent="0.25">
      <c r="A1375">
        <v>79369</v>
      </c>
      <c r="B1375" t="s">
        <v>15961</v>
      </c>
      <c r="C1375" t="s">
        <v>15134</v>
      </c>
      <c r="D1375" t="s">
        <v>15135</v>
      </c>
      <c r="E1375">
        <v>72427000</v>
      </c>
      <c r="F1375" t="s">
        <v>15138</v>
      </c>
      <c r="G1375" t="b">
        <v>1</v>
      </c>
      <c r="H1375" t="s">
        <v>15962</v>
      </c>
    </row>
    <row r="1376" spans="1:8" hidden="1" x14ac:dyDescent="0.25">
      <c r="A1376">
        <v>79369</v>
      </c>
      <c r="B1376" t="s">
        <v>15961</v>
      </c>
      <c r="C1376" t="s">
        <v>15134</v>
      </c>
      <c r="D1376" t="s">
        <v>15135</v>
      </c>
      <c r="E1376">
        <v>72427000</v>
      </c>
      <c r="F1376" t="s">
        <v>15145</v>
      </c>
      <c r="G1376" t="b">
        <v>1</v>
      </c>
      <c r="H1376" t="s">
        <v>15962</v>
      </c>
    </row>
    <row r="1377" spans="1:8" hidden="1" x14ac:dyDescent="0.25">
      <c r="A1377">
        <v>10177</v>
      </c>
      <c r="B1377" t="s">
        <v>15829</v>
      </c>
      <c r="C1377" t="s">
        <v>15134</v>
      </c>
      <c r="D1377" t="s">
        <v>15135</v>
      </c>
      <c r="E1377">
        <v>142204001</v>
      </c>
    </row>
    <row r="1378" spans="1:8" hidden="1" x14ac:dyDescent="0.25">
      <c r="A1378">
        <v>80508</v>
      </c>
      <c r="B1378" t="s">
        <v>16081</v>
      </c>
      <c r="C1378" t="s">
        <v>15134</v>
      </c>
      <c r="D1378" t="s">
        <v>15135</v>
      </c>
      <c r="E1378">
        <v>32210006</v>
      </c>
      <c r="F1378" t="s">
        <v>15145</v>
      </c>
      <c r="G1378" t="b">
        <v>1</v>
      </c>
      <c r="H1378" t="s">
        <v>16082</v>
      </c>
    </row>
    <row r="1379" spans="1:8" hidden="1" x14ac:dyDescent="0.25">
      <c r="A1379">
        <v>80508</v>
      </c>
      <c r="B1379" t="s">
        <v>16081</v>
      </c>
      <c r="C1379" t="s">
        <v>15134</v>
      </c>
      <c r="D1379" t="s">
        <v>15135</v>
      </c>
      <c r="E1379">
        <v>32210006</v>
      </c>
      <c r="F1379" t="s">
        <v>15138</v>
      </c>
      <c r="G1379" t="b">
        <v>1</v>
      </c>
      <c r="H1379" t="s">
        <v>15960</v>
      </c>
    </row>
    <row r="1380" spans="1:8" hidden="1" x14ac:dyDescent="0.25">
      <c r="A1380">
        <v>91885</v>
      </c>
      <c r="B1380" t="s">
        <v>16811</v>
      </c>
      <c r="C1380" t="s">
        <v>15134</v>
      </c>
      <c r="D1380" t="s">
        <v>15135</v>
      </c>
      <c r="E1380">
        <v>73301000</v>
      </c>
      <c r="F1380" t="s">
        <v>15138</v>
      </c>
      <c r="G1380" t="b">
        <v>1</v>
      </c>
      <c r="H1380" t="s">
        <v>16812</v>
      </c>
    </row>
    <row r="1381" spans="1:8" hidden="1" x14ac:dyDescent="0.25">
      <c r="A1381">
        <v>91885</v>
      </c>
      <c r="B1381" t="s">
        <v>16811</v>
      </c>
      <c r="C1381" t="s">
        <v>15134</v>
      </c>
      <c r="D1381" t="s">
        <v>15135</v>
      </c>
      <c r="E1381">
        <v>73301000</v>
      </c>
      <c r="F1381" t="s">
        <v>15136</v>
      </c>
      <c r="G1381" t="b">
        <v>1</v>
      </c>
      <c r="H1381" t="s">
        <v>15491</v>
      </c>
    </row>
    <row r="1382" spans="1:8" hidden="1" x14ac:dyDescent="0.25">
      <c r="A1382">
        <v>9262</v>
      </c>
      <c r="B1382" t="s">
        <v>15437</v>
      </c>
      <c r="C1382" t="s">
        <v>15134</v>
      </c>
      <c r="D1382" t="s">
        <v>15135</v>
      </c>
      <c r="E1382">
        <v>73188001</v>
      </c>
    </row>
    <row r="1383" spans="1:8" hidden="1" x14ac:dyDescent="0.25">
      <c r="A1383">
        <v>84271</v>
      </c>
      <c r="B1383" t="s">
        <v>16270</v>
      </c>
      <c r="C1383" t="s">
        <v>15134</v>
      </c>
      <c r="D1383" t="s">
        <v>15135</v>
      </c>
      <c r="E1383">
        <v>33201000</v>
      </c>
      <c r="F1383" t="s">
        <v>15136</v>
      </c>
      <c r="G1383" t="b">
        <v>1</v>
      </c>
      <c r="H1383" t="s">
        <v>16271</v>
      </c>
    </row>
    <row r="1384" spans="1:8" hidden="1" x14ac:dyDescent="0.25">
      <c r="A1384">
        <v>84271</v>
      </c>
      <c r="B1384" t="s">
        <v>16270</v>
      </c>
      <c r="C1384" t="s">
        <v>15134</v>
      </c>
      <c r="D1384" t="s">
        <v>15135</v>
      </c>
      <c r="E1384">
        <v>33201000</v>
      </c>
      <c r="F1384" t="s">
        <v>15138</v>
      </c>
      <c r="G1384" t="b">
        <v>1</v>
      </c>
      <c r="H1384" t="s">
        <v>16272</v>
      </c>
    </row>
    <row r="1385" spans="1:8" hidden="1" x14ac:dyDescent="0.25">
      <c r="A1385">
        <v>84272</v>
      </c>
      <c r="B1385" t="s">
        <v>16270</v>
      </c>
      <c r="C1385" t="s">
        <v>15134</v>
      </c>
      <c r="D1385" t="s">
        <v>15135</v>
      </c>
      <c r="E1385">
        <v>33201001</v>
      </c>
      <c r="F1385" t="s">
        <v>15145</v>
      </c>
      <c r="G1385" t="b">
        <v>1</v>
      </c>
      <c r="H1385" t="s">
        <v>16272</v>
      </c>
    </row>
    <row r="1386" spans="1:8" hidden="1" x14ac:dyDescent="0.25">
      <c r="A1386">
        <v>84272</v>
      </c>
      <c r="B1386" t="s">
        <v>16270</v>
      </c>
      <c r="C1386" t="s">
        <v>15134</v>
      </c>
      <c r="D1386" t="s">
        <v>15135</v>
      </c>
      <c r="E1386">
        <v>33201001</v>
      </c>
      <c r="F1386" t="s">
        <v>15138</v>
      </c>
      <c r="G1386" t="b">
        <v>0</v>
      </c>
      <c r="H1386" t="s">
        <v>16273</v>
      </c>
    </row>
    <row r="1387" spans="1:8" hidden="1" x14ac:dyDescent="0.25">
      <c r="A1387">
        <v>90379</v>
      </c>
      <c r="B1387" t="s">
        <v>16603</v>
      </c>
      <c r="C1387" t="s">
        <v>15134</v>
      </c>
      <c r="D1387" t="s">
        <v>15135</v>
      </c>
      <c r="E1387">
        <v>73590001</v>
      </c>
      <c r="F1387" t="s">
        <v>15145</v>
      </c>
      <c r="G1387" t="b">
        <v>1</v>
      </c>
      <c r="H1387" t="s">
        <v>16604</v>
      </c>
    </row>
    <row r="1388" spans="1:8" hidden="1" x14ac:dyDescent="0.25">
      <c r="A1388">
        <v>90378</v>
      </c>
      <c r="B1388" t="s">
        <v>16600</v>
      </c>
      <c r="C1388" t="s">
        <v>15134</v>
      </c>
      <c r="D1388" t="s">
        <v>15135</v>
      </c>
      <c r="E1388">
        <v>73590000</v>
      </c>
      <c r="F1388" t="s">
        <v>15138</v>
      </c>
      <c r="G1388" t="b">
        <v>1</v>
      </c>
      <c r="H1388" t="s">
        <v>16601</v>
      </c>
    </row>
    <row r="1389" spans="1:8" hidden="1" x14ac:dyDescent="0.25">
      <c r="A1389">
        <v>90378</v>
      </c>
      <c r="B1389" t="s">
        <v>16600</v>
      </c>
      <c r="C1389" t="s">
        <v>15134</v>
      </c>
      <c r="D1389" t="s">
        <v>15135</v>
      </c>
      <c r="E1389">
        <v>73590000</v>
      </c>
      <c r="F1389" t="s">
        <v>15136</v>
      </c>
      <c r="G1389" t="b">
        <v>1</v>
      </c>
      <c r="H1389" t="s">
        <v>16602</v>
      </c>
    </row>
    <row r="1390" spans="1:8" hidden="1" x14ac:dyDescent="0.25">
      <c r="A1390">
        <v>90664</v>
      </c>
      <c r="B1390" t="s">
        <v>16658</v>
      </c>
      <c r="C1390" t="s">
        <v>15134</v>
      </c>
      <c r="D1390" t="s">
        <v>15135</v>
      </c>
      <c r="E1390">
        <v>73705000</v>
      </c>
      <c r="F1390" t="s">
        <v>15138</v>
      </c>
      <c r="G1390" t="b">
        <v>0</v>
      </c>
      <c r="H1390" t="s">
        <v>16659</v>
      </c>
    </row>
    <row r="1391" spans="1:8" hidden="1" x14ac:dyDescent="0.25">
      <c r="A1391">
        <v>90664</v>
      </c>
      <c r="B1391" t="s">
        <v>16658</v>
      </c>
      <c r="C1391" t="s">
        <v>15134</v>
      </c>
      <c r="D1391" t="s">
        <v>15135</v>
      </c>
      <c r="E1391">
        <v>73705000</v>
      </c>
      <c r="F1391" t="s">
        <v>15136</v>
      </c>
      <c r="G1391" t="b">
        <v>0</v>
      </c>
      <c r="H1391" t="s">
        <v>16660</v>
      </c>
    </row>
    <row r="1392" spans="1:8" hidden="1" x14ac:dyDescent="0.25">
      <c r="A1392">
        <v>90665</v>
      </c>
      <c r="B1392" t="s">
        <v>16658</v>
      </c>
      <c r="C1392" t="s">
        <v>15134</v>
      </c>
      <c r="D1392" t="s">
        <v>15135</v>
      </c>
      <c r="E1392">
        <v>73705001</v>
      </c>
      <c r="F1392" t="s">
        <v>15145</v>
      </c>
      <c r="G1392" t="b">
        <v>1</v>
      </c>
      <c r="H1392" t="s">
        <v>16661</v>
      </c>
    </row>
    <row r="1393" spans="1:8" hidden="1" x14ac:dyDescent="0.25">
      <c r="A1393">
        <v>268365</v>
      </c>
      <c r="B1393" t="s">
        <v>16975</v>
      </c>
      <c r="C1393" t="s">
        <v>15134</v>
      </c>
      <c r="D1393" t="s">
        <v>15135</v>
      </c>
      <c r="E1393">
        <v>73722001</v>
      </c>
      <c r="F1393" t="s">
        <v>15136</v>
      </c>
      <c r="G1393" t="b">
        <v>0</v>
      </c>
      <c r="H1393" t="s">
        <v>16976</v>
      </c>
    </row>
    <row r="1394" spans="1:8" hidden="1" x14ac:dyDescent="0.25">
      <c r="A1394">
        <v>671386</v>
      </c>
      <c r="B1394" t="s">
        <v>16975</v>
      </c>
      <c r="C1394" t="s">
        <v>15134</v>
      </c>
      <c r="D1394" t="s">
        <v>15135</v>
      </c>
      <c r="E1394">
        <v>73722000</v>
      </c>
      <c r="F1394" t="s">
        <v>15136</v>
      </c>
      <c r="G1394" t="b">
        <v>0</v>
      </c>
      <c r="H1394" t="s">
        <v>16976</v>
      </c>
    </row>
    <row r="1395" spans="1:8" hidden="1" x14ac:dyDescent="0.25">
      <c r="A1395">
        <v>9192</v>
      </c>
      <c r="B1395" t="s">
        <v>15404</v>
      </c>
      <c r="C1395" t="s">
        <v>15134</v>
      </c>
      <c r="D1395" t="s">
        <v>15135</v>
      </c>
      <c r="E1395">
        <v>73134001</v>
      </c>
    </row>
    <row r="1396" spans="1:8" hidden="1" x14ac:dyDescent="0.25">
      <c r="A1396">
        <v>9141</v>
      </c>
      <c r="B1396" t="s">
        <v>15376</v>
      </c>
      <c r="C1396" t="s">
        <v>15134</v>
      </c>
      <c r="D1396" t="s">
        <v>15135</v>
      </c>
      <c r="E1396">
        <v>73094001</v>
      </c>
    </row>
    <row r="1397" spans="1:8" hidden="1" x14ac:dyDescent="0.25">
      <c r="A1397">
        <v>9212</v>
      </c>
      <c r="B1397" t="s">
        <v>15415</v>
      </c>
      <c r="C1397" t="s">
        <v>15134</v>
      </c>
      <c r="D1397" t="s">
        <v>15135</v>
      </c>
      <c r="E1397">
        <v>73148001</v>
      </c>
    </row>
    <row r="1398" spans="1:8" hidden="1" x14ac:dyDescent="0.25">
      <c r="A1398">
        <v>9754</v>
      </c>
      <c r="B1398" t="s">
        <v>15650</v>
      </c>
      <c r="C1398" t="s">
        <v>15134</v>
      </c>
      <c r="D1398" t="s">
        <v>15135</v>
      </c>
      <c r="E1398">
        <v>102230000</v>
      </c>
    </row>
    <row r="1399" spans="1:8" hidden="1" x14ac:dyDescent="0.25">
      <c r="A1399">
        <v>9755</v>
      </c>
      <c r="B1399" t="s">
        <v>15650</v>
      </c>
      <c r="C1399" t="s">
        <v>15134</v>
      </c>
      <c r="D1399" t="s">
        <v>15135</v>
      </c>
      <c r="E1399">
        <v>102230001</v>
      </c>
    </row>
    <row r="1400" spans="1:8" hidden="1" x14ac:dyDescent="0.25">
      <c r="A1400">
        <v>1001404</v>
      </c>
      <c r="B1400" t="s">
        <v>17190</v>
      </c>
      <c r="C1400" t="s">
        <v>15134</v>
      </c>
      <c r="D1400" t="s">
        <v>15135</v>
      </c>
      <c r="E1400">
        <v>73725000</v>
      </c>
      <c r="F1400" t="s">
        <v>15138</v>
      </c>
      <c r="G1400" t="b">
        <v>1</v>
      </c>
      <c r="H1400" t="s">
        <v>17191</v>
      </c>
    </row>
    <row r="1401" spans="1:8" hidden="1" x14ac:dyDescent="0.25">
      <c r="A1401">
        <v>1001404</v>
      </c>
      <c r="B1401" t="s">
        <v>17190</v>
      </c>
      <c r="C1401" t="s">
        <v>15134</v>
      </c>
      <c r="D1401" t="s">
        <v>15135</v>
      </c>
      <c r="E1401">
        <v>73725000</v>
      </c>
      <c r="F1401" t="s">
        <v>15136</v>
      </c>
      <c r="G1401" t="b">
        <v>1</v>
      </c>
      <c r="H1401" t="s">
        <v>17191</v>
      </c>
    </row>
    <row r="1402" spans="1:8" hidden="1" x14ac:dyDescent="0.25">
      <c r="A1402">
        <v>9788</v>
      </c>
      <c r="B1402" t="s">
        <v>15680</v>
      </c>
      <c r="C1402" t="s">
        <v>15134</v>
      </c>
      <c r="D1402" t="s">
        <v>15135</v>
      </c>
      <c r="E1402">
        <v>102250006</v>
      </c>
    </row>
    <row r="1403" spans="1:8" hidden="1" x14ac:dyDescent="0.25">
      <c r="A1403">
        <v>93006</v>
      </c>
      <c r="B1403" t="s">
        <v>16953</v>
      </c>
      <c r="C1403" t="s">
        <v>15134</v>
      </c>
      <c r="D1403" t="s">
        <v>15135</v>
      </c>
      <c r="E1403">
        <v>73324001</v>
      </c>
    </row>
    <row r="1404" spans="1:8" hidden="1" x14ac:dyDescent="0.25">
      <c r="A1404">
        <v>93005</v>
      </c>
      <c r="B1404" t="s">
        <v>16951</v>
      </c>
      <c r="C1404" t="s">
        <v>15134</v>
      </c>
      <c r="D1404" t="s">
        <v>15135</v>
      </c>
      <c r="E1404">
        <v>73324000</v>
      </c>
      <c r="F1404" t="s">
        <v>15136</v>
      </c>
      <c r="G1404" t="b">
        <v>1</v>
      </c>
      <c r="H1404" t="s">
        <v>16952</v>
      </c>
    </row>
    <row r="1405" spans="1:8" hidden="1" x14ac:dyDescent="0.25">
      <c r="A1405">
        <v>93005</v>
      </c>
      <c r="B1405" t="s">
        <v>16951</v>
      </c>
      <c r="C1405" t="s">
        <v>15134</v>
      </c>
      <c r="D1405" t="s">
        <v>15135</v>
      </c>
      <c r="E1405">
        <v>73324000</v>
      </c>
      <c r="F1405" t="s">
        <v>15138</v>
      </c>
      <c r="G1405" t="b">
        <v>1</v>
      </c>
      <c r="H1405" t="s">
        <v>16952</v>
      </c>
    </row>
    <row r="1406" spans="1:8" hidden="1" x14ac:dyDescent="0.25">
      <c r="A1406">
        <v>8586</v>
      </c>
      <c r="B1406" t="s">
        <v>15166</v>
      </c>
      <c r="C1406" t="s">
        <v>15134</v>
      </c>
      <c r="D1406" t="s">
        <v>15135</v>
      </c>
      <c r="E1406">
        <v>42501000</v>
      </c>
      <c r="F1406" t="s">
        <v>15138</v>
      </c>
      <c r="G1406" t="b">
        <v>1</v>
      </c>
      <c r="H1406" t="s">
        <v>15167</v>
      </c>
    </row>
    <row r="1407" spans="1:8" hidden="1" x14ac:dyDescent="0.25">
      <c r="A1407">
        <v>8586</v>
      </c>
      <c r="B1407" t="s">
        <v>15166</v>
      </c>
      <c r="C1407" t="s">
        <v>15134</v>
      </c>
      <c r="D1407" t="s">
        <v>15135</v>
      </c>
      <c r="E1407">
        <v>42501000</v>
      </c>
      <c r="F1407" t="s">
        <v>15136</v>
      </c>
      <c r="G1407" t="b">
        <v>1</v>
      </c>
      <c r="H1407" t="s">
        <v>15168</v>
      </c>
    </row>
    <row r="1408" spans="1:8" hidden="1" x14ac:dyDescent="0.25">
      <c r="A1408">
        <v>93024</v>
      </c>
      <c r="B1408" t="s">
        <v>16964</v>
      </c>
      <c r="C1408" t="s">
        <v>15134</v>
      </c>
      <c r="D1408" t="s">
        <v>15135</v>
      </c>
      <c r="E1408">
        <v>73326000</v>
      </c>
      <c r="F1408" t="s">
        <v>15138</v>
      </c>
      <c r="G1408" t="b">
        <v>1</v>
      </c>
      <c r="H1408" t="s">
        <v>16965</v>
      </c>
    </row>
    <row r="1409" spans="1:8" hidden="1" x14ac:dyDescent="0.25">
      <c r="A1409">
        <v>93024</v>
      </c>
      <c r="B1409" t="s">
        <v>16964</v>
      </c>
      <c r="C1409" t="s">
        <v>15134</v>
      </c>
      <c r="D1409" t="s">
        <v>15135</v>
      </c>
      <c r="E1409">
        <v>73326000</v>
      </c>
      <c r="F1409" t="s">
        <v>15136</v>
      </c>
      <c r="G1409" t="b">
        <v>1</v>
      </c>
      <c r="H1409" t="s">
        <v>16965</v>
      </c>
    </row>
    <row r="1410" spans="1:8" hidden="1" x14ac:dyDescent="0.25">
      <c r="A1410">
        <v>93025</v>
      </c>
      <c r="B1410" t="s">
        <v>16964</v>
      </c>
      <c r="C1410" t="s">
        <v>15134</v>
      </c>
      <c r="D1410" t="s">
        <v>15135</v>
      </c>
      <c r="E1410">
        <v>73326001</v>
      </c>
    </row>
    <row r="1411" spans="1:8" hidden="1" x14ac:dyDescent="0.25">
      <c r="A1411">
        <v>1000373</v>
      </c>
      <c r="B1411" t="s">
        <v>17154</v>
      </c>
      <c r="C1411" t="s">
        <v>15134</v>
      </c>
      <c r="D1411" t="s">
        <v>15135</v>
      </c>
      <c r="E1411">
        <v>143033000</v>
      </c>
      <c r="F1411" t="s">
        <v>15138</v>
      </c>
      <c r="G1411" t="b">
        <v>1</v>
      </c>
      <c r="H1411" t="s">
        <v>17155</v>
      </c>
    </row>
    <row r="1412" spans="1:8" hidden="1" x14ac:dyDescent="0.25">
      <c r="A1412">
        <v>1000373</v>
      </c>
      <c r="B1412" t="s">
        <v>17154</v>
      </c>
      <c r="C1412" t="s">
        <v>15134</v>
      </c>
      <c r="D1412" t="s">
        <v>15135</v>
      </c>
      <c r="E1412">
        <v>143033000</v>
      </c>
      <c r="F1412" t="s">
        <v>15136</v>
      </c>
      <c r="G1412" t="b">
        <v>1</v>
      </c>
      <c r="H1412" t="s">
        <v>17155</v>
      </c>
    </row>
    <row r="1413" spans="1:8" hidden="1" x14ac:dyDescent="0.25">
      <c r="A1413">
        <v>1000374</v>
      </c>
      <c r="B1413" t="s">
        <v>17154</v>
      </c>
      <c r="C1413" t="s">
        <v>15134</v>
      </c>
      <c r="D1413" t="s">
        <v>15135</v>
      </c>
      <c r="E1413">
        <v>143033001</v>
      </c>
      <c r="F1413" t="s">
        <v>15138</v>
      </c>
      <c r="G1413" t="b">
        <v>1</v>
      </c>
      <c r="H1413" t="s">
        <v>17155</v>
      </c>
    </row>
    <row r="1414" spans="1:8" hidden="1" x14ac:dyDescent="0.25">
      <c r="A1414">
        <v>1000374</v>
      </c>
      <c r="B1414" t="s">
        <v>17154</v>
      </c>
      <c r="C1414" t="s">
        <v>15134</v>
      </c>
      <c r="D1414" t="s">
        <v>15135</v>
      </c>
      <c r="E1414">
        <v>143033001</v>
      </c>
      <c r="F1414" t="s">
        <v>15136</v>
      </c>
      <c r="G1414" t="b">
        <v>1</v>
      </c>
      <c r="H1414" t="s">
        <v>17155</v>
      </c>
    </row>
    <row r="1415" spans="1:8" hidden="1" x14ac:dyDescent="0.25">
      <c r="A1415">
        <v>90517</v>
      </c>
      <c r="B1415" t="s">
        <v>16648</v>
      </c>
      <c r="C1415" t="s">
        <v>15134</v>
      </c>
      <c r="D1415" t="s">
        <v>15135</v>
      </c>
      <c r="E1415">
        <v>73599001</v>
      </c>
      <c r="F1415" t="s">
        <v>15145</v>
      </c>
      <c r="G1415" t="b">
        <v>1</v>
      </c>
      <c r="H1415" t="s">
        <v>16649</v>
      </c>
    </row>
    <row r="1416" spans="1:8" hidden="1" x14ac:dyDescent="0.25">
      <c r="A1416">
        <v>90516</v>
      </c>
      <c r="B1416" t="s">
        <v>16646</v>
      </c>
      <c r="C1416" t="s">
        <v>15134</v>
      </c>
      <c r="D1416" t="s">
        <v>15135</v>
      </c>
      <c r="E1416">
        <v>73599000</v>
      </c>
      <c r="F1416" t="s">
        <v>15136</v>
      </c>
      <c r="G1416" t="b">
        <v>1</v>
      </c>
      <c r="H1416" t="s">
        <v>16538</v>
      </c>
    </row>
    <row r="1417" spans="1:8" hidden="1" x14ac:dyDescent="0.25">
      <c r="A1417">
        <v>90516</v>
      </c>
      <c r="B1417" t="s">
        <v>16646</v>
      </c>
      <c r="C1417" t="s">
        <v>15134</v>
      </c>
      <c r="D1417" t="s">
        <v>15135</v>
      </c>
      <c r="E1417">
        <v>73599000</v>
      </c>
      <c r="F1417" t="s">
        <v>15138</v>
      </c>
      <c r="G1417" t="b">
        <v>1</v>
      </c>
      <c r="H1417" t="s">
        <v>16647</v>
      </c>
    </row>
    <row r="1418" spans="1:8" hidden="1" x14ac:dyDescent="0.25">
      <c r="A1418">
        <v>9989</v>
      </c>
      <c r="B1418" t="s">
        <v>15766</v>
      </c>
      <c r="C1418" t="s">
        <v>15134</v>
      </c>
      <c r="D1418" t="s">
        <v>15135</v>
      </c>
      <c r="E1418">
        <v>103082001</v>
      </c>
    </row>
    <row r="1419" spans="1:8" hidden="1" x14ac:dyDescent="0.25">
      <c r="A1419">
        <v>9990</v>
      </c>
      <c r="B1419" t="s">
        <v>15767</v>
      </c>
      <c r="C1419" t="s">
        <v>15134</v>
      </c>
      <c r="D1419" t="s">
        <v>15135</v>
      </c>
      <c r="E1419">
        <v>103082002</v>
      </c>
    </row>
    <row r="1420" spans="1:8" hidden="1" x14ac:dyDescent="0.25">
      <c r="A1420">
        <v>9991</v>
      </c>
      <c r="B1420" t="s">
        <v>15768</v>
      </c>
      <c r="C1420" t="s">
        <v>15134</v>
      </c>
      <c r="D1420" t="s">
        <v>15135</v>
      </c>
      <c r="E1420">
        <v>103082003</v>
      </c>
    </row>
    <row r="1421" spans="1:8" hidden="1" x14ac:dyDescent="0.25">
      <c r="A1421">
        <v>9992</v>
      </c>
      <c r="B1421" t="s">
        <v>15769</v>
      </c>
      <c r="C1421" t="s">
        <v>15134</v>
      </c>
      <c r="D1421" t="s">
        <v>15135</v>
      </c>
      <c r="E1421">
        <v>103082004</v>
      </c>
    </row>
    <row r="1422" spans="1:8" hidden="1" x14ac:dyDescent="0.25">
      <c r="A1422">
        <v>9993</v>
      </c>
      <c r="B1422" t="s">
        <v>15770</v>
      </c>
      <c r="C1422" t="s">
        <v>15134</v>
      </c>
      <c r="D1422" t="s">
        <v>15135</v>
      </c>
      <c r="E1422">
        <v>103082005</v>
      </c>
    </row>
    <row r="1423" spans="1:8" hidden="1" x14ac:dyDescent="0.25">
      <c r="A1423">
        <v>9994</v>
      </c>
      <c r="B1423" t="s">
        <v>15771</v>
      </c>
      <c r="C1423" t="s">
        <v>15134</v>
      </c>
      <c r="D1423" t="s">
        <v>15135</v>
      </c>
      <c r="E1423">
        <v>103082006</v>
      </c>
    </row>
    <row r="1424" spans="1:8" hidden="1" x14ac:dyDescent="0.25">
      <c r="A1424">
        <v>9995</v>
      </c>
      <c r="B1424" t="s">
        <v>15772</v>
      </c>
      <c r="C1424" t="s">
        <v>15134</v>
      </c>
      <c r="D1424" t="s">
        <v>15135</v>
      </c>
      <c r="E1424">
        <v>103082007</v>
      </c>
    </row>
    <row r="1425" spans="1:8" hidden="1" x14ac:dyDescent="0.25">
      <c r="A1425">
        <v>273404</v>
      </c>
      <c r="B1425" t="s">
        <v>16979</v>
      </c>
      <c r="C1425" t="s">
        <v>15134</v>
      </c>
      <c r="D1425" t="s">
        <v>15135</v>
      </c>
      <c r="E1425">
        <v>103207004</v>
      </c>
    </row>
    <row r="1426" spans="1:8" hidden="1" x14ac:dyDescent="0.25">
      <c r="A1426">
        <v>9907</v>
      </c>
      <c r="B1426" t="s">
        <v>15723</v>
      </c>
      <c r="C1426" t="s">
        <v>15134</v>
      </c>
      <c r="D1426" t="s">
        <v>15135</v>
      </c>
      <c r="E1426">
        <v>103043001</v>
      </c>
    </row>
    <row r="1427" spans="1:8" hidden="1" x14ac:dyDescent="0.25">
      <c r="A1427">
        <v>9997</v>
      </c>
      <c r="B1427" t="s">
        <v>15773</v>
      </c>
      <c r="C1427" t="s">
        <v>15134</v>
      </c>
      <c r="D1427" t="s">
        <v>15135</v>
      </c>
      <c r="E1427">
        <v>103083001</v>
      </c>
    </row>
    <row r="1428" spans="1:8" hidden="1" x14ac:dyDescent="0.25">
      <c r="A1428">
        <v>10058</v>
      </c>
      <c r="B1428" t="s">
        <v>15797</v>
      </c>
      <c r="C1428" t="s">
        <v>15134</v>
      </c>
      <c r="D1428" t="s">
        <v>15135</v>
      </c>
      <c r="E1428">
        <v>103109001</v>
      </c>
      <c r="F1428" t="s">
        <v>15145</v>
      </c>
      <c r="G1428" t="b">
        <v>1</v>
      </c>
      <c r="H1428" t="s">
        <v>15798</v>
      </c>
    </row>
    <row r="1429" spans="1:8" hidden="1" x14ac:dyDescent="0.25">
      <c r="A1429">
        <v>10373</v>
      </c>
      <c r="B1429" t="s">
        <v>15854</v>
      </c>
      <c r="C1429" t="s">
        <v>15134</v>
      </c>
      <c r="D1429" t="s">
        <v>15135</v>
      </c>
      <c r="E1429">
        <v>103109002</v>
      </c>
      <c r="F1429" t="s">
        <v>15145</v>
      </c>
      <c r="G1429" t="b">
        <v>1</v>
      </c>
      <c r="H1429" t="s">
        <v>15855</v>
      </c>
    </row>
    <row r="1430" spans="1:8" hidden="1" x14ac:dyDescent="0.25">
      <c r="A1430">
        <v>10373</v>
      </c>
      <c r="B1430" t="s">
        <v>15854</v>
      </c>
      <c r="C1430" t="s">
        <v>15134</v>
      </c>
      <c r="D1430" t="s">
        <v>15135</v>
      </c>
      <c r="E1430">
        <v>103109002</v>
      </c>
      <c r="F1430" t="s">
        <v>15138</v>
      </c>
      <c r="G1430" t="b">
        <v>1</v>
      </c>
      <c r="H1430" t="s">
        <v>15856</v>
      </c>
    </row>
    <row r="1431" spans="1:8" hidden="1" x14ac:dyDescent="0.25">
      <c r="A1431">
        <v>80547</v>
      </c>
      <c r="B1431" t="s">
        <v>16114</v>
      </c>
      <c r="C1431" t="s">
        <v>15134</v>
      </c>
      <c r="D1431" t="s">
        <v>15135</v>
      </c>
      <c r="E1431">
        <v>103109003</v>
      </c>
      <c r="F1431" t="s">
        <v>15138</v>
      </c>
      <c r="G1431" t="b">
        <v>1</v>
      </c>
      <c r="H1431" t="s">
        <v>16115</v>
      </c>
    </row>
    <row r="1432" spans="1:8" hidden="1" x14ac:dyDescent="0.25">
      <c r="A1432">
        <v>80547</v>
      </c>
      <c r="B1432" t="s">
        <v>16114</v>
      </c>
      <c r="C1432" t="s">
        <v>15134</v>
      </c>
      <c r="D1432" t="s">
        <v>15135</v>
      </c>
      <c r="E1432">
        <v>103109003</v>
      </c>
      <c r="F1432" t="s">
        <v>15145</v>
      </c>
      <c r="G1432" t="b">
        <v>1</v>
      </c>
      <c r="H1432" t="s">
        <v>16116</v>
      </c>
    </row>
    <row r="1433" spans="1:8" hidden="1" x14ac:dyDescent="0.25">
      <c r="A1433">
        <v>9683</v>
      </c>
      <c r="B1433" t="s">
        <v>15629</v>
      </c>
      <c r="C1433" t="s">
        <v>15134</v>
      </c>
      <c r="D1433" t="s">
        <v>15135</v>
      </c>
      <c r="E1433">
        <v>93012001</v>
      </c>
    </row>
    <row r="1434" spans="1:8" hidden="1" x14ac:dyDescent="0.25">
      <c r="A1434">
        <v>9685</v>
      </c>
      <c r="B1434" t="s">
        <v>15629</v>
      </c>
      <c r="C1434" t="s">
        <v>15134</v>
      </c>
      <c r="D1434" t="s">
        <v>15135</v>
      </c>
      <c r="E1434">
        <v>93013001</v>
      </c>
    </row>
    <row r="1435" spans="1:8" hidden="1" x14ac:dyDescent="0.25">
      <c r="A1435">
        <v>80825</v>
      </c>
      <c r="B1435" t="s">
        <v>16217</v>
      </c>
      <c r="C1435" t="s">
        <v>15134</v>
      </c>
      <c r="D1435" t="s">
        <v>15135</v>
      </c>
      <c r="E1435">
        <v>93013002</v>
      </c>
      <c r="F1435" t="s">
        <v>15138</v>
      </c>
      <c r="G1435" t="b">
        <v>1</v>
      </c>
      <c r="H1435" t="s">
        <v>16218</v>
      </c>
    </row>
    <row r="1436" spans="1:8" hidden="1" x14ac:dyDescent="0.25">
      <c r="A1436">
        <v>80825</v>
      </c>
      <c r="B1436" t="s">
        <v>16217</v>
      </c>
      <c r="C1436" t="s">
        <v>15134</v>
      </c>
      <c r="D1436" t="s">
        <v>15135</v>
      </c>
      <c r="E1436">
        <v>93013002</v>
      </c>
      <c r="F1436" t="s">
        <v>15145</v>
      </c>
      <c r="G1436" t="b">
        <v>1</v>
      </c>
      <c r="H1436" t="s">
        <v>16218</v>
      </c>
    </row>
    <row r="1437" spans="1:8" hidden="1" x14ac:dyDescent="0.25">
      <c r="A1437">
        <v>87070</v>
      </c>
      <c r="B1437" t="s">
        <v>16331</v>
      </c>
      <c r="C1437" t="s">
        <v>15134</v>
      </c>
      <c r="D1437" t="s">
        <v>15135</v>
      </c>
      <c r="E1437">
        <v>73524001</v>
      </c>
      <c r="F1437" t="s">
        <v>15138</v>
      </c>
      <c r="G1437" t="b">
        <v>1</v>
      </c>
      <c r="H1437" t="s">
        <v>16332</v>
      </c>
    </row>
    <row r="1438" spans="1:8" hidden="1" x14ac:dyDescent="0.25">
      <c r="A1438">
        <v>87070</v>
      </c>
      <c r="B1438" t="s">
        <v>16331</v>
      </c>
      <c r="C1438" t="s">
        <v>15134</v>
      </c>
      <c r="D1438" t="s">
        <v>15135</v>
      </c>
      <c r="E1438">
        <v>73524001</v>
      </c>
      <c r="F1438" t="s">
        <v>15145</v>
      </c>
      <c r="G1438" t="b">
        <v>1</v>
      </c>
      <c r="H1438" t="s">
        <v>16332</v>
      </c>
    </row>
    <row r="1439" spans="1:8" hidden="1" x14ac:dyDescent="0.25">
      <c r="A1439">
        <v>9049</v>
      </c>
      <c r="B1439" t="s">
        <v>15337</v>
      </c>
      <c r="C1439" t="s">
        <v>15134</v>
      </c>
      <c r="D1439" t="s">
        <v>15135</v>
      </c>
      <c r="E1439">
        <v>73042001</v>
      </c>
    </row>
    <row r="1440" spans="1:8" hidden="1" x14ac:dyDescent="0.25">
      <c r="A1440">
        <v>9517</v>
      </c>
      <c r="B1440" t="s">
        <v>15337</v>
      </c>
      <c r="C1440" t="s">
        <v>15134</v>
      </c>
      <c r="D1440" t="s">
        <v>15135</v>
      </c>
      <c r="E1440">
        <v>73284001</v>
      </c>
    </row>
    <row r="1441" spans="1:8" hidden="1" x14ac:dyDescent="0.25">
      <c r="A1441">
        <v>9061</v>
      </c>
      <c r="B1441" t="s">
        <v>15343</v>
      </c>
      <c r="C1441" t="s">
        <v>15134</v>
      </c>
      <c r="D1441" t="s">
        <v>15135</v>
      </c>
      <c r="E1441">
        <v>73051001</v>
      </c>
    </row>
    <row r="1442" spans="1:8" hidden="1" x14ac:dyDescent="0.25">
      <c r="A1442">
        <v>9022</v>
      </c>
      <c r="B1442" t="s">
        <v>15320</v>
      </c>
      <c r="C1442" t="s">
        <v>15134</v>
      </c>
      <c r="D1442" t="s">
        <v>15135</v>
      </c>
      <c r="E1442">
        <v>73025002</v>
      </c>
    </row>
    <row r="1443" spans="1:8" hidden="1" x14ac:dyDescent="0.25">
      <c r="A1443">
        <v>9023</v>
      </c>
      <c r="B1443" t="s">
        <v>15321</v>
      </c>
      <c r="C1443" t="s">
        <v>15134</v>
      </c>
      <c r="D1443" t="s">
        <v>15135</v>
      </c>
      <c r="E1443">
        <v>73025003</v>
      </c>
    </row>
    <row r="1444" spans="1:8" hidden="1" x14ac:dyDescent="0.25">
      <c r="A1444">
        <v>8763</v>
      </c>
      <c r="B1444" t="s">
        <v>15257</v>
      </c>
      <c r="C1444" t="s">
        <v>15134</v>
      </c>
      <c r="D1444" t="s">
        <v>15135</v>
      </c>
      <c r="E1444">
        <v>72404001</v>
      </c>
    </row>
    <row r="1445" spans="1:8" hidden="1" x14ac:dyDescent="0.25">
      <c r="A1445">
        <v>88455</v>
      </c>
      <c r="B1445" t="s">
        <v>16379</v>
      </c>
      <c r="C1445" t="s">
        <v>15134</v>
      </c>
      <c r="D1445" t="s">
        <v>15135</v>
      </c>
      <c r="E1445">
        <v>99108000</v>
      </c>
      <c r="F1445" t="s">
        <v>15136</v>
      </c>
      <c r="G1445" t="b">
        <v>0</v>
      </c>
      <c r="H1445" t="s">
        <v>16380</v>
      </c>
    </row>
    <row r="1446" spans="1:8" hidden="1" x14ac:dyDescent="0.25">
      <c r="A1446">
        <v>88455</v>
      </c>
      <c r="B1446" t="s">
        <v>16379</v>
      </c>
      <c r="C1446" t="s">
        <v>15134</v>
      </c>
      <c r="D1446" t="s">
        <v>15135</v>
      </c>
      <c r="E1446">
        <v>99108000</v>
      </c>
      <c r="F1446" t="s">
        <v>15138</v>
      </c>
      <c r="G1446" t="b">
        <v>0</v>
      </c>
      <c r="H1446" t="s">
        <v>16380</v>
      </c>
    </row>
    <row r="1447" spans="1:8" hidden="1" x14ac:dyDescent="0.25">
      <c r="A1447">
        <v>93004</v>
      </c>
      <c r="B1447" t="s">
        <v>16950</v>
      </c>
      <c r="C1447" t="s">
        <v>15134</v>
      </c>
      <c r="D1447" t="s">
        <v>15135</v>
      </c>
      <c r="E1447">
        <v>73323001</v>
      </c>
    </row>
    <row r="1448" spans="1:8" hidden="1" x14ac:dyDescent="0.25">
      <c r="A1448">
        <v>89720</v>
      </c>
      <c r="B1448" t="s">
        <v>16436</v>
      </c>
      <c r="C1448" t="s">
        <v>15134</v>
      </c>
      <c r="D1448" t="s">
        <v>15135</v>
      </c>
      <c r="E1448">
        <v>83020001</v>
      </c>
      <c r="F1448" t="s">
        <v>15145</v>
      </c>
      <c r="G1448" t="b">
        <v>0</v>
      </c>
      <c r="H1448" t="s">
        <v>16437</v>
      </c>
    </row>
    <row r="1449" spans="1:8" hidden="1" x14ac:dyDescent="0.25">
      <c r="A1449">
        <v>92952</v>
      </c>
      <c r="B1449" t="s">
        <v>16945</v>
      </c>
      <c r="C1449" t="s">
        <v>15134</v>
      </c>
      <c r="D1449" t="s">
        <v>15135</v>
      </c>
      <c r="E1449">
        <v>73322001</v>
      </c>
      <c r="F1449" t="s">
        <v>15138</v>
      </c>
      <c r="G1449" t="b">
        <v>1</v>
      </c>
      <c r="H1449" t="s">
        <v>16946</v>
      </c>
    </row>
    <row r="1450" spans="1:8" hidden="1" x14ac:dyDescent="0.25">
      <c r="A1450">
        <v>92952</v>
      </c>
      <c r="B1450" t="s">
        <v>16945</v>
      </c>
      <c r="C1450" t="s">
        <v>15134</v>
      </c>
      <c r="D1450" t="s">
        <v>15135</v>
      </c>
      <c r="E1450">
        <v>73322001</v>
      </c>
      <c r="F1450" t="s">
        <v>15136</v>
      </c>
      <c r="G1450" t="b">
        <v>1</v>
      </c>
      <c r="H1450" t="s">
        <v>16946</v>
      </c>
    </row>
    <row r="1451" spans="1:8" hidden="1" x14ac:dyDescent="0.25">
      <c r="A1451">
        <v>646114</v>
      </c>
      <c r="B1451" t="s">
        <v>17017</v>
      </c>
      <c r="C1451" t="s">
        <v>15134</v>
      </c>
      <c r="D1451" t="s">
        <v>15135</v>
      </c>
      <c r="E1451">
        <v>73328000</v>
      </c>
    </row>
    <row r="1452" spans="1:8" hidden="1" x14ac:dyDescent="0.25">
      <c r="A1452">
        <v>921113</v>
      </c>
      <c r="B1452" t="s">
        <v>17017</v>
      </c>
      <c r="C1452" t="s">
        <v>15134</v>
      </c>
      <c r="D1452" t="s">
        <v>15135</v>
      </c>
      <c r="E1452">
        <v>73328001</v>
      </c>
    </row>
    <row r="1453" spans="1:8" hidden="1" x14ac:dyDescent="0.25">
      <c r="A1453">
        <v>176634</v>
      </c>
      <c r="B1453" t="s">
        <v>16973</v>
      </c>
      <c r="C1453" t="s">
        <v>15134</v>
      </c>
      <c r="D1453" t="s">
        <v>15135</v>
      </c>
      <c r="E1453">
        <v>73329001</v>
      </c>
    </row>
    <row r="1454" spans="1:8" hidden="1" x14ac:dyDescent="0.25">
      <c r="A1454">
        <v>958412</v>
      </c>
      <c r="B1454" t="s">
        <v>16973</v>
      </c>
      <c r="C1454" t="s">
        <v>15134</v>
      </c>
      <c r="D1454" t="s">
        <v>15135</v>
      </c>
      <c r="E1454">
        <v>73329000</v>
      </c>
    </row>
    <row r="1455" spans="1:8" hidden="1" x14ac:dyDescent="0.25">
      <c r="A1455">
        <v>9727</v>
      </c>
      <c r="B1455" t="s">
        <v>15636</v>
      </c>
      <c r="C1455" t="s">
        <v>15134</v>
      </c>
      <c r="D1455" t="s">
        <v>15135</v>
      </c>
      <c r="E1455">
        <v>102203000</v>
      </c>
    </row>
    <row r="1456" spans="1:8" hidden="1" x14ac:dyDescent="0.25">
      <c r="A1456">
        <v>9728</v>
      </c>
      <c r="B1456" t="s">
        <v>15636</v>
      </c>
      <c r="C1456" t="s">
        <v>15134</v>
      </c>
      <c r="D1456" t="s">
        <v>15135</v>
      </c>
      <c r="E1456">
        <v>102203001</v>
      </c>
    </row>
    <row r="1457" spans="1:8" hidden="1" x14ac:dyDescent="0.25">
      <c r="A1457">
        <v>8726</v>
      </c>
      <c r="B1457" t="s">
        <v>15227</v>
      </c>
      <c r="C1457" t="s">
        <v>15134</v>
      </c>
      <c r="D1457" t="s">
        <v>15135</v>
      </c>
      <c r="E1457">
        <v>72289000</v>
      </c>
    </row>
    <row r="1458" spans="1:8" hidden="1" x14ac:dyDescent="0.25">
      <c r="A1458">
        <v>79659</v>
      </c>
      <c r="B1458" t="s">
        <v>15976</v>
      </c>
      <c r="C1458" t="s">
        <v>15134</v>
      </c>
      <c r="D1458" t="s">
        <v>15135</v>
      </c>
      <c r="E1458">
        <v>52204001</v>
      </c>
      <c r="F1458" t="s">
        <v>15138</v>
      </c>
      <c r="G1458" t="b">
        <v>0</v>
      </c>
      <c r="H1458" t="s">
        <v>15977</v>
      </c>
    </row>
    <row r="1459" spans="1:8" hidden="1" x14ac:dyDescent="0.25">
      <c r="A1459">
        <v>79659</v>
      </c>
      <c r="B1459" t="s">
        <v>15976</v>
      </c>
      <c r="C1459" t="s">
        <v>15134</v>
      </c>
      <c r="D1459" t="s">
        <v>15135</v>
      </c>
      <c r="E1459">
        <v>52204001</v>
      </c>
      <c r="F1459" t="s">
        <v>15145</v>
      </c>
      <c r="G1459" t="b">
        <v>1</v>
      </c>
      <c r="H1459" t="s">
        <v>15978</v>
      </c>
    </row>
    <row r="1460" spans="1:8" hidden="1" x14ac:dyDescent="0.25">
      <c r="A1460">
        <v>9748</v>
      </c>
      <c r="B1460" t="s">
        <v>15649</v>
      </c>
      <c r="C1460" t="s">
        <v>15134</v>
      </c>
      <c r="D1460" t="s">
        <v>15135</v>
      </c>
      <c r="E1460">
        <v>102222000</v>
      </c>
    </row>
    <row r="1461" spans="1:8" hidden="1" x14ac:dyDescent="0.25">
      <c r="A1461">
        <v>9749</v>
      </c>
      <c r="B1461" t="s">
        <v>15649</v>
      </c>
      <c r="C1461" t="s">
        <v>15134</v>
      </c>
      <c r="D1461" t="s">
        <v>15135</v>
      </c>
      <c r="E1461">
        <v>102222001</v>
      </c>
    </row>
    <row r="1462" spans="1:8" hidden="1" x14ac:dyDescent="0.25">
      <c r="A1462">
        <v>9806</v>
      </c>
      <c r="B1462" t="s">
        <v>15694</v>
      </c>
      <c r="C1462" t="s">
        <v>15134</v>
      </c>
      <c r="D1462" t="s">
        <v>15135</v>
      </c>
      <c r="E1462">
        <v>102256005</v>
      </c>
      <c r="F1462" t="s">
        <v>15136</v>
      </c>
      <c r="G1462" t="b">
        <v>0</v>
      </c>
      <c r="H1462" t="s">
        <v>15695</v>
      </c>
    </row>
    <row r="1463" spans="1:8" hidden="1" x14ac:dyDescent="0.25">
      <c r="A1463">
        <v>9806</v>
      </c>
      <c r="B1463" t="s">
        <v>15694</v>
      </c>
      <c r="C1463" t="s">
        <v>15134</v>
      </c>
      <c r="D1463" t="s">
        <v>15135</v>
      </c>
      <c r="E1463">
        <v>102256005</v>
      </c>
      <c r="F1463" t="s">
        <v>15138</v>
      </c>
      <c r="G1463" t="b">
        <v>1</v>
      </c>
      <c r="H1463" t="s">
        <v>15696</v>
      </c>
    </row>
    <row r="1464" spans="1:8" hidden="1" x14ac:dyDescent="0.25">
      <c r="A1464">
        <v>92625</v>
      </c>
      <c r="B1464" t="s">
        <v>16877</v>
      </c>
      <c r="C1464" t="s">
        <v>15134</v>
      </c>
      <c r="D1464" t="s">
        <v>15135</v>
      </c>
      <c r="E1464">
        <v>73312001</v>
      </c>
    </row>
    <row r="1465" spans="1:8" hidden="1" x14ac:dyDescent="0.25">
      <c r="A1465">
        <v>92624</v>
      </c>
      <c r="B1465" t="s">
        <v>16874</v>
      </c>
      <c r="C1465" t="s">
        <v>15134</v>
      </c>
      <c r="D1465" t="s">
        <v>15135</v>
      </c>
      <c r="E1465">
        <v>73312000</v>
      </c>
      <c r="F1465" t="s">
        <v>15138</v>
      </c>
      <c r="G1465" t="b">
        <v>1</v>
      </c>
      <c r="H1465" t="s">
        <v>16875</v>
      </c>
    </row>
    <row r="1466" spans="1:8" hidden="1" x14ac:dyDescent="0.25">
      <c r="A1466">
        <v>92624</v>
      </c>
      <c r="B1466" t="s">
        <v>16874</v>
      </c>
      <c r="C1466" t="s">
        <v>15134</v>
      </c>
      <c r="D1466" t="s">
        <v>15135</v>
      </c>
      <c r="E1466">
        <v>73312000</v>
      </c>
      <c r="F1466" t="s">
        <v>15136</v>
      </c>
      <c r="G1466" t="b">
        <v>1</v>
      </c>
      <c r="H1466" t="s">
        <v>16876</v>
      </c>
    </row>
    <row r="1467" spans="1:8" hidden="1" x14ac:dyDescent="0.25">
      <c r="A1467">
        <v>9925</v>
      </c>
      <c r="B1467" t="s">
        <v>15731</v>
      </c>
      <c r="C1467" t="s">
        <v>15134</v>
      </c>
      <c r="D1467" t="s">
        <v>15135</v>
      </c>
      <c r="E1467">
        <v>103054001</v>
      </c>
    </row>
    <row r="1468" spans="1:8" hidden="1" x14ac:dyDescent="0.25">
      <c r="A1468">
        <v>1000079</v>
      </c>
      <c r="B1468" t="s">
        <v>17057</v>
      </c>
      <c r="C1468" t="s">
        <v>15134</v>
      </c>
      <c r="D1468" t="s">
        <v>15135</v>
      </c>
      <c r="E1468">
        <v>103221003</v>
      </c>
      <c r="F1468" t="s">
        <v>15138</v>
      </c>
      <c r="G1468" t="b">
        <v>1</v>
      </c>
      <c r="H1468" t="s">
        <v>17058</v>
      </c>
    </row>
    <row r="1469" spans="1:8" hidden="1" x14ac:dyDescent="0.25">
      <c r="A1469">
        <v>1000079</v>
      </c>
      <c r="B1469" t="s">
        <v>17057</v>
      </c>
      <c r="C1469" t="s">
        <v>15134</v>
      </c>
      <c r="D1469" t="s">
        <v>15135</v>
      </c>
      <c r="E1469">
        <v>103221003</v>
      </c>
      <c r="F1469" t="s">
        <v>15136</v>
      </c>
      <c r="G1469" t="b">
        <v>1</v>
      </c>
      <c r="H1469" t="s">
        <v>16693</v>
      </c>
    </row>
    <row r="1470" spans="1:8" hidden="1" x14ac:dyDescent="0.25">
      <c r="A1470">
        <v>91273</v>
      </c>
      <c r="B1470" t="s">
        <v>16761</v>
      </c>
      <c r="C1470" t="s">
        <v>15134</v>
      </c>
      <c r="D1470" t="s">
        <v>15135</v>
      </c>
      <c r="E1470">
        <v>103221002</v>
      </c>
    </row>
    <row r="1471" spans="1:8" hidden="1" x14ac:dyDescent="0.25">
      <c r="A1471">
        <v>90828</v>
      </c>
      <c r="B1471" t="s">
        <v>16694</v>
      </c>
      <c r="C1471" t="s">
        <v>15134</v>
      </c>
      <c r="D1471" t="s">
        <v>15135</v>
      </c>
      <c r="E1471">
        <v>103221001</v>
      </c>
      <c r="F1471" t="s">
        <v>15145</v>
      </c>
      <c r="G1471" t="b">
        <v>1</v>
      </c>
      <c r="H1471" t="s">
        <v>16692</v>
      </c>
    </row>
    <row r="1472" spans="1:8" hidden="1" x14ac:dyDescent="0.25">
      <c r="A1472">
        <v>90827</v>
      </c>
      <c r="B1472" t="s">
        <v>16691</v>
      </c>
      <c r="C1472" t="s">
        <v>15134</v>
      </c>
      <c r="D1472" t="s">
        <v>15135</v>
      </c>
      <c r="E1472">
        <v>103221000</v>
      </c>
      <c r="F1472" t="s">
        <v>15138</v>
      </c>
      <c r="G1472" t="b">
        <v>1</v>
      </c>
      <c r="H1472" t="s">
        <v>16692</v>
      </c>
    </row>
    <row r="1473" spans="1:8" hidden="1" x14ac:dyDescent="0.25">
      <c r="A1473">
        <v>90827</v>
      </c>
      <c r="B1473" t="s">
        <v>16691</v>
      </c>
      <c r="C1473" t="s">
        <v>15134</v>
      </c>
      <c r="D1473" t="s">
        <v>15135</v>
      </c>
      <c r="E1473">
        <v>103221000</v>
      </c>
      <c r="F1473" t="s">
        <v>15136</v>
      </c>
      <c r="G1473" t="b">
        <v>1</v>
      </c>
      <c r="H1473" t="s">
        <v>16693</v>
      </c>
    </row>
    <row r="1474" spans="1:8" hidden="1" x14ac:dyDescent="0.25">
      <c r="A1474">
        <v>79345</v>
      </c>
      <c r="B1474" t="s">
        <v>1512</v>
      </c>
      <c r="C1474" t="s">
        <v>15134</v>
      </c>
      <c r="D1474" t="s">
        <v>15135</v>
      </c>
      <c r="E1474">
        <v>72425010</v>
      </c>
      <c r="F1474" t="s">
        <v>15145</v>
      </c>
      <c r="G1474" t="b">
        <v>0</v>
      </c>
      <c r="H1474" t="s">
        <v>15943</v>
      </c>
    </row>
    <row r="1475" spans="1:8" hidden="1" x14ac:dyDescent="0.25">
      <c r="A1475">
        <v>79346</v>
      </c>
      <c r="B1475" t="s">
        <v>1512</v>
      </c>
      <c r="C1475" t="s">
        <v>15134</v>
      </c>
      <c r="D1475" t="s">
        <v>15135</v>
      </c>
      <c r="E1475">
        <v>72425009</v>
      </c>
      <c r="F1475" t="s">
        <v>15145</v>
      </c>
      <c r="G1475" t="b">
        <v>1</v>
      </c>
      <c r="H1475" t="s">
        <v>15944</v>
      </c>
    </row>
    <row r="1476" spans="1:8" hidden="1" x14ac:dyDescent="0.25">
      <c r="A1476">
        <v>79346</v>
      </c>
      <c r="B1476" t="s">
        <v>1512</v>
      </c>
      <c r="C1476" t="s">
        <v>15134</v>
      </c>
      <c r="D1476" t="s">
        <v>15135</v>
      </c>
      <c r="E1476">
        <v>72425009</v>
      </c>
      <c r="F1476" t="s">
        <v>15138</v>
      </c>
      <c r="G1476" t="b">
        <v>0</v>
      </c>
      <c r="H1476" t="s">
        <v>15945</v>
      </c>
    </row>
    <row r="1477" spans="1:8" hidden="1" x14ac:dyDescent="0.25">
      <c r="A1477">
        <v>80927</v>
      </c>
      <c r="B1477" t="s">
        <v>16250</v>
      </c>
      <c r="C1477" t="s">
        <v>15134</v>
      </c>
      <c r="D1477" t="s">
        <v>15135</v>
      </c>
      <c r="E1477">
        <v>73495001</v>
      </c>
      <c r="F1477" t="s">
        <v>15145</v>
      </c>
      <c r="G1477" t="b">
        <v>1</v>
      </c>
      <c r="H1477" t="s">
        <v>15862</v>
      </c>
    </row>
    <row r="1478" spans="1:8" hidden="1" x14ac:dyDescent="0.25">
      <c r="A1478">
        <v>80927</v>
      </c>
      <c r="B1478" t="s">
        <v>16250</v>
      </c>
      <c r="C1478" t="s">
        <v>15134</v>
      </c>
      <c r="D1478" t="s">
        <v>15135</v>
      </c>
      <c r="E1478">
        <v>73495001</v>
      </c>
      <c r="F1478" t="s">
        <v>15138</v>
      </c>
      <c r="G1478" t="b">
        <v>1</v>
      </c>
      <c r="H1478" t="s">
        <v>15862</v>
      </c>
    </row>
    <row r="1479" spans="1:8" hidden="1" x14ac:dyDescent="0.25">
      <c r="A1479">
        <v>9433</v>
      </c>
      <c r="B1479" t="s">
        <v>15524</v>
      </c>
      <c r="C1479" t="s">
        <v>15134</v>
      </c>
      <c r="D1479" t="s">
        <v>15135</v>
      </c>
      <c r="E1479">
        <v>73263001</v>
      </c>
    </row>
    <row r="1480" spans="1:8" hidden="1" x14ac:dyDescent="0.25">
      <c r="A1480">
        <v>89815</v>
      </c>
      <c r="B1480" t="s">
        <v>16459</v>
      </c>
      <c r="C1480" t="s">
        <v>15134</v>
      </c>
      <c r="D1480" t="s">
        <v>15135</v>
      </c>
      <c r="E1480">
        <v>73563001</v>
      </c>
      <c r="F1480" t="s">
        <v>15145</v>
      </c>
      <c r="G1480" t="b">
        <v>1</v>
      </c>
      <c r="H1480" t="s">
        <v>16190</v>
      </c>
    </row>
    <row r="1481" spans="1:8" hidden="1" x14ac:dyDescent="0.25">
      <c r="A1481">
        <v>89815</v>
      </c>
      <c r="B1481" t="s">
        <v>16459</v>
      </c>
      <c r="C1481" t="s">
        <v>15134</v>
      </c>
      <c r="D1481" t="s">
        <v>15135</v>
      </c>
      <c r="E1481">
        <v>73563001</v>
      </c>
      <c r="F1481" t="s">
        <v>15138</v>
      </c>
      <c r="G1481" t="b">
        <v>1</v>
      </c>
      <c r="H1481" t="s">
        <v>16190</v>
      </c>
    </row>
    <row r="1482" spans="1:8" hidden="1" x14ac:dyDescent="0.25">
      <c r="A1482">
        <v>10359</v>
      </c>
      <c r="B1482" t="s">
        <v>15849</v>
      </c>
      <c r="C1482" t="s">
        <v>15134</v>
      </c>
      <c r="D1482" t="s">
        <v>15135</v>
      </c>
      <c r="E1482">
        <v>73263002</v>
      </c>
    </row>
    <row r="1483" spans="1:8" hidden="1" x14ac:dyDescent="0.25">
      <c r="A1483">
        <v>89448</v>
      </c>
      <c r="B1483" t="s">
        <v>16395</v>
      </c>
      <c r="C1483" t="s">
        <v>15134</v>
      </c>
      <c r="D1483" t="s">
        <v>15135</v>
      </c>
      <c r="E1483">
        <v>73548001</v>
      </c>
      <c r="F1483" t="s">
        <v>15145</v>
      </c>
      <c r="G1483" t="b">
        <v>1</v>
      </c>
      <c r="H1483" t="s">
        <v>16394</v>
      </c>
    </row>
    <row r="1484" spans="1:8" hidden="1" x14ac:dyDescent="0.25">
      <c r="A1484">
        <v>89448</v>
      </c>
      <c r="B1484" t="s">
        <v>16395</v>
      </c>
      <c r="C1484" t="s">
        <v>15134</v>
      </c>
      <c r="D1484" t="s">
        <v>15135</v>
      </c>
      <c r="E1484">
        <v>73548001</v>
      </c>
      <c r="F1484" t="s">
        <v>15138</v>
      </c>
      <c r="G1484" t="b">
        <v>1</v>
      </c>
      <c r="H1484" t="s">
        <v>16394</v>
      </c>
    </row>
    <row r="1485" spans="1:8" hidden="1" x14ac:dyDescent="0.25">
      <c r="A1485">
        <v>91185</v>
      </c>
      <c r="B1485" t="s">
        <v>16747</v>
      </c>
      <c r="C1485" t="s">
        <v>15134</v>
      </c>
      <c r="D1485" t="s">
        <v>15135</v>
      </c>
      <c r="E1485">
        <v>113022000</v>
      </c>
      <c r="F1485" t="s">
        <v>15138</v>
      </c>
      <c r="G1485" t="b">
        <v>1</v>
      </c>
      <c r="H1485" t="s">
        <v>16748</v>
      </c>
    </row>
    <row r="1486" spans="1:8" hidden="1" x14ac:dyDescent="0.25">
      <c r="A1486">
        <v>91185</v>
      </c>
      <c r="B1486" t="s">
        <v>16747</v>
      </c>
      <c r="C1486" t="s">
        <v>15134</v>
      </c>
      <c r="D1486" t="s">
        <v>15135</v>
      </c>
      <c r="E1486">
        <v>113022000</v>
      </c>
      <c r="F1486" t="s">
        <v>15136</v>
      </c>
      <c r="G1486" t="b">
        <v>1</v>
      </c>
      <c r="H1486" t="s">
        <v>16749</v>
      </c>
    </row>
    <row r="1487" spans="1:8" hidden="1" x14ac:dyDescent="0.25">
      <c r="A1487">
        <v>91186</v>
      </c>
      <c r="B1487" t="s">
        <v>16747</v>
      </c>
      <c r="C1487" t="s">
        <v>15134</v>
      </c>
      <c r="D1487" t="s">
        <v>15135</v>
      </c>
      <c r="E1487">
        <v>113022001</v>
      </c>
    </row>
    <row r="1488" spans="1:8" hidden="1" x14ac:dyDescent="0.25">
      <c r="A1488">
        <v>32881</v>
      </c>
      <c r="B1488" t="s">
        <v>15866</v>
      </c>
      <c r="C1488" t="s">
        <v>15134</v>
      </c>
      <c r="D1488" t="s">
        <v>15135</v>
      </c>
      <c r="E1488">
        <v>73335000</v>
      </c>
    </row>
    <row r="1489" spans="1:8" hidden="1" x14ac:dyDescent="0.25">
      <c r="A1489">
        <v>957493</v>
      </c>
      <c r="B1489" t="s">
        <v>17032</v>
      </c>
      <c r="C1489" t="s">
        <v>15134</v>
      </c>
      <c r="D1489" t="s">
        <v>15135</v>
      </c>
      <c r="E1489">
        <v>73335001</v>
      </c>
    </row>
    <row r="1490" spans="1:8" hidden="1" x14ac:dyDescent="0.25">
      <c r="A1490">
        <v>8491</v>
      </c>
      <c r="B1490" t="s">
        <v>15147</v>
      </c>
      <c r="C1490" t="s">
        <v>15134</v>
      </c>
      <c r="D1490" t="s">
        <v>15135</v>
      </c>
      <c r="E1490">
        <v>22201001</v>
      </c>
    </row>
    <row r="1491" spans="1:8" hidden="1" x14ac:dyDescent="0.25">
      <c r="A1491">
        <v>487305</v>
      </c>
      <c r="B1491" t="s">
        <v>16999</v>
      </c>
      <c r="C1491" t="s">
        <v>15134</v>
      </c>
      <c r="D1491" t="s">
        <v>15135</v>
      </c>
      <c r="E1491">
        <v>73340000</v>
      </c>
      <c r="F1491" t="s">
        <v>15136</v>
      </c>
      <c r="G1491" t="b">
        <v>1</v>
      </c>
      <c r="H1491" t="s">
        <v>17000</v>
      </c>
    </row>
    <row r="1492" spans="1:8" hidden="1" x14ac:dyDescent="0.25">
      <c r="A1492">
        <v>662985</v>
      </c>
      <c r="B1492" t="s">
        <v>16999</v>
      </c>
      <c r="C1492" t="s">
        <v>15134</v>
      </c>
      <c r="D1492" t="s">
        <v>15135</v>
      </c>
      <c r="E1492">
        <v>73340001</v>
      </c>
      <c r="F1492" t="s">
        <v>15136</v>
      </c>
      <c r="G1492" t="b">
        <v>1</v>
      </c>
      <c r="H1492" t="s">
        <v>17000</v>
      </c>
    </row>
    <row r="1493" spans="1:8" hidden="1" x14ac:dyDescent="0.25">
      <c r="A1493">
        <v>91362</v>
      </c>
      <c r="B1493" t="s">
        <v>16787</v>
      </c>
      <c r="C1493" t="s">
        <v>15134</v>
      </c>
      <c r="D1493" t="s">
        <v>15135</v>
      </c>
      <c r="E1493">
        <v>72447000</v>
      </c>
      <c r="F1493" t="s">
        <v>15138</v>
      </c>
      <c r="G1493" t="b">
        <v>1</v>
      </c>
      <c r="H1493" t="s">
        <v>16788</v>
      </c>
    </row>
    <row r="1494" spans="1:8" hidden="1" x14ac:dyDescent="0.25">
      <c r="A1494">
        <v>91362</v>
      </c>
      <c r="B1494" t="s">
        <v>16787</v>
      </c>
      <c r="C1494" t="s">
        <v>15134</v>
      </c>
      <c r="D1494" t="s">
        <v>15135</v>
      </c>
      <c r="E1494">
        <v>72447000</v>
      </c>
      <c r="F1494" t="s">
        <v>15145</v>
      </c>
      <c r="G1494" t="b">
        <v>1</v>
      </c>
      <c r="H1494" t="s">
        <v>16788</v>
      </c>
    </row>
    <row r="1495" spans="1:8" hidden="1" x14ac:dyDescent="0.25">
      <c r="A1495">
        <v>91363</v>
      </c>
      <c r="B1495" t="s">
        <v>16787</v>
      </c>
      <c r="C1495" t="s">
        <v>15134</v>
      </c>
      <c r="D1495" t="s">
        <v>15135</v>
      </c>
      <c r="E1495">
        <v>72447001</v>
      </c>
      <c r="F1495" t="s">
        <v>15138</v>
      </c>
      <c r="G1495" t="b">
        <v>1</v>
      </c>
      <c r="H1495" t="s">
        <v>16788</v>
      </c>
    </row>
    <row r="1496" spans="1:8" hidden="1" x14ac:dyDescent="0.25">
      <c r="A1496">
        <v>91363</v>
      </c>
      <c r="B1496" t="s">
        <v>16787</v>
      </c>
      <c r="C1496" t="s">
        <v>15134</v>
      </c>
      <c r="D1496" t="s">
        <v>15135</v>
      </c>
      <c r="E1496">
        <v>72447001</v>
      </c>
      <c r="F1496" t="s">
        <v>15145</v>
      </c>
      <c r="G1496" t="b">
        <v>1</v>
      </c>
      <c r="H1496" t="s">
        <v>16788</v>
      </c>
    </row>
    <row r="1497" spans="1:8" hidden="1" x14ac:dyDescent="0.25">
      <c r="A1497">
        <v>9176</v>
      </c>
      <c r="B1497" t="s">
        <v>15398</v>
      </c>
      <c r="C1497" t="s">
        <v>15134</v>
      </c>
      <c r="D1497" t="s">
        <v>15135</v>
      </c>
      <c r="E1497">
        <v>73121001</v>
      </c>
      <c r="F1497" t="s">
        <v>15136</v>
      </c>
      <c r="G1497" t="b">
        <v>1</v>
      </c>
      <c r="H1497" t="s">
        <v>15397</v>
      </c>
    </row>
    <row r="1498" spans="1:8" hidden="1" x14ac:dyDescent="0.25">
      <c r="A1498">
        <v>9176</v>
      </c>
      <c r="B1498" t="s">
        <v>15398</v>
      </c>
      <c r="C1498" t="s">
        <v>15134</v>
      </c>
      <c r="D1498" t="s">
        <v>15135</v>
      </c>
      <c r="E1498">
        <v>73121001</v>
      </c>
      <c r="F1498" t="s">
        <v>15138</v>
      </c>
      <c r="G1498" t="b">
        <v>1</v>
      </c>
      <c r="H1498" t="s">
        <v>15397</v>
      </c>
    </row>
    <row r="1499" spans="1:8" hidden="1" x14ac:dyDescent="0.25">
      <c r="A1499">
        <v>87074</v>
      </c>
      <c r="B1499" t="s">
        <v>16335</v>
      </c>
      <c r="C1499" t="s">
        <v>15134</v>
      </c>
      <c r="D1499" t="s">
        <v>15135</v>
      </c>
      <c r="E1499">
        <v>103202001</v>
      </c>
      <c r="F1499" t="s">
        <v>15145</v>
      </c>
      <c r="G1499" t="b">
        <v>0</v>
      </c>
      <c r="H1499" t="s">
        <v>16334</v>
      </c>
    </row>
    <row r="1500" spans="1:8" hidden="1" x14ac:dyDescent="0.25">
      <c r="A1500">
        <v>87073</v>
      </c>
      <c r="B1500" t="s">
        <v>16333</v>
      </c>
      <c r="C1500" t="s">
        <v>15134</v>
      </c>
      <c r="D1500" t="s">
        <v>15135</v>
      </c>
      <c r="E1500">
        <v>103202000</v>
      </c>
      <c r="F1500" t="s">
        <v>15136</v>
      </c>
      <c r="G1500" t="b">
        <v>0</v>
      </c>
      <c r="H1500" t="s">
        <v>16334</v>
      </c>
    </row>
    <row r="1501" spans="1:8" hidden="1" x14ac:dyDescent="0.25">
      <c r="A1501">
        <v>87073</v>
      </c>
      <c r="B1501" t="s">
        <v>16333</v>
      </c>
      <c r="C1501" t="s">
        <v>15134</v>
      </c>
      <c r="D1501" t="s">
        <v>15135</v>
      </c>
      <c r="E1501">
        <v>103202000</v>
      </c>
      <c r="F1501" t="s">
        <v>15138</v>
      </c>
      <c r="G1501" t="b">
        <v>0</v>
      </c>
      <c r="H1501" t="s">
        <v>16334</v>
      </c>
    </row>
    <row r="1502" spans="1:8" hidden="1" x14ac:dyDescent="0.25">
      <c r="A1502">
        <v>80726</v>
      </c>
      <c r="B1502" t="s">
        <v>16197</v>
      </c>
      <c r="C1502" t="s">
        <v>15134</v>
      </c>
      <c r="D1502" t="s">
        <v>15135</v>
      </c>
      <c r="E1502">
        <v>73487001</v>
      </c>
      <c r="F1502" t="s">
        <v>15138</v>
      </c>
      <c r="G1502" t="b">
        <v>1</v>
      </c>
      <c r="H1502" t="s">
        <v>16198</v>
      </c>
    </row>
    <row r="1503" spans="1:8" hidden="1" x14ac:dyDescent="0.25">
      <c r="A1503">
        <v>80726</v>
      </c>
      <c r="B1503" t="s">
        <v>16197</v>
      </c>
      <c r="C1503" t="s">
        <v>15134</v>
      </c>
      <c r="D1503" t="s">
        <v>15135</v>
      </c>
      <c r="E1503">
        <v>73487001</v>
      </c>
      <c r="F1503" t="s">
        <v>15145</v>
      </c>
      <c r="G1503" t="b">
        <v>1</v>
      </c>
      <c r="H1503" t="s">
        <v>16198</v>
      </c>
    </row>
    <row r="1504" spans="1:8" hidden="1" x14ac:dyDescent="0.25">
      <c r="A1504">
        <v>8783</v>
      </c>
      <c r="B1504" t="s">
        <v>15275</v>
      </c>
      <c r="C1504" t="s">
        <v>15134</v>
      </c>
      <c r="D1504" t="s">
        <v>15135</v>
      </c>
      <c r="E1504">
        <v>72410000</v>
      </c>
    </row>
    <row r="1505" spans="1:8" hidden="1" x14ac:dyDescent="0.25">
      <c r="A1505">
        <v>8784</v>
      </c>
      <c r="B1505" t="s">
        <v>15275</v>
      </c>
      <c r="C1505" t="s">
        <v>15134</v>
      </c>
      <c r="D1505" t="s">
        <v>15135</v>
      </c>
      <c r="E1505">
        <v>72410001</v>
      </c>
    </row>
    <row r="1506" spans="1:8" hidden="1" x14ac:dyDescent="0.25">
      <c r="A1506">
        <v>91118</v>
      </c>
      <c r="B1506" t="s">
        <v>16739</v>
      </c>
      <c r="C1506" t="s">
        <v>15134</v>
      </c>
      <c r="D1506" t="s">
        <v>15135</v>
      </c>
      <c r="E1506">
        <v>72443000</v>
      </c>
      <c r="F1506" t="s">
        <v>15136</v>
      </c>
      <c r="G1506" t="b">
        <v>1</v>
      </c>
      <c r="H1506" t="s">
        <v>16740</v>
      </c>
    </row>
    <row r="1507" spans="1:8" hidden="1" x14ac:dyDescent="0.25">
      <c r="A1507">
        <v>91118</v>
      </c>
      <c r="B1507" t="s">
        <v>16739</v>
      </c>
      <c r="C1507" t="s">
        <v>15134</v>
      </c>
      <c r="D1507" t="s">
        <v>15135</v>
      </c>
      <c r="E1507">
        <v>72443000</v>
      </c>
      <c r="F1507" t="s">
        <v>15138</v>
      </c>
      <c r="G1507" t="b">
        <v>1</v>
      </c>
      <c r="H1507" t="s">
        <v>16741</v>
      </c>
    </row>
    <row r="1508" spans="1:8" hidden="1" x14ac:dyDescent="0.25">
      <c r="A1508">
        <v>91119</v>
      </c>
      <c r="B1508" t="s">
        <v>16739</v>
      </c>
      <c r="C1508" t="s">
        <v>15134</v>
      </c>
      <c r="D1508" t="s">
        <v>15135</v>
      </c>
      <c r="E1508">
        <v>72443001</v>
      </c>
      <c r="F1508" t="s">
        <v>15136</v>
      </c>
      <c r="G1508" t="b">
        <v>1</v>
      </c>
      <c r="H1508" t="s">
        <v>16740</v>
      </c>
    </row>
    <row r="1509" spans="1:8" hidden="1" x14ac:dyDescent="0.25">
      <c r="A1509">
        <v>91119</v>
      </c>
      <c r="B1509" t="s">
        <v>16739</v>
      </c>
      <c r="C1509" t="s">
        <v>15134</v>
      </c>
      <c r="D1509" t="s">
        <v>15135</v>
      </c>
      <c r="E1509">
        <v>72443001</v>
      </c>
      <c r="F1509" t="s">
        <v>15138</v>
      </c>
      <c r="G1509" t="b">
        <v>1</v>
      </c>
      <c r="H1509" t="s">
        <v>16741</v>
      </c>
    </row>
    <row r="1510" spans="1:8" hidden="1" x14ac:dyDescent="0.25">
      <c r="A1510">
        <v>87297</v>
      </c>
      <c r="B1510" t="s">
        <v>16341</v>
      </c>
      <c r="C1510" t="s">
        <v>15134</v>
      </c>
      <c r="D1510" t="s">
        <v>15135</v>
      </c>
      <c r="E1510">
        <v>112265001</v>
      </c>
      <c r="F1510" t="s">
        <v>15138</v>
      </c>
      <c r="G1510" t="b">
        <v>1</v>
      </c>
      <c r="H1510" t="s">
        <v>16342</v>
      </c>
    </row>
    <row r="1511" spans="1:8" hidden="1" x14ac:dyDescent="0.25">
      <c r="A1511">
        <v>87297</v>
      </c>
      <c r="B1511" t="s">
        <v>16341</v>
      </c>
      <c r="C1511" t="s">
        <v>15134</v>
      </c>
      <c r="D1511" t="s">
        <v>15135</v>
      </c>
      <c r="E1511">
        <v>112265001</v>
      </c>
      <c r="F1511" t="s">
        <v>15145</v>
      </c>
      <c r="G1511" t="b">
        <v>1</v>
      </c>
      <c r="H1511" t="s">
        <v>16342</v>
      </c>
    </row>
    <row r="1512" spans="1:8" hidden="1" x14ac:dyDescent="0.25">
      <c r="A1512">
        <v>1000122</v>
      </c>
      <c r="B1512" t="s">
        <v>17092</v>
      </c>
      <c r="C1512" t="s">
        <v>15134</v>
      </c>
      <c r="D1512" t="s">
        <v>15135</v>
      </c>
      <c r="E1512">
        <v>73351000</v>
      </c>
      <c r="F1512" t="s">
        <v>15136</v>
      </c>
      <c r="G1512" t="b">
        <v>1</v>
      </c>
      <c r="H1512" t="s">
        <v>17093</v>
      </c>
    </row>
    <row r="1513" spans="1:8" hidden="1" x14ac:dyDescent="0.25">
      <c r="A1513">
        <v>1000122</v>
      </c>
      <c r="B1513" t="s">
        <v>17092</v>
      </c>
      <c r="C1513" t="s">
        <v>15134</v>
      </c>
      <c r="D1513" t="s">
        <v>15135</v>
      </c>
      <c r="E1513">
        <v>73351000</v>
      </c>
      <c r="F1513" t="s">
        <v>15138</v>
      </c>
      <c r="G1513" t="b">
        <v>1</v>
      </c>
      <c r="H1513" t="s">
        <v>17093</v>
      </c>
    </row>
    <row r="1514" spans="1:8" hidden="1" x14ac:dyDescent="0.25">
      <c r="A1514">
        <v>92202</v>
      </c>
      <c r="B1514" t="s">
        <v>16843</v>
      </c>
      <c r="C1514" t="s">
        <v>15134</v>
      </c>
      <c r="D1514" t="s">
        <v>15135</v>
      </c>
      <c r="E1514">
        <v>73307000</v>
      </c>
      <c r="F1514" t="s">
        <v>15138</v>
      </c>
      <c r="G1514" t="b">
        <v>1</v>
      </c>
      <c r="H1514" t="s">
        <v>16844</v>
      </c>
    </row>
    <row r="1515" spans="1:8" hidden="1" x14ac:dyDescent="0.25">
      <c r="A1515">
        <v>92202</v>
      </c>
      <c r="B1515" t="s">
        <v>16843</v>
      </c>
      <c r="C1515" t="s">
        <v>15134</v>
      </c>
      <c r="D1515" t="s">
        <v>15135</v>
      </c>
      <c r="E1515">
        <v>73307000</v>
      </c>
      <c r="F1515" t="s">
        <v>15136</v>
      </c>
      <c r="G1515" t="b">
        <v>1</v>
      </c>
      <c r="H1515" t="s">
        <v>16844</v>
      </c>
    </row>
    <row r="1516" spans="1:8" hidden="1" x14ac:dyDescent="0.25">
      <c r="A1516">
        <v>92203</v>
      </c>
      <c r="B1516" t="s">
        <v>16843</v>
      </c>
      <c r="C1516" t="s">
        <v>15134</v>
      </c>
      <c r="D1516" t="s">
        <v>15135</v>
      </c>
      <c r="E1516">
        <v>73307001</v>
      </c>
      <c r="F1516" t="s">
        <v>15138</v>
      </c>
      <c r="G1516" t="b">
        <v>1</v>
      </c>
      <c r="H1516" t="s">
        <v>16844</v>
      </c>
    </row>
    <row r="1517" spans="1:8" hidden="1" x14ac:dyDescent="0.25">
      <c r="A1517">
        <v>92203</v>
      </c>
      <c r="B1517" t="s">
        <v>16843</v>
      </c>
      <c r="C1517" t="s">
        <v>15134</v>
      </c>
      <c r="D1517" t="s">
        <v>15135</v>
      </c>
      <c r="E1517">
        <v>73307001</v>
      </c>
      <c r="F1517" t="s">
        <v>15145</v>
      </c>
      <c r="G1517" t="b">
        <v>1</v>
      </c>
      <c r="H1517" t="s">
        <v>16844</v>
      </c>
    </row>
    <row r="1518" spans="1:8" hidden="1" x14ac:dyDescent="0.25">
      <c r="A1518">
        <v>79356</v>
      </c>
      <c r="B1518" t="s">
        <v>15956</v>
      </c>
      <c r="C1518" t="s">
        <v>15134</v>
      </c>
      <c r="D1518" t="s">
        <v>15135</v>
      </c>
      <c r="E1518">
        <v>133021001</v>
      </c>
      <c r="F1518" t="s">
        <v>15145</v>
      </c>
      <c r="G1518" t="b">
        <v>1</v>
      </c>
      <c r="H1518" t="s">
        <v>15957</v>
      </c>
    </row>
    <row r="1519" spans="1:8" hidden="1" x14ac:dyDescent="0.25">
      <c r="A1519">
        <v>79356</v>
      </c>
      <c r="B1519" t="s">
        <v>15956</v>
      </c>
      <c r="C1519" t="s">
        <v>15134</v>
      </c>
      <c r="D1519" t="s">
        <v>15135</v>
      </c>
      <c r="E1519">
        <v>133021001</v>
      </c>
      <c r="F1519" t="s">
        <v>15138</v>
      </c>
      <c r="G1519" t="b">
        <v>1</v>
      </c>
      <c r="H1519" t="s">
        <v>15958</v>
      </c>
    </row>
    <row r="1520" spans="1:8" hidden="1" x14ac:dyDescent="0.25">
      <c r="A1520">
        <v>92741</v>
      </c>
      <c r="B1520" t="s">
        <v>16918</v>
      </c>
      <c r="C1520" t="s">
        <v>15134</v>
      </c>
      <c r="D1520" t="s">
        <v>15135</v>
      </c>
      <c r="E1520">
        <v>73319001</v>
      </c>
      <c r="F1520" t="s">
        <v>15136</v>
      </c>
      <c r="G1520" t="b">
        <v>1</v>
      </c>
      <c r="H1520" t="s">
        <v>16919</v>
      </c>
    </row>
    <row r="1521" spans="1:8" hidden="1" x14ac:dyDescent="0.25">
      <c r="A1521">
        <v>92741</v>
      </c>
      <c r="B1521" t="s">
        <v>16918</v>
      </c>
      <c r="C1521" t="s">
        <v>15134</v>
      </c>
      <c r="D1521" t="s">
        <v>15135</v>
      </c>
      <c r="E1521">
        <v>73319001</v>
      </c>
      <c r="F1521" t="s">
        <v>15138</v>
      </c>
      <c r="G1521" t="b">
        <v>1</v>
      </c>
      <c r="H1521" t="s">
        <v>16919</v>
      </c>
    </row>
    <row r="1522" spans="1:8" hidden="1" x14ac:dyDescent="0.25">
      <c r="A1522">
        <v>78759</v>
      </c>
      <c r="B1522" t="s">
        <v>15884</v>
      </c>
      <c r="C1522" t="s">
        <v>15134</v>
      </c>
      <c r="D1522" t="s">
        <v>15135</v>
      </c>
      <c r="E1522">
        <v>92204002</v>
      </c>
    </row>
    <row r="1523" spans="1:8" hidden="1" x14ac:dyDescent="0.25">
      <c r="A1523">
        <v>79390</v>
      </c>
      <c r="B1523" t="s">
        <v>15967</v>
      </c>
      <c r="C1523" t="s">
        <v>15134</v>
      </c>
      <c r="D1523" t="s">
        <v>15135</v>
      </c>
      <c r="E1523">
        <v>102261001</v>
      </c>
      <c r="F1523" t="s">
        <v>15145</v>
      </c>
      <c r="G1523" t="b">
        <v>1</v>
      </c>
      <c r="H1523" t="s">
        <v>15968</v>
      </c>
    </row>
    <row r="1524" spans="1:8" hidden="1" x14ac:dyDescent="0.25">
      <c r="A1524">
        <v>79390</v>
      </c>
      <c r="B1524" t="s">
        <v>15967</v>
      </c>
      <c r="C1524" t="s">
        <v>15134</v>
      </c>
      <c r="D1524" t="s">
        <v>15135</v>
      </c>
      <c r="E1524">
        <v>102261001</v>
      </c>
      <c r="F1524" t="s">
        <v>15138</v>
      </c>
      <c r="G1524" t="b">
        <v>1</v>
      </c>
      <c r="H1524" t="s">
        <v>15968</v>
      </c>
    </row>
    <row r="1525" spans="1:8" hidden="1" x14ac:dyDescent="0.25">
      <c r="A1525">
        <v>9756</v>
      </c>
      <c r="B1525" t="s">
        <v>15651</v>
      </c>
      <c r="C1525" t="s">
        <v>15134</v>
      </c>
      <c r="D1525" t="s">
        <v>15135</v>
      </c>
      <c r="E1525">
        <v>102231000</v>
      </c>
    </row>
    <row r="1526" spans="1:8" hidden="1" x14ac:dyDescent="0.25">
      <c r="A1526">
        <v>8794</v>
      </c>
      <c r="B1526" t="s">
        <v>15285</v>
      </c>
      <c r="C1526" t="s">
        <v>15134</v>
      </c>
      <c r="D1526" t="s">
        <v>15135</v>
      </c>
      <c r="E1526">
        <v>72513000</v>
      </c>
      <c r="F1526" t="s">
        <v>15138</v>
      </c>
      <c r="G1526" t="b">
        <v>1</v>
      </c>
      <c r="H1526" t="s">
        <v>15286</v>
      </c>
    </row>
    <row r="1527" spans="1:8" hidden="1" x14ac:dyDescent="0.25">
      <c r="A1527">
        <v>8794</v>
      </c>
      <c r="B1527" t="s">
        <v>15285</v>
      </c>
      <c r="C1527" t="s">
        <v>15134</v>
      </c>
      <c r="D1527" t="s">
        <v>15135</v>
      </c>
      <c r="E1527">
        <v>72513000</v>
      </c>
      <c r="F1527" t="s">
        <v>15136</v>
      </c>
      <c r="G1527" t="b">
        <v>1</v>
      </c>
      <c r="H1527" t="s">
        <v>15286</v>
      </c>
    </row>
    <row r="1528" spans="1:8" hidden="1" x14ac:dyDescent="0.25">
      <c r="A1528">
        <v>8793</v>
      </c>
      <c r="B1528" t="s">
        <v>15283</v>
      </c>
      <c r="C1528" t="s">
        <v>15134</v>
      </c>
      <c r="D1528" t="s">
        <v>15135</v>
      </c>
      <c r="E1528">
        <v>72512000</v>
      </c>
      <c r="F1528" t="s">
        <v>15138</v>
      </c>
      <c r="G1528" t="b">
        <v>1</v>
      </c>
      <c r="H1528" t="s">
        <v>15284</v>
      </c>
    </row>
    <row r="1529" spans="1:8" hidden="1" x14ac:dyDescent="0.25">
      <c r="A1529">
        <v>8793</v>
      </c>
      <c r="B1529" t="s">
        <v>15283</v>
      </c>
      <c r="C1529" t="s">
        <v>15134</v>
      </c>
      <c r="D1529" t="s">
        <v>15135</v>
      </c>
      <c r="E1529">
        <v>72512000</v>
      </c>
      <c r="F1529" t="s">
        <v>15136</v>
      </c>
      <c r="G1529" t="b">
        <v>1</v>
      </c>
      <c r="H1529" t="s">
        <v>15284</v>
      </c>
    </row>
    <row r="1530" spans="1:8" hidden="1" x14ac:dyDescent="0.25">
      <c r="A1530">
        <v>8499</v>
      </c>
      <c r="B1530" t="s">
        <v>15154</v>
      </c>
      <c r="C1530" t="s">
        <v>15134</v>
      </c>
      <c r="D1530" t="s">
        <v>15135</v>
      </c>
      <c r="E1530">
        <v>23004001</v>
      </c>
    </row>
    <row r="1531" spans="1:8" hidden="1" x14ac:dyDescent="0.25">
      <c r="A1531">
        <v>90514</v>
      </c>
      <c r="B1531" t="s">
        <v>16642</v>
      </c>
      <c r="C1531" t="s">
        <v>15134</v>
      </c>
      <c r="D1531" t="s">
        <v>15135</v>
      </c>
      <c r="E1531">
        <v>103217000</v>
      </c>
      <c r="F1531" t="s">
        <v>15136</v>
      </c>
      <c r="G1531" t="b">
        <v>1</v>
      </c>
      <c r="H1531" t="s">
        <v>16538</v>
      </c>
    </row>
    <row r="1532" spans="1:8" hidden="1" x14ac:dyDescent="0.25">
      <c r="A1532">
        <v>90514</v>
      </c>
      <c r="B1532" t="s">
        <v>16642</v>
      </c>
      <c r="C1532" t="s">
        <v>15134</v>
      </c>
      <c r="D1532" t="s">
        <v>15135</v>
      </c>
      <c r="E1532">
        <v>103217000</v>
      </c>
      <c r="F1532" t="s">
        <v>15138</v>
      </c>
      <c r="G1532" t="b">
        <v>1</v>
      </c>
      <c r="H1532" t="s">
        <v>16643</v>
      </c>
    </row>
    <row r="1533" spans="1:8" hidden="1" x14ac:dyDescent="0.25">
      <c r="A1533">
        <v>90515</v>
      </c>
      <c r="B1533" t="s">
        <v>16642</v>
      </c>
      <c r="C1533" t="s">
        <v>15134</v>
      </c>
      <c r="D1533" t="s">
        <v>15135</v>
      </c>
      <c r="E1533">
        <v>103217001</v>
      </c>
      <c r="F1533" t="s">
        <v>15138</v>
      </c>
      <c r="G1533" t="b">
        <v>1</v>
      </c>
      <c r="H1533" t="s">
        <v>16644</v>
      </c>
    </row>
    <row r="1534" spans="1:8" hidden="1" x14ac:dyDescent="0.25">
      <c r="A1534">
        <v>90515</v>
      </c>
      <c r="B1534" t="s">
        <v>16642</v>
      </c>
      <c r="C1534" t="s">
        <v>15134</v>
      </c>
      <c r="D1534" t="s">
        <v>15135</v>
      </c>
      <c r="E1534">
        <v>103217001</v>
      </c>
      <c r="F1534" t="s">
        <v>15136</v>
      </c>
      <c r="G1534" t="b">
        <v>0</v>
      </c>
      <c r="H1534" t="s">
        <v>16645</v>
      </c>
    </row>
    <row r="1535" spans="1:8" hidden="1" x14ac:dyDescent="0.25">
      <c r="A1535">
        <v>92329</v>
      </c>
      <c r="B1535" t="s">
        <v>16854</v>
      </c>
      <c r="C1535" t="s">
        <v>15134</v>
      </c>
      <c r="D1535" t="s">
        <v>15135</v>
      </c>
      <c r="E1535">
        <v>103149000</v>
      </c>
      <c r="F1535" t="s">
        <v>15136</v>
      </c>
      <c r="G1535" t="b">
        <v>1</v>
      </c>
      <c r="H1535" t="s">
        <v>16855</v>
      </c>
    </row>
    <row r="1536" spans="1:8" hidden="1" x14ac:dyDescent="0.25">
      <c r="A1536">
        <v>92329</v>
      </c>
      <c r="B1536" t="s">
        <v>16854</v>
      </c>
      <c r="C1536" t="s">
        <v>15134</v>
      </c>
      <c r="D1536" t="s">
        <v>15135</v>
      </c>
      <c r="E1536">
        <v>103149000</v>
      </c>
      <c r="F1536" t="s">
        <v>15138</v>
      </c>
      <c r="G1536" t="b">
        <v>1</v>
      </c>
      <c r="H1536" t="s">
        <v>16855</v>
      </c>
    </row>
    <row r="1537" spans="1:8" hidden="1" x14ac:dyDescent="0.25">
      <c r="A1537">
        <v>91796</v>
      </c>
      <c r="B1537" t="s">
        <v>16794</v>
      </c>
      <c r="C1537" t="s">
        <v>15134</v>
      </c>
      <c r="D1537" t="s">
        <v>15135</v>
      </c>
      <c r="E1537">
        <v>72448000</v>
      </c>
      <c r="F1537" t="s">
        <v>15138</v>
      </c>
      <c r="G1537" t="b">
        <v>1</v>
      </c>
      <c r="H1537" t="s">
        <v>16795</v>
      </c>
    </row>
    <row r="1538" spans="1:8" hidden="1" x14ac:dyDescent="0.25">
      <c r="A1538">
        <v>91796</v>
      </c>
      <c r="B1538" t="s">
        <v>16794</v>
      </c>
      <c r="C1538" t="s">
        <v>15134</v>
      </c>
      <c r="D1538" t="s">
        <v>15135</v>
      </c>
      <c r="E1538">
        <v>72448000</v>
      </c>
      <c r="F1538" t="s">
        <v>15136</v>
      </c>
      <c r="G1538" t="b">
        <v>1</v>
      </c>
      <c r="H1538" t="s">
        <v>16796</v>
      </c>
    </row>
    <row r="1539" spans="1:8" hidden="1" x14ac:dyDescent="0.25">
      <c r="A1539">
        <v>91796</v>
      </c>
      <c r="B1539" t="s">
        <v>16794</v>
      </c>
      <c r="C1539" t="s">
        <v>15134</v>
      </c>
      <c r="D1539" t="s">
        <v>15135</v>
      </c>
      <c r="E1539">
        <v>72448000</v>
      </c>
      <c r="F1539" t="s">
        <v>15145</v>
      </c>
      <c r="G1539" t="b">
        <v>1</v>
      </c>
      <c r="H1539" t="s">
        <v>16795</v>
      </c>
    </row>
    <row r="1540" spans="1:8" hidden="1" x14ac:dyDescent="0.25">
      <c r="A1540">
        <v>91797</v>
      </c>
      <c r="B1540" t="s">
        <v>16794</v>
      </c>
      <c r="C1540" t="s">
        <v>15134</v>
      </c>
      <c r="D1540" t="s">
        <v>15135</v>
      </c>
      <c r="E1540">
        <v>72448001</v>
      </c>
      <c r="F1540" t="s">
        <v>15138</v>
      </c>
      <c r="G1540" t="b">
        <v>1</v>
      </c>
      <c r="H1540" t="s">
        <v>16796</v>
      </c>
    </row>
    <row r="1541" spans="1:8" hidden="1" x14ac:dyDescent="0.25">
      <c r="A1541">
        <v>91797</v>
      </c>
      <c r="B1541" t="s">
        <v>16794</v>
      </c>
      <c r="C1541" t="s">
        <v>15134</v>
      </c>
      <c r="D1541" t="s">
        <v>15135</v>
      </c>
      <c r="E1541">
        <v>72448001</v>
      </c>
      <c r="F1541" t="s">
        <v>15136</v>
      </c>
      <c r="G1541" t="b">
        <v>1</v>
      </c>
      <c r="H1541" t="s">
        <v>16796</v>
      </c>
    </row>
    <row r="1542" spans="1:8" hidden="1" x14ac:dyDescent="0.25">
      <c r="A1542">
        <v>91797</v>
      </c>
      <c r="B1542" t="s">
        <v>16794</v>
      </c>
      <c r="C1542" t="s">
        <v>15134</v>
      </c>
      <c r="D1542" t="s">
        <v>15135</v>
      </c>
      <c r="E1542">
        <v>72448001</v>
      </c>
      <c r="F1542" t="s">
        <v>15145</v>
      </c>
      <c r="G1542" t="b">
        <v>1</v>
      </c>
      <c r="H1542" t="s">
        <v>16795</v>
      </c>
    </row>
    <row r="1543" spans="1:8" hidden="1" x14ac:dyDescent="0.25">
      <c r="A1543">
        <v>8770</v>
      </c>
      <c r="B1543" t="s">
        <v>15263</v>
      </c>
      <c r="C1543" t="s">
        <v>15134</v>
      </c>
      <c r="D1543" t="s">
        <v>15135</v>
      </c>
      <c r="E1543">
        <v>72405003</v>
      </c>
    </row>
    <row r="1544" spans="1:8" hidden="1" x14ac:dyDescent="0.25">
      <c r="A1544">
        <v>9797</v>
      </c>
      <c r="B1544" t="s">
        <v>15263</v>
      </c>
      <c r="C1544" t="s">
        <v>15134</v>
      </c>
      <c r="D1544" t="s">
        <v>15135</v>
      </c>
      <c r="E1544">
        <v>102253001</v>
      </c>
    </row>
    <row r="1545" spans="1:8" hidden="1" x14ac:dyDescent="0.25">
      <c r="A1545">
        <v>90096</v>
      </c>
      <c r="B1545" t="s">
        <v>16540</v>
      </c>
      <c r="C1545" t="s">
        <v>15134</v>
      </c>
      <c r="D1545" t="s">
        <v>15135</v>
      </c>
      <c r="E1545">
        <v>103207001</v>
      </c>
      <c r="F1545" t="s">
        <v>15138</v>
      </c>
      <c r="G1545" t="b">
        <v>1</v>
      </c>
      <c r="H1545" t="s">
        <v>16541</v>
      </c>
    </row>
    <row r="1546" spans="1:8" hidden="1" x14ac:dyDescent="0.25">
      <c r="A1546">
        <v>90096</v>
      </c>
      <c r="B1546" t="s">
        <v>16540</v>
      </c>
      <c r="C1546" t="s">
        <v>15134</v>
      </c>
      <c r="D1546" t="s">
        <v>15135</v>
      </c>
      <c r="E1546">
        <v>103207001</v>
      </c>
      <c r="F1546" t="s">
        <v>15145</v>
      </c>
      <c r="G1546" t="b">
        <v>1</v>
      </c>
      <c r="H1546" t="s">
        <v>16541</v>
      </c>
    </row>
    <row r="1547" spans="1:8" hidden="1" x14ac:dyDescent="0.25">
      <c r="A1547">
        <v>90095</v>
      </c>
      <c r="B1547" t="s">
        <v>16537</v>
      </c>
      <c r="C1547" t="s">
        <v>15134</v>
      </c>
      <c r="D1547" t="s">
        <v>15135</v>
      </c>
      <c r="E1547">
        <v>103207000</v>
      </c>
      <c r="F1547" t="s">
        <v>15136</v>
      </c>
      <c r="G1547" t="b">
        <v>1</v>
      </c>
      <c r="H1547" t="s">
        <v>16538</v>
      </c>
    </row>
    <row r="1548" spans="1:8" hidden="1" x14ac:dyDescent="0.25">
      <c r="A1548">
        <v>90095</v>
      </c>
      <c r="B1548" t="s">
        <v>16537</v>
      </c>
      <c r="C1548" t="s">
        <v>15134</v>
      </c>
      <c r="D1548" t="s">
        <v>15135</v>
      </c>
      <c r="E1548">
        <v>103207000</v>
      </c>
      <c r="F1548" t="s">
        <v>15138</v>
      </c>
      <c r="G1548" t="b">
        <v>1</v>
      </c>
      <c r="H1548" t="s">
        <v>16539</v>
      </c>
    </row>
    <row r="1549" spans="1:8" hidden="1" x14ac:dyDescent="0.25">
      <c r="A1549">
        <v>79019</v>
      </c>
      <c r="B1549" t="s">
        <v>15891</v>
      </c>
      <c r="C1549" t="s">
        <v>15134</v>
      </c>
      <c r="D1549" t="s">
        <v>15135</v>
      </c>
      <c r="E1549">
        <v>73447000</v>
      </c>
      <c r="F1549" t="s">
        <v>15136</v>
      </c>
      <c r="G1549" t="b">
        <v>1</v>
      </c>
      <c r="H1549" t="s">
        <v>15892</v>
      </c>
    </row>
    <row r="1550" spans="1:8" hidden="1" x14ac:dyDescent="0.25">
      <c r="A1550">
        <v>79019</v>
      </c>
      <c r="B1550" t="s">
        <v>15891</v>
      </c>
      <c r="C1550" t="s">
        <v>15134</v>
      </c>
      <c r="D1550" t="s">
        <v>15135</v>
      </c>
      <c r="E1550">
        <v>73447000</v>
      </c>
      <c r="F1550" t="s">
        <v>15138</v>
      </c>
      <c r="G1550" t="b">
        <v>1</v>
      </c>
      <c r="H1550" t="s">
        <v>15892</v>
      </c>
    </row>
    <row r="1551" spans="1:8" hidden="1" x14ac:dyDescent="0.25">
      <c r="A1551">
        <v>9646</v>
      </c>
      <c r="B1551" t="s">
        <v>15622</v>
      </c>
      <c r="C1551" t="s">
        <v>15134</v>
      </c>
      <c r="D1551" t="s">
        <v>15135</v>
      </c>
      <c r="E1551">
        <v>83012001</v>
      </c>
    </row>
    <row r="1552" spans="1:8" hidden="1" x14ac:dyDescent="0.25">
      <c r="A1552">
        <v>9534</v>
      </c>
      <c r="B1552" t="s">
        <v>15585</v>
      </c>
      <c r="C1552" t="s">
        <v>15134</v>
      </c>
      <c r="D1552" t="s">
        <v>15135</v>
      </c>
      <c r="E1552">
        <v>73293000</v>
      </c>
      <c r="F1552" t="s">
        <v>15136</v>
      </c>
      <c r="G1552" t="b">
        <v>1</v>
      </c>
      <c r="H1552" t="s">
        <v>15586</v>
      </c>
    </row>
    <row r="1553" spans="1:8" hidden="1" x14ac:dyDescent="0.25">
      <c r="A1553">
        <v>9534</v>
      </c>
      <c r="B1553" t="s">
        <v>15585</v>
      </c>
      <c r="C1553" t="s">
        <v>15134</v>
      </c>
      <c r="D1553" t="s">
        <v>15135</v>
      </c>
      <c r="E1553">
        <v>73293000</v>
      </c>
      <c r="F1553" t="s">
        <v>15138</v>
      </c>
      <c r="G1553" t="b">
        <v>1</v>
      </c>
      <c r="H1553" t="s">
        <v>15586</v>
      </c>
    </row>
    <row r="1554" spans="1:8" hidden="1" x14ac:dyDescent="0.25">
      <c r="A1554">
        <v>80542</v>
      </c>
      <c r="B1554" t="s">
        <v>15585</v>
      </c>
      <c r="C1554" t="s">
        <v>15134</v>
      </c>
      <c r="D1554" t="s">
        <v>15135</v>
      </c>
      <c r="E1554">
        <v>73293001</v>
      </c>
      <c r="F1554" t="s">
        <v>15145</v>
      </c>
      <c r="G1554" t="b">
        <v>1</v>
      </c>
      <c r="H1554" t="s">
        <v>15586</v>
      </c>
    </row>
    <row r="1555" spans="1:8" hidden="1" x14ac:dyDescent="0.25">
      <c r="A1555">
        <v>80542</v>
      </c>
      <c r="B1555" t="s">
        <v>15585</v>
      </c>
      <c r="C1555" t="s">
        <v>15134</v>
      </c>
      <c r="D1555" t="s">
        <v>15135</v>
      </c>
      <c r="E1555">
        <v>73293001</v>
      </c>
      <c r="F1555" t="s">
        <v>15138</v>
      </c>
      <c r="G1555" t="b">
        <v>1</v>
      </c>
      <c r="H1555" t="s">
        <v>15586</v>
      </c>
    </row>
    <row r="1556" spans="1:8" hidden="1" x14ac:dyDescent="0.25">
      <c r="A1556">
        <v>85227</v>
      </c>
      <c r="B1556" t="s">
        <v>16306</v>
      </c>
      <c r="C1556" t="s">
        <v>15134</v>
      </c>
      <c r="D1556" t="s">
        <v>15135</v>
      </c>
      <c r="E1556">
        <v>103120002</v>
      </c>
    </row>
    <row r="1557" spans="1:8" hidden="1" x14ac:dyDescent="0.25">
      <c r="A1557">
        <v>10027</v>
      </c>
      <c r="B1557" t="s">
        <v>15786</v>
      </c>
      <c r="C1557" t="s">
        <v>15134</v>
      </c>
      <c r="D1557" t="s">
        <v>15135</v>
      </c>
      <c r="E1557">
        <v>103199001</v>
      </c>
    </row>
    <row r="1558" spans="1:8" hidden="1" x14ac:dyDescent="0.25">
      <c r="A1558">
        <v>84300</v>
      </c>
      <c r="B1558" t="s">
        <v>16279</v>
      </c>
      <c r="C1558" t="s">
        <v>15134</v>
      </c>
      <c r="D1558" t="s">
        <v>15135</v>
      </c>
      <c r="E1558">
        <v>73501001</v>
      </c>
      <c r="F1558" t="s">
        <v>15145</v>
      </c>
      <c r="G1558" t="b">
        <v>0</v>
      </c>
      <c r="H1558" t="s">
        <v>16280</v>
      </c>
    </row>
    <row r="1559" spans="1:8" hidden="1" x14ac:dyDescent="0.25">
      <c r="A1559">
        <v>84300</v>
      </c>
      <c r="B1559" t="s">
        <v>16279</v>
      </c>
      <c r="C1559" t="s">
        <v>15134</v>
      </c>
      <c r="D1559" t="s">
        <v>15135</v>
      </c>
      <c r="E1559">
        <v>73501001</v>
      </c>
      <c r="F1559" t="s">
        <v>15138</v>
      </c>
      <c r="G1559" t="b">
        <v>0</v>
      </c>
      <c r="H1559" t="s">
        <v>16280</v>
      </c>
    </row>
    <row r="1560" spans="1:8" hidden="1" x14ac:dyDescent="0.25">
      <c r="A1560">
        <v>8765</v>
      </c>
      <c r="B1560" t="s">
        <v>15259</v>
      </c>
      <c r="C1560" t="s">
        <v>15134</v>
      </c>
      <c r="D1560" t="s">
        <v>15135</v>
      </c>
      <c r="E1560">
        <v>72404003</v>
      </c>
    </row>
    <row r="1561" spans="1:8" hidden="1" x14ac:dyDescent="0.25">
      <c r="A1561">
        <v>87946</v>
      </c>
      <c r="B1561" t="s">
        <v>16355</v>
      </c>
      <c r="C1561" t="s">
        <v>15134</v>
      </c>
      <c r="D1561" t="s">
        <v>15135</v>
      </c>
      <c r="E1561">
        <v>73536000</v>
      </c>
      <c r="F1561" t="s">
        <v>15136</v>
      </c>
      <c r="G1561" t="b">
        <v>1</v>
      </c>
      <c r="H1561" t="s">
        <v>16356</v>
      </c>
    </row>
    <row r="1562" spans="1:8" hidden="1" x14ac:dyDescent="0.25">
      <c r="A1562">
        <v>87946</v>
      </c>
      <c r="B1562" t="s">
        <v>16355</v>
      </c>
      <c r="C1562" t="s">
        <v>15134</v>
      </c>
      <c r="D1562" t="s">
        <v>15135</v>
      </c>
      <c r="E1562">
        <v>73536000</v>
      </c>
      <c r="F1562" t="s">
        <v>15138</v>
      </c>
      <c r="G1562" t="b">
        <v>1</v>
      </c>
      <c r="H1562" t="s">
        <v>16357</v>
      </c>
    </row>
    <row r="1563" spans="1:8" hidden="1" x14ac:dyDescent="0.25">
      <c r="A1563">
        <v>80523</v>
      </c>
      <c r="B1563" t="s">
        <v>16090</v>
      </c>
      <c r="C1563" t="s">
        <v>15134</v>
      </c>
      <c r="D1563" t="s">
        <v>15135</v>
      </c>
      <c r="E1563">
        <v>102218002</v>
      </c>
      <c r="F1563" t="s">
        <v>15145</v>
      </c>
      <c r="G1563" t="b">
        <v>1</v>
      </c>
      <c r="H1563" t="s">
        <v>16091</v>
      </c>
    </row>
    <row r="1564" spans="1:8" hidden="1" x14ac:dyDescent="0.25">
      <c r="A1564">
        <v>80523</v>
      </c>
      <c r="B1564" t="s">
        <v>16090</v>
      </c>
      <c r="C1564" t="s">
        <v>15134</v>
      </c>
      <c r="D1564" t="s">
        <v>15135</v>
      </c>
      <c r="E1564">
        <v>102218002</v>
      </c>
      <c r="F1564" t="s">
        <v>15138</v>
      </c>
      <c r="G1564" t="b">
        <v>1</v>
      </c>
      <c r="H1564" t="s">
        <v>16091</v>
      </c>
    </row>
    <row r="1565" spans="1:8" hidden="1" x14ac:dyDescent="0.25">
      <c r="A1565">
        <v>80031</v>
      </c>
      <c r="B1565" t="s">
        <v>16035</v>
      </c>
      <c r="C1565" t="s">
        <v>15134</v>
      </c>
      <c r="D1565" t="s">
        <v>15135</v>
      </c>
      <c r="E1565">
        <v>73482001</v>
      </c>
      <c r="F1565" t="s">
        <v>15138</v>
      </c>
      <c r="G1565" t="b">
        <v>1</v>
      </c>
      <c r="H1565" t="s">
        <v>16036</v>
      </c>
    </row>
    <row r="1566" spans="1:8" hidden="1" x14ac:dyDescent="0.25">
      <c r="A1566">
        <v>80031</v>
      </c>
      <c r="B1566" t="s">
        <v>16035</v>
      </c>
      <c r="C1566" t="s">
        <v>15134</v>
      </c>
      <c r="D1566" t="s">
        <v>15135</v>
      </c>
      <c r="E1566">
        <v>73482001</v>
      </c>
      <c r="F1566" t="s">
        <v>15145</v>
      </c>
      <c r="G1566" t="b">
        <v>1</v>
      </c>
      <c r="H1566" t="s">
        <v>16036</v>
      </c>
    </row>
    <row r="1567" spans="1:8" hidden="1" x14ac:dyDescent="0.25">
      <c r="A1567">
        <v>88336</v>
      </c>
      <c r="B1567" t="s">
        <v>16362</v>
      </c>
      <c r="C1567" t="s">
        <v>15134</v>
      </c>
      <c r="D1567" t="s">
        <v>15135</v>
      </c>
      <c r="E1567">
        <v>73482002</v>
      </c>
      <c r="F1567" t="s">
        <v>15138</v>
      </c>
      <c r="G1567" t="b">
        <v>1</v>
      </c>
      <c r="H1567" t="s">
        <v>16036</v>
      </c>
    </row>
    <row r="1568" spans="1:8" hidden="1" x14ac:dyDescent="0.25">
      <c r="A1568">
        <v>88336</v>
      </c>
      <c r="B1568" t="s">
        <v>16362</v>
      </c>
      <c r="C1568" t="s">
        <v>15134</v>
      </c>
      <c r="D1568" t="s">
        <v>15135</v>
      </c>
      <c r="E1568">
        <v>73482002</v>
      </c>
      <c r="F1568" t="s">
        <v>15145</v>
      </c>
      <c r="G1568" t="b">
        <v>1</v>
      </c>
      <c r="H1568" t="s">
        <v>16363</v>
      </c>
    </row>
    <row r="1569" spans="1:8" hidden="1" x14ac:dyDescent="0.25">
      <c r="A1569">
        <v>9357</v>
      </c>
      <c r="B1569" t="s">
        <v>15485</v>
      </c>
      <c r="C1569" t="s">
        <v>15134</v>
      </c>
      <c r="D1569" t="s">
        <v>15135</v>
      </c>
      <c r="E1569">
        <v>73224001</v>
      </c>
    </row>
    <row r="1570" spans="1:8" hidden="1" x14ac:dyDescent="0.25">
      <c r="A1570">
        <v>92123</v>
      </c>
      <c r="B1570" t="s">
        <v>16838</v>
      </c>
      <c r="C1570" t="s">
        <v>15134</v>
      </c>
      <c r="D1570" t="s">
        <v>15135</v>
      </c>
      <c r="E1570">
        <v>103147001</v>
      </c>
      <c r="F1570" t="s">
        <v>15145</v>
      </c>
      <c r="G1570" t="b">
        <v>1</v>
      </c>
      <c r="H1570" t="s">
        <v>16839</v>
      </c>
    </row>
    <row r="1571" spans="1:8" hidden="1" x14ac:dyDescent="0.25">
      <c r="A1571">
        <v>9601</v>
      </c>
      <c r="B1571" t="s">
        <v>15600</v>
      </c>
      <c r="C1571" t="s">
        <v>15134</v>
      </c>
      <c r="D1571" t="s">
        <v>15135</v>
      </c>
      <c r="E1571">
        <v>72451003</v>
      </c>
      <c r="F1571" t="s">
        <v>15138</v>
      </c>
      <c r="G1571" t="b">
        <v>1</v>
      </c>
      <c r="H1571" t="s">
        <v>15601</v>
      </c>
    </row>
    <row r="1572" spans="1:8" hidden="1" x14ac:dyDescent="0.25">
      <c r="A1572">
        <v>90764</v>
      </c>
      <c r="B1572" t="s">
        <v>16680</v>
      </c>
      <c r="C1572" t="s">
        <v>15134</v>
      </c>
      <c r="D1572" t="s">
        <v>15135</v>
      </c>
      <c r="E1572">
        <v>73710001</v>
      </c>
      <c r="F1572" t="s">
        <v>15145</v>
      </c>
      <c r="G1572" t="b">
        <v>1</v>
      </c>
      <c r="H1572" t="s">
        <v>16679</v>
      </c>
    </row>
    <row r="1573" spans="1:8" hidden="1" x14ac:dyDescent="0.25">
      <c r="A1573">
        <v>8753</v>
      </c>
      <c r="B1573" t="s">
        <v>15249</v>
      </c>
      <c r="C1573" t="s">
        <v>15134</v>
      </c>
      <c r="D1573" t="s">
        <v>15135</v>
      </c>
      <c r="E1573">
        <v>72401004</v>
      </c>
      <c r="F1573" t="s">
        <v>15136</v>
      </c>
      <c r="G1573" t="b">
        <v>1</v>
      </c>
      <c r="H1573" t="s">
        <v>15241</v>
      </c>
    </row>
    <row r="1574" spans="1:8" hidden="1" x14ac:dyDescent="0.25">
      <c r="A1574">
        <v>8753</v>
      </c>
      <c r="B1574" t="s">
        <v>15249</v>
      </c>
      <c r="C1574" t="s">
        <v>15134</v>
      </c>
      <c r="D1574" t="s">
        <v>15135</v>
      </c>
      <c r="E1574">
        <v>72401004</v>
      </c>
      <c r="F1574" t="s">
        <v>15138</v>
      </c>
      <c r="G1574" t="b">
        <v>1</v>
      </c>
      <c r="H1574" t="s">
        <v>15250</v>
      </c>
    </row>
    <row r="1575" spans="1:8" hidden="1" x14ac:dyDescent="0.25">
      <c r="A1575">
        <v>90839</v>
      </c>
      <c r="B1575" t="s">
        <v>16699</v>
      </c>
      <c r="C1575" t="s">
        <v>15134</v>
      </c>
      <c r="D1575" t="s">
        <v>15135</v>
      </c>
      <c r="E1575">
        <v>103082008</v>
      </c>
      <c r="F1575" t="s">
        <v>15136</v>
      </c>
      <c r="G1575" t="b">
        <v>1</v>
      </c>
      <c r="H1575" t="s">
        <v>16700</v>
      </c>
    </row>
    <row r="1576" spans="1:8" hidden="1" x14ac:dyDescent="0.25">
      <c r="A1576">
        <v>90839</v>
      </c>
      <c r="B1576" t="s">
        <v>16699</v>
      </c>
      <c r="C1576" t="s">
        <v>15134</v>
      </c>
      <c r="D1576" t="s">
        <v>15135</v>
      </c>
      <c r="E1576">
        <v>103082008</v>
      </c>
      <c r="F1576" t="s">
        <v>15138</v>
      </c>
      <c r="G1576" t="b">
        <v>1</v>
      </c>
      <c r="H1576" t="s">
        <v>16700</v>
      </c>
    </row>
    <row r="1577" spans="1:8" hidden="1" x14ac:dyDescent="0.25">
      <c r="A1577">
        <v>8740</v>
      </c>
      <c r="B1577" t="s">
        <v>15236</v>
      </c>
      <c r="C1577" t="s">
        <v>15134</v>
      </c>
      <c r="D1577" t="s">
        <v>15135</v>
      </c>
      <c r="E1577">
        <v>72296000</v>
      </c>
    </row>
    <row r="1578" spans="1:8" hidden="1" x14ac:dyDescent="0.25">
      <c r="A1578">
        <v>8741</v>
      </c>
      <c r="B1578" t="s">
        <v>15237</v>
      </c>
      <c r="C1578" t="s">
        <v>15134</v>
      </c>
      <c r="D1578" t="s">
        <v>15135</v>
      </c>
      <c r="E1578">
        <v>72296001</v>
      </c>
    </row>
    <row r="1579" spans="1:8" hidden="1" x14ac:dyDescent="0.25">
      <c r="A1579">
        <v>78724</v>
      </c>
      <c r="B1579" t="s">
        <v>15875</v>
      </c>
      <c r="C1579" t="s">
        <v>15134</v>
      </c>
      <c r="D1579" t="s">
        <v>15135</v>
      </c>
      <c r="E1579">
        <v>72418001</v>
      </c>
    </row>
    <row r="1580" spans="1:8" hidden="1" x14ac:dyDescent="0.25">
      <c r="A1580">
        <v>8679</v>
      </c>
      <c r="B1580" t="s">
        <v>15191</v>
      </c>
      <c r="C1580" t="s">
        <v>15134</v>
      </c>
      <c r="D1580" t="s">
        <v>15135</v>
      </c>
      <c r="E1580">
        <v>72215000</v>
      </c>
      <c r="F1580" t="s">
        <v>15145</v>
      </c>
      <c r="G1580" t="b">
        <v>1</v>
      </c>
      <c r="H1580" t="s">
        <v>15192</v>
      </c>
    </row>
    <row r="1581" spans="1:8" hidden="1" x14ac:dyDescent="0.25">
      <c r="A1581">
        <v>8679</v>
      </c>
      <c r="B1581" t="s">
        <v>15191</v>
      </c>
      <c r="C1581" t="s">
        <v>15134</v>
      </c>
      <c r="D1581" t="s">
        <v>15135</v>
      </c>
      <c r="E1581">
        <v>72215000</v>
      </c>
      <c r="F1581" t="s">
        <v>15138</v>
      </c>
      <c r="G1581" t="b">
        <v>1</v>
      </c>
      <c r="H1581" t="s">
        <v>15192</v>
      </c>
    </row>
    <row r="1582" spans="1:8" hidden="1" x14ac:dyDescent="0.25">
      <c r="A1582">
        <v>8680</v>
      </c>
      <c r="B1582" t="s">
        <v>15193</v>
      </c>
      <c r="C1582" t="s">
        <v>15134</v>
      </c>
      <c r="D1582" t="s">
        <v>15135</v>
      </c>
      <c r="E1582">
        <v>72215001</v>
      </c>
      <c r="F1582" t="s">
        <v>15136</v>
      </c>
      <c r="G1582" t="b">
        <v>1</v>
      </c>
      <c r="H1582" t="s">
        <v>15194</v>
      </c>
    </row>
    <row r="1583" spans="1:8" hidden="1" x14ac:dyDescent="0.25">
      <c r="A1583">
        <v>8680</v>
      </c>
      <c r="B1583" t="s">
        <v>15193</v>
      </c>
      <c r="C1583" t="s">
        <v>15134</v>
      </c>
      <c r="D1583" t="s">
        <v>15135</v>
      </c>
      <c r="E1583">
        <v>72215001</v>
      </c>
      <c r="F1583" t="s">
        <v>15138</v>
      </c>
      <c r="G1583" t="b">
        <v>1</v>
      </c>
      <c r="H1583" t="s">
        <v>15194</v>
      </c>
    </row>
    <row r="1584" spans="1:8" hidden="1" x14ac:dyDescent="0.25">
      <c r="A1584">
        <v>91325</v>
      </c>
      <c r="B1584" t="s">
        <v>16774</v>
      </c>
      <c r="C1584" t="s">
        <v>15134</v>
      </c>
      <c r="D1584" t="s">
        <v>15135</v>
      </c>
      <c r="E1584">
        <v>72214001</v>
      </c>
      <c r="F1584" t="s">
        <v>15138</v>
      </c>
      <c r="G1584" t="b">
        <v>1</v>
      </c>
      <c r="H1584" t="s">
        <v>16773</v>
      </c>
    </row>
    <row r="1585" spans="1:8" hidden="1" x14ac:dyDescent="0.25">
      <c r="A1585">
        <v>91325</v>
      </c>
      <c r="B1585" t="s">
        <v>16774</v>
      </c>
      <c r="C1585" t="s">
        <v>15134</v>
      </c>
      <c r="D1585" t="s">
        <v>15135</v>
      </c>
      <c r="E1585">
        <v>72214001</v>
      </c>
      <c r="F1585" t="s">
        <v>15145</v>
      </c>
      <c r="G1585" t="b">
        <v>1</v>
      </c>
      <c r="H1585" t="s">
        <v>15192</v>
      </c>
    </row>
    <row r="1586" spans="1:8" hidden="1" x14ac:dyDescent="0.25">
      <c r="A1586">
        <v>92703</v>
      </c>
      <c r="B1586" t="s">
        <v>16904</v>
      </c>
      <c r="C1586" t="s">
        <v>15134</v>
      </c>
      <c r="D1586" t="s">
        <v>15135</v>
      </c>
      <c r="E1586">
        <v>103207002</v>
      </c>
    </row>
    <row r="1587" spans="1:8" hidden="1" x14ac:dyDescent="0.25">
      <c r="A1587">
        <v>90071</v>
      </c>
      <c r="B1587" t="s">
        <v>16520</v>
      </c>
      <c r="C1587" t="s">
        <v>15134</v>
      </c>
      <c r="D1587" t="s">
        <v>15135</v>
      </c>
      <c r="E1587">
        <v>73567001</v>
      </c>
      <c r="F1587" t="s">
        <v>15145</v>
      </c>
      <c r="G1587" t="b">
        <v>1</v>
      </c>
      <c r="H1587" t="s">
        <v>16521</v>
      </c>
    </row>
    <row r="1588" spans="1:8" hidden="1" x14ac:dyDescent="0.25">
      <c r="A1588">
        <v>90071</v>
      </c>
      <c r="B1588" t="s">
        <v>16520</v>
      </c>
      <c r="C1588" t="s">
        <v>15134</v>
      </c>
      <c r="D1588" t="s">
        <v>15135</v>
      </c>
      <c r="E1588">
        <v>73567001</v>
      </c>
      <c r="F1588" t="s">
        <v>15138</v>
      </c>
      <c r="G1588" t="b">
        <v>1</v>
      </c>
      <c r="H1588" t="s">
        <v>16521</v>
      </c>
    </row>
    <row r="1589" spans="1:8" hidden="1" x14ac:dyDescent="0.25">
      <c r="A1589">
        <v>9404</v>
      </c>
      <c r="B1589" t="s">
        <v>15511</v>
      </c>
      <c r="C1589" t="s">
        <v>15134</v>
      </c>
      <c r="D1589" t="s">
        <v>15135</v>
      </c>
      <c r="E1589">
        <v>73248002</v>
      </c>
    </row>
    <row r="1590" spans="1:8" hidden="1" x14ac:dyDescent="0.25">
      <c r="A1590">
        <v>9405</v>
      </c>
      <c r="B1590" t="s">
        <v>15512</v>
      </c>
      <c r="C1590" t="s">
        <v>15134</v>
      </c>
      <c r="D1590" t="s">
        <v>15135</v>
      </c>
      <c r="E1590">
        <v>73248003</v>
      </c>
    </row>
    <row r="1591" spans="1:8" hidden="1" x14ac:dyDescent="0.25">
      <c r="A1591">
        <v>9037</v>
      </c>
      <c r="B1591" t="s">
        <v>15330</v>
      </c>
      <c r="C1591" t="s">
        <v>15134</v>
      </c>
      <c r="D1591" t="s">
        <v>15135</v>
      </c>
      <c r="E1591">
        <v>73033001</v>
      </c>
    </row>
    <row r="1592" spans="1:8" hidden="1" x14ac:dyDescent="0.25">
      <c r="A1592">
        <v>9145</v>
      </c>
      <c r="B1592" t="s">
        <v>15378</v>
      </c>
      <c r="C1592" t="s">
        <v>15134</v>
      </c>
      <c r="D1592" t="s">
        <v>15135</v>
      </c>
      <c r="E1592">
        <v>73097001</v>
      </c>
    </row>
    <row r="1593" spans="1:8" hidden="1" x14ac:dyDescent="0.25">
      <c r="A1593">
        <v>9747</v>
      </c>
      <c r="B1593" t="s">
        <v>15648</v>
      </c>
      <c r="C1593" t="s">
        <v>15134</v>
      </c>
      <c r="D1593" t="s">
        <v>15135</v>
      </c>
      <c r="E1593">
        <v>102221001</v>
      </c>
    </row>
    <row r="1594" spans="1:8" hidden="1" x14ac:dyDescent="0.25">
      <c r="A1594">
        <v>9081</v>
      </c>
      <c r="B1594" t="s">
        <v>15347</v>
      </c>
      <c r="C1594" t="s">
        <v>15134</v>
      </c>
      <c r="D1594" t="s">
        <v>15135</v>
      </c>
      <c r="E1594">
        <v>73062001</v>
      </c>
    </row>
    <row r="1595" spans="1:8" hidden="1" x14ac:dyDescent="0.25">
      <c r="A1595">
        <v>89814</v>
      </c>
      <c r="B1595" t="s">
        <v>16458</v>
      </c>
      <c r="C1595" t="s">
        <v>15134</v>
      </c>
      <c r="D1595" t="s">
        <v>15135</v>
      </c>
      <c r="E1595">
        <v>73563000</v>
      </c>
      <c r="F1595" t="s">
        <v>15138</v>
      </c>
      <c r="G1595" t="b">
        <v>1</v>
      </c>
      <c r="H1595" t="s">
        <v>16190</v>
      </c>
    </row>
    <row r="1596" spans="1:8" hidden="1" x14ac:dyDescent="0.25">
      <c r="A1596">
        <v>89814</v>
      </c>
      <c r="B1596" t="s">
        <v>16458</v>
      </c>
      <c r="C1596" t="s">
        <v>15134</v>
      </c>
      <c r="D1596" t="s">
        <v>15135</v>
      </c>
      <c r="E1596">
        <v>73563000</v>
      </c>
      <c r="F1596" t="s">
        <v>15136</v>
      </c>
      <c r="G1596" t="b">
        <v>1</v>
      </c>
      <c r="H1596" t="s">
        <v>16190</v>
      </c>
    </row>
    <row r="1597" spans="1:8" hidden="1" x14ac:dyDescent="0.25">
      <c r="A1597">
        <v>90092</v>
      </c>
      <c r="B1597" t="s">
        <v>16536</v>
      </c>
      <c r="C1597" t="s">
        <v>15134</v>
      </c>
      <c r="D1597" t="s">
        <v>15135</v>
      </c>
      <c r="E1597">
        <v>73571001</v>
      </c>
      <c r="F1597" t="s">
        <v>15138</v>
      </c>
      <c r="G1597" t="b">
        <v>1</v>
      </c>
      <c r="H1597" t="s">
        <v>16175</v>
      </c>
    </row>
    <row r="1598" spans="1:8" hidden="1" x14ac:dyDescent="0.25">
      <c r="A1598">
        <v>90092</v>
      </c>
      <c r="B1598" t="s">
        <v>16536</v>
      </c>
      <c r="C1598" t="s">
        <v>15134</v>
      </c>
      <c r="D1598" t="s">
        <v>15135</v>
      </c>
      <c r="E1598">
        <v>73571001</v>
      </c>
      <c r="F1598" t="s">
        <v>15145</v>
      </c>
      <c r="G1598" t="b">
        <v>1</v>
      </c>
      <c r="H1598" t="s">
        <v>16175</v>
      </c>
    </row>
    <row r="1599" spans="1:8" hidden="1" x14ac:dyDescent="0.25">
      <c r="A1599">
        <v>90091</v>
      </c>
      <c r="B1599" t="s">
        <v>16535</v>
      </c>
      <c r="C1599" t="s">
        <v>15134</v>
      </c>
      <c r="D1599" t="s">
        <v>15135</v>
      </c>
      <c r="E1599">
        <v>73571000</v>
      </c>
      <c r="F1599" t="s">
        <v>15138</v>
      </c>
      <c r="G1599" t="b">
        <v>1</v>
      </c>
      <c r="H1599" t="s">
        <v>16175</v>
      </c>
    </row>
    <row r="1600" spans="1:8" hidden="1" x14ac:dyDescent="0.25">
      <c r="A1600">
        <v>90091</v>
      </c>
      <c r="B1600" t="s">
        <v>16535</v>
      </c>
      <c r="C1600" t="s">
        <v>15134</v>
      </c>
      <c r="D1600" t="s">
        <v>15135</v>
      </c>
      <c r="E1600">
        <v>73571000</v>
      </c>
      <c r="F1600" t="s">
        <v>15136</v>
      </c>
      <c r="G1600" t="b">
        <v>1</v>
      </c>
      <c r="H1600" t="s">
        <v>16175</v>
      </c>
    </row>
    <row r="1601" spans="1:8" hidden="1" x14ac:dyDescent="0.25">
      <c r="A1601">
        <v>454207</v>
      </c>
      <c r="B1601" t="s">
        <v>16995</v>
      </c>
      <c r="C1601" t="s">
        <v>15134</v>
      </c>
      <c r="D1601" t="s">
        <v>15135</v>
      </c>
      <c r="E1601">
        <v>103207003</v>
      </c>
    </row>
    <row r="1602" spans="1:8" hidden="1" x14ac:dyDescent="0.25">
      <c r="A1602">
        <v>9681</v>
      </c>
      <c r="B1602" t="s">
        <v>15628</v>
      </c>
      <c r="C1602" t="s">
        <v>15134</v>
      </c>
      <c r="D1602" t="s">
        <v>15135</v>
      </c>
      <c r="E1602">
        <v>93011001</v>
      </c>
    </row>
    <row r="1603" spans="1:8" hidden="1" x14ac:dyDescent="0.25">
      <c r="A1603">
        <v>9170</v>
      </c>
      <c r="B1603" t="s">
        <v>15388</v>
      </c>
      <c r="C1603" t="s">
        <v>15134</v>
      </c>
      <c r="D1603" t="s">
        <v>15135</v>
      </c>
      <c r="E1603">
        <v>73112001</v>
      </c>
    </row>
    <row r="1604" spans="1:8" hidden="1" x14ac:dyDescent="0.25">
      <c r="A1604">
        <v>9160</v>
      </c>
      <c r="B1604" t="s">
        <v>15385</v>
      </c>
      <c r="C1604" t="s">
        <v>15134</v>
      </c>
      <c r="D1604" t="s">
        <v>15135</v>
      </c>
      <c r="E1604">
        <v>73107001</v>
      </c>
    </row>
    <row r="1605" spans="1:8" hidden="1" x14ac:dyDescent="0.25">
      <c r="A1605">
        <v>9401</v>
      </c>
      <c r="B1605" t="s">
        <v>15385</v>
      </c>
      <c r="C1605" t="s">
        <v>15134</v>
      </c>
      <c r="D1605" t="s">
        <v>15135</v>
      </c>
      <c r="E1605">
        <v>73247001</v>
      </c>
    </row>
    <row r="1606" spans="1:8" hidden="1" x14ac:dyDescent="0.25">
      <c r="A1606">
        <v>9415</v>
      </c>
      <c r="B1606" t="s">
        <v>15515</v>
      </c>
      <c r="C1606" t="s">
        <v>15134</v>
      </c>
      <c r="D1606" t="s">
        <v>15135</v>
      </c>
      <c r="E1606">
        <v>73253001</v>
      </c>
    </row>
    <row r="1607" spans="1:8" hidden="1" x14ac:dyDescent="0.25">
      <c r="A1607">
        <v>80993</v>
      </c>
      <c r="B1607" t="s">
        <v>16258</v>
      </c>
      <c r="C1607" t="s">
        <v>15134</v>
      </c>
      <c r="D1607" t="s">
        <v>15135</v>
      </c>
      <c r="E1607">
        <v>73011001</v>
      </c>
      <c r="F1607" t="s">
        <v>15138</v>
      </c>
      <c r="G1607" t="b">
        <v>1</v>
      </c>
      <c r="H1607" t="s">
        <v>16257</v>
      </c>
    </row>
    <row r="1608" spans="1:8" hidden="1" x14ac:dyDescent="0.25">
      <c r="A1608">
        <v>80993</v>
      </c>
      <c r="B1608" t="s">
        <v>16258</v>
      </c>
      <c r="C1608" t="s">
        <v>15134</v>
      </c>
      <c r="D1608" t="s">
        <v>15135</v>
      </c>
      <c r="E1608">
        <v>73011001</v>
      </c>
      <c r="F1608" t="s">
        <v>15145</v>
      </c>
      <c r="G1608" t="b">
        <v>1</v>
      </c>
      <c r="H1608" t="s">
        <v>16257</v>
      </c>
    </row>
    <row r="1609" spans="1:8" hidden="1" x14ac:dyDescent="0.25">
      <c r="A1609">
        <v>90896</v>
      </c>
      <c r="B1609" t="s">
        <v>16711</v>
      </c>
      <c r="C1609" t="s">
        <v>15134</v>
      </c>
      <c r="D1609" t="s">
        <v>15135</v>
      </c>
      <c r="E1609">
        <v>73011002</v>
      </c>
      <c r="F1609" t="s">
        <v>15145</v>
      </c>
      <c r="G1609" t="b">
        <v>1</v>
      </c>
      <c r="H1609" t="s">
        <v>16712</v>
      </c>
    </row>
    <row r="1610" spans="1:8" hidden="1" x14ac:dyDescent="0.25">
      <c r="A1610">
        <v>80991</v>
      </c>
      <c r="B1610" t="s">
        <v>16256</v>
      </c>
      <c r="C1610" t="s">
        <v>15134</v>
      </c>
      <c r="D1610" t="s">
        <v>15135</v>
      </c>
      <c r="E1610">
        <v>73011000</v>
      </c>
      <c r="F1610" t="s">
        <v>15138</v>
      </c>
      <c r="G1610" t="b">
        <v>1</v>
      </c>
      <c r="H1610" t="s">
        <v>16257</v>
      </c>
    </row>
    <row r="1611" spans="1:8" hidden="1" x14ac:dyDescent="0.25">
      <c r="A1611">
        <v>80991</v>
      </c>
      <c r="B1611" t="s">
        <v>16256</v>
      </c>
      <c r="C1611" t="s">
        <v>15134</v>
      </c>
      <c r="D1611" t="s">
        <v>15135</v>
      </c>
      <c r="E1611">
        <v>73011000</v>
      </c>
      <c r="F1611" t="s">
        <v>15136</v>
      </c>
      <c r="G1611" t="b">
        <v>1</v>
      </c>
      <c r="H1611" t="s">
        <v>16257</v>
      </c>
    </row>
    <row r="1612" spans="1:8" hidden="1" x14ac:dyDescent="0.25">
      <c r="A1612">
        <v>80967</v>
      </c>
      <c r="B1612" t="s">
        <v>16255</v>
      </c>
      <c r="C1612" t="s">
        <v>15134</v>
      </c>
      <c r="D1612" t="s">
        <v>15135</v>
      </c>
      <c r="E1612">
        <v>73001003</v>
      </c>
      <c r="F1612" t="s">
        <v>15145</v>
      </c>
      <c r="G1612" t="b">
        <v>1</v>
      </c>
      <c r="H1612" t="s">
        <v>16156</v>
      </c>
    </row>
    <row r="1613" spans="1:8" hidden="1" x14ac:dyDescent="0.25">
      <c r="A1613">
        <v>80967</v>
      </c>
      <c r="B1613" t="s">
        <v>16255</v>
      </c>
      <c r="C1613" t="s">
        <v>15134</v>
      </c>
      <c r="D1613" t="s">
        <v>15135</v>
      </c>
      <c r="E1613">
        <v>73001003</v>
      </c>
      <c r="F1613" t="s">
        <v>15138</v>
      </c>
      <c r="G1613" t="b">
        <v>1</v>
      </c>
      <c r="H1613" t="s">
        <v>16155</v>
      </c>
    </row>
    <row r="1614" spans="1:8" hidden="1" x14ac:dyDescent="0.25">
      <c r="A1614">
        <v>80646</v>
      </c>
      <c r="B1614" t="s">
        <v>16157</v>
      </c>
      <c r="C1614" t="s">
        <v>15134</v>
      </c>
      <c r="D1614" t="s">
        <v>15135</v>
      </c>
      <c r="E1614">
        <v>73439001</v>
      </c>
      <c r="F1614" t="s">
        <v>15138</v>
      </c>
      <c r="G1614" t="b">
        <v>1</v>
      </c>
      <c r="H1614" t="s">
        <v>16156</v>
      </c>
    </row>
    <row r="1615" spans="1:8" hidden="1" x14ac:dyDescent="0.25">
      <c r="A1615">
        <v>80646</v>
      </c>
      <c r="B1615" t="s">
        <v>16157</v>
      </c>
      <c r="C1615" t="s">
        <v>15134</v>
      </c>
      <c r="D1615" t="s">
        <v>15135</v>
      </c>
      <c r="E1615">
        <v>73439001</v>
      </c>
      <c r="F1615" t="s">
        <v>15136</v>
      </c>
      <c r="G1615" t="b">
        <v>1</v>
      </c>
      <c r="H1615" t="s">
        <v>16155</v>
      </c>
    </row>
    <row r="1616" spans="1:8" hidden="1" x14ac:dyDescent="0.25">
      <c r="A1616">
        <v>88450</v>
      </c>
      <c r="B1616" t="s">
        <v>16376</v>
      </c>
      <c r="C1616" t="s">
        <v>15134</v>
      </c>
      <c r="D1616" t="s">
        <v>15135</v>
      </c>
      <c r="E1616">
        <v>143021000</v>
      </c>
      <c r="F1616" t="s">
        <v>15138</v>
      </c>
      <c r="G1616" t="b">
        <v>1</v>
      </c>
      <c r="H1616" t="s">
        <v>16377</v>
      </c>
    </row>
    <row r="1617" spans="1:8" hidden="1" x14ac:dyDescent="0.25">
      <c r="A1617">
        <v>88450</v>
      </c>
      <c r="B1617" t="s">
        <v>16376</v>
      </c>
      <c r="C1617" t="s">
        <v>15134</v>
      </c>
      <c r="D1617" t="s">
        <v>15135</v>
      </c>
      <c r="E1617">
        <v>143021000</v>
      </c>
      <c r="F1617" t="s">
        <v>15136</v>
      </c>
      <c r="G1617" t="b">
        <v>1</v>
      </c>
      <c r="H1617" t="s">
        <v>16377</v>
      </c>
    </row>
    <row r="1618" spans="1:8" hidden="1" x14ac:dyDescent="0.25">
      <c r="A1618">
        <v>88451</v>
      </c>
      <c r="B1618" t="s">
        <v>16376</v>
      </c>
      <c r="C1618" t="s">
        <v>15134</v>
      </c>
      <c r="D1618" t="s">
        <v>15135</v>
      </c>
      <c r="E1618">
        <v>143021001</v>
      </c>
      <c r="F1618" t="s">
        <v>15138</v>
      </c>
      <c r="G1618" t="b">
        <v>1</v>
      </c>
      <c r="H1618" t="s">
        <v>16378</v>
      </c>
    </row>
    <row r="1619" spans="1:8" hidden="1" x14ac:dyDescent="0.25">
      <c r="A1619">
        <v>88451</v>
      </c>
      <c r="B1619" t="s">
        <v>16376</v>
      </c>
      <c r="C1619" t="s">
        <v>15134</v>
      </c>
      <c r="D1619" t="s">
        <v>15135</v>
      </c>
      <c r="E1619">
        <v>143021001</v>
      </c>
      <c r="F1619" t="s">
        <v>15136</v>
      </c>
      <c r="G1619" t="b">
        <v>1</v>
      </c>
      <c r="H1619" t="s">
        <v>16378</v>
      </c>
    </row>
    <row r="1620" spans="1:8" hidden="1" x14ac:dyDescent="0.25">
      <c r="A1620">
        <v>8775</v>
      </c>
      <c r="B1620" t="s">
        <v>15266</v>
      </c>
      <c r="C1620" t="s">
        <v>15134</v>
      </c>
      <c r="D1620" t="s">
        <v>15135</v>
      </c>
      <c r="E1620">
        <v>72407000</v>
      </c>
    </row>
    <row r="1621" spans="1:8" hidden="1" x14ac:dyDescent="0.25">
      <c r="A1621">
        <v>8528</v>
      </c>
      <c r="B1621" t="s">
        <v>15161</v>
      </c>
      <c r="C1621" t="s">
        <v>15134</v>
      </c>
      <c r="D1621" t="s">
        <v>15135</v>
      </c>
      <c r="E1621">
        <v>32208000</v>
      </c>
    </row>
    <row r="1622" spans="1:8" hidden="1" x14ac:dyDescent="0.25">
      <c r="A1622">
        <v>8675</v>
      </c>
      <c r="B1622" t="s">
        <v>15187</v>
      </c>
      <c r="C1622" t="s">
        <v>15134</v>
      </c>
      <c r="D1622" t="s">
        <v>15135</v>
      </c>
      <c r="E1622">
        <v>72212000</v>
      </c>
    </row>
    <row r="1623" spans="1:8" hidden="1" x14ac:dyDescent="0.25">
      <c r="A1623">
        <v>10157</v>
      </c>
      <c r="B1623" t="s">
        <v>15821</v>
      </c>
      <c r="C1623" t="s">
        <v>15134</v>
      </c>
      <c r="D1623" t="s">
        <v>15135</v>
      </c>
      <c r="E1623">
        <v>133019001</v>
      </c>
    </row>
    <row r="1624" spans="1:8" hidden="1" x14ac:dyDescent="0.25">
      <c r="A1624">
        <v>78774</v>
      </c>
      <c r="B1624" t="s">
        <v>15890</v>
      </c>
      <c r="C1624" t="s">
        <v>15134</v>
      </c>
      <c r="D1624" t="s">
        <v>15135</v>
      </c>
      <c r="E1624">
        <v>132204000</v>
      </c>
    </row>
    <row r="1625" spans="1:8" hidden="1" x14ac:dyDescent="0.25">
      <c r="A1625">
        <v>89743</v>
      </c>
      <c r="B1625" t="s">
        <v>16448</v>
      </c>
      <c r="C1625" t="s">
        <v>15134</v>
      </c>
      <c r="D1625" t="s">
        <v>15135</v>
      </c>
      <c r="E1625">
        <v>103134001</v>
      </c>
      <c r="F1625" t="s">
        <v>15145</v>
      </c>
      <c r="G1625" t="b">
        <v>1</v>
      </c>
      <c r="H1625" t="s">
        <v>16449</v>
      </c>
    </row>
    <row r="1626" spans="1:8" hidden="1" x14ac:dyDescent="0.25">
      <c r="A1626">
        <v>9315</v>
      </c>
      <c r="B1626" t="s">
        <v>15467</v>
      </c>
      <c r="C1626" t="s">
        <v>15134</v>
      </c>
      <c r="D1626" t="s">
        <v>15135</v>
      </c>
      <c r="E1626">
        <v>73204001</v>
      </c>
    </row>
    <row r="1627" spans="1:8" hidden="1" x14ac:dyDescent="0.25">
      <c r="A1627">
        <v>9198</v>
      </c>
      <c r="B1627" t="s">
        <v>15408</v>
      </c>
      <c r="C1627" t="s">
        <v>15134</v>
      </c>
      <c r="D1627" t="s">
        <v>15135</v>
      </c>
      <c r="E1627">
        <v>73139001</v>
      </c>
    </row>
    <row r="1628" spans="1:8" hidden="1" x14ac:dyDescent="0.25">
      <c r="A1628">
        <v>9790</v>
      </c>
      <c r="B1628" t="s">
        <v>15682</v>
      </c>
      <c r="C1628" t="s">
        <v>15134</v>
      </c>
      <c r="D1628" t="s">
        <v>15135</v>
      </c>
      <c r="E1628">
        <v>102250008</v>
      </c>
    </row>
    <row r="1629" spans="1:8" hidden="1" x14ac:dyDescent="0.25">
      <c r="A1629">
        <v>9758</v>
      </c>
      <c r="B1629" t="s">
        <v>15653</v>
      </c>
      <c r="C1629" t="s">
        <v>15134</v>
      </c>
      <c r="D1629" t="s">
        <v>15135</v>
      </c>
      <c r="E1629">
        <v>102236000</v>
      </c>
    </row>
    <row r="1630" spans="1:8" hidden="1" x14ac:dyDescent="0.25">
      <c r="A1630">
        <v>9759</v>
      </c>
      <c r="B1630" t="s">
        <v>15653</v>
      </c>
      <c r="C1630" t="s">
        <v>15134</v>
      </c>
      <c r="D1630" t="s">
        <v>15135</v>
      </c>
      <c r="E1630">
        <v>102236001</v>
      </c>
    </row>
    <row r="1631" spans="1:8" hidden="1" x14ac:dyDescent="0.25">
      <c r="A1631">
        <v>91299</v>
      </c>
      <c r="B1631" t="s">
        <v>16766</v>
      </c>
      <c r="C1631" t="s">
        <v>15134</v>
      </c>
      <c r="D1631" t="s">
        <v>15135</v>
      </c>
      <c r="E1631">
        <v>73720000</v>
      </c>
      <c r="F1631" t="s">
        <v>15138</v>
      </c>
      <c r="G1631" t="b">
        <v>1</v>
      </c>
      <c r="H1631" t="s">
        <v>16767</v>
      </c>
    </row>
    <row r="1632" spans="1:8" hidden="1" x14ac:dyDescent="0.25">
      <c r="A1632">
        <v>91299</v>
      </c>
      <c r="B1632" t="s">
        <v>16766</v>
      </c>
      <c r="C1632" t="s">
        <v>15134</v>
      </c>
      <c r="D1632" t="s">
        <v>15135</v>
      </c>
      <c r="E1632">
        <v>73720000</v>
      </c>
      <c r="F1632" t="s">
        <v>15136</v>
      </c>
      <c r="G1632" t="b">
        <v>1</v>
      </c>
      <c r="H1632" t="s">
        <v>16767</v>
      </c>
    </row>
    <row r="1633" spans="1:8" hidden="1" x14ac:dyDescent="0.25">
      <c r="A1633">
        <v>80621</v>
      </c>
      <c r="B1633" t="s">
        <v>16147</v>
      </c>
      <c r="C1633" t="s">
        <v>15134</v>
      </c>
      <c r="D1633" t="s">
        <v>15135</v>
      </c>
      <c r="E1633">
        <v>73445000</v>
      </c>
      <c r="F1633" t="s">
        <v>15136</v>
      </c>
      <c r="G1633" t="b">
        <v>1</v>
      </c>
      <c r="H1633" t="s">
        <v>16148</v>
      </c>
    </row>
    <row r="1634" spans="1:8" hidden="1" x14ac:dyDescent="0.25">
      <c r="A1634">
        <v>80621</v>
      </c>
      <c r="B1634" t="s">
        <v>16147</v>
      </c>
      <c r="C1634" t="s">
        <v>15134</v>
      </c>
      <c r="D1634" t="s">
        <v>15135</v>
      </c>
      <c r="E1634">
        <v>73445000</v>
      </c>
      <c r="F1634" t="s">
        <v>15138</v>
      </c>
      <c r="G1634" t="b">
        <v>1</v>
      </c>
      <c r="H1634" t="s">
        <v>16148</v>
      </c>
    </row>
    <row r="1635" spans="1:8" hidden="1" x14ac:dyDescent="0.25">
      <c r="A1635">
        <v>10171</v>
      </c>
      <c r="B1635" t="s">
        <v>15823</v>
      </c>
      <c r="C1635" t="s">
        <v>15134</v>
      </c>
      <c r="D1635" t="s">
        <v>15135</v>
      </c>
      <c r="E1635">
        <v>142201000</v>
      </c>
    </row>
    <row r="1636" spans="1:8" hidden="1" x14ac:dyDescent="0.25">
      <c r="A1636">
        <v>10172</v>
      </c>
      <c r="B1636" t="s">
        <v>15823</v>
      </c>
      <c r="C1636" t="s">
        <v>15134</v>
      </c>
      <c r="D1636" t="s">
        <v>15135</v>
      </c>
      <c r="E1636">
        <v>142201001</v>
      </c>
    </row>
    <row r="1637" spans="1:8" hidden="1" x14ac:dyDescent="0.25">
      <c r="A1637">
        <v>9156</v>
      </c>
      <c r="B1637" t="s">
        <v>15383</v>
      </c>
      <c r="C1637" t="s">
        <v>15134</v>
      </c>
      <c r="D1637" t="s">
        <v>15135</v>
      </c>
      <c r="E1637">
        <v>73104001</v>
      </c>
    </row>
    <row r="1638" spans="1:8" hidden="1" x14ac:dyDescent="0.25">
      <c r="A1638">
        <v>92797</v>
      </c>
      <c r="B1638" t="s">
        <v>16923</v>
      </c>
      <c r="C1638" t="s">
        <v>15134</v>
      </c>
      <c r="D1638" t="s">
        <v>15135</v>
      </c>
      <c r="E1638">
        <v>142208000</v>
      </c>
      <c r="F1638" t="s">
        <v>15136</v>
      </c>
      <c r="G1638" t="b">
        <v>0</v>
      </c>
      <c r="H1638" t="s">
        <v>16924</v>
      </c>
    </row>
    <row r="1639" spans="1:8" hidden="1" x14ac:dyDescent="0.25">
      <c r="A1639">
        <v>92797</v>
      </c>
      <c r="B1639" t="s">
        <v>16923</v>
      </c>
      <c r="C1639" t="s">
        <v>15134</v>
      </c>
      <c r="D1639" t="s">
        <v>15135</v>
      </c>
      <c r="E1639">
        <v>142208000</v>
      </c>
      <c r="F1639" t="s">
        <v>15138</v>
      </c>
      <c r="G1639" t="b">
        <v>0</v>
      </c>
      <c r="H1639" t="s">
        <v>16924</v>
      </c>
    </row>
    <row r="1640" spans="1:8" hidden="1" x14ac:dyDescent="0.25">
      <c r="A1640">
        <v>92798</v>
      </c>
      <c r="B1640" t="s">
        <v>16923</v>
      </c>
      <c r="C1640" t="s">
        <v>15134</v>
      </c>
      <c r="D1640" t="s">
        <v>15135</v>
      </c>
      <c r="E1640">
        <v>142208001</v>
      </c>
      <c r="F1640" t="s">
        <v>15136</v>
      </c>
      <c r="G1640" t="b">
        <v>0</v>
      </c>
      <c r="H1640" t="s">
        <v>16924</v>
      </c>
    </row>
    <row r="1641" spans="1:8" hidden="1" x14ac:dyDescent="0.25">
      <c r="A1641">
        <v>92798</v>
      </c>
      <c r="B1641" t="s">
        <v>16923</v>
      </c>
      <c r="C1641" t="s">
        <v>15134</v>
      </c>
      <c r="D1641" t="s">
        <v>15135</v>
      </c>
      <c r="E1641">
        <v>142208001</v>
      </c>
      <c r="F1641" t="s">
        <v>15138</v>
      </c>
      <c r="G1641" t="b">
        <v>0</v>
      </c>
      <c r="H1641" t="s">
        <v>16924</v>
      </c>
    </row>
    <row r="1642" spans="1:8" hidden="1" x14ac:dyDescent="0.25">
      <c r="A1642">
        <v>90132</v>
      </c>
      <c r="B1642" t="s">
        <v>16561</v>
      </c>
      <c r="C1642" t="s">
        <v>15134</v>
      </c>
      <c r="D1642" t="s">
        <v>15135</v>
      </c>
      <c r="E1642">
        <v>73575000</v>
      </c>
      <c r="F1642" t="s">
        <v>15136</v>
      </c>
      <c r="G1642" t="b">
        <v>1</v>
      </c>
      <c r="H1642" t="s">
        <v>16562</v>
      </c>
    </row>
    <row r="1643" spans="1:8" hidden="1" x14ac:dyDescent="0.25">
      <c r="A1643">
        <v>90132</v>
      </c>
      <c r="B1643" t="s">
        <v>16561</v>
      </c>
      <c r="C1643" t="s">
        <v>15134</v>
      </c>
      <c r="D1643" t="s">
        <v>15135</v>
      </c>
      <c r="E1643">
        <v>73575000</v>
      </c>
      <c r="F1643" t="s">
        <v>15138</v>
      </c>
      <c r="G1643" t="b">
        <v>1</v>
      </c>
      <c r="H1643" t="s">
        <v>16562</v>
      </c>
    </row>
    <row r="1644" spans="1:8" hidden="1" x14ac:dyDescent="0.25">
      <c r="A1644">
        <v>90133</v>
      </c>
      <c r="B1644" t="s">
        <v>16563</v>
      </c>
      <c r="C1644" t="s">
        <v>15134</v>
      </c>
      <c r="D1644" t="s">
        <v>15135</v>
      </c>
      <c r="E1644">
        <v>73575001</v>
      </c>
      <c r="F1644" t="s">
        <v>15138</v>
      </c>
      <c r="G1644" t="b">
        <v>1</v>
      </c>
      <c r="H1644" t="s">
        <v>16562</v>
      </c>
    </row>
    <row r="1645" spans="1:8" hidden="1" x14ac:dyDescent="0.25">
      <c r="A1645">
        <v>90133</v>
      </c>
      <c r="B1645" t="s">
        <v>16563</v>
      </c>
      <c r="C1645" t="s">
        <v>15134</v>
      </c>
      <c r="D1645" t="s">
        <v>15135</v>
      </c>
      <c r="E1645">
        <v>73575001</v>
      </c>
      <c r="F1645" t="s">
        <v>15145</v>
      </c>
      <c r="G1645" t="b">
        <v>1</v>
      </c>
      <c r="H1645" t="s">
        <v>16562</v>
      </c>
    </row>
    <row r="1646" spans="1:8" hidden="1" x14ac:dyDescent="0.25">
      <c r="A1646">
        <v>92375</v>
      </c>
      <c r="B1646" t="s">
        <v>16861</v>
      </c>
      <c r="C1646" t="s">
        <v>15134</v>
      </c>
      <c r="D1646" t="s">
        <v>15135</v>
      </c>
      <c r="E1646">
        <v>73575002</v>
      </c>
    </row>
    <row r="1647" spans="1:8" hidden="1" x14ac:dyDescent="0.25">
      <c r="A1647">
        <v>1000556</v>
      </c>
      <c r="B1647" t="s">
        <v>17172</v>
      </c>
      <c r="C1647" t="s">
        <v>15134</v>
      </c>
      <c r="D1647" t="s">
        <v>15135</v>
      </c>
      <c r="E1647">
        <v>73575003</v>
      </c>
      <c r="F1647" t="s">
        <v>15138</v>
      </c>
      <c r="G1647" t="b">
        <v>1</v>
      </c>
      <c r="H1647" t="s">
        <v>17173</v>
      </c>
    </row>
    <row r="1648" spans="1:8" hidden="1" x14ac:dyDescent="0.25">
      <c r="A1648">
        <v>1000556</v>
      </c>
      <c r="B1648" t="s">
        <v>17172</v>
      </c>
      <c r="C1648" t="s">
        <v>15134</v>
      </c>
      <c r="D1648" t="s">
        <v>15135</v>
      </c>
      <c r="E1648">
        <v>73575003</v>
      </c>
      <c r="F1648" t="s">
        <v>15136</v>
      </c>
      <c r="G1648" t="b">
        <v>1</v>
      </c>
      <c r="H1648" t="s">
        <v>17173</v>
      </c>
    </row>
    <row r="1649" spans="1:8" hidden="1" x14ac:dyDescent="0.25">
      <c r="A1649">
        <v>9083</v>
      </c>
      <c r="B1649" t="s">
        <v>15348</v>
      </c>
      <c r="C1649" t="s">
        <v>15134</v>
      </c>
      <c r="D1649" t="s">
        <v>15135</v>
      </c>
      <c r="E1649">
        <v>73063001</v>
      </c>
    </row>
    <row r="1650" spans="1:8" hidden="1" x14ac:dyDescent="0.25">
      <c r="A1650">
        <v>9632</v>
      </c>
      <c r="B1650" t="s">
        <v>15614</v>
      </c>
      <c r="C1650" t="s">
        <v>15134</v>
      </c>
      <c r="D1650" t="s">
        <v>15135</v>
      </c>
      <c r="E1650">
        <v>83006001</v>
      </c>
    </row>
    <row r="1651" spans="1:8" hidden="1" x14ac:dyDescent="0.25">
      <c r="A1651">
        <v>90726</v>
      </c>
      <c r="B1651" t="s">
        <v>16671</v>
      </c>
      <c r="C1651" t="s">
        <v>15134</v>
      </c>
      <c r="D1651" t="s">
        <v>15135</v>
      </c>
      <c r="E1651">
        <v>133025000</v>
      </c>
      <c r="F1651" t="s">
        <v>15138</v>
      </c>
      <c r="G1651" t="b">
        <v>1</v>
      </c>
      <c r="H1651" t="s">
        <v>16672</v>
      </c>
    </row>
    <row r="1652" spans="1:8" hidden="1" x14ac:dyDescent="0.25">
      <c r="A1652">
        <v>90726</v>
      </c>
      <c r="B1652" t="s">
        <v>16671</v>
      </c>
      <c r="C1652" t="s">
        <v>15134</v>
      </c>
      <c r="D1652" t="s">
        <v>15135</v>
      </c>
      <c r="E1652">
        <v>133025000</v>
      </c>
      <c r="F1652" t="s">
        <v>15136</v>
      </c>
      <c r="G1652" t="b">
        <v>1</v>
      </c>
      <c r="H1652" t="s">
        <v>16672</v>
      </c>
    </row>
    <row r="1653" spans="1:8" hidden="1" x14ac:dyDescent="0.25">
      <c r="A1653">
        <v>90727</v>
      </c>
      <c r="B1653" t="s">
        <v>16671</v>
      </c>
      <c r="C1653" t="s">
        <v>15134</v>
      </c>
      <c r="D1653" t="s">
        <v>15135</v>
      </c>
      <c r="E1653">
        <v>133025001</v>
      </c>
      <c r="F1653" t="s">
        <v>15145</v>
      </c>
      <c r="G1653" t="b">
        <v>1</v>
      </c>
      <c r="H1653" t="s">
        <v>16673</v>
      </c>
    </row>
    <row r="1654" spans="1:8" hidden="1" x14ac:dyDescent="0.25">
      <c r="A1654">
        <v>90374</v>
      </c>
      <c r="B1654" t="s">
        <v>16599</v>
      </c>
      <c r="C1654" t="s">
        <v>15134</v>
      </c>
      <c r="D1654" t="s">
        <v>15135</v>
      </c>
      <c r="E1654">
        <v>73588001</v>
      </c>
      <c r="F1654" t="s">
        <v>15145</v>
      </c>
      <c r="G1654" t="b">
        <v>0</v>
      </c>
      <c r="H1654" t="s">
        <v>16597</v>
      </c>
    </row>
    <row r="1655" spans="1:8" hidden="1" x14ac:dyDescent="0.25">
      <c r="A1655">
        <v>90373</v>
      </c>
      <c r="B1655" t="s">
        <v>16596</v>
      </c>
      <c r="C1655" t="s">
        <v>15134</v>
      </c>
      <c r="D1655" t="s">
        <v>15135</v>
      </c>
      <c r="E1655">
        <v>73588000</v>
      </c>
      <c r="F1655" t="s">
        <v>15138</v>
      </c>
      <c r="G1655" t="b">
        <v>0</v>
      </c>
      <c r="H1655" t="s">
        <v>16597</v>
      </c>
    </row>
    <row r="1656" spans="1:8" hidden="1" x14ac:dyDescent="0.25">
      <c r="A1656">
        <v>90373</v>
      </c>
      <c r="B1656" t="s">
        <v>16596</v>
      </c>
      <c r="C1656" t="s">
        <v>15134</v>
      </c>
      <c r="D1656" t="s">
        <v>15135</v>
      </c>
      <c r="E1656">
        <v>73588000</v>
      </c>
      <c r="F1656" t="s">
        <v>15136</v>
      </c>
      <c r="G1656" t="b">
        <v>1</v>
      </c>
      <c r="H1656" t="s">
        <v>16598</v>
      </c>
    </row>
    <row r="1657" spans="1:8" hidden="1" x14ac:dyDescent="0.25">
      <c r="A1657">
        <v>8720</v>
      </c>
      <c r="B1657" t="s">
        <v>15223</v>
      </c>
      <c r="C1657" t="s">
        <v>15134</v>
      </c>
      <c r="D1657" t="s">
        <v>15135</v>
      </c>
      <c r="E1657">
        <v>72286000</v>
      </c>
    </row>
    <row r="1658" spans="1:8" hidden="1" x14ac:dyDescent="0.25">
      <c r="A1658">
        <v>8721</v>
      </c>
      <c r="B1658" t="s">
        <v>15223</v>
      </c>
      <c r="C1658" t="s">
        <v>15134</v>
      </c>
      <c r="D1658" t="s">
        <v>15135</v>
      </c>
      <c r="E1658">
        <v>72286001</v>
      </c>
    </row>
    <row r="1659" spans="1:8" hidden="1" x14ac:dyDescent="0.25">
      <c r="A1659">
        <v>9599</v>
      </c>
      <c r="B1659" t="s">
        <v>15598</v>
      </c>
      <c r="C1659" t="s">
        <v>15134</v>
      </c>
      <c r="D1659" t="s">
        <v>15135</v>
      </c>
      <c r="E1659">
        <v>72451001</v>
      </c>
      <c r="F1659" t="s">
        <v>15136</v>
      </c>
      <c r="G1659" t="b">
        <v>1</v>
      </c>
      <c r="H1659" t="s">
        <v>15599</v>
      </c>
    </row>
    <row r="1660" spans="1:8" hidden="1" x14ac:dyDescent="0.25">
      <c r="A1660">
        <v>9599</v>
      </c>
      <c r="B1660" t="s">
        <v>15598</v>
      </c>
      <c r="C1660" t="s">
        <v>15134</v>
      </c>
      <c r="D1660" t="s">
        <v>15135</v>
      </c>
      <c r="E1660">
        <v>72451001</v>
      </c>
      <c r="F1660" t="s">
        <v>15138</v>
      </c>
      <c r="G1660" t="b">
        <v>1</v>
      </c>
      <c r="H1660" t="s">
        <v>15599</v>
      </c>
    </row>
    <row r="1661" spans="1:8" hidden="1" x14ac:dyDescent="0.25">
      <c r="A1661">
        <v>9684</v>
      </c>
      <c r="B1661" t="s">
        <v>15630</v>
      </c>
      <c r="C1661" t="s">
        <v>15134</v>
      </c>
      <c r="D1661" t="s">
        <v>15135</v>
      </c>
      <c r="E1661">
        <v>93013000</v>
      </c>
      <c r="F1661" t="s">
        <v>15138</v>
      </c>
      <c r="G1661" t="b">
        <v>0</v>
      </c>
      <c r="H1661" t="s">
        <v>15631</v>
      </c>
    </row>
    <row r="1662" spans="1:8" hidden="1" x14ac:dyDescent="0.25">
      <c r="A1662">
        <v>9684</v>
      </c>
      <c r="B1662" t="s">
        <v>15630</v>
      </c>
      <c r="C1662" t="s">
        <v>15134</v>
      </c>
      <c r="D1662" t="s">
        <v>15135</v>
      </c>
      <c r="E1662">
        <v>93013000</v>
      </c>
      <c r="F1662" t="s">
        <v>15136</v>
      </c>
      <c r="G1662" t="b">
        <v>1</v>
      </c>
      <c r="H1662" t="s">
        <v>15632</v>
      </c>
    </row>
    <row r="1663" spans="1:8" hidden="1" x14ac:dyDescent="0.25">
      <c r="A1663">
        <v>9803</v>
      </c>
      <c r="B1663" t="s">
        <v>15691</v>
      </c>
      <c r="C1663" t="s">
        <v>15134</v>
      </c>
      <c r="D1663" t="s">
        <v>15135</v>
      </c>
      <c r="E1663">
        <v>102255042</v>
      </c>
    </row>
    <row r="1664" spans="1:8" hidden="1" x14ac:dyDescent="0.25">
      <c r="A1664">
        <v>9764</v>
      </c>
      <c r="B1664" t="s">
        <v>15658</v>
      </c>
      <c r="C1664" t="s">
        <v>15134</v>
      </c>
      <c r="D1664" t="s">
        <v>15135</v>
      </c>
      <c r="E1664">
        <v>102242001</v>
      </c>
    </row>
    <row r="1665" spans="1:8" hidden="1" x14ac:dyDescent="0.25">
      <c r="A1665">
        <v>9279</v>
      </c>
      <c r="B1665" t="s">
        <v>15443</v>
      </c>
      <c r="C1665" t="s">
        <v>15134</v>
      </c>
      <c r="D1665" t="s">
        <v>15135</v>
      </c>
      <c r="E1665">
        <v>73196001</v>
      </c>
    </row>
    <row r="1666" spans="1:8" hidden="1" x14ac:dyDescent="0.25">
      <c r="A1666">
        <v>84316</v>
      </c>
      <c r="B1666" t="s">
        <v>16286</v>
      </c>
      <c r="C1666" t="s">
        <v>15134</v>
      </c>
      <c r="D1666" t="s">
        <v>15135</v>
      </c>
      <c r="E1666">
        <v>73503000</v>
      </c>
      <c r="F1666" t="s">
        <v>15136</v>
      </c>
      <c r="G1666" t="b">
        <v>1</v>
      </c>
      <c r="H1666" t="s">
        <v>16287</v>
      </c>
    </row>
    <row r="1667" spans="1:8" hidden="1" x14ac:dyDescent="0.25">
      <c r="A1667">
        <v>84316</v>
      </c>
      <c r="B1667" t="s">
        <v>16286</v>
      </c>
      <c r="C1667" t="s">
        <v>15134</v>
      </c>
      <c r="D1667" t="s">
        <v>15135</v>
      </c>
      <c r="E1667">
        <v>73503000</v>
      </c>
      <c r="F1667" t="s">
        <v>15138</v>
      </c>
      <c r="G1667" t="b">
        <v>1</v>
      </c>
      <c r="H1667" t="s">
        <v>16287</v>
      </c>
    </row>
    <row r="1668" spans="1:8" hidden="1" x14ac:dyDescent="0.25">
      <c r="A1668">
        <v>84317</v>
      </c>
      <c r="B1668" t="s">
        <v>16286</v>
      </c>
      <c r="C1668" t="s">
        <v>15134</v>
      </c>
      <c r="D1668" t="s">
        <v>15135</v>
      </c>
      <c r="E1668">
        <v>73503001</v>
      </c>
      <c r="F1668" t="s">
        <v>15145</v>
      </c>
      <c r="G1668" t="b">
        <v>1</v>
      </c>
      <c r="H1668" t="s">
        <v>16287</v>
      </c>
    </row>
    <row r="1669" spans="1:8" hidden="1" x14ac:dyDescent="0.25">
      <c r="A1669">
        <v>84317</v>
      </c>
      <c r="B1669" t="s">
        <v>16286</v>
      </c>
      <c r="C1669" t="s">
        <v>15134</v>
      </c>
      <c r="D1669" t="s">
        <v>15135</v>
      </c>
      <c r="E1669">
        <v>73503001</v>
      </c>
      <c r="F1669" t="s">
        <v>15138</v>
      </c>
      <c r="G1669" t="b">
        <v>1</v>
      </c>
      <c r="H1669" t="s">
        <v>16287</v>
      </c>
    </row>
    <row r="1670" spans="1:8" hidden="1" x14ac:dyDescent="0.25">
      <c r="A1670">
        <v>9791</v>
      </c>
      <c r="B1670" t="s">
        <v>15683</v>
      </c>
      <c r="C1670" t="s">
        <v>15134</v>
      </c>
      <c r="D1670" t="s">
        <v>15135</v>
      </c>
      <c r="E1670">
        <v>102250009</v>
      </c>
    </row>
    <row r="1671" spans="1:8" hidden="1" x14ac:dyDescent="0.25">
      <c r="A1671">
        <v>280210</v>
      </c>
      <c r="B1671" t="s">
        <v>16981</v>
      </c>
      <c r="C1671" t="s">
        <v>15134</v>
      </c>
      <c r="D1671" t="s">
        <v>15135</v>
      </c>
      <c r="E1671">
        <v>73330001</v>
      </c>
      <c r="F1671" t="s">
        <v>15138</v>
      </c>
      <c r="G1671" t="b">
        <v>1</v>
      </c>
      <c r="H1671" t="s">
        <v>16982</v>
      </c>
    </row>
    <row r="1672" spans="1:8" hidden="1" x14ac:dyDescent="0.25">
      <c r="A1672">
        <v>280210</v>
      </c>
      <c r="B1672" t="s">
        <v>16981</v>
      </c>
      <c r="C1672" t="s">
        <v>15134</v>
      </c>
      <c r="D1672" t="s">
        <v>15135</v>
      </c>
      <c r="E1672">
        <v>73330001</v>
      </c>
      <c r="F1672" t="s">
        <v>15136</v>
      </c>
      <c r="G1672" t="b">
        <v>1</v>
      </c>
      <c r="H1672" t="s">
        <v>16983</v>
      </c>
    </row>
    <row r="1673" spans="1:8" hidden="1" x14ac:dyDescent="0.25">
      <c r="A1673">
        <v>937473</v>
      </c>
      <c r="B1673" t="s">
        <v>16981</v>
      </c>
      <c r="C1673" t="s">
        <v>15134</v>
      </c>
      <c r="D1673" t="s">
        <v>15135</v>
      </c>
      <c r="E1673">
        <v>73330000</v>
      </c>
      <c r="F1673" t="s">
        <v>15138</v>
      </c>
      <c r="G1673" t="b">
        <v>1</v>
      </c>
      <c r="H1673" t="s">
        <v>16982</v>
      </c>
    </row>
    <row r="1674" spans="1:8" hidden="1" x14ac:dyDescent="0.25">
      <c r="A1674">
        <v>937473</v>
      </c>
      <c r="B1674" t="s">
        <v>16981</v>
      </c>
      <c r="C1674" t="s">
        <v>15134</v>
      </c>
      <c r="D1674" t="s">
        <v>15135</v>
      </c>
      <c r="E1674">
        <v>73330000</v>
      </c>
      <c r="F1674" t="s">
        <v>15136</v>
      </c>
      <c r="G1674" t="b">
        <v>1</v>
      </c>
      <c r="H1674" t="s">
        <v>16983</v>
      </c>
    </row>
    <row r="1675" spans="1:8" hidden="1" x14ac:dyDescent="0.25">
      <c r="A1675">
        <v>1000010</v>
      </c>
      <c r="B1675" t="s">
        <v>17037</v>
      </c>
      <c r="C1675" t="s">
        <v>15134</v>
      </c>
      <c r="D1675" t="s">
        <v>15135</v>
      </c>
      <c r="E1675">
        <v>73344001</v>
      </c>
      <c r="F1675" t="s">
        <v>15136</v>
      </c>
      <c r="G1675" t="b">
        <v>1</v>
      </c>
      <c r="H1675" t="s">
        <v>17036</v>
      </c>
    </row>
    <row r="1676" spans="1:8" hidden="1" x14ac:dyDescent="0.25">
      <c r="A1676">
        <v>1000010</v>
      </c>
      <c r="B1676" t="s">
        <v>17037</v>
      </c>
      <c r="C1676" t="s">
        <v>15134</v>
      </c>
      <c r="D1676" t="s">
        <v>15135</v>
      </c>
      <c r="E1676">
        <v>73344001</v>
      </c>
      <c r="F1676" t="s">
        <v>15138</v>
      </c>
      <c r="G1676" t="b">
        <v>1</v>
      </c>
      <c r="H1676" t="s">
        <v>17036</v>
      </c>
    </row>
    <row r="1677" spans="1:8" hidden="1" x14ac:dyDescent="0.25">
      <c r="A1677">
        <v>1001132</v>
      </c>
      <c r="B1677" t="s">
        <v>17180</v>
      </c>
      <c r="C1677" t="s">
        <v>15134</v>
      </c>
      <c r="D1677" t="s">
        <v>15135</v>
      </c>
      <c r="E1677">
        <v>73368001</v>
      </c>
      <c r="F1677" t="s">
        <v>15138</v>
      </c>
      <c r="G1677" t="b">
        <v>1</v>
      </c>
      <c r="H1677" t="s">
        <v>17177</v>
      </c>
    </row>
    <row r="1678" spans="1:8" hidden="1" x14ac:dyDescent="0.25">
      <c r="A1678">
        <v>1001132</v>
      </c>
      <c r="B1678" t="s">
        <v>17180</v>
      </c>
      <c r="C1678" t="s">
        <v>15134</v>
      </c>
      <c r="D1678" t="s">
        <v>15135</v>
      </c>
      <c r="E1678">
        <v>73368001</v>
      </c>
      <c r="F1678" t="s">
        <v>15136</v>
      </c>
      <c r="G1678" t="b">
        <v>1</v>
      </c>
      <c r="H1678" t="s">
        <v>17178</v>
      </c>
    </row>
    <row r="1679" spans="1:8" hidden="1" x14ac:dyDescent="0.25">
      <c r="A1679">
        <v>9091</v>
      </c>
      <c r="B1679" t="s">
        <v>15352</v>
      </c>
      <c r="C1679" t="s">
        <v>15134</v>
      </c>
      <c r="D1679" t="s">
        <v>15135</v>
      </c>
      <c r="E1679">
        <v>73067001</v>
      </c>
    </row>
    <row r="1680" spans="1:8" hidden="1" x14ac:dyDescent="0.25">
      <c r="A1680">
        <v>9369</v>
      </c>
      <c r="B1680" t="s">
        <v>15493</v>
      </c>
      <c r="C1680" t="s">
        <v>15134</v>
      </c>
      <c r="D1680" t="s">
        <v>15135</v>
      </c>
      <c r="E1680">
        <v>73230001</v>
      </c>
      <c r="F1680" t="s">
        <v>15145</v>
      </c>
      <c r="G1680" t="b">
        <v>1</v>
      </c>
      <c r="H1680" t="s">
        <v>15494</v>
      </c>
    </row>
    <row r="1681" spans="1:8" hidden="1" x14ac:dyDescent="0.25">
      <c r="A1681">
        <v>9369</v>
      </c>
      <c r="B1681" t="s">
        <v>15493</v>
      </c>
      <c r="C1681" t="s">
        <v>15134</v>
      </c>
      <c r="D1681" t="s">
        <v>15135</v>
      </c>
      <c r="E1681">
        <v>73230001</v>
      </c>
      <c r="F1681" t="s">
        <v>15138</v>
      </c>
      <c r="G1681" t="b">
        <v>1</v>
      </c>
      <c r="H1681" t="s">
        <v>15494</v>
      </c>
    </row>
    <row r="1682" spans="1:8" hidden="1" x14ac:dyDescent="0.25">
      <c r="A1682">
        <v>8654</v>
      </c>
      <c r="B1682" t="s">
        <v>15174</v>
      </c>
      <c r="C1682" t="s">
        <v>15134</v>
      </c>
      <c r="D1682" t="s">
        <v>15135</v>
      </c>
      <c r="E1682">
        <v>72201000</v>
      </c>
    </row>
    <row r="1683" spans="1:8" hidden="1" x14ac:dyDescent="0.25">
      <c r="A1683">
        <v>80926</v>
      </c>
      <c r="B1683" t="s">
        <v>16248</v>
      </c>
      <c r="C1683" t="s">
        <v>15134</v>
      </c>
      <c r="D1683" t="s">
        <v>15135</v>
      </c>
      <c r="E1683">
        <v>73495000</v>
      </c>
      <c r="F1683" t="s">
        <v>15138</v>
      </c>
      <c r="G1683" t="b">
        <v>1</v>
      </c>
      <c r="H1683" t="s">
        <v>16249</v>
      </c>
    </row>
    <row r="1684" spans="1:8" hidden="1" x14ac:dyDescent="0.25">
      <c r="A1684">
        <v>80926</v>
      </c>
      <c r="B1684" t="s">
        <v>16248</v>
      </c>
      <c r="C1684" t="s">
        <v>15134</v>
      </c>
      <c r="D1684" t="s">
        <v>15135</v>
      </c>
      <c r="E1684">
        <v>73495000</v>
      </c>
      <c r="F1684" t="s">
        <v>15145</v>
      </c>
      <c r="G1684" t="b">
        <v>1</v>
      </c>
      <c r="H1684" t="s">
        <v>16249</v>
      </c>
    </row>
    <row r="1685" spans="1:8" hidden="1" x14ac:dyDescent="0.25">
      <c r="A1685">
        <v>9734</v>
      </c>
      <c r="B1685" t="s">
        <v>15641</v>
      </c>
      <c r="C1685" t="s">
        <v>15134</v>
      </c>
      <c r="D1685" t="s">
        <v>15135</v>
      </c>
      <c r="E1685">
        <v>102211001</v>
      </c>
    </row>
    <row r="1686" spans="1:8" hidden="1" x14ac:dyDescent="0.25">
      <c r="A1686">
        <v>9281</v>
      </c>
      <c r="B1686" t="s">
        <v>15447</v>
      </c>
      <c r="C1686" t="s">
        <v>15134</v>
      </c>
      <c r="D1686" t="s">
        <v>15135</v>
      </c>
      <c r="E1686">
        <v>73197001</v>
      </c>
    </row>
    <row r="1687" spans="1:8" hidden="1" x14ac:dyDescent="0.25">
      <c r="A1687">
        <v>90125</v>
      </c>
      <c r="B1687" t="s">
        <v>16552</v>
      </c>
      <c r="C1687" t="s">
        <v>15134</v>
      </c>
      <c r="D1687" t="s">
        <v>15135</v>
      </c>
      <c r="E1687">
        <v>72401010</v>
      </c>
      <c r="F1687" t="s">
        <v>15136</v>
      </c>
      <c r="G1687" t="b">
        <v>1</v>
      </c>
      <c r="H1687" t="s">
        <v>15241</v>
      </c>
    </row>
    <row r="1688" spans="1:8" hidden="1" x14ac:dyDescent="0.25">
      <c r="A1688">
        <v>90125</v>
      </c>
      <c r="B1688" t="s">
        <v>16552</v>
      </c>
      <c r="C1688" t="s">
        <v>15134</v>
      </c>
      <c r="D1688" t="s">
        <v>15135</v>
      </c>
      <c r="E1688">
        <v>72401010</v>
      </c>
      <c r="F1688" t="s">
        <v>15138</v>
      </c>
      <c r="G1688" t="b">
        <v>1</v>
      </c>
      <c r="H1688" t="s">
        <v>16553</v>
      </c>
    </row>
    <row r="1689" spans="1:8" x14ac:dyDescent="0.25">
      <c r="A1689">
        <v>8786</v>
      </c>
      <c r="B1689" t="s">
        <v>15276</v>
      </c>
      <c r="C1689" t="s">
        <v>15134</v>
      </c>
      <c r="D1689" t="s">
        <v>15135</v>
      </c>
      <c r="E1689">
        <v>72415000</v>
      </c>
    </row>
    <row r="1690" spans="1:8" x14ac:dyDescent="0.25">
      <c r="A1690">
        <v>10353</v>
      </c>
      <c r="B1690" t="s">
        <v>15276</v>
      </c>
      <c r="C1690" t="s">
        <v>15134</v>
      </c>
      <c r="D1690" t="s">
        <v>15135</v>
      </c>
      <c r="E1690">
        <v>72415001</v>
      </c>
    </row>
    <row r="1691" spans="1:8" x14ac:dyDescent="0.25">
      <c r="A1691">
        <v>9242</v>
      </c>
      <c r="B1691" t="s">
        <v>15429</v>
      </c>
      <c r="C1691" t="s">
        <v>15134</v>
      </c>
      <c r="D1691" t="s">
        <v>15135</v>
      </c>
      <c r="E1691">
        <v>73171001</v>
      </c>
    </row>
    <row r="1692" spans="1:8" x14ac:dyDescent="0.25">
      <c r="A1692">
        <v>9256</v>
      </c>
      <c r="B1692" t="s">
        <v>15429</v>
      </c>
      <c r="C1692" t="s">
        <v>15134</v>
      </c>
      <c r="D1692" t="s">
        <v>15135</v>
      </c>
      <c r="E1692">
        <v>73182001</v>
      </c>
    </row>
    <row r="1693" spans="1:8" hidden="1" x14ac:dyDescent="0.25">
      <c r="A1693">
        <v>79339</v>
      </c>
      <c r="B1693" t="s">
        <v>15938</v>
      </c>
      <c r="C1693" t="s">
        <v>15134</v>
      </c>
      <c r="D1693" t="s">
        <v>15135</v>
      </c>
      <c r="E1693">
        <v>72425018</v>
      </c>
      <c r="F1693" t="s">
        <v>15145</v>
      </c>
      <c r="G1693" t="b">
        <v>1</v>
      </c>
      <c r="H1693" t="s">
        <v>15939</v>
      </c>
    </row>
    <row r="1694" spans="1:8" hidden="1" x14ac:dyDescent="0.25">
      <c r="A1694">
        <v>79339</v>
      </c>
      <c r="B1694" t="s">
        <v>15938</v>
      </c>
      <c r="C1694" t="s">
        <v>15134</v>
      </c>
      <c r="D1694" t="s">
        <v>15135</v>
      </c>
      <c r="E1694">
        <v>72425018</v>
      </c>
      <c r="F1694" t="s">
        <v>15138</v>
      </c>
      <c r="G1694" t="b">
        <v>1</v>
      </c>
      <c r="H1694" t="s">
        <v>15939</v>
      </c>
    </row>
    <row r="1695" spans="1:8" hidden="1" x14ac:dyDescent="0.25">
      <c r="A1695">
        <v>79332</v>
      </c>
      <c r="B1695" t="s">
        <v>15926</v>
      </c>
      <c r="C1695" t="s">
        <v>15134</v>
      </c>
      <c r="D1695" t="s">
        <v>15135</v>
      </c>
      <c r="E1695">
        <v>72425002</v>
      </c>
      <c r="F1695" t="s">
        <v>15138</v>
      </c>
      <c r="G1695" t="b">
        <v>0</v>
      </c>
      <c r="H1695" t="s">
        <v>15927</v>
      </c>
    </row>
    <row r="1696" spans="1:8" hidden="1" x14ac:dyDescent="0.25">
      <c r="A1696">
        <v>79332</v>
      </c>
      <c r="B1696" t="s">
        <v>15926</v>
      </c>
      <c r="C1696" t="s">
        <v>15134</v>
      </c>
      <c r="D1696" t="s">
        <v>15135</v>
      </c>
      <c r="E1696">
        <v>72425002</v>
      </c>
      <c r="F1696" t="s">
        <v>15145</v>
      </c>
      <c r="G1696" t="b">
        <v>1</v>
      </c>
      <c r="H1696" t="s">
        <v>15928</v>
      </c>
    </row>
    <row r="1697" spans="1:8" hidden="1" x14ac:dyDescent="0.25">
      <c r="A1697">
        <v>80527</v>
      </c>
      <c r="B1697" t="s">
        <v>16097</v>
      </c>
      <c r="C1697" t="s">
        <v>15134</v>
      </c>
      <c r="D1697" t="s">
        <v>15135</v>
      </c>
      <c r="E1697">
        <v>72401008</v>
      </c>
      <c r="F1697" t="s">
        <v>15138</v>
      </c>
      <c r="G1697" t="b">
        <v>1</v>
      </c>
      <c r="H1697" t="s">
        <v>16098</v>
      </c>
    </row>
    <row r="1698" spans="1:8" hidden="1" x14ac:dyDescent="0.25">
      <c r="A1698">
        <v>80527</v>
      </c>
      <c r="B1698" t="s">
        <v>16097</v>
      </c>
      <c r="C1698" t="s">
        <v>15134</v>
      </c>
      <c r="D1698" t="s">
        <v>15135</v>
      </c>
      <c r="E1698">
        <v>72401008</v>
      </c>
      <c r="F1698" t="s">
        <v>15136</v>
      </c>
      <c r="G1698" t="b">
        <v>1</v>
      </c>
      <c r="H1698" t="s">
        <v>15241</v>
      </c>
    </row>
    <row r="1699" spans="1:8" hidden="1" x14ac:dyDescent="0.25">
      <c r="A1699">
        <v>1000095</v>
      </c>
      <c r="B1699" t="s">
        <v>17080</v>
      </c>
      <c r="C1699" t="s">
        <v>15134</v>
      </c>
      <c r="D1699" t="s">
        <v>15135</v>
      </c>
      <c r="E1699">
        <v>73350000</v>
      </c>
      <c r="F1699" t="s">
        <v>15136</v>
      </c>
      <c r="G1699" t="b">
        <v>0</v>
      </c>
      <c r="H1699" t="s">
        <v>17081</v>
      </c>
    </row>
    <row r="1700" spans="1:8" hidden="1" x14ac:dyDescent="0.25">
      <c r="A1700">
        <v>1000095</v>
      </c>
      <c r="B1700" t="s">
        <v>17080</v>
      </c>
      <c r="C1700" t="s">
        <v>15134</v>
      </c>
      <c r="D1700" t="s">
        <v>15135</v>
      </c>
      <c r="E1700">
        <v>73350000</v>
      </c>
      <c r="F1700" t="s">
        <v>15138</v>
      </c>
      <c r="G1700" t="b">
        <v>0</v>
      </c>
      <c r="H1700" t="s">
        <v>17081</v>
      </c>
    </row>
    <row r="1701" spans="1:8" hidden="1" x14ac:dyDescent="0.25">
      <c r="A1701">
        <v>79668</v>
      </c>
      <c r="B1701" t="s">
        <v>15982</v>
      </c>
      <c r="C1701" t="s">
        <v>15134</v>
      </c>
      <c r="D1701" t="s">
        <v>15135</v>
      </c>
      <c r="E1701">
        <v>142206001</v>
      </c>
      <c r="F1701" t="s">
        <v>15138</v>
      </c>
      <c r="G1701" t="b">
        <v>1</v>
      </c>
      <c r="H1701" t="s">
        <v>15983</v>
      </c>
    </row>
    <row r="1702" spans="1:8" hidden="1" x14ac:dyDescent="0.25">
      <c r="A1702">
        <v>79668</v>
      </c>
      <c r="B1702" t="s">
        <v>15982</v>
      </c>
      <c r="C1702" t="s">
        <v>15134</v>
      </c>
      <c r="D1702" t="s">
        <v>15135</v>
      </c>
      <c r="E1702">
        <v>142206001</v>
      </c>
      <c r="F1702" t="s">
        <v>15145</v>
      </c>
      <c r="G1702" t="b">
        <v>1</v>
      </c>
      <c r="H1702" t="s">
        <v>15984</v>
      </c>
    </row>
    <row r="1703" spans="1:8" hidden="1" x14ac:dyDescent="0.25">
      <c r="A1703">
        <v>79528</v>
      </c>
      <c r="B1703" t="s">
        <v>15974</v>
      </c>
      <c r="C1703" t="s">
        <v>15134</v>
      </c>
      <c r="D1703" t="s">
        <v>15135</v>
      </c>
      <c r="E1703">
        <v>82210001</v>
      </c>
      <c r="F1703" t="s">
        <v>15145</v>
      </c>
      <c r="G1703" t="b">
        <v>1</v>
      </c>
      <c r="H1703" t="s">
        <v>15975</v>
      </c>
    </row>
    <row r="1704" spans="1:8" hidden="1" x14ac:dyDescent="0.25">
      <c r="A1704">
        <v>79528</v>
      </c>
      <c r="B1704" t="s">
        <v>15974</v>
      </c>
      <c r="C1704" t="s">
        <v>15134</v>
      </c>
      <c r="D1704" t="s">
        <v>15135</v>
      </c>
      <c r="E1704">
        <v>82210001</v>
      </c>
      <c r="F1704" t="s">
        <v>15138</v>
      </c>
      <c r="G1704" t="b">
        <v>0</v>
      </c>
      <c r="H1704" t="s">
        <v>15973</v>
      </c>
    </row>
    <row r="1705" spans="1:8" hidden="1" x14ac:dyDescent="0.25">
      <c r="A1705">
        <v>9365</v>
      </c>
      <c r="B1705" t="s">
        <v>15489</v>
      </c>
      <c r="C1705" t="s">
        <v>15134</v>
      </c>
      <c r="D1705" t="s">
        <v>15135</v>
      </c>
      <c r="E1705">
        <v>73228001</v>
      </c>
    </row>
    <row r="1706" spans="1:8" hidden="1" x14ac:dyDescent="0.25">
      <c r="A1706">
        <v>80749</v>
      </c>
      <c r="B1706" t="s">
        <v>16210</v>
      </c>
      <c r="C1706" t="s">
        <v>15134</v>
      </c>
      <c r="D1706" t="s">
        <v>15135</v>
      </c>
      <c r="E1706">
        <v>102257000</v>
      </c>
      <c r="F1706" t="s">
        <v>15145</v>
      </c>
      <c r="G1706" t="b">
        <v>1</v>
      </c>
      <c r="H1706" t="s">
        <v>16211</v>
      </c>
    </row>
    <row r="1707" spans="1:8" hidden="1" x14ac:dyDescent="0.25">
      <c r="A1707">
        <v>80749</v>
      </c>
      <c r="B1707" t="s">
        <v>16210</v>
      </c>
      <c r="C1707" t="s">
        <v>15134</v>
      </c>
      <c r="D1707" t="s">
        <v>15135</v>
      </c>
      <c r="E1707">
        <v>102257000</v>
      </c>
      <c r="F1707" t="s">
        <v>15138</v>
      </c>
      <c r="G1707" t="b">
        <v>1</v>
      </c>
      <c r="H1707" t="s">
        <v>16211</v>
      </c>
    </row>
    <row r="1708" spans="1:8" hidden="1" x14ac:dyDescent="0.25">
      <c r="A1708">
        <v>80750</v>
      </c>
      <c r="B1708" t="s">
        <v>16212</v>
      </c>
      <c r="C1708" t="s">
        <v>15134</v>
      </c>
      <c r="D1708" t="s">
        <v>15135</v>
      </c>
      <c r="E1708">
        <v>102257001</v>
      </c>
      <c r="F1708" t="s">
        <v>15145</v>
      </c>
      <c r="G1708" t="b">
        <v>1</v>
      </c>
      <c r="H1708" t="s">
        <v>16211</v>
      </c>
    </row>
    <row r="1709" spans="1:8" hidden="1" x14ac:dyDescent="0.25">
      <c r="A1709">
        <v>80750</v>
      </c>
      <c r="B1709" t="s">
        <v>16212</v>
      </c>
      <c r="C1709" t="s">
        <v>15134</v>
      </c>
      <c r="D1709" t="s">
        <v>15135</v>
      </c>
      <c r="E1709">
        <v>102257001</v>
      </c>
      <c r="F1709" t="s">
        <v>15138</v>
      </c>
      <c r="G1709" t="b">
        <v>1</v>
      </c>
      <c r="H1709" t="s">
        <v>16211</v>
      </c>
    </row>
    <row r="1710" spans="1:8" hidden="1" x14ac:dyDescent="0.25">
      <c r="A1710">
        <v>90837</v>
      </c>
      <c r="B1710" t="s">
        <v>16695</v>
      </c>
      <c r="C1710" t="s">
        <v>15134</v>
      </c>
      <c r="D1710" t="s">
        <v>15135</v>
      </c>
      <c r="E1710">
        <v>73713000</v>
      </c>
      <c r="F1710" t="s">
        <v>15138</v>
      </c>
      <c r="G1710" t="b">
        <v>1</v>
      </c>
      <c r="H1710" t="s">
        <v>16696</v>
      </c>
    </row>
    <row r="1711" spans="1:8" hidden="1" x14ac:dyDescent="0.25">
      <c r="A1711">
        <v>90837</v>
      </c>
      <c r="B1711" t="s">
        <v>16695</v>
      </c>
      <c r="C1711" t="s">
        <v>15134</v>
      </c>
      <c r="D1711" t="s">
        <v>15135</v>
      </c>
      <c r="E1711">
        <v>73713000</v>
      </c>
      <c r="F1711" t="s">
        <v>15136</v>
      </c>
      <c r="G1711" t="b">
        <v>1</v>
      </c>
      <c r="H1711" t="s">
        <v>16697</v>
      </c>
    </row>
    <row r="1712" spans="1:8" hidden="1" x14ac:dyDescent="0.25">
      <c r="A1712">
        <v>8714</v>
      </c>
      <c r="B1712" t="s">
        <v>15222</v>
      </c>
      <c r="C1712" t="s">
        <v>15134</v>
      </c>
      <c r="D1712" t="s">
        <v>15135</v>
      </c>
      <c r="E1712">
        <v>72282000</v>
      </c>
    </row>
    <row r="1713" spans="1:8" hidden="1" x14ac:dyDescent="0.25">
      <c r="A1713">
        <v>80730</v>
      </c>
      <c r="B1713" t="s">
        <v>16204</v>
      </c>
      <c r="C1713" t="s">
        <v>15134</v>
      </c>
      <c r="D1713" t="s">
        <v>15135</v>
      </c>
      <c r="E1713">
        <v>73488000</v>
      </c>
      <c r="F1713" t="s">
        <v>15138</v>
      </c>
      <c r="G1713" t="b">
        <v>1</v>
      </c>
      <c r="H1713" t="s">
        <v>16205</v>
      </c>
    </row>
    <row r="1714" spans="1:8" hidden="1" x14ac:dyDescent="0.25">
      <c r="A1714">
        <v>80730</v>
      </c>
      <c r="B1714" t="s">
        <v>16204</v>
      </c>
      <c r="C1714" t="s">
        <v>15134</v>
      </c>
      <c r="D1714" t="s">
        <v>15135</v>
      </c>
      <c r="E1714">
        <v>73488000</v>
      </c>
      <c r="F1714" t="s">
        <v>15136</v>
      </c>
      <c r="G1714" t="b">
        <v>1</v>
      </c>
      <c r="H1714" t="s">
        <v>16206</v>
      </c>
    </row>
    <row r="1715" spans="1:8" hidden="1" x14ac:dyDescent="0.25">
      <c r="A1715">
        <v>9862</v>
      </c>
      <c r="B1715" t="s">
        <v>15704</v>
      </c>
      <c r="C1715" t="s">
        <v>15134</v>
      </c>
      <c r="D1715" t="s">
        <v>15135</v>
      </c>
      <c r="E1715">
        <v>102603006</v>
      </c>
      <c r="F1715" t="s">
        <v>15138</v>
      </c>
      <c r="G1715" t="b">
        <v>1</v>
      </c>
      <c r="H1715" t="s">
        <v>15705</v>
      </c>
    </row>
    <row r="1716" spans="1:8" hidden="1" x14ac:dyDescent="0.25">
      <c r="A1716">
        <v>9862</v>
      </c>
      <c r="B1716" t="s">
        <v>15704</v>
      </c>
      <c r="C1716" t="s">
        <v>15134</v>
      </c>
      <c r="D1716" t="s">
        <v>15135</v>
      </c>
      <c r="E1716">
        <v>102603006</v>
      </c>
      <c r="F1716" t="s">
        <v>15136</v>
      </c>
      <c r="G1716" t="b">
        <v>1</v>
      </c>
      <c r="H1716" t="s">
        <v>15706</v>
      </c>
    </row>
    <row r="1717" spans="1:8" hidden="1" x14ac:dyDescent="0.25">
      <c r="A1717">
        <v>91632</v>
      </c>
      <c r="B1717" t="s">
        <v>16791</v>
      </c>
      <c r="C1717" t="s">
        <v>15134</v>
      </c>
      <c r="D1717" t="s">
        <v>15135</v>
      </c>
      <c r="E1717">
        <v>72401012</v>
      </c>
      <c r="F1717" t="s">
        <v>15138</v>
      </c>
      <c r="G1717" t="b">
        <v>1</v>
      </c>
      <c r="H1717" t="s">
        <v>16792</v>
      </c>
    </row>
    <row r="1718" spans="1:8" hidden="1" x14ac:dyDescent="0.25">
      <c r="A1718">
        <v>91632</v>
      </c>
      <c r="B1718" t="s">
        <v>16791</v>
      </c>
      <c r="C1718" t="s">
        <v>15134</v>
      </c>
      <c r="D1718" t="s">
        <v>15135</v>
      </c>
      <c r="E1718">
        <v>72401012</v>
      </c>
      <c r="F1718" t="s">
        <v>15136</v>
      </c>
      <c r="G1718" t="b">
        <v>1</v>
      </c>
      <c r="H1718" t="s">
        <v>15241</v>
      </c>
    </row>
    <row r="1719" spans="1:8" hidden="1" x14ac:dyDescent="0.25">
      <c r="A1719">
        <v>10127</v>
      </c>
      <c r="B1719" t="s">
        <v>15813</v>
      </c>
      <c r="C1719" t="s">
        <v>15134</v>
      </c>
      <c r="D1719" t="s">
        <v>15135</v>
      </c>
      <c r="E1719">
        <v>122201000</v>
      </c>
    </row>
    <row r="1720" spans="1:8" hidden="1" x14ac:dyDescent="0.25">
      <c r="A1720">
        <v>10128</v>
      </c>
      <c r="B1720" t="s">
        <v>15813</v>
      </c>
      <c r="C1720" t="s">
        <v>15134</v>
      </c>
      <c r="D1720" t="s">
        <v>15135</v>
      </c>
      <c r="E1720">
        <v>122201001</v>
      </c>
    </row>
    <row r="1721" spans="1:8" hidden="1" x14ac:dyDescent="0.25">
      <c r="A1721">
        <v>9859</v>
      </c>
      <c r="B1721" t="s">
        <v>15702</v>
      </c>
      <c r="C1721" t="s">
        <v>15134</v>
      </c>
      <c r="D1721" t="s">
        <v>15135</v>
      </c>
      <c r="E1721">
        <v>102603003</v>
      </c>
      <c r="F1721" t="s">
        <v>15136</v>
      </c>
      <c r="G1721" t="b">
        <v>1</v>
      </c>
      <c r="H1721" t="s">
        <v>15703</v>
      </c>
    </row>
    <row r="1722" spans="1:8" hidden="1" x14ac:dyDescent="0.25">
      <c r="A1722">
        <v>9859</v>
      </c>
      <c r="B1722" t="s">
        <v>15702</v>
      </c>
      <c r="C1722" t="s">
        <v>15134</v>
      </c>
      <c r="D1722" t="s">
        <v>15135</v>
      </c>
      <c r="E1722">
        <v>102603003</v>
      </c>
      <c r="F1722" t="s">
        <v>15138</v>
      </c>
      <c r="G1722" t="b">
        <v>1</v>
      </c>
      <c r="H1722" t="s">
        <v>15703</v>
      </c>
    </row>
    <row r="1723" spans="1:8" hidden="1" x14ac:dyDescent="0.25">
      <c r="A1723">
        <v>9762</v>
      </c>
      <c r="B1723" t="s">
        <v>15656</v>
      </c>
      <c r="C1723" t="s">
        <v>15134</v>
      </c>
      <c r="D1723" t="s">
        <v>15135</v>
      </c>
      <c r="E1723">
        <v>102241002</v>
      </c>
    </row>
    <row r="1724" spans="1:8" hidden="1" x14ac:dyDescent="0.25">
      <c r="A1724">
        <v>8492</v>
      </c>
      <c r="B1724" t="s">
        <v>15148</v>
      </c>
      <c r="C1724" t="s">
        <v>15134</v>
      </c>
      <c r="D1724" t="s">
        <v>15135</v>
      </c>
      <c r="E1724">
        <v>22201002</v>
      </c>
    </row>
    <row r="1725" spans="1:8" hidden="1" x14ac:dyDescent="0.25">
      <c r="A1725">
        <v>1001222</v>
      </c>
      <c r="B1725" t="s">
        <v>17186</v>
      </c>
      <c r="C1725" t="s">
        <v>15134</v>
      </c>
      <c r="D1725" t="s">
        <v>15135</v>
      </c>
      <c r="E1725">
        <v>73724000</v>
      </c>
      <c r="F1725" t="s">
        <v>15138</v>
      </c>
      <c r="G1725" t="b">
        <v>1</v>
      </c>
      <c r="H1725" t="s">
        <v>17187</v>
      </c>
    </row>
    <row r="1726" spans="1:8" hidden="1" x14ac:dyDescent="0.25">
      <c r="A1726">
        <v>1001222</v>
      </c>
      <c r="B1726" t="s">
        <v>17186</v>
      </c>
      <c r="C1726" t="s">
        <v>15134</v>
      </c>
      <c r="D1726" t="s">
        <v>15135</v>
      </c>
      <c r="E1726">
        <v>73724000</v>
      </c>
      <c r="F1726" t="s">
        <v>15136</v>
      </c>
      <c r="G1726" t="b">
        <v>1</v>
      </c>
      <c r="H1726" t="s">
        <v>17187</v>
      </c>
    </row>
    <row r="1727" spans="1:8" hidden="1" x14ac:dyDescent="0.25">
      <c r="A1727">
        <v>1001262</v>
      </c>
      <c r="B1727" t="s">
        <v>17186</v>
      </c>
      <c r="C1727" t="s">
        <v>15134</v>
      </c>
      <c r="D1727" t="s">
        <v>15135</v>
      </c>
      <c r="E1727">
        <v>73724001</v>
      </c>
      <c r="F1727" t="s">
        <v>15138</v>
      </c>
      <c r="G1727" t="b">
        <v>1</v>
      </c>
      <c r="H1727" t="s">
        <v>17187</v>
      </c>
    </row>
    <row r="1728" spans="1:8" hidden="1" x14ac:dyDescent="0.25">
      <c r="A1728">
        <v>1001262</v>
      </c>
      <c r="B1728" t="s">
        <v>17186</v>
      </c>
      <c r="C1728" t="s">
        <v>15134</v>
      </c>
      <c r="D1728" t="s">
        <v>15135</v>
      </c>
      <c r="E1728">
        <v>73724001</v>
      </c>
      <c r="F1728" t="s">
        <v>15136</v>
      </c>
      <c r="G1728" t="b">
        <v>1</v>
      </c>
      <c r="H1728" t="s">
        <v>17187</v>
      </c>
    </row>
    <row r="1729" spans="1:8" hidden="1" x14ac:dyDescent="0.25">
      <c r="A1729">
        <v>90552</v>
      </c>
      <c r="B1729" t="s">
        <v>16655</v>
      </c>
      <c r="C1729" t="s">
        <v>15134</v>
      </c>
      <c r="D1729" t="s">
        <v>15135</v>
      </c>
      <c r="E1729">
        <v>73704000</v>
      </c>
      <c r="F1729" t="s">
        <v>15138</v>
      </c>
      <c r="G1729" t="b">
        <v>1</v>
      </c>
      <c r="H1729" t="s">
        <v>16656</v>
      </c>
    </row>
    <row r="1730" spans="1:8" hidden="1" x14ac:dyDescent="0.25">
      <c r="A1730">
        <v>90552</v>
      </c>
      <c r="B1730" t="s">
        <v>16655</v>
      </c>
      <c r="C1730" t="s">
        <v>15134</v>
      </c>
      <c r="D1730" t="s">
        <v>15135</v>
      </c>
      <c r="E1730">
        <v>73704000</v>
      </c>
      <c r="F1730" t="s">
        <v>15136</v>
      </c>
      <c r="G1730" t="b">
        <v>1</v>
      </c>
      <c r="H1730" t="s">
        <v>16538</v>
      </c>
    </row>
    <row r="1731" spans="1:8" hidden="1" x14ac:dyDescent="0.25">
      <c r="A1731">
        <v>90553</v>
      </c>
      <c r="B1731" t="s">
        <v>16655</v>
      </c>
      <c r="C1731" t="s">
        <v>15134</v>
      </c>
      <c r="D1731" t="s">
        <v>15135</v>
      </c>
      <c r="E1731">
        <v>73704001</v>
      </c>
      <c r="F1731" t="s">
        <v>15145</v>
      </c>
      <c r="G1731" t="b">
        <v>1</v>
      </c>
      <c r="H1731" t="s">
        <v>16657</v>
      </c>
    </row>
    <row r="1732" spans="1:8" hidden="1" x14ac:dyDescent="0.25">
      <c r="A1732">
        <v>89512</v>
      </c>
      <c r="B1732" t="s">
        <v>16410</v>
      </c>
      <c r="C1732" t="s">
        <v>15134</v>
      </c>
      <c r="D1732" t="s">
        <v>15135</v>
      </c>
      <c r="E1732">
        <v>102270001</v>
      </c>
      <c r="F1732" t="s">
        <v>15138</v>
      </c>
      <c r="G1732" t="b">
        <v>1</v>
      </c>
      <c r="H1732" t="s">
        <v>16411</v>
      </c>
    </row>
    <row r="1733" spans="1:8" hidden="1" x14ac:dyDescent="0.25">
      <c r="A1733">
        <v>89512</v>
      </c>
      <c r="B1733" t="s">
        <v>16410</v>
      </c>
      <c r="C1733" t="s">
        <v>15134</v>
      </c>
      <c r="D1733" t="s">
        <v>15135</v>
      </c>
      <c r="E1733">
        <v>102270001</v>
      </c>
      <c r="F1733" t="s">
        <v>15145</v>
      </c>
      <c r="G1733" t="b">
        <v>1</v>
      </c>
      <c r="H1733" t="s">
        <v>16411</v>
      </c>
    </row>
    <row r="1734" spans="1:8" hidden="1" x14ac:dyDescent="0.25">
      <c r="A1734">
        <v>1000091</v>
      </c>
      <c r="B1734" t="s">
        <v>17072</v>
      </c>
      <c r="C1734" t="s">
        <v>15134</v>
      </c>
      <c r="D1734" t="s">
        <v>15135</v>
      </c>
      <c r="E1734">
        <v>72468002</v>
      </c>
      <c r="F1734" t="s">
        <v>15138</v>
      </c>
      <c r="G1734" t="b">
        <v>1</v>
      </c>
      <c r="H1734" t="s">
        <v>17073</v>
      </c>
    </row>
    <row r="1735" spans="1:8" hidden="1" x14ac:dyDescent="0.25">
      <c r="A1735">
        <v>1000091</v>
      </c>
      <c r="B1735" t="s">
        <v>17072</v>
      </c>
      <c r="C1735" t="s">
        <v>15134</v>
      </c>
      <c r="D1735" t="s">
        <v>15135</v>
      </c>
      <c r="E1735">
        <v>72468002</v>
      </c>
      <c r="F1735" t="s">
        <v>15136</v>
      </c>
      <c r="G1735" t="b">
        <v>1</v>
      </c>
      <c r="H1735" t="s">
        <v>17069</v>
      </c>
    </row>
    <row r="1736" spans="1:8" hidden="1" x14ac:dyDescent="0.25">
      <c r="A1736">
        <v>87284</v>
      </c>
      <c r="B1736" t="s">
        <v>16339</v>
      </c>
      <c r="C1736" t="s">
        <v>15134</v>
      </c>
      <c r="D1736" t="s">
        <v>15135</v>
      </c>
      <c r="E1736">
        <v>72413011</v>
      </c>
      <c r="F1736" t="s">
        <v>15145</v>
      </c>
      <c r="G1736" t="b">
        <v>1</v>
      </c>
      <c r="H1736" t="s">
        <v>16340</v>
      </c>
    </row>
    <row r="1737" spans="1:8" hidden="1" x14ac:dyDescent="0.25">
      <c r="A1737">
        <v>90069</v>
      </c>
      <c r="B1737" t="s">
        <v>16518</v>
      </c>
      <c r="C1737" t="s">
        <v>15134</v>
      </c>
      <c r="D1737" t="s">
        <v>15135</v>
      </c>
      <c r="E1737">
        <v>72413015</v>
      </c>
      <c r="F1737" t="s">
        <v>15145</v>
      </c>
      <c r="G1737" t="b">
        <v>1</v>
      </c>
      <c r="H1737" t="s">
        <v>16519</v>
      </c>
    </row>
    <row r="1738" spans="1:8" hidden="1" x14ac:dyDescent="0.25">
      <c r="A1738">
        <v>90069</v>
      </c>
      <c r="B1738" t="s">
        <v>16518</v>
      </c>
      <c r="C1738" t="s">
        <v>15134</v>
      </c>
      <c r="D1738" t="s">
        <v>15135</v>
      </c>
      <c r="E1738">
        <v>72413015</v>
      </c>
      <c r="F1738" t="s">
        <v>15138</v>
      </c>
      <c r="G1738" t="b">
        <v>1</v>
      </c>
      <c r="H1738" t="s">
        <v>16519</v>
      </c>
    </row>
    <row r="1739" spans="1:8" hidden="1" x14ac:dyDescent="0.25">
      <c r="A1739">
        <v>8493</v>
      </c>
      <c r="B1739" t="s">
        <v>15149</v>
      </c>
      <c r="C1739" t="s">
        <v>15134</v>
      </c>
      <c r="D1739" t="s">
        <v>15135</v>
      </c>
      <c r="E1739">
        <v>22203000</v>
      </c>
    </row>
    <row r="1740" spans="1:8" hidden="1" x14ac:dyDescent="0.25">
      <c r="A1740">
        <v>8494</v>
      </c>
      <c r="B1740" t="s">
        <v>15150</v>
      </c>
      <c r="C1740" t="s">
        <v>15134</v>
      </c>
      <c r="D1740" t="s">
        <v>15135</v>
      </c>
      <c r="E1740">
        <v>22203001</v>
      </c>
    </row>
    <row r="1741" spans="1:8" hidden="1" x14ac:dyDescent="0.25">
      <c r="A1741">
        <v>89464</v>
      </c>
      <c r="B1741" t="s">
        <v>16399</v>
      </c>
      <c r="C1741" t="s">
        <v>15134</v>
      </c>
      <c r="D1741" t="s">
        <v>15135</v>
      </c>
      <c r="E1741">
        <v>73550001</v>
      </c>
      <c r="F1741" t="s">
        <v>15145</v>
      </c>
      <c r="G1741" t="b">
        <v>1</v>
      </c>
      <c r="H1741" t="s">
        <v>16397</v>
      </c>
    </row>
    <row r="1742" spans="1:8" hidden="1" x14ac:dyDescent="0.25">
      <c r="A1742">
        <v>90171</v>
      </c>
      <c r="B1742" t="s">
        <v>16576</v>
      </c>
      <c r="C1742" t="s">
        <v>15134</v>
      </c>
      <c r="D1742" t="s">
        <v>15135</v>
      </c>
      <c r="E1742">
        <v>73580001</v>
      </c>
      <c r="F1742" t="s">
        <v>15145</v>
      </c>
      <c r="G1742" t="b">
        <v>0</v>
      </c>
      <c r="H1742" t="s">
        <v>16577</v>
      </c>
    </row>
    <row r="1743" spans="1:8" hidden="1" x14ac:dyDescent="0.25">
      <c r="A1743">
        <v>90170</v>
      </c>
      <c r="B1743" t="s">
        <v>16574</v>
      </c>
      <c r="C1743" t="s">
        <v>15134</v>
      </c>
      <c r="D1743" t="s">
        <v>15135</v>
      </c>
      <c r="E1743">
        <v>73580000</v>
      </c>
      <c r="F1743" t="s">
        <v>15136</v>
      </c>
      <c r="G1743" t="b">
        <v>1</v>
      </c>
      <c r="H1743" t="s">
        <v>16575</v>
      </c>
    </row>
    <row r="1744" spans="1:8" hidden="1" x14ac:dyDescent="0.25">
      <c r="A1744">
        <v>90170</v>
      </c>
      <c r="B1744" t="s">
        <v>16574</v>
      </c>
      <c r="C1744" t="s">
        <v>15134</v>
      </c>
      <c r="D1744" t="s">
        <v>15135</v>
      </c>
      <c r="E1744">
        <v>73580000</v>
      </c>
      <c r="F1744" t="s">
        <v>15138</v>
      </c>
      <c r="G1744" t="b">
        <v>1</v>
      </c>
      <c r="H1744" t="s">
        <v>16575</v>
      </c>
    </row>
    <row r="1745" spans="1:8" hidden="1" x14ac:dyDescent="0.25">
      <c r="A1745">
        <v>9250</v>
      </c>
      <c r="B1745" t="s">
        <v>15432</v>
      </c>
      <c r="C1745" t="s">
        <v>15134</v>
      </c>
      <c r="D1745" t="s">
        <v>15135</v>
      </c>
      <c r="E1745">
        <v>73176001</v>
      </c>
    </row>
    <row r="1746" spans="1:8" hidden="1" x14ac:dyDescent="0.25">
      <c r="A1746">
        <v>80920</v>
      </c>
      <c r="B1746" t="s">
        <v>16240</v>
      </c>
      <c r="C1746" t="s">
        <v>15134</v>
      </c>
      <c r="D1746" t="s">
        <v>15135</v>
      </c>
      <c r="E1746">
        <v>73494001</v>
      </c>
      <c r="F1746" t="s">
        <v>15145</v>
      </c>
      <c r="G1746" t="b">
        <v>1</v>
      </c>
      <c r="H1746" t="s">
        <v>16241</v>
      </c>
    </row>
    <row r="1747" spans="1:8" hidden="1" x14ac:dyDescent="0.25">
      <c r="A1747">
        <v>80920</v>
      </c>
      <c r="B1747" t="s">
        <v>16240</v>
      </c>
      <c r="C1747" t="s">
        <v>15134</v>
      </c>
      <c r="D1747" t="s">
        <v>15135</v>
      </c>
      <c r="E1747">
        <v>73494001</v>
      </c>
      <c r="F1747" t="s">
        <v>15138</v>
      </c>
      <c r="G1747" t="b">
        <v>1</v>
      </c>
      <c r="H1747" t="s">
        <v>16241</v>
      </c>
    </row>
    <row r="1748" spans="1:8" hidden="1" x14ac:dyDescent="0.25">
      <c r="A1748">
        <v>80919</v>
      </c>
      <c r="B1748" t="s">
        <v>16237</v>
      </c>
      <c r="C1748" t="s">
        <v>15134</v>
      </c>
      <c r="D1748" t="s">
        <v>15135</v>
      </c>
      <c r="E1748">
        <v>73494000</v>
      </c>
      <c r="F1748" t="s">
        <v>15138</v>
      </c>
      <c r="G1748" t="b">
        <v>0</v>
      </c>
      <c r="H1748" t="s">
        <v>16238</v>
      </c>
    </row>
    <row r="1749" spans="1:8" hidden="1" x14ac:dyDescent="0.25">
      <c r="A1749">
        <v>80919</v>
      </c>
      <c r="B1749" t="s">
        <v>16237</v>
      </c>
      <c r="C1749" t="s">
        <v>15134</v>
      </c>
      <c r="D1749" t="s">
        <v>15135</v>
      </c>
      <c r="E1749">
        <v>73494000</v>
      </c>
      <c r="F1749" t="s">
        <v>15145</v>
      </c>
      <c r="G1749" t="b">
        <v>1</v>
      </c>
      <c r="H1749" t="s">
        <v>16239</v>
      </c>
    </row>
    <row r="1750" spans="1:8" hidden="1" x14ac:dyDescent="0.25">
      <c r="A1750">
        <v>68867</v>
      </c>
      <c r="B1750" t="s">
        <v>15873</v>
      </c>
      <c r="C1750" t="s">
        <v>15134</v>
      </c>
      <c r="D1750" t="s">
        <v>15135</v>
      </c>
      <c r="E1750">
        <v>73337000</v>
      </c>
      <c r="F1750" t="s">
        <v>15136</v>
      </c>
      <c r="G1750" t="b">
        <v>1</v>
      </c>
      <c r="H1750" t="s">
        <v>15862</v>
      </c>
    </row>
    <row r="1751" spans="1:8" hidden="1" x14ac:dyDescent="0.25">
      <c r="A1751">
        <v>17296</v>
      </c>
      <c r="B1751" t="s">
        <v>15861</v>
      </c>
      <c r="C1751" t="s">
        <v>15134</v>
      </c>
      <c r="D1751" t="s">
        <v>15135</v>
      </c>
      <c r="E1751">
        <v>73337001</v>
      </c>
      <c r="F1751" t="s">
        <v>15136</v>
      </c>
      <c r="G1751" t="b">
        <v>1</v>
      </c>
      <c r="H1751" t="s">
        <v>15862</v>
      </c>
    </row>
    <row r="1752" spans="1:8" hidden="1" x14ac:dyDescent="0.25">
      <c r="A1752">
        <v>9521</v>
      </c>
      <c r="B1752" t="s">
        <v>15576</v>
      </c>
      <c r="C1752" t="s">
        <v>15134</v>
      </c>
      <c r="D1752" t="s">
        <v>15135</v>
      </c>
      <c r="E1752">
        <v>73286001</v>
      </c>
    </row>
    <row r="1753" spans="1:8" hidden="1" x14ac:dyDescent="0.25">
      <c r="A1753">
        <v>9363</v>
      </c>
      <c r="B1753" t="s">
        <v>15488</v>
      </c>
      <c r="C1753" t="s">
        <v>15134</v>
      </c>
      <c r="D1753" t="s">
        <v>15135</v>
      </c>
      <c r="E1753">
        <v>73227001</v>
      </c>
    </row>
    <row r="1754" spans="1:8" hidden="1" x14ac:dyDescent="0.25">
      <c r="A1754">
        <v>9385</v>
      </c>
      <c r="B1754" t="s">
        <v>15503</v>
      </c>
      <c r="C1754" t="s">
        <v>15134</v>
      </c>
      <c r="D1754" t="s">
        <v>15135</v>
      </c>
      <c r="E1754">
        <v>73238001</v>
      </c>
    </row>
    <row r="1755" spans="1:8" hidden="1" x14ac:dyDescent="0.25">
      <c r="A1755">
        <v>9151</v>
      </c>
      <c r="B1755" t="s">
        <v>15381</v>
      </c>
      <c r="C1755" t="s">
        <v>15134</v>
      </c>
      <c r="D1755" t="s">
        <v>15135</v>
      </c>
      <c r="E1755">
        <v>73100001</v>
      </c>
    </row>
    <row r="1756" spans="1:8" hidden="1" x14ac:dyDescent="0.25">
      <c r="A1756">
        <v>9152</v>
      </c>
      <c r="B1756" t="s">
        <v>15381</v>
      </c>
      <c r="C1756" t="s">
        <v>15134</v>
      </c>
      <c r="D1756" t="s">
        <v>15135</v>
      </c>
      <c r="E1756">
        <v>73100002</v>
      </c>
    </row>
    <row r="1757" spans="1:8" hidden="1" x14ac:dyDescent="0.25">
      <c r="A1757">
        <v>9935</v>
      </c>
      <c r="B1757" t="s">
        <v>15736</v>
      </c>
      <c r="C1757" t="s">
        <v>15134</v>
      </c>
      <c r="D1757" t="s">
        <v>15135</v>
      </c>
      <c r="E1757">
        <v>103059001</v>
      </c>
    </row>
    <row r="1758" spans="1:8" hidden="1" x14ac:dyDescent="0.25">
      <c r="A1758">
        <v>10030</v>
      </c>
      <c r="B1758" t="s">
        <v>15736</v>
      </c>
      <c r="C1758" t="s">
        <v>15134</v>
      </c>
      <c r="D1758" t="s">
        <v>15135</v>
      </c>
      <c r="E1758">
        <v>103101002</v>
      </c>
    </row>
    <row r="1759" spans="1:8" hidden="1" x14ac:dyDescent="0.25">
      <c r="A1759">
        <v>78762</v>
      </c>
      <c r="B1759" t="s">
        <v>15885</v>
      </c>
      <c r="C1759" t="s">
        <v>15134</v>
      </c>
      <c r="D1759" t="s">
        <v>15135</v>
      </c>
      <c r="E1759">
        <v>103101003</v>
      </c>
    </row>
    <row r="1760" spans="1:8" hidden="1" x14ac:dyDescent="0.25">
      <c r="A1760">
        <v>9252</v>
      </c>
      <c r="B1760" t="s">
        <v>15433</v>
      </c>
      <c r="C1760" t="s">
        <v>15134</v>
      </c>
      <c r="D1760" t="s">
        <v>15135</v>
      </c>
      <c r="E1760">
        <v>73179001</v>
      </c>
    </row>
    <row r="1761" spans="1:8" hidden="1" x14ac:dyDescent="0.25">
      <c r="A1761">
        <v>90871</v>
      </c>
      <c r="B1761" t="s">
        <v>16706</v>
      </c>
      <c r="C1761" t="s">
        <v>15134</v>
      </c>
      <c r="D1761" t="s">
        <v>15135</v>
      </c>
      <c r="E1761">
        <v>73714000</v>
      </c>
      <c r="F1761" t="s">
        <v>15138</v>
      </c>
      <c r="G1761" t="b">
        <v>1</v>
      </c>
      <c r="H1761" t="s">
        <v>16707</v>
      </c>
    </row>
    <row r="1762" spans="1:8" hidden="1" x14ac:dyDescent="0.25">
      <c r="A1762">
        <v>90871</v>
      </c>
      <c r="B1762" t="s">
        <v>16706</v>
      </c>
      <c r="C1762" t="s">
        <v>15134</v>
      </c>
      <c r="D1762" t="s">
        <v>15135</v>
      </c>
      <c r="E1762">
        <v>73714000</v>
      </c>
      <c r="F1762" t="s">
        <v>15136</v>
      </c>
      <c r="G1762" t="b">
        <v>1</v>
      </c>
      <c r="H1762" t="s">
        <v>16708</v>
      </c>
    </row>
    <row r="1763" spans="1:8" hidden="1" x14ac:dyDescent="0.25">
      <c r="A1763">
        <v>90872</v>
      </c>
      <c r="B1763" t="s">
        <v>16706</v>
      </c>
      <c r="C1763" t="s">
        <v>15134</v>
      </c>
      <c r="D1763" t="s">
        <v>15135</v>
      </c>
      <c r="E1763">
        <v>73714001</v>
      </c>
      <c r="F1763" t="s">
        <v>15138</v>
      </c>
      <c r="G1763" t="b">
        <v>0</v>
      </c>
      <c r="H1763" t="s">
        <v>16709</v>
      </c>
    </row>
    <row r="1764" spans="1:8" hidden="1" x14ac:dyDescent="0.25">
      <c r="A1764">
        <v>90872</v>
      </c>
      <c r="B1764" t="s">
        <v>16706</v>
      </c>
      <c r="C1764" t="s">
        <v>15134</v>
      </c>
      <c r="D1764" t="s">
        <v>15135</v>
      </c>
      <c r="E1764">
        <v>73714001</v>
      </c>
      <c r="F1764" t="s">
        <v>15145</v>
      </c>
      <c r="G1764" t="b">
        <v>1</v>
      </c>
      <c r="H1764" t="s">
        <v>16707</v>
      </c>
    </row>
    <row r="1765" spans="1:8" hidden="1" x14ac:dyDescent="0.25">
      <c r="A1765">
        <v>90872</v>
      </c>
      <c r="B1765" t="s">
        <v>16706</v>
      </c>
      <c r="C1765" t="s">
        <v>15134</v>
      </c>
      <c r="D1765" t="s">
        <v>15135</v>
      </c>
      <c r="E1765">
        <v>73714001</v>
      </c>
      <c r="F1765" t="s">
        <v>15136</v>
      </c>
      <c r="G1765" t="b">
        <v>0</v>
      </c>
      <c r="H1765" t="s">
        <v>16710</v>
      </c>
    </row>
    <row r="1766" spans="1:8" hidden="1" x14ac:dyDescent="0.25">
      <c r="A1766">
        <v>8696</v>
      </c>
      <c r="B1766" t="s">
        <v>15206</v>
      </c>
      <c r="C1766" t="s">
        <v>15134</v>
      </c>
      <c r="D1766" t="s">
        <v>15135</v>
      </c>
      <c r="E1766">
        <v>72244000</v>
      </c>
    </row>
    <row r="1767" spans="1:8" hidden="1" x14ac:dyDescent="0.25">
      <c r="A1767">
        <v>8697</v>
      </c>
      <c r="B1767" t="s">
        <v>15207</v>
      </c>
      <c r="C1767" t="s">
        <v>15134</v>
      </c>
      <c r="D1767" t="s">
        <v>15135</v>
      </c>
      <c r="E1767">
        <v>72244001</v>
      </c>
    </row>
    <row r="1768" spans="1:8" hidden="1" x14ac:dyDescent="0.25">
      <c r="A1768">
        <v>9222</v>
      </c>
      <c r="B1768" t="s">
        <v>15420</v>
      </c>
      <c r="C1768" t="s">
        <v>15134</v>
      </c>
      <c r="D1768" t="s">
        <v>15135</v>
      </c>
      <c r="E1768">
        <v>73155001</v>
      </c>
    </row>
    <row r="1769" spans="1:8" hidden="1" x14ac:dyDescent="0.25">
      <c r="A1769">
        <v>8659</v>
      </c>
      <c r="B1769" t="s">
        <v>15177</v>
      </c>
      <c r="C1769" t="s">
        <v>15134</v>
      </c>
      <c r="D1769" t="s">
        <v>15135</v>
      </c>
      <c r="E1769">
        <v>72203001</v>
      </c>
    </row>
    <row r="1770" spans="1:8" hidden="1" x14ac:dyDescent="0.25">
      <c r="A1770">
        <v>80678</v>
      </c>
      <c r="B1770" t="s">
        <v>15177</v>
      </c>
      <c r="C1770" t="s">
        <v>15134</v>
      </c>
      <c r="D1770" t="s">
        <v>15135</v>
      </c>
      <c r="E1770">
        <v>72413004</v>
      </c>
      <c r="F1770" t="s">
        <v>15145</v>
      </c>
      <c r="G1770" t="b">
        <v>1</v>
      </c>
      <c r="H1770" t="s">
        <v>16180</v>
      </c>
    </row>
    <row r="1771" spans="1:8" hidden="1" x14ac:dyDescent="0.25">
      <c r="A1771">
        <v>80678</v>
      </c>
      <c r="B1771" t="s">
        <v>15177</v>
      </c>
      <c r="C1771" t="s">
        <v>15134</v>
      </c>
      <c r="D1771" t="s">
        <v>15135</v>
      </c>
      <c r="E1771">
        <v>72413004</v>
      </c>
      <c r="F1771" t="s">
        <v>15138</v>
      </c>
      <c r="G1771" t="b">
        <v>1</v>
      </c>
      <c r="H1771" t="s">
        <v>16180</v>
      </c>
    </row>
    <row r="1772" spans="1:8" hidden="1" x14ac:dyDescent="0.25">
      <c r="A1772">
        <v>8658</v>
      </c>
      <c r="B1772" t="s">
        <v>15176</v>
      </c>
      <c r="C1772" t="s">
        <v>15134</v>
      </c>
      <c r="D1772" t="s">
        <v>15135</v>
      </c>
      <c r="E1772">
        <v>72203000</v>
      </c>
    </row>
    <row r="1773" spans="1:8" hidden="1" x14ac:dyDescent="0.25">
      <c r="A1773">
        <v>8724</v>
      </c>
      <c r="B1773" t="s">
        <v>15226</v>
      </c>
      <c r="C1773" t="s">
        <v>15134</v>
      </c>
      <c r="D1773" t="s">
        <v>15135</v>
      </c>
      <c r="E1773">
        <v>72288000</v>
      </c>
    </row>
    <row r="1774" spans="1:8" hidden="1" x14ac:dyDescent="0.25">
      <c r="A1774">
        <v>8748</v>
      </c>
      <c r="B1774" t="s">
        <v>15239</v>
      </c>
      <c r="C1774" t="s">
        <v>15134</v>
      </c>
      <c r="D1774" t="s">
        <v>15135</v>
      </c>
      <c r="E1774">
        <v>72299002</v>
      </c>
    </row>
    <row r="1775" spans="1:8" hidden="1" x14ac:dyDescent="0.25">
      <c r="A1775">
        <v>8755</v>
      </c>
      <c r="B1775" t="s">
        <v>15251</v>
      </c>
      <c r="C1775" t="s">
        <v>15134</v>
      </c>
      <c r="D1775" t="s">
        <v>15135</v>
      </c>
      <c r="E1775">
        <v>72402001</v>
      </c>
    </row>
    <row r="1776" spans="1:8" hidden="1" x14ac:dyDescent="0.25">
      <c r="A1776">
        <v>10910</v>
      </c>
      <c r="B1776" t="s">
        <v>15858</v>
      </c>
      <c r="C1776" t="s">
        <v>15134</v>
      </c>
      <c r="D1776" t="s">
        <v>15135</v>
      </c>
      <c r="E1776">
        <v>72413000</v>
      </c>
      <c r="F1776" t="s">
        <v>15145</v>
      </c>
      <c r="G1776" t="b">
        <v>1</v>
      </c>
      <c r="H1776" t="s">
        <v>15859</v>
      </c>
    </row>
    <row r="1777" spans="1:8" hidden="1" x14ac:dyDescent="0.25">
      <c r="A1777">
        <v>10910</v>
      </c>
      <c r="B1777" t="s">
        <v>15858</v>
      </c>
      <c r="C1777" t="s">
        <v>15134</v>
      </c>
      <c r="D1777" t="s">
        <v>15135</v>
      </c>
      <c r="E1777">
        <v>72413000</v>
      </c>
      <c r="F1777" t="s">
        <v>15138</v>
      </c>
      <c r="G1777" t="b">
        <v>0</v>
      </c>
      <c r="H1777" t="s">
        <v>15860</v>
      </c>
    </row>
    <row r="1778" spans="1:8" hidden="1" x14ac:dyDescent="0.25">
      <c r="A1778">
        <v>9957</v>
      </c>
      <c r="B1778" t="s">
        <v>15749</v>
      </c>
      <c r="C1778" t="s">
        <v>15134</v>
      </c>
      <c r="D1778" t="s">
        <v>15135</v>
      </c>
      <c r="E1778">
        <v>103070001</v>
      </c>
    </row>
    <row r="1779" spans="1:8" hidden="1" x14ac:dyDescent="0.25">
      <c r="A1779">
        <v>9027</v>
      </c>
      <c r="B1779" t="s">
        <v>15323</v>
      </c>
      <c r="C1779" t="s">
        <v>15134</v>
      </c>
      <c r="D1779" t="s">
        <v>15135</v>
      </c>
      <c r="E1779">
        <v>73027001</v>
      </c>
    </row>
    <row r="1780" spans="1:8" hidden="1" x14ac:dyDescent="0.25">
      <c r="A1780">
        <v>79395</v>
      </c>
      <c r="B1780" t="s">
        <v>15969</v>
      </c>
      <c r="C1780" t="s">
        <v>15134</v>
      </c>
      <c r="D1780" t="s">
        <v>15135</v>
      </c>
      <c r="E1780">
        <v>82209000</v>
      </c>
      <c r="F1780" t="s">
        <v>15145</v>
      </c>
      <c r="G1780" t="b">
        <v>1</v>
      </c>
      <c r="H1780" t="s">
        <v>15970</v>
      </c>
    </row>
    <row r="1781" spans="1:8" hidden="1" x14ac:dyDescent="0.25">
      <c r="A1781">
        <v>79395</v>
      </c>
      <c r="B1781" t="s">
        <v>15969</v>
      </c>
      <c r="C1781" t="s">
        <v>15134</v>
      </c>
      <c r="D1781" t="s">
        <v>15135</v>
      </c>
      <c r="E1781">
        <v>82209000</v>
      </c>
      <c r="F1781" t="s">
        <v>15138</v>
      </c>
      <c r="G1781" t="b">
        <v>1</v>
      </c>
      <c r="H1781" t="s">
        <v>15970</v>
      </c>
    </row>
    <row r="1782" spans="1:8" hidden="1" x14ac:dyDescent="0.25">
      <c r="A1782">
        <v>9737</v>
      </c>
      <c r="B1782" t="s">
        <v>15642</v>
      </c>
      <c r="C1782" t="s">
        <v>15134</v>
      </c>
      <c r="D1782" t="s">
        <v>15135</v>
      </c>
      <c r="E1782">
        <v>102217000</v>
      </c>
    </row>
    <row r="1783" spans="1:8" hidden="1" x14ac:dyDescent="0.25">
      <c r="A1783">
        <v>89488</v>
      </c>
      <c r="B1783" t="s">
        <v>16400</v>
      </c>
      <c r="C1783" t="s">
        <v>15134</v>
      </c>
      <c r="D1783" t="s">
        <v>15135</v>
      </c>
      <c r="E1783">
        <v>102267000</v>
      </c>
      <c r="F1783" t="s">
        <v>15145</v>
      </c>
      <c r="G1783" t="b">
        <v>1</v>
      </c>
      <c r="H1783" t="s">
        <v>16401</v>
      </c>
    </row>
    <row r="1784" spans="1:8" hidden="1" x14ac:dyDescent="0.25">
      <c r="A1784">
        <v>89488</v>
      </c>
      <c r="B1784" t="s">
        <v>16400</v>
      </c>
      <c r="C1784" t="s">
        <v>15134</v>
      </c>
      <c r="D1784" t="s">
        <v>15135</v>
      </c>
      <c r="E1784">
        <v>102267000</v>
      </c>
      <c r="F1784" t="s">
        <v>15138</v>
      </c>
      <c r="G1784" t="b">
        <v>1</v>
      </c>
      <c r="H1784" t="s">
        <v>16401</v>
      </c>
    </row>
    <row r="1785" spans="1:8" hidden="1" x14ac:dyDescent="0.25">
      <c r="A1785">
        <v>89489</v>
      </c>
      <c r="B1785" t="s">
        <v>16400</v>
      </c>
      <c r="C1785" t="s">
        <v>15134</v>
      </c>
      <c r="D1785" t="s">
        <v>15135</v>
      </c>
      <c r="E1785">
        <v>102267001</v>
      </c>
      <c r="F1785" t="s">
        <v>15145</v>
      </c>
      <c r="G1785" t="b">
        <v>1</v>
      </c>
      <c r="H1785" t="s">
        <v>16401</v>
      </c>
    </row>
    <row r="1786" spans="1:8" hidden="1" x14ac:dyDescent="0.25">
      <c r="A1786">
        <v>89489</v>
      </c>
      <c r="B1786" t="s">
        <v>16400</v>
      </c>
      <c r="C1786" t="s">
        <v>15134</v>
      </c>
      <c r="D1786" t="s">
        <v>15135</v>
      </c>
      <c r="E1786">
        <v>102267001</v>
      </c>
      <c r="F1786" t="s">
        <v>15138</v>
      </c>
      <c r="G1786" t="b">
        <v>1</v>
      </c>
      <c r="H1786" t="s">
        <v>16401</v>
      </c>
    </row>
    <row r="1787" spans="1:8" hidden="1" x14ac:dyDescent="0.25">
      <c r="A1787">
        <v>9875</v>
      </c>
      <c r="B1787" t="s">
        <v>15707</v>
      </c>
      <c r="C1787" t="s">
        <v>15134</v>
      </c>
      <c r="D1787" t="s">
        <v>15135</v>
      </c>
      <c r="E1787">
        <v>103005001</v>
      </c>
    </row>
    <row r="1788" spans="1:8" hidden="1" x14ac:dyDescent="0.25">
      <c r="A1788">
        <v>10038</v>
      </c>
      <c r="B1788" t="s">
        <v>15707</v>
      </c>
      <c r="C1788" t="s">
        <v>15134</v>
      </c>
      <c r="D1788" t="s">
        <v>15135</v>
      </c>
      <c r="E1788">
        <v>103104001</v>
      </c>
    </row>
    <row r="1789" spans="1:8" hidden="1" x14ac:dyDescent="0.25">
      <c r="A1789">
        <v>10368</v>
      </c>
      <c r="B1789" t="s">
        <v>15853</v>
      </c>
      <c r="C1789" t="s">
        <v>15134</v>
      </c>
      <c r="D1789" t="s">
        <v>15135</v>
      </c>
      <c r="E1789">
        <v>73423001</v>
      </c>
    </row>
    <row r="1790" spans="1:8" hidden="1" x14ac:dyDescent="0.25">
      <c r="A1790">
        <v>9567</v>
      </c>
      <c r="B1790" t="s">
        <v>15594</v>
      </c>
      <c r="C1790" t="s">
        <v>15134</v>
      </c>
      <c r="D1790" t="s">
        <v>15135</v>
      </c>
      <c r="E1790">
        <v>73423000</v>
      </c>
    </row>
    <row r="1791" spans="1:8" hidden="1" x14ac:dyDescent="0.25">
      <c r="A1791">
        <v>9015</v>
      </c>
      <c r="B1791" t="s">
        <v>15314</v>
      </c>
      <c r="C1791" t="s">
        <v>15134</v>
      </c>
      <c r="D1791" t="s">
        <v>15135</v>
      </c>
      <c r="E1791">
        <v>73022001</v>
      </c>
    </row>
    <row r="1792" spans="1:8" hidden="1" x14ac:dyDescent="0.25">
      <c r="A1792">
        <v>9393</v>
      </c>
      <c r="B1792" t="s">
        <v>15506</v>
      </c>
      <c r="C1792" t="s">
        <v>15134</v>
      </c>
      <c r="D1792" t="s">
        <v>15135</v>
      </c>
      <c r="E1792">
        <v>73242001</v>
      </c>
    </row>
    <row r="1793" spans="1:8" hidden="1" x14ac:dyDescent="0.25">
      <c r="A1793">
        <v>9246</v>
      </c>
      <c r="B1793" t="s">
        <v>15430</v>
      </c>
      <c r="C1793" t="s">
        <v>15134</v>
      </c>
      <c r="D1793" t="s">
        <v>15135</v>
      </c>
      <c r="E1793">
        <v>73174001</v>
      </c>
    </row>
    <row r="1794" spans="1:8" hidden="1" x14ac:dyDescent="0.25">
      <c r="A1794">
        <v>1000327</v>
      </c>
      <c r="B1794" t="s">
        <v>17138</v>
      </c>
      <c r="C1794" t="s">
        <v>15134</v>
      </c>
      <c r="D1794" t="s">
        <v>15135</v>
      </c>
      <c r="E1794">
        <v>73359001</v>
      </c>
      <c r="F1794" t="s">
        <v>15136</v>
      </c>
      <c r="G1794" t="b">
        <v>1</v>
      </c>
      <c r="H1794" t="s">
        <v>17139</v>
      </c>
    </row>
    <row r="1795" spans="1:8" hidden="1" x14ac:dyDescent="0.25">
      <c r="A1795">
        <v>1000327</v>
      </c>
      <c r="B1795" t="s">
        <v>17138</v>
      </c>
      <c r="C1795" t="s">
        <v>15134</v>
      </c>
      <c r="D1795" t="s">
        <v>15135</v>
      </c>
      <c r="E1795">
        <v>73359001</v>
      </c>
      <c r="F1795" t="s">
        <v>15138</v>
      </c>
      <c r="G1795" t="b">
        <v>1</v>
      </c>
      <c r="H1795" t="s">
        <v>17139</v>
      </c>
    </row>
    <row r="1796" spans="1:8" hidden="1" x14ac:dyDescent="0.25">
      <c r="A1796">
        <v>1000329</v>
      </c>
      <c r="B1796" t="s">
        <v>17138</v>
      </c>
      <c r="C1796" t="s">
        <v>15134</v>
      </c>
      <c r="D1796" t="s">
        <v>15135</v>
      </c>
      <c r="E1796">
        <v>73359000</v>
      </c>
      <c r="F1796" t="s">
        <v>15136</v>
      </c>
      <c r="G1796" t="b">
        <v>1</v>
      </c>
      <c r="H1796" t="s">
        <v>17139</v>
      </c>
    </row>
    <row r="1797" spans="1:8" hidden="1" x14ac:dyDescent="0.25">
      <c r="A1797">
        <v>1000329</v>
      </c>
      <c r="B1797" t="s">
        <v>17138</v>
      </c>
      <c r="C1797" t="s">
        <v>15134</v>
      </c>
      <c r="D1797" t="s">
        <v>15135</v>
      </c>
      <c r="E1797">
        <v>73359000</v>
      </c>
      <c r="F1797" t="s">
        <v>15138</v>
      </c>
      <c r="G1797" t="b">
        <v>1</v>
      </c>
      <c r="H1797" t="s">
        <v>17139</v>
      </c>
    </row>
    <row r="1798" spans="1:8" hidden="1" x14ac:dyDescent="0.25">
      <c r="A1798">
        <v>1001261</v>
      </c>
      <c r="B1798" t="s">
        <v>17188</v>
      </c>
      <c r="C1798" t="s">
        <v>15134</v>
      </c>
      <c r="D1798" t="s">
        <v>15135</v>
      </c>
      <c r="E1798">
        <v>103701000</v>
      </c>
      <c r="F1798" t="s">
        <v>15138</v>
      </c>
      <c r="G1798" t="b">
        <v>1</v>
      </c>
      <c r="H1798" t="s">
        <v>17189</v>
      </c>
    </row>
    <row r="1799" spans="1:8" hidden="1" x14ac:dyDescent="0.25">
      <c r="A1799">
        <v>1001261</v>
      </c>
      <c r="B1799" t="s">
        <v>17188</v>
      </c>
      <c r="C1799" t="s">
        <v>15134</v>
      </c>
      <c r="D1799" t="s">
        <v>15135</v>
      </c>
      <c r="E1799">
        <v>103701000</v>
      </c>
      <c r="F1799" t="s">
        <v>15136</v>
      </c>
      <c r="G1799" t="b">
        <v>1</v>
      </c>
      <c r="H1799" t="s">
        <v>17189</v>
      </c>
    </row>
    <row r="1800" spans="1:8" hidden="1" x14ac:dyDescent="0.25">
      <c r="A1800">
        <v>1001263</v>
      </c>
      <c r="B1800" t="s">
        <v>17188</v>
      </c>
      <c r="C1800" t="s">
        <v>15134</v>
      </c>
      <c r="D1800" t="s">
        <v>15135</v>
      </c>
      <c r="E1800">
        <v>103701001</v>
      </c>
      <c r="F1800" t="s">
        <v>15138</v>
      </c>
      <c r="G1800" t="b">
        <v>1</v>
      </c>
      <c r="H1800" t="s">
        <v>17189</v>
      </c>
    </row>
    <row r="1801" spans="1:8" hidden="1" x14ac:dyDescent="0.25">
      <c r="A1801">
        <v>1001263</v>
      </c>
      <c r="B1801" t="s">
        <v>17188</v>
      </c>
      <c r="C1801" t="s">
        <v>15134</v>
      </c>
      <c r="D1801" t="s">
        <v>15135</v>
      </c>
      <c r="E1801">
        <v>103701001</v>
      </c>
      <c r="F1801" t="s">
        <v>15136</v>
      </c>
      <c r="G1801" t="b">
        <v>1</v>
      </c>
      <c r="H1801" t="s">
        <v>17189</v>
      </c>
    </row>
    <row r="1802" spans="1:8" hidden="1" x14ac:dyDescent="0.25">
      <c r="A1802">
        <v>8723</v>
      </c>
      <c r="B1802" t="s">
        <v>15225</v>
      </c>
      <c r="C1802" t="s">
        <v>15134</v>
      </c>
      <c r="D1802" t="s">
        <v>15135</v>
      </c>
      <c r="E1802">
        <v>72287001</v>
      </c>
    </row>
    <row r="1803" spans="1:8" hidden="1" x14ac:dyDescent="0.25">
      <c r="A1803">
        <v>9620</v>
      </c>
      <c r="B1803" t="s">
        <v>15225</v>
      </c>
      <c r="C1803" t="s">
        <v>15134</v>
      </c>
      <c r="D1803" t="s">
        <v>15135</v>
      </c>
      <c r="E1803">
        <v>83001001</v>
      </c>
    </row>
    <row r="1804" spans="1:8" hidden="1" x14ac:dyDescent="0.25">
      <c r="A1804">
        <v>91898</v>
      </c>
      <c r="B1804" t="s">
        <v>16823</v>
      </c>
      <c r="C1804" t="s">
        <v>15134</v>
      </c>
      <c r="D1804" t="s">
        <v>15135</v>
      </c>
      <c r="E1804">
        <v>83026001</v>
      </c>
      <c r="F1804" t="s">
        <v>15145</v>
      </c>
      <c r="G1804" t="b">
        <v>1</v>
      </c>
      <c r="H1804" t="s">
        <v>16822</v>
      </c>
    </row>
    <row r="1805" spans="1:8" hidden="1" x14ac:dyDescent="0.25">
      <c r="A1805">
        <v>91897</v>
      </c>
      <c r="B1805" t="s">
        <v>16821</v>
      </c>
      <c r="C1805" t="s">
        <v>15134</v>
      </c>
      <c r="D1805" t="s">
        <v>15135</v>
      </c>
      <c r="E1805">
        <v>83026000</v>
      </c>
      <c r="F1805" t="s">
        <v>15138</v>
      </c>
      <c r="G1805" t="b">
        <v>1</v>
      </c>
      <c r="H1805" t="s">
        <v>16822</v>
      </c>
    </row>
    <row r="1806" spans="1:8" hidden="1" x14ac:dyDescent="0.25">
      <c r="A1806">
        <v>91897</v>
      </c>
      <c r="B1806" t="s">
        <v>16821</v>
      </c>
      <c r="C1806" t="s">
        <v>15134</v>
      </c>
      <c r="D1806" t="s">
        <v>15135</v>
      </c>
      <c r="E1806">
        <v>83026000</v>
      </c>
      <c r="F1806" t="s">
        <v>15136</v>
      </c>
      <c r="G1806" t="b">
        <v>1</v>
      </c>
      <c r="H1806" t="s">
        <v>16822</v>
      </c>
    </row>
    <row r="1807" spans="1:8" hidden="1" x14ac:dyDescent="0.25">
      <c r="A1807">
        <v>8722</v>
      </c>
      <c r="B1807" t="s">
        <v>15224</v>
      </c>
      <c r="C1807" t="s">
        <v>15134</v>
      </c>
      <c r="D1807" t="s">
        <v>15135</v>
      </c>
      <c r="E1807">
        <v>72287000</v>
      </c>
    </row>
    <row r="1808" spans="1:8" hidden="1" x14ac:dyDescent="0.25">
      <c r="A1808">
        <v>80526</v>
      </c>
      <c r="B1808" t="s">
        <v>16095</v>
      </c>
      <c r="C1808" t="s">
        <v>15134</v>
      </c>
      <c r="D1808" t="s">
        <v>15135</v>
      </c>
      <c r="E1808">
        <v>72401007</v>
      </c>
      <c r="F1808" t="s">
        <v>15136</v>
      </c>
      <c r="G1808" t="b">
        <v>0</v>
      </c>
      <c r="H1808" t="s">
        <v>16093</v>
      </c>
    </row>
    <row r="1809" spans="1:8" hidden="1" x14ac:dyDescent="0.25">
      <c r="A1809">
        <v>80526</v>
      </c>
      <c r="B1809" t="s">
        <v>16095</v>
      </c>
      <c r="C1809" t="s">
        <v>15134</v>
      </c>
      <c r="D1809" t="s">
        <v>15135</v>
      </c>
      <c r="E1809">
        <v>72401007</v>
      </c>
      <c r="F1809" t="s">
        <v>15138</v>
      </c>
      <c r="G1809" t="b">
        <v>1</v>
      </c>
      <c r="H1809" t="s">
        <v>16096</v>
      </c>
    </row>
    <row r="1810" spans="1:8" hidden="1" x14ac:dyDescent="0.25">
      <c r="A1810">
        <v>10175</v>
      </c>
      <c r="B1810" t="s">
        <v>15827</v>
      </c>
      <c r="C1810" t="s">
        <v>15134</v>
      </c>
      <c r="D1810" t="s">
        <v>15135</v>
      </c>
      <c r="E1810">
        <v>142203002</v>
      </c>
    </row>
    <row r="1811" spans="1:8" hidden="1" x14ac:dyDescent="0.25">
      <c r="A1811">
        <v>91892</v>
      </c>
      <c r="B1811" t="s">
        <v>16818</v>
      </c>
      <c r="C1811" t="s">
        <v>15134</v>
      </c>
      <c r="D1811" t="s">
        <v>15135</v>
      </c>
      <c r="E1811">
        <v>73303000</v>
      </c>
      <c r="F1811" t="s">
        <v>15138</v>
      </c>
      <c r="G1811" t="b">
        <v>1</v>
      </c>
      <c r="H1811" t="s">
        <v>16819</v>
      </c>
    </row>
    <row r="1812" spans="1:8" hidden="1" x14ac:dyDescent="0.25">
      <c r="A1812">
        <v>91892</v>
      </c>
      <c r="B1812" t="s">
        <v>16818</v>
      </c>
      <c r="C1812" t="s">
        <v>15134</v>
      </c>
      <c r="D1812" t="s">
        <v>15135</v>
      </c>
      <c r="E1812">
        <v>73303000</v>
      </c>
      <c r="F1812" t="s">
        <v>15136</v>
      </c>
      <c r="G1812" t="b">
        <v>1</v>
      </c>
      <c r="H1812" t="s">
        <v>16819</v>
      </c>
    </row>
    <row r="1813" spans="1:8" hidden="1" x14ac:dyDescent="0.25">
      <c r="A1813">
        <v>88418</v>
      </c>
      <c r="B1813" t="s">
        <v>16372</v>
      </c>
      <c r="C1813" t="s">
        <v>15134</v>
      </c>
      <c r="D1813" t="s">
        <v>15135</v>
      </c>
      <c r="E1813">
        <v>73541001</v>
      </c>
    </row>
    <row r="1814" spans="1:8" hidden="1" x14ac:dyDescent="0.25">
      <c r="A1814">
        <v>9598</v>
      </c>
      <c r="B1814" t="s">
        <v>15595</v>
      </c>
      <c r="C1814" t="s">
        <v>15134</v>
      </c>
      <c r="D1814" t="s">
        <v>15135</v>
      </c>
      <c r="E1814">
        <v>72451000</v>
      </c>
      <c r="F1814" t="s">
        <v>15138</v>
      </c>
      <c r="G1814" t="b">
        <v>1</v>
      </c>
      <c r="H1814" t="s">
        <v>15596</v>
      </c>
    </row>
    <row r="1815" spans="1:8" hidden="1" x14ac:dyDescent="0.25">
      <c r="A1815">
        <v>9598</v>
      </c>
      <c r="B1815" t="s">
        <v>15595</v>
      </c>
      <c r="C1815" t="s">
        <v>15134</v>
      </c>
      <c r="D1815" t="s">
        <v>15135</v>
      </c>
      <c r="E1815">
        <v>72451000</v>
      </c>
      <c r="F1815" t="s">
        <v>15136</v>
      </c>
      <c r="G1815" t="b">
        <v>1</v>
      </c>
      <c r="H1815" t="s">
        <v>15597</v>
      </c>
    </row>
    <row r="1816" spans="1:8" hidden="1" x14ac:dyDescent="0.25">
      <c r="A1816">
        <v>92674</v>
      </c>
      <c r="B1816" t="s">
        <v>16886</v>
      </c>
      <c r="C1816" t="s">
        <v>15134</v>
      </c>
      <c r="D1816" t="s">
        <v>15135</v>
      </c>
      <c r="E1816">
        <v>72451005</v>
      </c>
      <c r="F1816" t="s">
        <v>15138</v>
      </c>
      <c r="G1816" t="b">
        <v>1</v>
      </c>
      <c r="H1816" t="s">
        <v>16887</v>
      </c>
    </row>
    <row r="1817" spans="1:8" hidden="1" x14ac:dyDescent="0.25">
      <c r="A1817">
        <v>9103</v>
      </c>
      <c r="B1817" t="s">
        <v>15361</v>
      </c>
      <c r="C1817" t="s">
        <v>15134</v>
      </c>
      <c r="D1817" t="s">
        <v>15135</v>
      </c>
      <c r="E1817">
        <v>73075001</v>
      </c>
    </row>
    <row r="1818" spans="1:8" hidden="1" x14ac:dyDescent="0.25">
      <c r="A1818">
        <v>10145</v>
      </c>
      <c r="B1818" t="s">
        <v>15361</v>
      </c>
      <c r="C1818" t="s">
        <v>15134</v>
      </c>
      <c r="D1818" t="s">
        <v>15135</v>
      </c>
      <c r="E1818">
        <v>133013001</v>
      </c>
    </row>
    <row r="1819" spans="1:8" hidden="1" x14ac:dyDescent="0.25">
      <c r="A1819">
        <v>9093</v>
      </c>
      <c r="B1819" t="s">
        <v>15353</v>
      </c>
      <c r="C1819" t="s">
        <v>15134</v>
      </c>
      <c r="D1819" t="s">
        <v>15135</v>
      </c>
      <c r="E1819">
        <v>73068001</v>
      </c>
      <c r="F1819" t="s">
        <v>15138</v>
      </c>
      <c r="G1819" t="b">
        <v>1</v>
      </c>
      <c r="H1819" t="s">
        <v>15354</v>
      </c>
    </row>
    <row r="1820" spans="1:8" hidden="1" x14ac:dyDescent="0.25">
      <c r="A1820">
        <v>9093</v>
      </c>
      <c r="B1820" t="s">
        <v>15353</v>
      </c>
      <c r="C1820" t="s">
        <v>15134</v>
      </c>
      <c r="D1820" t="s">
        <v>15135</v>
      </c>
      <c r="E1820">
        <v>73068001</v>
      </c>
      <c r="F1820" t="s">
        <v>15145</v>
      </c>
      <c r="G1820" t="b">
        <v>1</v>
      </c>
      <c r="H1820" t="s">
        <v>15354</v>
      </c>
    </row>
    <row r="1821" spans="1:8" hidden="1" x14ac:dyDescent="0.25">
      <c r="A1821">
        <v>91851</v>
      </c>
      <c r="B1821" t="s">
        <v>16802</v>
      </c>
      <c r="C1821" t="s">
        <v>15134</v>
      </c>
      <c r="D1821" t="s">
        <v>15135</v>
      </c>
      <c r="E1821">
        <v>73438001</v>
      </c>
      <c r="F1821" t="s">
        <v>15138</v>
      </c>
      <c r="G1821" t="b">
        <v>1</v>
      </c>
      <c r="H1821" t="s">
        <v>16803</v>
      </c>
    </row>
    <row r="1822" spans="1:8" hidden="1" x14ac:dyDescent="0.25">
      <c r="A1822">
        <v>91851</v>
      </c>
      <c r="B1822" t="s">
        <v>16802</v>
      </c>
      <c r="C1822" t="s">
        <v>15134</v>
      </c>
      <c r="D1822" t="s">
        <v>15135</v>
      </c>
      <c r="E1822">
        <v>73438001</v>
      </c>
      <c r="F1822" t="s">
        <v>15145</v>
      </c>
      <c r="G1822" t="b">
        <v>1</v>
      </c>
      <c r="H1822" t="s">
        <v>16803</v>
      </c>
    </row>
    <row r="1823" spans="1:8" hidden="1" x14ac:dyDescent="0.25">
      <c r="A1823">
        <v>80622</v>
      </c>
      <c r="B1823" t="s">
        <v>16149</v>
      </c>
      <c r="C1823" t="s">
        <v>15134</v>
      </c>
      <c r="D1823" t="s">
        <v>15135</v>
      </c>
      <c r="E1823">
        <v>73445001</v>
      </c>
      <c r="F1823" t="s">
        <v>15145</v>
      </c>
      <c r="G1823" t="b">
        <v>1</v>
      </c>
      <c r="H1823" t="s">
        <v>16148</v>
      </c>
    </row>
    <row r="1824" spans="1:8" hidden="1" x14ac:dyDescent="0.25">
      <c r="A1824">
        <v>80622</v>
      </c>
      <c r="B1824" t="s">
        <v>16149</v>
      </c>
      <c r="C1824" t="s">
        <v>15134</v>
      </c>
      <c r="D1824" t="s">
        <v>15135</v>
      </c>
      <c r="E1824">
        <v>73445001</v>
      </c>
      <c r="F1824" t="s">
        <v>15138</v>
      </c>
      <c r="G1824" t="b">
        <v>1</v>
      </c>
      <c r="H1824" t="s">
        <v>16148</v>
      </c>
    </row>
    <row r="1825" spans="1:8" hidden="1" x14ac:dyDescent="0.25">
      <c r="A1825">
        <v>9456</v>
      </c>
      <c r="B1825" t="s">
        <v>15532</v>
      </c>
      <c r="C1825" t="s">
        <v>15134</v>
      </c>
      <c r="D1825" t="s">
        <v>15135</v>
      </c>
      <c r="E1825">
        <v>73271005</v>
      </c>
    </row>
    <row r="1826" spans="1:8" hidden="1" x14ac:dyDescent="0.25">
      <c r="A1826">
        <v>9457</v>
      </c>
      <c r="B1826" t="s">
        <v>15533</v>
      </c>
      <c r="C1826" t="s">
        <v>15134</v>
      </c>
      <c r="D1826" t="s">
        <v>15135</v>
      </c>
      <c r="E1826">
        <v>73271006</v>
      </c>
    </row>
    <row r="1827" spans="1:8" hidden="1" x14ac:dyDescent="0.25">
      <c r="A1827">
        <v>9240</v>
      </c>
      <c r="B1827" t="s">
        <v>15428</v>
      </c>
      <c r="C1827" t="s">
        <v>15134</v>
      </c>
      <c r="D1827" t="s">
        <v>15135</v>
      </c>
      <c r="E1827">
        <v>73170001</v>
      </c>
    </row>
    <row r="1828" spans="1:8" hidden="1" x14ac:dyDescent="0.25">
      <c r="A1828">
        <v>8377</v>
      </c>
      <c r="B1828" t="s">
        <v>15141</v>
      </c>
      <c r="C1828" t="s">
        <v>15134</v>
      </c>
      <c r="D1828" t="s">
        <v>15135</v>
      </c>
      <c r="E1828">
        <v>12207002</v>
      </c>
    </row>
    <row r="1829" spans="1:8" hidden="1" x14ac:dyDescent="0.25">
      <c r="A1829">
        <v>9113</v>
      </c>
      <c r="B1829" t="s">
        <v>15366</v>
      </c>
      <c r="C1829" t="s">
        <v>15134</v>
      </c>
      <c r="D1829" t="s">
        <v>15135</v>
      </c>
      <c r="E1829">
        <v>73082001</v>
      </c>
    </row>
    <row r="1830" spans="1:8" hidden="1" x14ac:dyDescent="0.25">
      <c r="A1830">
        <v>9309</v>
      </c>
      <c r="B1830" t="s">
        <v>15463</v>
      </c>
      <c r="C1830" t="s">
        <v>15134</v>
      </c>
      <c r="D1830" t="s">
        <v>15135</v>
      </c>
      <c r="E1830">
        <v>73202001</v>
      </c>
    </row>
    <row r="1831" spans="1:8" hidden="1" x14ac:dyDescent="0.25">
      <c r="A1831">
        <v>9311</v>
      </c>
      <c r="B1831" t="s">
        <v>15465</v>
      </c>
      <c r="C1831" t="s">
        <v>15134</v>
      </c>
      <c r="D1831" t="s">
        <v>15135</v>
      </c>
      <c r="E1831">
        <v>73202003</v>
      </c>
    </row>
    <row r="1832" spans="1:8" hidden="1" x14ac:dyDescent="0.25">
      <c r="A1832">
        <v>9310</v>
      </c>
      <c r="B1832" t="s">
        <v>15464</v>
      </c>
      <c r="C1832" t="s">
        <v>15134</v>
      </c>
      <c r="D1832" t="s">
        <v>15135</v>
      </c>
      <c r="E1832">
        <v>73202002</v>
      </c>
    </row>
    <row r="1833" spans="1:8" hidden="1" x14ac:dyDescent="0.25">
      <c r="A1833">
        <v>8497</v>
      </c>
      <c r="B1833" t="s">
        <v>15153</v>
      </c>
      <c r="C1833" t="s">
        <v>15134</v>
      </c>
      <c r="D1833" t="s">
        <v>15135</v>
      </c>
      <c r="E1833">
        <v>23003001</v>
      </c>
    </row>
    <row r="1834" spans="1:8" hidden="1" x14ac:dyDescent="0.25">
      <c r="A1834">
        <v>9059</v>
      </c>
      <c r="B1834" t="s">
        <v>15342</v>
      </c>
      <c r="C1834" t="s">
        <v>15134</v>
      </c>
      <c r="D1834" t="s">
        <v>15135</v>
      </c>
      <c r="E1834">
        <v>73049001</v>
      </c>
    </row>
    <row r="1835" spans="1:8" hidden="1" x14ac:dyDescent="0.25">
      <c r="A1835">
        <v>9452</v>
      </c>
      <c r="B1835" t="s">
        <v>15342</v>
      </c>
      <c r="C1835" t="s">
        <v>15134</v>
      </c>
      <c r="D1835" t="s">
        <v>15135</v>
      </c>
      <c r="E1835">
        <v>73271001</v>
      </c>
    </row>
    <row r="1836" spans="1:8" hidden="1" x14ac:dyDescent="0.25">
      <c r="A1836">
        <v>8776</v>
      </c>
      <c r="B1836" t="s">
        <v>15267</v>
      </c>
      <c r="C1836" t="s">
        <v>15134</v>
      </c>
      <c r="D1836" t="s">
        <v>15135</v>
      </c>
      <c r="E1836">
        <v>72407001</v>
      </c>
    </row>
    <row r="1837" spans="1:8" hidden="1" x14ac:dyDescent="0.25">
      <c r="A1837">
        <v>8676</v>
      </c>
      <c r="B1837" t="s">
        <v>15188</v>
      </c>
      <c r="C1837" t="s">
        <v>15134</v>
      </c>
      <c r="D1837" t="s">
        <v>15135</v>
      </c>
      <c r="E1837">
        <v>72212001</v>
      </c>
    </row>
    <row r="1838" spans="1:8" hidden="1" x14ac:dyDescent="0.25">
      <c r="A1838">
        <v>80599</v>
      </c>
      <c r="B1838" t="s">
        <v>16136</v>
      </c>
      <c r="C1838" t="s">
        <v>15134</v>
      </c>
      <c r="D1838" t="s">
        <v>15135</v>
      </c>
      <c r="E1838">
        <v>73464011</v>
      </c>
      <c r="F1838" t="s">
        <v>15145</v>
      </c>
      <c r="G1838" t="b">
        <v>1</v>
      </c>
      <c r="H1838" t="s">
        <v>16132</v>
      </c>
    </row>
    <row r="1839" spans="1:8" hidden="1" x14ac:dyDescent="0.25">
      <c r="A1839">
        <v>80599</v>
      </c>
      <c r="B1839" t="s">
        <v>16136</v>
      </c>
      <c r="C1839" t="s">
        <v>15134</v>
      </c>
      <c r="D1839" t="s">
        <v>15135</v>
      </c>
      <c r="E1839">
        <v>73464011</v>
      </c>
      <c r="F1839" t="s">
        <v>15138</v>
      </c>
      <c r="G1839" t="b">
        <v>1</v>
      </c>
      <c r="H1839" t="s">
        <v>16132</v>
      </c>
    </row>
    <row r="1840" spans="1:8" hidden="1" x14ac:dyDescent="0.25">
      <c r="A1840">
        <v>9453</v>
      </c>
      <c r="B1840" t="s">
        <v>15529</v>
      </c>
      <c r="C1840" t="s">
        <v>15134</v>
      </c>
      <c r="D1840" t="s">
        <v>15135</v>
      </c>
      <c r="E1840">
        <v>73271002</v>
      </c>
    </row>
    <row r="1841" spans="1:8" hidden="1" x14ac:dyDescent="0.25">
      <c r="A1841">
        <v>9454</v>
      </c>
      <c r="B1841" t="s">
        <v>15530</v>
      </c>
      <c r="C1841" t="s">
        <v>15134</v>
      </c>
      <c r="D1841" t="s">
        <v>15135</v>
      </c>
      <c r="E1841">
        <v>73271003</v>
      </c>
    </row>
    <row r="1842" spans="1:8" hidden="1" x14ac:dyDescent="0.25">
      <c r="A1842">
        <v>90432</v>
      </c>
      <c r="B1842" t="s">
        <v>16607</v>
      </c>
      <c r="C1842" t="s">
        <v>15134</v>
      </c>
      <c r="D1842" t="s">
        <v>15135</v>
      </c>
      <c r="E1842">
        <v>73464016</v>
      </c>
      <c r="F1842" t="s">
        <v>15145</v>
      </c>
      <c r="G1842" t="b">
        <v>1</v>
      </c>
      <c r="H1842" t="s">
        <v>16608</v>
      </c>
    </row>
    <row r="1843" spans="1:8" hidden="1" x14ac:dyDescent="0.25">
      <c r="A1843">
        <v>9455</v>
      </c>
      <c r="B1843" t="s">
        <v>15531</v>
      </c>
      <c r="C1843" t="s">
        <v>15134</v>
      </c>
      <c r="D1843" t="s">
        <v>15135</v>
      </c>
      <c r="E1843">
        <v>73271004</v>
      </c>
    </row>
    <row r="1844" spans="1:8" hidden="1" x14ac:dyDescent="0.25">
      <c r="A1844">
        <v>84315</v>
      </c>
      <c r="B1844" t="s">
        <v>16284</v>
      </c>
      <c r="C1844" t="s">
        <v>15134</v>
      </c>
      <c r="D1844" t="s">
        <v>15135</v>
      </c>
      <c r="E1844">
        <v>73464012</v>
      </c>
      <c r="F1844" t="s">
        <v>15145</v>
      </c>
      <c r="G1844" t="b">
        <v>1</v>
      </c>
      <c r="H1844" t="s">
        <v>16285</v>
      </c>
    </row>
    <row r="1845" spans="1:8" hidden="1" x14ac:dyDescent="0.25">
      <c r="A1845">
        <v>80598</v>
      </c>
      <c r="B1845" t="s">
        <v>16134</v>
      </c>
      <c r="C1845" t="s">
        <v>15134</v>
      </c>
      <c r="D1845" t="s">
        <v>15135</v>
      </c>
      <c r="E1845">
        <v>73464010</v>
      </c>
      <c r="F1845" t="s">
        <v>15138</v>
      </c>
      <c r="G1845" t="b">
        <v>1</v>
      </c>
      <c r="H1845" t="s">
        <v>16132</v>
      </c>
    </row>
    <row r="1846" spans="1:8" hidden="1" x14ac:dyDescent="0.25">
      <c r="A1846">
        <v>80598</v>
      </c>
      <c r="B1846" t="s">
        <v>16134</v>
      </c>
      <c r="C1846" t="s">
        <v>15134</v>
      </c>
      <c r="D1846" t="s">
        <v>15135</v>
      </c>
      <c r="E1846">
        <v>73464010</v>
      </c>
      <c r="F1846" t="s">
        <v>15145</v>
      </c>
      <c r="G1846" t="b">
        <v>1</v>
      </c>
      <c r="H1846" t="s">
        <v>16135</v>
      </c>
    </row>
    <row r="1847" spans="1:8" hidden="1" x14ac:dyDescent="0.25">
      <c r="A1847">
        <v>90922</v>
      </c>
      <c r="B1847" t="s">
        <v>16724</v>
      </c>
      <c r="C1847" t="s">
        <v>15134</v>
      </c>
      <c r="D1847" t="s">
        <v>15135</v>
      </c>
      <c r="E1847">
        <v>73464017</v>
      </c>
      <c r="F1847" t="s">
        <v>15145</v>
      </c>
      <c r="G1847" t="b">
        <v>1</v>
      </c>
      <c r="H1847" t="s">
        <v>16725</v>
      </c>
    </row>
    <row r="1848" spans="1:8" hidden="1" x14ac:dyDescent="0.25">
      <c r="A1848">
        <v>79762</v>
      </c>
      <c r="B1848" t="s">
        <v>15993</v>
      </c>
      <c r="C1848" t="s">
        <v>15134</v>
      </c>
      <c r="D1848" t="s">
        <v>15135</v>
      </c>
      <c r="E1848">
        <v>73464001</v>
      </c>
      <c r="F1848" t="s">
        <v>15138</v>
      </c>
      <c r="G1848" t="b">
        <v>1</v>
      </c>
      <c r="H1848" t="s">
        <v>15994</v>
      </c>
    </row>
    <row r="1849" spans="1:8" hidden="1" x14ac:dyDescent="0.25">
      <c r="A1849">
        <v>79762</v>
      </c>
      <c r="B1849" t="s">
        <v>15993</v>
      </c>
      <c r="C1849" t="s">
        <v>15134</v>
      </c>
      <c r="D1849" t="s">
        <v>15135</v>
      </c>
      <c r="E1849">
        <v>73464001</v>
      </c>
      <c r="F1849" t="s">
        <v>15145</v>
      </c>
      <c r="G1849" t="b">
        <v>1</v>
      </c>
      <c r="H1849" t="s">
        <v>15994</v>
      </c>
    </row>
    <row r="1850" spans="1:8" hidden="1" x14ac:dyDescent="0.25">
      <c r="A1850">
        <v>79763</v>
      </c>
      <c r="B1850" t="s">
        <v>15995</v>
      </c>
      <c r="C1850" t="s">
        <v>15134</v>
      </c>
      <c r="D1850" t="s">
        <v>15135</v>
      </c>
      <c r="E1850">
        <v>73464002</v>
      </c>
      <c r="F1850" t="s">
        <v>15145</v>
      </c>
      <c r="G1850" t="b">
        <v>0</v>
      </c>
      <c r="H1850" t="s">
        <v>15996</v>
      </c>
    </row>
    <row r="1851" spans="1:8" hidden="1" x14ac:dyDescent="0.25">
      <c r="A1851">
        <v>80597</v>
      </c>
      <c r="B1851" t="s">
        <v>16131</v>
      </c>
      <c r="C1851" t="s">
        <v>15134</v>
      </c>
      <c r="D1851" t="s">
        <v>15135</v>
      </c>
      <c r="E1851">
        <v>73464003</v>
      </c>
      <c r="F1851" t="s">
        <v>15138</v>
      </c>
      <c r="G1851" t="b">
        <v>1</v>
      </c>
      <c r="H1851" t="s">
        <v>16132</v>
      </c>
    </row>
    <row r="1852" spans="1:8" hidden="1" x14ac:dyDescent="0.25">
      <c r="A1852">
        <v>80597</v>
      </c>
      <c r="B1852" t="s">
        <v>16131</v>
      </c>
      <c r="C1852" t="s">
        <v>15134</v>
      </c>
      <c r="D1852" t="s">
        <v>15135</v>
      </c>
      <c r="E1852">
        <v>73464003</v>
      </c>
      <c r="F1852" t="s">
        <v>15145</v>
      </c>
      <c r="G1852" t="b">
        <v>1</v>
      </c>
      <c r="H1852" t="s">
        <v>16133</v>
      </c>
    </row>
    <row r="1853" spans="1:8" hidden="1" x14ac:dyDescent="0.25">
      <c r="A1853">
        <v>84670</v>
      </c>
      <c r="B1853" t="s">
        <v>16301</v>
      </c>
      <c r="C1853" t="s">
        <v>15134</v>
      </c>
      <c r="D1853" t="s">
        <v>15135</v>
      </c>
      <c r="E1853">
        <v>73464014</v>
      </c>
      <c r="F1853" t="s">
        <v>15145</v>
      </c>
      <c r="G1853" t="b">
        <v>1</v>
      </c>
      <c r="H1853" t="s">
        <v>16302</v>
      </c>
    </row>
    <row r="1854" spans="1:8" hidden="1" x14ac:dyDescent="0.25">
      <c r="A1854">
        <v>84670</v>
      </c>
      <c r="B1854" t="s">
        <v>16301</v>
      </c>
      <c r="C1854" t="s">
        <v>15134</v>
      </c>
      <c r="D1854" t="s">
        <v>15135</v>
      </c>
      <c r="E1854">
        <v>73464014</v>
      </c>
      <c r="F1854" t="s">
        <v>15138</v>
      </c>
      <c r="G1854" t="b">
        <v>1</v>
      </c>
      <c r="H1854" t="s">
        <v>16132</v>
      </c>
    </row>
    <row r="1855" spans="1:8" hidden="1" x14ac:dyDescent="0.25">
      <c r="A1855">
        <v>79769</v>
      </c>
      <c r="B1855" t="s">
        <v>16001</v>
      </c>
      <c r="C1855" t="s">
        <v>15134</v>
      </c>
      <c r="D1855" t="s">
        <v>15135</v>
      </c>
      <c r="E1855">
        <v>73464008</v>
      </c>
      <c r="F1855" t="s">
        <v>15145</v>
      </c>
      <c r="G1855" t="b">
        <v>0</v>
      </c>
      <c r="H1855" t="s">
        <v>16002</v>
      </c>
    </row>
    <row r="1856" spans="1:8" hidden="1" x14ac:dyDescent="0.25">
      <c r="A1856">
        <v>84669</v>
      </c>
      <c r="B1856" t="s">
        <v>16299</v>
      </c>
      <c r="C1856" t="s">
        <v>15134</v>
      </c>
      <c r="D1856" t="s">
        <v>15135</v>
      </c>
      <c r="E1856">
        <v>73464013</v>
      </c>
      <c r="F1856" t="s">
        <v>15145</v>
      </c>
      <c r="G1856" t="b">
        <v>1</v>
      </c>
      <c r="H1856" t="s">
        <v>16300</v>
      </c>
    </row>
    <row r="1857" spans="1:8" hidden="1" x14ac:dyDescent="0.25">
      <c r="A1857">
        <v>84669</v>
      </c>
      <c r="B1857" t="s">
        <v>16299</v>
      </c>
      <c r="C1857" t="s">
        <v>15134</v>
      </c>
      <c r="D1857" t="s">
        <v>15135</v>
      </c>
      <c r="E1857">
        <v>73464013</v>
      </c>
      <c r="F1857" t="s">
        <v>15138</v>
      </c>
      <c r="G1857" t="b">
        <v>1</v>
      </c>
      <c r="H1857" t="s">
        <v>16132</v>
      </c>
    </row>
    <row r="1858" spans="1:8" hidden="1" x14ac:dyDescent="0.25">
      <c r="A1858">
        <v>79768</v>
      </c>
      <c r="B1858" t="s">
        <v>15999</v>
      </c>
      <c r="C1858" t="s">
        <v>15134</v>
      </c>
      <c r="D1858" t="s">
        <v>15135</v>
      </c>
      <c r="E1858">
        <v>73464007</v>
      </c>
      <c r="F1858" t="s">
        <v>15145</v>
      </c>
      <c r="G1858" t="b">
        <v>0</v>
      </c>
      <c r="H1858" t="s">
        <v>16000</v>
      </c>
    </row>
    <row r="1859" spans="1:8" hidden="1" x14ac:dyDescent="0.25">
      <c r="A1859">
        <v>79765</v>
      </c>
      <c r="B1859" t="s">
        <v>15997</v>
      </c>
      <c r="C1859" t="s">
        <v>15134</v>
      </c>
      <c r="D1859" t="s">
        <v>15135</v>
      </c>
      <c r="E1859">
        <v>73464005</v>
      </c>
      <c r="F1859" t="s">
        <v>15145</v>
      </c>
      <c r="G1859" t="b">
        <v>1</v>
      </c>
      <c r="H1859" t="s">
        <v>15998</v>
      </c>
    </row>
    <row r="1860" spans="1:8" hidden="1" x14ac:dyDescent="0.25">
      <c r="A1860">
        <v>86283</v>
      </c>
      <c r="B1860" t="s">
        <v>16316</v>
      </c>
      <c r="C1860" t="s">
        <v>15134</v>
      </c>
      <c r="D1860" t="s">
        <v>15135</v>
      </c>
      <c r="E1860">
        <v>73464015</v>
      </c>
      <c r="F1860" t="s">
        <v>15145</v>
      </c>
      <c r="G1860" t="b">
        <v>1</v>
      </c>
      <c r="H1860" t="s">
        <v>16317</v>
      </c>
    </row>
    <row r="1861" spans="1:8" hidden="1" x14ac:dyDescent="0.25">
      <c r="A1861">
        <v>86283</v>
      </c>
      <c r="B1861" t="s">
        <v>16316</v>
      </c>
      <c r="C1861" t="s">
        <v>15134</v>
      </c>
      <c r="D1861" t="s">
        <v>15135</v>
      </c>
      <c r="E1861">
        <v>73464015</v>
      </c>
      <c r="F1861" t="s">
        <v>15136</v>
      </c>
      <c r="G1861" t="b">
        <v>1</v>
      </c>
      <c r="H1861" t="s">
        <v>16318</v>
      </c>
    </row>
    <row r="1862" spans="1:8" hidden="1" x14ac:dyDescent="0.25">
      <c r="A1862">
        <v>1000357</v>
      </c>
      <c r="B1862" t="s">
        <v>17149</v>
      </c>
      <c r="C1862" t="s">
        <v>15134</v>
      </c>
      <c r="D1862" t="s">
        <v>15135</v>
      </c>
      <c r="E1862">
        <v>73464025</v>
      </c>
      <c r="F1862" t="s">
        <v>15136</v>
      </c>
      <c r="G1862" t="b">
        <v>1</v>
      </c>
      <c r="H1862" t="s">
        <v>17150</v>
      </c>
    </row>
    <row r="1863" spans="1:8" hidden="1" x14ac:dyDescent="0.25">
      <c r="A1863">
        <v>1000357</v>
      </c>
      <c r="B1863" t="s">
        <v>17149</v>
      </c>
      <c r="C1863" t="s">
        <v>15134</v>
      </c>
      <c r="D1863" t="s">
        <v>15135</v>
      </c>
      <c r="E1863">
        <v>73464025</v>
      </c>
      <c r="F1863" t="s">
        <v>15138</v>
      </c>
      <c r="G1863" t="b">
        <v>1</v>
      </c>
      <c r="H1863" t="s">
        <v>17150</v>
      </c>
    </row>
    <row r="1864" spans="1:8" hidden="1" x14ac:dyDescent="0.25">
      <c r="A1864">
        <v>8507</v>
      </c>
      <c r="B1864" t="s">
        <v>15157</v>
      </c>
      <c r="C1864" t="s">
        <v>15134</v>
      </c>
      <c r="D1864" t="s">
        <v>15135</v>
      </c>
      <c r="E1864">
        <v>23009001</v>
      </c>
    </row>
    <row r="1865" spans="1:8" hidden="1" x14ac:dyDescent="0.25">
      <c r="A1865">
        <v>92331</v>
      </c>
      <c r="B1865" t="s">
        <v>16857</v>
      </c>
      <c r="C1865" t="s">
        <v>15134</v>
      </c>
      <c r="D1865" t="s">
        <v>15135</v>
      </c>
      <c r="E1865">
        <v>73464019</v>
      </c>
    </row>
    <row r="1866" spans="1:8" hidden="1" x14ac:dyDescent="0.25">
      <c r="A1866">
        <v>516037</v>
      </c>
      <c r="B1866" t="s">
        <v>17002</v>
      </c>
      <c r="C1866" t="s">
        <v>15134</v>
      </c>
      <c r="D1866" t="s">
        <v>15135</v>
      </c>
      <c r="E1866">
        <v>73464021</v>
      </c>
      <c r="F1866" t="s">
        <v>15136</v>
      </c>
      <c r="G1866" t="b">
        <v>1</v>
      </c>
      <c r="H1866" t="s">
        <v>17003</v>
      </c>
    </row>
    <row r="1867" spans="1:8" hidden="1" x14ac:dyDescent="0.25">
      <c r="A1867">
        <v>9307</v>
      </c>
      <c r="B1867" t="s">
        <v>15462</v>
      </c>
      <c r="C1867" t="s">
        <v>15134</v>
      </c>
      <c r="D1867" t="s">
        <v>15135</v>
      </c>
      <c r="E1867">
        <v>73201001</v>
      </c>
    </row>
    <row r="1868" spans="1:8" hidden="1" x14ac:dyDescent="0.25">
      <c r="A1868">
        <v>91359</v>
      </c>
      <c r="B1868" t="s">
        <v>16785</v>
      </c>
      <c r="C1868" t="s">
        <v>15134</v>
      </c>
      <c r="D1868" t="s">
        <v>15135</v>
      </c>
      <c r="E1868">
        <v>73464018</v>
      </c>
      <c r="F1868" t="s">
        <v>15145</v>
      </c>
      <c r="G1868" t="b">
        <v>1</v>
      </c>
      <c r="H1868" t="s">
        <v>16786</v>
      </c>
    </row>
    <row r="1869" spans="1:8" hidden="1" x14ac:dyDescent="0.25">
      <c r="A1869">
        <v>91359</v>
      </c>
      <c r="B1869" t="s">
        <v>16785</v>
      </c>
      <c r="C1869" t="s">
        <v>15134</v>
      </c>
      <c r="D1869" t="s">
        <v>15135</v>
      </c>
      <c r="E1869">
        <v>73464018</v>
      </c>
      <c r="F1869" t="s">
        <v>15138</v>
      </c>
      <c r="G1869" t="b">
        <v>1</v>
      </c>
      <c r="H1869" t="s">
        <v>15992</v>
      </c>
    </row>
    <row r="1870" spans="1:8" hidden="1" x14ac:dyDescent="0.25">
      <c r="A1870">
        <v>91762</v>
      </c>
      <c r="B1870" t="s">
        <v>16793</v>
      </c>
      <c r="C1870" t="s">
        <v>15134</v>
      </c>
      <c r="D1870" t="s">
        <v>15135</v>
      </c>
      <c r="E1870">
        <v>73464020</v>
      </c>
    </row>
    <row r="1871" spans="1:8" hidden="1" x14ac:dyDescent="0.25">
      <c r="A1871">
        <v>597102</v>
      </c>
      <c r="B1871" t="s">
        <v>17011</v>
      </c>
      <c r="C1871" t="s">
        <v>15134</v>
      </c>
      <c r="D1871" t="s">
        <v>15135</v>
      </c>
      <c r="E1871">
        <v>73464022</v>
      </c>
    </row>
    <row r="1872" spans="1:8" hidden="1" x14ac:dyDescent="0.25">
      <c r="A1872">
        <v>24741</v>
      </c>
      <c r="B1872" t="s">
        <v>15865</v>
      </c>
      <c r="C1872" t="s">
        <v>15134</v>
      </c>
      <c r="D1872" t="s">
        <v>15135</v>
      </c>
      <c r="E1872">
        <v>73464024</v>
      </c>
    </row>
    <row r="1873" spans="1:8" hidden="1" x14ac:dyDescent="0.25">
      <c r="A1873">
        <v>545702</v>
      </c>
      <c r="B1873" t="s">
        <v>17006</v>
      </c>
      <c r="C1873" t="s">
        <v>15134</v>
      </c>
      <c r="D1873" t="s">
        <v>15135</v>
      </c>
      <c r="E1873">
        <v>73464023</v>
      </c>
      <c r="F1873" t="s">
        <v>15136</v>
      </c>
      <c r="G1873" t="b">
        <v>0</v>
      </c>
      <c r="H1873" t="s">
        <v>17007</v>
      </c>
    </row>
    <row r="1874" spans="1:8" hidden="1" x14ac:dyDescent="0.25">
      <c r="A1874">
        <v>1000196</v>
      </c>
      <c r="B1874" t="s">
        <v>17113</v>
      </c>
      <c r="C1874" t="s">
        <v>15134</v>
      </c>
      <c r="D1874" t="s">
        <v>15135</v>
      </c>
      <c r="E1874">
        <v>73464009</v>
      </c>
      <c r="F1874" t="s">
        <v>15136</v>
      </c>
      <c r="G1874" t="b">
        <v>0</v>
      </c>
      <c r="H1874" t="s">
        <v>17114</v>
      </c>
    </row>
    <row r="1875" spans="1:8" hidden="1" x14ac:dyDescent="0.25">
      <c r="A1875">
        <v>1000196</v>
      </c>
      <c r="B1875" t="s">
        <v>17113</v>
      </c>
      <c r="C1875" t="s">
        <v>15134</v>
      </c>
      <c r="D1875" t="s">
        <v>15135</v>
      </c>
      <c r="E1875">
        <v>73464009</v>
      </c>
      <c r="F1875" t="s">
        <v>15138</v>
      </c>
      <c r="G1875" t="b">
        <v>1</v>
      </c>
      <c r="H1875" t="s">
        <v>17115</v>
      </c>
    </row>
    <row r="1876" spans="1:8" hidden="1" x14ac:dyDescent="0.25">
      <c r="A1876">
        <v>9333</v>
      </c>
      <c r="B1876" t="s">
        <v>15476</v>
      </c>
      <c r="C1876" t="s">
        <v>15134</v>
      </c>
      <c r="D1876" t="s">
        <v>15135</v>
      </c>
      <c r="E1876">
        <v>73213001</v>
      </c>
    </row>
    <row r="1877" spans="1:8" hidden="1" x14ac:dyDescent="0.25">
      <c r="A1877">
        <v>10216</v>
      </c>
      <c r="B1877" t="s">
        <v>15846</v>
      </c>
      <c r="C1877" t="s">
        <v>15134</v>
      </c>
      <c r="D1877" t="s">
        <v>15135</v>
      </c>
      <c r="E1877">
        <v>143013001</v>
      </c>
    </row>
    <row r="1878" spans="1:8" hidden="1" x14ac:dyDescent="0.25">
      <c r="A1878">
        <v>9425</v>
      </c>
      <c r="B1878" t="s">
        <v>15522</v>
      </c>
      <c r="C1878" t="s">
        <v>15134</v>
      </c>
      <c r="D1878" t="s">
        <v>15135</v>
      </c>
      <c r="E1878">
        <v>73258001</v>
      </c>
    </row>
    <row r="1879" spans="1:8" hidden="1" x14ac:dyDescent="0.25">
      <c r="A1879">
        <v>9447</v>
      </c>
      <c r="B1879" t="s">
        <v>15522</v>
      </c>
      <c r="C1879" t="s">
        <v>15134</v>
      </c>
      <c r="D1879" t="s">
        <v>15135</v>
      </c>
      <c r="E1879">
        <v>73269000</v>
      </c>
      <c r="F1879" t="s">
        <v>15138</v>
      </c>
      <c r="G1879" t="b">
        <v>1</v>
      </c>
      <c r="H1879" t="s">
        <v>15527</v>
      </c>
    </row>
    <row r="1880" spans="1:8" hidden="1" x14ac:dyDescent="0.25">
      <c r="A1880">
        <v>9447</v>
      </c>
      <c r="B1880" t="s">
        <v>15522</v>
      </c>
      <c r="C1880" t="s">
        <v>15134</v>
      </c>
      <c r="D1880" t="s">
        <v>15135</v>
      </c>
      <c r="E1880">
        <v>73269000</v>
      </c>
      <c r="F1880" t="s">
        <v>15136</v>
      </c>
      <c r="G1880" t="b">
        <v>1</v>
      </c>
      <c r="H1880" t="s">
        <v>15527</v>
      </c>
    </row>
    <row r="1881" spans="1:8" hidden="1" x14ac:dyDescent="0.25">
      <c r="A1881">
        <v>8999</v>
      </c>
      <c r="B1881" t="s">
        <v>15306</v>
      </c>
      <c r="C1881" t="s">
        <v>15134</v>
      </c>
      <c r="D1881" t="s">
        <v>15135</v>
      </c>
      <c r="E1881">
        <v>73013001</v>
      </c>
    </row>
    <row r="1882" spans="1:8" hidden="1" x14ac:dyDescent="0.25">
      <c r="A1882">
        <v>8989</v>
      </c>
      <c r="B1882" t="s">
        <v>15303</v>
      </c>
      <c r="C1882" t="s">
        <v>15134</v>
      </c>
      <c r="D1882" t="s">
        <v>15135</v>
      </c>
      <c r="E1882">
        <v>73007001</v>
      </c>
    </row>
    <row r="1883" spans="1:8" hidden="1" x14ac:dyDescent="0.25">
      <c r="A1883">
        <v>9449</v>
      </c>
      <c r="B1883" t="s">
        <v>15528</v>
      </c>
      <c r="C1883" t="s">
        <v>15134</v>
      </c>
      <c r="D1883" t="s">
        <v>15135</v>
      </c>
      <c r="E1883">
        <v>73269002</v>
      </c>
    </row>
    <row r="1884" spans="1:8" hidden="1" x14ac:dyDescent="0.25">
      <c r="A1884">
        <v>79331</v>
      </c>
      <c r="B1884" t="s">
        <v>15924</v>
      </c>
      <c r="C1884" t="s">
        <v>15134</v>
      </c>
      <c r="D1884" t="s">
        <v>15135</v>
      </c>
      <c r="E1884">
        <v>72425001</v>
      </c>
      <c r="F1884" t="s">
        <v>15145</v>
      </c>
      <c r="G1884" t="b">
        <v>1</v>
      </c>
      <c r="H1884" t="s">
        <v>15925</v>
      </c>
    </row>
    <row r="1885" spans="1:8" hidden="1" x14ac:dyDescent="0.25">
      <c r="A1885">
        <v>79331</v>
      </c>
      <c r="B1885" t="s">
        <v>15924</v>
      </c>
      <c r="C1885" t="s">
        <v>15134</v>
      </c>
      <c r="D1885" t="s">
        <v>15135</v>
      </c>
      <c r="E1885">
        <v>72425001</v>
      </c>
      <c r="F1885" t="s">
        <v>15138</v>
      </c>
      <c r="G1885" t="b">
        <v>1</v>
      </c>
      <c r="H1885" t="s">
        <v>15925</v>
      </c>
    </row>
    <row r="1886" spans="1:8" hidden="1" x14ac:dyDescent="0.25">
      <c r="A1886">
        <v>845332</v>
      </c>
      <c r="B1886" t="s">
        <v>17027</v>
      </c>
      <c r="C1886" t="s">
        <v>15134</v>
      </c>
      <c r="D1886" t="s">
        <v>15135</v>
      </c>
      <c r="E1886">
        <v>73341001</v>
      </c>
      <c r="F1886" t="s">
        <v>15136</v>
      </c>
      <c r="G1886" t="b">
        <v>1</v>
      </c>
      <c r="H1886" t="s">
        <v>16968</v>
      </c>
    </row>
    <row r="1887" spans="1:8" hidden="1" x14ac:dyDescent="0.25">
      <c r="A1887">
        <v>845332</v>
      </c>
      <c r="B1887" t="s">
        <v>17027</v>
      </c>
      <c r="C1887" t="s">
        <v>15134</v>
      </c>
      <c r="D1887" t="s">
        <v>15135</v>
      </c>
      <c r="E1887">
        <v>73341001</v>
      </c>
      <c r="F1887" t="s">
        <v>15138</v>
      </c>
      <c r="G1887" t="b">
        <v>1</v>
      </c>
      <c r="H1887" t="s">
        <v>16967</v>
      </c>
    </row>
    <row r="1888" spans="1:8" hidden="1" x14ac:dyDescent="0.25">
      <c r="A1888">
        <v>87909</v>
      </c>
      <c r="B1888" t="s">
        <v>16350</v>
      </c>
      <c r="C1888" t="s">
        <v>15134</v>
      </c>
      <c r="D1888" t="s">
        <v>15135</v>
      </c>
      <c r="E1888">
        <v>72401009</v>
      </c>
      <c r="F1888" t="s">
        <v>15138</v>
      </c>
      <c r="G1888" t="b">
        <v>1</v>
      </c>
      <c r="H1888" t="s">
        <v>16351</v>
      </c>
    </row>
    <row r="1889" spans="1:8" hidden="1" x14ac:dyDescent="0.25">
      <c r="A1889">
        <v>87909</v>
      </c>
      <c r="B1889" t="s">
        <v>16350</v>
      </c>
      <c r="C1889" t="s">
        <v>15134</v>
      </c>
      <c r="D1889" t="s">
        <v>15135</v>
      </c>
      <c r="E1889">
        <v>72401009</v>
      </c>
      <c r="F1889" t="s">
        <v>15136</v>
      </c>
      <c r="G1889" t="b">
        <v>0</v>
      </c>
      <c r="H1889" t="s">
        <v>16352</v>
      </c>
    </row>
    <row r="1890" spans="1:8" hidden="1" x14ac:dyDescent="0.25">
      <c r="A1890">
        <v>90518</v>
      </c>
      <c r="B1890" t="s">
        <v>16650</v>
      </c>
      <c r="C1890" t="s">
        <v>15134</v>
      </c>
      <c r="D1890" t="s">
        <v>15135</v>
      </c>
      <c r="E1890">
        <v>73598000</v>
      </c>
      <c r="F1890" t="s">
        <v>15138</v>
      </c>
      <c r="G1890" t="b">
        <v>1</v>
      </c>
      <c r="H1890" t="s">
        <v>16543</v>
      </c>
    </row>
    <row r="1891" spans="1:8" hidden="1" x14ac:dyDescent="0.25">
      <c r="A1891">
        <v>90518</v>
      </c>
      <c r="B1891" t="s">
        <v>16650</v>
      </c>
      <c r="C1891" t="s">
        <v>15134</v>
      </c>
      <c r="D1891" t="s">
        <v>15135</v>
      </c>
      <c r="E1891">
        <v>73598000</v>
      </c>
      <c r="F1891" t="s">
        <v>15136</v>
      </c>
      <c r="G1891" t="b">
        <v>1</v>
      </c>
      <c r="H1891" t="s">
        <v>16543</v>
      </c>
    </row>
    <row r="1892" spans="1:8" hidden="1" x14ac:dyDescent="0.25">
      <c r="A1892">
        <v>90519</v>
      </c>
      <c r="B1892" t="s">
        <v>16651</v>
      </c>
      <c r="C1892" t="s">
        <v>15134</v>
      </c>
      <c r="D1892" t="s">
        <v>15135</v>
      </c>
      <c r="E1892">
        <v>73598001</v>
      </c>
      <c r="F1892" t="s">
        <v>15145</v>
      </c>
      <c r="G1892" t="b">
        <v>1</v>
      </c>
      <c r="H1892" t="s">
        <v>16652</v>
      </c>
    </row>
    <row r="1893" spans="1:8" hidden="1" x14ac:dyDescent="0.25">
      <c r="A1893">
        <v>9615</v>
      </c>
      <c r="B1893" t="s">
        <v>15607</v>
      </c>
      <c r="C1893" t="s">
        <v>15134</v>
      </c>
      <c r="D1893" t="s">
        <v>15135</v>
      </c>
      <c r="E1893">
        <v>82206002</v>
      </c>
    </row>
    <row r="1894" spans="1:8" hidden="1" x14ac:dyDescent="0.25">
      <c r="A1894">
        <v>9614</v>
      </c>
      <c r="B1894" t="s">
        <v>15606</v>
      </c>
      <c r="C1894" t="s">
        <v>15134</v>
      </c>
      <c r="D1894" t="s">
        <v>15135</v>
      </c>
      <c r="E1894">
        <v>82206001</v>
      </c>
    </row>
    <row r="1895" spans="1:8" hidden="1" x14ac:dyDescent="0.25">
      <c r="A1895">
        <v>9609</v>
      </c>
      <c r="B1895" t="s">
        <v>15602</v>
      </c>
      <c r="C1895" t="s">
        <v>15134</v>
      </c>
      <c r="D1895" t="s">
        <v>15135</v>
      </c>
      <c r="E1895">
        <v>82204000</v>
      </c>
    </row>
    <row r="1896" spans="1:8" hidden="1" x14ac:dyDescent="0.25">
      <c r="A1896">
        <v>9611</v>
      </c>
      <c r="B1896" t="s">
        <v>15604</v>
      </c>
      <c r="C1896" t="s">
        <v>15134</v>
      </c>
      <c r="D1896" t="s">
        <v>15135</v>
      </c>
      <c r="E1896">
        <v>82205000</v>
      </c>
    </row>
    <row r="1897" spans="1:8" hidden="1" x14ac:dyDescent="0.25">
      <c r="A1897">
        <v>9537</v>
      </c>
      <c r="B1897" t="s">
        <v>15587</v>
      </c>
      <c r="C1897" t="s">
        <v>15134</v>
      </c>
      <c r="D1897" t="s">
        <v>15135</v>
      </c>
      <c r="E1897">
        <v>73295000</v>
      </c>
      <c r="F1897" t="s">
        <v>15138</v>
      </c>
      <c r="G1897" t="b">
        <v>1</v>
      </c>
      <c r="H1897" t="s">
        <v>15588</v>
      </c>
    </row>
    <row r="1898" spans="1:8" hidden="1" x14ac:dyDescent="0.25">
      <c r="A1898">
        <v>9537</v>
      </c>
      <c r="B1898" t="s">
        <v>15587</v>
      </c>
      <c r="C1898" t="s">
        <v>15134</v>
      </c>
      <c r="D1898" t="s">
        <v>15135</v>
      </c>
      <c r="E1898">
        <v>73295000</v>
      </c>
      <c r="F1898" t="s">
        <v>15136</v>
      </c>
      <c r="G1898" t="b">
        <v>1</v>
      </c>
      <c r="H1898" t="s">
        <v>15588</v>
      </c>
    </row>
    <row r="1899" spans="1:8" hidden="1" x14ac:dyDescent="0.25">
      <c r="A1899">
        <v>9347</v>
      </c>
      <c r="B1899" t="s">
        <v>15483</v>
      </c>
      <c r="C1899" t="s">
        <v>15134</v>
      </c>
      <c r="D1899" t="s">
        <v>15135</v>
      </c>
      <c r="E1899">
        <v>73219001</v>
      </c>
    </row>
    <row r="1900" spans="1:8" hidden="1" x14ac:dyDescent="0.25">
      <c r="A1900">
        <v>80675</v>
      </c>
      <c r="B1900" t="s">
        <v>16178</v>
      </c>
      <c r="C1900" t="s">
        <v>15134</v>
      </c>
      <c r="D1900" t="s">
        <v>15135</v>
      </c>
      <c r="E1900">
        <v>73295001</v>
      </c>
      <c r="F1900" t="s">
        <v>15138</v>
      </c>
      <c r="G1900" t="b">
        <v>1</v>
      </c>
      <c r="H1900" t="s">
        <v>16179</v>
      </c>
    </row>
    <row r="1901" spans="1:8" hidden="1" x14ac:dyDescent="0.25">
      <c r="A1901">
        <v>80675</v>
      </c>
      <c r="B1901" t="s">
        <v>16178</v>
      </c>
      <c r="C1901" t="s">
        <v>15134</v>
      </c>
      <c r="D1901" t="s">
        <v>15135</v>
      </c>
      <c r="E1901">
        <v>73295001</v>
      </c>
      <c r="F1901" t="s">
        <v>15145</v>
      </c>
      <c r="G1901" t="b">
        <v>1</v>
      </c>
      <c r="H1901" t="s">
        <v>16179</v>
      </c>
    </row>
    <row r="1902" spans="1:8" hidden="1" x14ac:dyDescent="0.25">
      <c r="A1902">
        <v>9009</v>
      </c>
      <c r="B1902" t="s">
        <v>15311</v>
      </c>
      <c r="C1902" t="s">
        <v>15134</v>
      </c>
      <c r="D1902" t="s">
        <v>15135</v>
      </c>
      <c r="E1902">
        <v>73019001</v>
      </c>
    </row>
    <row r="1903" spans="1:8" hidden="1" x14ac:dyDescent="0.25">
      <c r="A1903">
        <v>9371</v>
      </c>
      <c r="B1903" t="s">
        <v>15495</v>
      </c>
      <c r="C1903" t="s">
        <v>15134</v>
      </c>
      <c r="D1903" t="s">
        <v>15135</v>
      </c>
      <c r="E1903">
        <v>73231001</v>
      </c>
    </row>
    <row r="1904" spans="1:8" hidden="1" x14ac:dyDescent="0.25">
      <c r="A1904">
        <v>87947</v>
      </c>
      <c r="B1904" t="s">
        <v>16358</v>
      </c>
      <c r="C1904" t="s">
        <v>15134</v>
      </c>
      <c r="D1904" t="s">
        <v>15135</v>
      </c>
      <c r="E1904">
        <v>73536001</v>
      </c>
      <c r="F1904" t="s">
        <v>15138</v>
      </c>
      <c r="G1904" t="b">
        <v>0</v>
      </c>
      <c r="H1904" t="s">
        <v>16359</v>
      </c>
    </row>
    <row r="1905" spans="1:8" hidden="1" x14ac:dyDescent="0.25">
      <c r="A1905">
        <v>87947</v>
      </c>
      <c r="B1905" t="s">
        <v>16358</v>
      </c>
      <c r="C1905" t="s">
        <v>15134</v>
      </c>
      <c r="D1905" t="s">
        <v>15135</v>
      </c>
      <c r="E1905">
        <v>73536001</v>
      </c>
      <c r="F1905" t="s">
        <v>15145</v>
      </c>
      <c r="G1905" t="b">
        <v>1</v>
      </c>
      <c r="H1905" t="s">
        <v>16357</v>
      </c>
    </row>
    <row r="1906" spans="1:8" hidden="1" x14ac:dyDescent="0.25">
      <c r="A1906">
        <v>87305</v>
      </c>
      <c r="B1906" t="s">
        <v>16343</v>
      </c>
      <c r="C1906" t="s">
        <v>15134</v>
      </c>
      <c r="D1906" t="s">
        <v>15135</v>
      </c>
      <c r="E1906">
        <v>73526000</v>
      </c>
      <c r="F1906" t="s">
        <v>15138</v>
      </c>
      <c r="G1906" t="b">
        <v>1</v>
      </c>
      <c r="H1906" t="s">
        <v>16344</v>
      </c>
    </row>
    <row r="1907" spans="1:8" hidden="1" x14ac:dyDescent="0.25">
      <c r="A1907">
        <v>87305</v>
      </c>
      <c r="B1907" t="s">
        <v>16343</v>
      </c>
      <c r="C1907" t="s">
        <v>15134</v>
      </c>
      <c r="D1907" t="s">
        <v>15135</v>
      </c>
      <c r="E1907">
        <v>73526000</v>
      </c>
      <c r="F1907" t="s">
        <v>15136</v>
      </c>
      <c r="G1907" t="b">
        <v>1</v>
      </c>
      <c r="H1907" t="s">
        <v>16344</v>
      </c>
    </row>
    <row r="1908" spans="1:8" hidden="1" x14ac:dyDescent="0.25">
      <c r="A1908">
        <v>85938</v>
      </c>
      <c r="B1908" t="s">
        <v>16314</v>
      </c>
      <c r="C1908" t="s">
        <v>15134</v>
      </c>
      <c r="D1908" t="s">
        <v>15135</v>
      </c>
      <c r="E1908">
        <v>79304011</v>
      </c>
      <c r="F1908" t="s">
        <v>15136</v>
      </c>
      <c r="G1908" t="b">
        <v>1</v>
      </c>
      <c r="H1908" t="s">
        <v>16315</v>
      </c>
    </row>
    <row r="1909" spans="1:8" hidden="1" x14ac:dyDescent="0.25">
      <c r="A1909">
        <v>85938</v>
      </c>
      <c r="B1909" t="s">
        <v>16314</v>
      </c>
      <c r="C1909" t="s">
        <v>15134</v>
      </c>
      <c r="D1909" t="s">
        <v>15135</v>
      </c>
      <c r="E1909">
        <v>79304011</v>
      </c>
      <c r="F1909" t="s">
        <v>15138</v>
      </c>
      <c r="G1909" t="b">
        <v>1</v>
      </c>
      <c r="H1909" t="s">
        <v>16315</v>
      </c>
    </row>
    <row r="1910" spans="1:8" hidden="1" x14ac:dyDescent="0.25">
      <c r="A1910">
        <v>8759</v>
      </c>
      <c r="B1910" t="s">
        <v>15255</v>
      </c>
      <c r="C1910" t="s">
        <v>15134</v>
      </c>
      <c r="D1910" t="s">
        <v>15135</v>
      </c>
      <c r="E1910">
        <v>72403000</v>
      </c>
    </row>
    <row r="1911" spans="1:8" hidden="1" x14ac:dyDescent="0.25">
      <c r="A1911">
        <v>8760</v>
      </c>
      <c r="B1911" t="s">
        <v>15256</v>
      </c>
      <c r="C1911" t="s">
        <v>15134</v>
      </c>
      <c r="D1911" t="s">
        <v>15135</v>
      </c>
      <c r="E1911">
        <v>72403001</v>
      </c>
    </row>
    <row r="1912" spans="1:8" hidden="1" x14ac:dyDescent="0.25">
      <c r="A1912">
        <v>8688</v>
      </c>
      <c r="B1912" t="s">
        <v>15200</v>
      </c>
      <c r="C1912" t="s">
        <v>15134</v>
      </c>
      <c r="D1912" t="s">
        <v>15135</v>
      </c>
      <c r="E1912">
        <v>72223000</v>
      </c>
    </row>
    <row r="1913" spans="1:8" hidden="1" x14ac:dyDescent="0.25">
      <c r="A1913">
        <v>8689</v>
      </c>
      <c r="B1913" t="s">
        <v>15200</v>
      </c>
      <c r="C1913" t="s">
        <v>15134</v>
      </c>
      <c r="D1913" t="s">
        <v>15135</v>
      </c>
      <c r="E1913">
        <v>72223001</v>
      </c>
    </row>
    <row r="1914" spans="1:8" hidden="1" x14ac:dyDescent="0.25">
      <c r="A1914">
        <v>79827</v>
      </c>
      <c r="B1914" t="s">
        <v>16017</v>
      </c>
      <c r="C1914" t="s">
        <v>15134</v>
      </c>
      <c r="D1914" t="s">
        <v>15135</v>
      </c>
      <c r="E1914">
        <v>72432000</v>
      </c>
      <c r="F1914" t="s">
        <v>15138</v>
      </c>
      <c r="G1914" t="b">
        <v>1</v>
      </c>
      <c r="H1914" t="s">
        <v>16018</v>
      </c>
    </row>
    <row r="1915" spans="1:8" hidden="1" x14ac:dyDescent="0.25">
      <c r="A1915">
        <v>79827</v>
      </c>
      <c r="B1915" t="s">
        <v>16017</v>
      </c>
      <c r="C1915" t="s">
        <v>15134</v>
      </c>
      <c r="D1915" t="s">
        <v>15135</v>
      </c>
      <c r="E1915">
        <v>72432000</v>
      </c>
      <c r="F1915" t="s">
        <v>15145</v>
      </c>
      <c r="G1915" t="b">
        <v>1</v>
      </c>
      <c r="H1915" t="s">
        <v>16018</v>
      </c>
    </row>
    <row r="1916" spans="1:8" hidden="1" x14ac:dyDescent="0.25">
      <c r="A1916">
        <v>90898</v>
      </c>
      <c r="B1916" t="s">
        <v>16716</v>
      </c>
      <c r="C1916" t="s">
        <v>15134</v>
      </c>
      <c r="D1916" t="s">
        <v>15135</v>
      </c>
      <c r="E1916">
        <v>73715001</v>
      </c>
      <c r="F1916" t="s">
        <v>15145</v>
      </c>
      <c r="G1916" t="b">
        <v>1</v>
      </c>
      <c r="H1916" t="s">
        <v>16715</v>
      </c>
    </row>
    <row r="1917" spans="1:8" hidden="1" x14ac:dyDescent="0.25">
      <c r="A1917">
        <v>8523</v>
      </c>
      <c r="B1917" t="s">
        <v>15160</v>
      </c>
      <c r="C1917" t="s">
        <v>15134</v>
      </c>
      <c r="D1917" t="s">
        <v>15135</v>
      </c>
      <c r="E1917">
        <v>32204000</v>
      </c>
    </row>
    <row r="1918" spans="1:8" hidden="1" x14ac:dyDescent="0.25">
      <c r="A1918">
        <v>8524</v>
      </c>
      <c r="B1918" t="s">
        <v>15160</v>
      </c>
      <c r="C1918" t="s">
        <v>15134</v>
      </c>
      <c r="D1918" t="s">
        <v>15135</v>
      </c>
      <c r="E1918">
        <v>32204001</v>
      </c>
    </row>
    <row r="1919" spans="1:8" hidden="1" x14ac:dyDescent="0.25">
      <c r="A1919">
        <v>9116</v>
      </c>
      <c r="B1919" t="s">
        <v>15368</v>
      </c>
      <c r="C1919" t="s">
        <v>15134</v>
      </c>
      <c r="D1919" t="s">
        <v>15135</v>
      </c>
      <c r="E1919">
        <v>73083002</v>
      </c>
    </row>
    <row r="1920" spans="1:8" hidden="1" x14ac:dyDescent="0.25">
      <c r="A1920">
        <v>92306</v>
      </c>
      <c r="B1920" t="s">
        <v>16848</v>
      </c>
      <c r="C1920" t="s">
        <v>15134</v>
      </c>
      <c r="D1920" t="s">
        <v>15135</v>
      </c>
      <c r="E1920">
        <v>103148001</v>
      </c>
    </row>
    <row r="1921" spans="1:8" hidden="1" x14ac:dyDescent="0.25">
      <c r="A1921">
        <v>92305</v>
      </c>
      <c r="B1921" t="s">
        <v>16846</v>
      </c>
      <c r="C1921" t="s">
        <v>15134</v>
      </c>
      <c r="D1921" t="s">
        <v>15135</v>
      </c>
      <c r="E1921">
        <v>103148000</v>
      </c>
      <c r="F1921" t="s">
        <v>15138</v>
      </c>
      <c r="G1921" t="b">
        <v>1</v>
      </c>
      <c r="H1921" t="s">
        <v>16847</v>
      </c>
    </row>
    <row r="1922" spans="1:8" hidden="1" x14ac:dyDescent="0.25">
      <c r="A1922">
        <v>92305</v>
      </c>
      <c r="B1922" t="s">
        <v>16846</v>
      </c>
      <c r="C1922" t="s">
        <v>15134</v>
      </c>
      <c r="D1922" t="s">
        <v>15135</v>
      </c>
      <c r="E1922">
        <v>103148000</v>
      </c>
      <c r="F1922" t="s">
        <v>15136</v>
      </c>
      <c r="G1922" t="b">
        <v>1</v>
      </c>
      <c r="H1922" t="s">
        <v>16847</v>
      </c>
    </row>
    <row r="1923" spans="1:8" hidden="1" x14ac:dyDescent="0.25">
      <c r="A1923">
        <v>79370</v>
      </c>
      <c r="B1923" t="s">
        <v>15963</v>
      </c>
      <c r="C1923" t="s">
        <v>15134</v>
      </c>
      <c r="D1923" t="s">
        <v>15135</v>
      </c>
      <c r="E1923">
        <v>72427001</v>
      </c>
      <c r="F1923" t="s">
        <v>15138</v>
      </c>
      <c r="G1923" t="b">
        <v>1</v>
      </c>
      <c r="H1923" t="s">
        <v>15962</v>
      </c>
    </row>
    <row r="1924" spans="1:8" hidden="1" x14ac:dyDescent="0.25">
      <c r="A1924">
        <v>79370</v>
      </c>
      <c r="B1924" t="s">
        <v>15963</v>
      </c>
      <c r="C1924" t="s">
        <v>15134</v>
      </c>
      <c r="D1924" t="s">
        <v>15135</v>
      </c>
      <c r="E1924">
        <v>72427001</v>
      </c>
      <c r="F1924" t="s">
        <v>15145</v>
      </c>
      <c r="G1924" t="b">
        <v>1</v>
      </c>
      <c r="H1924" t="s">
        <v>15962</v>
      </c>
    </row>
    <row r="1925" spans="1:8" hidden="1" x14ac:dyDescent="0.25">
      <c r="A1925">
        <v>84311</v>
      </c>
      <c r="B1925" t="s">
        <v>16283</v>
      </c>
      <c r="C1925" t="s">
        <v>15134</v>
      </c>
      <c r="D1925" t="s">
        <v>15135</v>
      </c>
      <c r="E1925">
        <v>103123001</v>
      </c>
      <c r="F1925" t="s">
        <v>15145</v>
      </c>
      <c r="G1925" t="b">
        <v>1</v>
      </c>
      <c r="H1925" t="s">
        <v>16282</v>
      </c>
    </row>
    <row r="1926" spans="1:8" hidden="1" x14ac:dyDescent="0.25">
      <c r="A1926">
        <v>84311</v>
      </c>
      <c r="B1926" t="s">
        <v>16283</v>
      </c>
      <c r="C1926" t="s">
        <v>15134</v>
      </c>
      <c r="D1926" t="s">
        <v>15135</v>
      </c>
      <c r="E1926">
        <v>103123001</v>
      </c>
      <c r="F1926" t="s">
        <v>15138</v>
      </c>
      <c r="G1926" t="b">
        <v>1</v>
      </c>
      <c r="H1926" t="s">
        <v>16282</v>
      </c>
    </row>
    <row r="1927" spans="1:8" hidden="1" x14ac:dyDescent="0.25">
      <c r="A1927">
        <v>91817</v>
      </c>
      <c r="B1927" t="s">
        <v>16797</v>
      </c>
      <c r="C1927" t="s">
        <v>15134</v>
      </c>
      <c r="D1927" t="s">
        <v>15135</v>
      </c>
      <c r="E1927">
        <v>103136001</v>
      </c>
      <c r="F1927" t="s">
        <v>15138</v>
      </c>
      <c r="G1927" t="b">
        <v>1</v>
      </c>
      <c r="H1927" t="s">
        <v>16798</v>
      </c>
    </row>
    <row r="1928" spans="1:8" hidden="1" x14ac:dyDescent="0.25">
      <c r="A1928">
        <v>91817</v>
      </c>
      <c r="B1928" t="s">
        <v>16797</v>
      </c>
      <c r="C1928" t="s">
        <v>15134</v>
      </c>
      <c r="D1928" t="s">
        <v>15135</v>
      </c>
      <c r="E1928">
        <v>103136001</v>
      </c>
      <c r="F1928" t="s">
        <v>15145</v>
      </c>
      <c r="G1928" t="b">
        <v>1</v>
      </c>
      <c r="H1928" t="s">
        <v>16799</v>
      </c>
    </row>
    <row r="1929" spans="1:8" hidden="1" x14ac:dyDescent="0.25">
      <c r="A1929">
        <v>79774</v>
      </c>
      <c r="B1929" t="s">
        <v>16005</v>
      </c>
      <c r="C1929" t="s">
        <v>15134</v>
      </c>
      <c r="D1929" t="s">
        <v>15135</v>
      </c>
      <c r="E1929">
        <v>72428000</v>
      </c>
      <c r="F1929" t="s">
        <v>15138</v>
      </c>
      <c r="G1929" t="b">
        <v>1</v>
      </c>
      <c r="H1929" t="s">
        <v>16006</v>
      </c>
    </row>
    <row r="1930" spans="1:8" hidden="1" x14ac:dyDescent="0.25">
      <c r="A1930">
        <v>79774</v>
      </c>
      <c r="B1930" t="s">
        <v>16005</v>
      </c>
      <c r="C1930" t="s">
        <v>15134</v>
      </c>
      <c r="D1930" t="s">
        <v>15135</v>
      </c>
      <c r="E1930">
        <v>72428000</v>
      </c>
      <c r="F1930" t="s">
        <v>15145</v>
      </c>
      <c r="G1930" t="b">
        <v>1</v>
      </c>
      <c r="H1930" t="s">
        <v>16006</v>
      </c>
    </row>
    <row r="1931" spans="1:8" hidden="1" x14ac:dyDescent="0.25">
      <c r="A1931">
        <v>79775</v>
      </c>
      <c r="B1931" t="s">
        <v>16005</v>
      </c>
      <c r="C1931" t="s">
        <v>15134</v>
      </c>
      <c r="D1931" t="s">
        <v>15135</v>
      </c>
      <c r="E1931">
        <v>72428001</v>
      </c>
      <c r="F1931" t="s">
        <v>15138</v>
      </c>
      <c r="G1931" t="b">
        <v>1</v>
      </c>
      <c r="H1931" t="s">
        <v>16006</v>
      </c>
    </row>
    <row r="1932" spans="1:8" hidden="1" x14ac:dyDescent="0.25">
      <c r="A1932">
        <v>79775</v>
      </c>
      <c r="B1932" t="s">
        <v>16005</v>
      </c>
      <c r="C1932" t="s">
        <v>15134</v>
      </c>
      <c r="D1932" t="s">
        <v>15135</v>
      </c>
      <c r="E1932">
        <v>72428001</v>
      </c>
      <c r="F1932" t="s">
        <v>15145</v>
      </c>
      <c r="G1932" t="b">
        <v>1</v>
      </c>
      <c r="H1932" t="s">
        <v>16006</v>
      </c>
    </row>
    <row r="1933" spans="1:8" hidden="1" x14ac:dyDescent="0.25">
      <c r="A1933">
        <v>624184</v>
      </c>
      <c r="B1933" t="s">
        <v>17014</v>
      </c>
      <c r="C1933" t="s">
        <v>15134</v>
      </c>
      <c r="D1933" t="s">
        <v>15135</v>
      </c>
      <c r="E1933">
        <v>72455001</v>
      </c>
      <c r="F1933" t="s">
        <v>15138</v>
      </c>
      <c r="G1933" t="b">
        <v>1</v>
      </c>
      <c r="H1933" t="s">
        <v>16987</v>
      </c>
    </row>
    <row r="1934" spans="1:8" hidden="1" x14ac:dyDescent="0.25">
      <c r="A1934">
        <v>624184</v>
      </c>
      <c r="B1934" t="s">
        <v>17014</v>
      </c>
      <c r="C1934" t="s">
        <v>15134</v>
      </c>
      <c r="D1934" t="s">
        <v>15135</v>
      </c>
      <c r="E1934">
        <v>72455001</v>
      </c>
      <c r="F1934" t="s">
        <v>15136</v>
      </c>
      <c r="G1934" t="b">
        <v>1</v>
      </c>
      <c r="H1934" t="s">
        <v>16987</v>
      </c>
    </row>
    <row r="1935" spans="1:8" hidden="1" x14ac:dyDescent="0.25">
      <c r="A1935">
        <v>308573</v>
      </c>
      <c r="B1935" t="s">
        <v>16986</v>
      </c>
      <c r="C1935" t="s">
        <v>15134</v>
      </c>
      <c r="D1935" t="s">
        <v>15135</v>
      </c>
      <c r="E1935">
        <v>72455000</v>
      </c>
      <c r="F1935" t="s">
        <v>15138</v>
      </c>
      <c r="G1935" t="b">
        <v>1</v>
      </c>
      <c r="H1935" t="s">
        <v>16987</v>
      </c>
    </row>
    <row r="1936" spans="1:8" hidden="1" x14ac:dyDescent="0.25">
      <c r="A1936">
        <v>308573</v>
      </c>
      <c r="B1936" t="s">
        <v>16986</v>
      </c>
      <c r="C1936" t="s">
        <v>15134</v>
      </c>
      <c r="D1936" t="s">
        <v>15135</v>
      </c>
      <c r="E1936">
        <v>72455000</v>
      </c>
      <c r="F1936" t="s">
        <v>15136</v>
      </c>
      <c r="G1936" t="b">
        <v>1</v>
      </c>
      <c r="H1936" t="s">
        <v>16988</v>
      </c>
    </row>
    <row r="1937" spans="1:8" hidden="1" x14ac:dyDescent="0.25">
      <c r="A1937">
        <v>90131</v>
      </c>
      <c r="B1937" t="s">
        <v>16559</v>
      </c>
      <c r="C1937" t="s">
        <v>15134</v>
      </c>
      <c r="D1937" t="s">
        <v>15135</v>
      </c>
      <c r="E1937">
        <v>83024001</v>
      </c>
      <c r="F1937" t="s">
        <v>15138</v>
      </c>
      <c r="G1937" t="b">
        <v>0</v>
      </c>
      <c r="H1937" t="s">
        <v>16560</v>
      </c>
    </row>
    <row r="1938" spans="1:8" hidden="1" x14ac:dyDescent="0.25">
      <c r="A1938">
        <v>90131</v>
      </c>
      <c r="B1938" t="s">
        <v>16559</v>
      </c>
      <c r="C1938" t="s">
        <v>15134</v>
      </c>
      <c r="D1938" t="s">
        <v>15135</v>
      </c>
      <c r="E1938">
        <v>83024001</v>
      </c>
      <c r="F1938" t="s">
        <v>15145</v>
      </c>
      <c r="G1938" t="b">
        <v>0</v>
      </c>
      <c r="H1938" t="s">
        <v>16560</v>
      </c>
    </row>
    <row r="1939" spans="1:8" hidden="1" x14ac:dyDescent="0.25">
      <c r="A1939">
        <v>90130</v>
      </c>
      <c r="B1939" t="s">
        <v>16557</v>
      </c>
      <c r="C1939" t="s">
        <v>15134</v>
      </c>
      <c r="D1939" t="s">
        <v>15135</v>
      </c>
      <c r="E1939">
        <v>83024000</v>
      </c>
      <c r="F1939" t="s">
        <v>15138</v>
      </c>
      <c r="G1939" t="b">
        <v>1</v>
      </c>
      <c r="H1939" t="s">
        <v>16558</v>
      </c>
    </row>
    <row r="1940" spans="1:8" hidden="1" x14ac:dyDescent="0.25">
      <c r="A1940">
        <v>90130</v>
      </c>
      <c r="B1940" t="s">
        <v>16557</v>
      </c>
      <c r="C1940" t="s">
        <v>15134</v>
      </c>
      <c r="D1940" t="s">
        <v>15135</v>
      </c>
      <c r="E1940">
        <v>83024000</v>
      </c>
      <c r="F1940" t="s">
        <v>15136</v>
      </c>
      <c r="G1940" t="b">
        <v>1</v>
      </c>
      <c r="H1940" t="s">
        <v>16558</v>
      </c>
    </row>
    <row r="1941" spans="1:8" hidden="1" x14ac:dyDescent="0.25">
      <c r="A1941">
        <v>92811</v>
      </c>
      <c r="B1941" t="s">
        <v>16939</v>
      </c>
      <c r="C1941" t="s">
        <v>15134</v>
      </c>
      <c r="D1941" t="s">
        <v>15135</v>
      </c>
      <c r="E1941">
        <v>142212000</v>
      </c>
      <c r="F1941" t="s">
        <v>15136</v>
      </c>
      <c r="G1941" t="b">
        <v>1</v>
      </c>
      <c r="H1941" t="s">
        <v>16940</v>
      </c>
    </row>
    <row r="1942" spans="1:8" hidden="1" x14ac:dyDescent="0.25">
      <c r="A1942">
        <v>92811</v>
      </c>
      <c r="B1942" t="s">
        <v>16939</v>
      </c>
      <c r="C1942" t="s">
        <v>15134</v>
      </c>
      <c r="D1942" t="s">
        <v>15135</v>
      </c>
      <c r="E1942">
        <v>142212000</v>
      </c>
      <c r="F1942" t="s">
        <v>15138</v>
      </c>
      <c r="G1942" t="b">
        <v>1</v>
      </c>
      <c r="H1942" t="s">
        <v>16940</v>
      </c>
    </row>
    <row r="1943" spans="1:8" hidden="1" x14ac:dyDescent="0.25">
      <c r="A1943">
        <v>92812</v>
      </c>
      <c r="B1943" t="s">
        <v>16939</v>
      </c>
      <c r="C1943" t="s">
        <v>15134</v>
      </c>
      <c r="D1943" t="s">
        <v>15135</v>
      </c>
      <c r="E1943">
        <v>142212001</v>
      </c>
      <c r="F1943" t="s">
        <v>15136</v>
      </c>
      <c r="G1943" t="b">
        <v>1</v>
      </c>
      <c r="H1943" t="s">
        <v>16940</v>
      </c>
    </row>
    <row r="1944" spans="1:8" hidden="1" x14ac:dyDescent="0.25">
      <c r="A1944">
        <v>92812</v>
      </c>
      <c r="B1944" t="s">
        <v>16939</v>
      </c>
      <c r="C1944" t="s">
        <v>15134</v>
      </c>
      <c r="D1944" t="s">
        <v>15135</v>
      </c>
      <c r="E1944">
        <v>142212001</v>
      </c>
      <c r="F1944" t="s">
        <v>15138</v>
      </c>
      <c r="G1944" t="b">
        <v>1</v>
      </c>
      <c r="H1944" t="s">
        <v>16940</v>
      </c>
    </row>
    <row r="1945" spans="1:8" hidden="1" x14ac:dyDescent="0.25">
      <c r="A1945">
        <v>9238</v>
      </c>
      <c r="B1945" t="s">
        <v>15427</v>
      </c>
      <c r="C1945" t="s">
        <v>15134</v>
      </c>
      <c r="D1945" t="s">
        <v>15135</v>
      </c>
      <c r="E1945">
        <v>73169001</v>
      </c>
    </row>
    <row r="1946" spans="1:8" hidden="1" x14ac:dyDescent="0.25">
      <c r="A1946">
        <v>1001513</v>
      </c>
      <c r="B1946" t="s">
        <v>17209</v>
      </c>
      <c r="C1946" t="s">
        <v>15134</v>
      </c>
      <c r="D1946" t="s">
        <v>15135</v>
      </c>
      <c r="E1946">
        <v>73727001</v>
      </c>
      <c r="F1946" t="s">
        <v>15138</v>
      </c>
      <c r="G1946" t="b">
        <v>0</v>
      </c>
      <c r="H1946" t="s">
        <v>17204</v>
      </c>
    </row>
    <row r="1947" spans="1:8" hidden="1" x14ac:dyDescent="0.25">
      <c r="A1947">
        <v>1001513</v>
      </c>
      <c r="B1947" t="s">
        <v>17209</v>
      </c>
      <c r="C1947" t="s">
        <v>15134</v>
      </c>
      <c r="D1947" t="s">
        <v>15135</v>
      </c>
      <c r="E1947">
        <v>73727001</v>
      </c>
      <c r="F1947" t="s">
        <v>15136</v>
      </c>
      <c r="G1947" t="b">
        <v>1</v>
      </c>
      <c r="H1947" t="s">
        <v>17205</v>
      </c>
    </row>
    <row r="1948" spans="1:8" hidden="1" x14ac:dyDescent="0.25">
      <c r="A1948">
        <v>9943</v>
      </c>
      <c r="B1948" t="s">
        <v>15741</v>
      </c>
      <c r="C1948" t="s">
        <v>15134</v>
      </c>
      <c r="D1948" t="s">
        <v>15135</v>
      </c>
      <c r="E1948">
        <v>103063001</v>
      </c>
    </row>
    <row r="1949" spans="1:8" hidden="1" x14ac:dyDescent="0.25">
      <c r="A1949">
        <v>9973</v>
      </c>
      <c r="B1949" t="s">
        <v>15759</v>
      </c>
      <c r="C1949" t="s">
        <v>15134</v>
      </c>
      <c r="D1949" t="s">
        <v>15135</v>
      </c>
      <c r="E1949">
        <v>103078001</v>
      </c>
    </row>
    <row r="1950" spans="1:8" hidden="1" x14ac:dyDescent="0.25">
      <c r="A1950">
        <v>10054</v>
      </c>
      <c r="B1950" t="s">
        <v>15759</v>
      </c>
      <c r="C1950" t="s">
        <v>15134</v>
      </c>
      <c r="D1950" t="s">
        <v>15135</v>
      </c>
      <c r="E1950">
        <v>103107001</v>
      </c>
    </row>
    <row r="1951" spans="1:8" hidden="1" x14ac:dyDescent="0.25">
      <c r="A1951">
        <v>8782</v>
      </c>
      <c r="B1951" t="s">
        <v>15274</v>
      </c>
      <c r="C1951" t="s">
        <v>15134</v>
      </c>
      <c r="D1951" t="s">
        <v>15135</v>
      </c>
      <c r="E1951">
        <v>72409002</v>
      </c>
    </row>
    <row r="1952" spans="1:8" hidden="1" x14ac:dyDescent="0.25">
      <c r="A1952">
        <v>9099</v>
      </c>
      <c r="B1952" t="s">
        <v>15359</v>
      </c>
      <c r="C1952" t="s">
        <v>15134</v>
      </c>
      <c r="D1952" t="s">
        <v>15135</v>
      </c>
      <c r="E1952">
        <v>73073001</v>
      </c>
    </row>
    <row r="1953" spans="1:8" hidden="1" x14ac:dyDescent="0.25">
      <c r="A1953">
        <v>9228</v>
      </c>
      <c r="B1953" t="s">
        <v>15423</v>
      </c>
      <c r="C1953" t="s">
        <v>15134</v>
      </c>
      <c r="D1953" t="s">
        <v>15135</v>
      </c>
      <c r="E1953">
        <v>73162001</v>
      </c>
    </row>
    <row r="1954" spans="1:8" hidden="1" x14ac:dyDescent="0.25">
      <c r="A1954">
        <v>9407</v>
      </c>
      <c r="B1954" t="s">
        <v>15423</v>
      </c>
      <c r="C1954" t="s">
        <v>15134</v>
      </c>
      <c r="D1954" t="s">
        <v>15135</v>
      </c>
      <c r="E1954">
        <v>73249001</v>
      </c>
    </row>
    <row r="1955" spans="1:8" hidden="1" x14ac:dyDescent="0.25">
      <c r="A1955">
        <v>9500</v>
      </c>
      <c r="B1955" t="s">
        <v>15572</v>
      </c>
      <c r="C1955" t="s">
        <v>15134</v>
      </c>
      <c r="D1955" t="s">
        <v>15135</v>
      </c>
      <c r="E1955">
        <v>73278002</v>
      </c>
    </row>
    <row r="1956" spans="1:8" hidden="1" x14ac:dyDescent="0.25">
      <c r="A1956">
        <v>88063</v>
      </c>
      <c r="B1956" t="s">
        <v>16360</v>
      </c>
      <c r="C1956" t="s">
        <v>15134</v>
      </c>
      <c r="D1956" t="s">
        <v>15135</v>
      </c>
      <c r="E1956">
        <v>23012001</v>
      </c>
      <c r="F1956" t="s">
        <v>15145</v>
      </c>
      <c r="G1956" t="b">
        <v>1</v>
      </c>
      <c r="H1956" t="s">
        <v>16361</v>
      </c>
    </row>
    <row r="1957" spans="1:8" hidden="1" x14ac:dyDescent="0.25">
      <c r="A1957">
        <v>88063</v>
      </c>
      <c r="B1957" t="s">
        <v>16360</v>
      </c>
      <c r="C1957" t="s">
        <v>15134</v>
      </c>
      <c r="D1957" t="s">
        <v>15135</v>
      </c>
      <c r="E1957">
        <v>23012001</v>
      </c>
      <c r="F1957" t="s">
        <v>15138</v>
      </c>
      <c r="G1957" t="b">
        <v>1</v>
      </c>
      <c r="H1957" t="s">
        <v>16361</v>
      </c>
    </row>
    <row r="1958" spans="1:8" hidden="1" x14ac:dyDescent="0.25">
      <c r="A1958">
        <v>8608</v>
      </c>
      <c r="B1958" t="s">
        <v>15173</v>
      </c>
      <c r="C1958" t="s">
        <v>15134</v>
      </c>
      <c r="D1958" t="s">
        <v>15135</v>
      </c>
      <c r="E1958">
        <v>63006001</v>
      </c>
    </row>
    <row r="1959" spans="1:8" hidden="1" x14ac:dyDescent="0.25">
      <c r="A1959">
        <v>80510</v>
      </c>
      <c r="B1959" t="s">
        <v>16083</v>
      </c>
      <c r="C1959" t="s">
        <v>15134</v>
      </c>
      <c r="D1959" t="s">
        <v>15135</v>
      </c>
      <c r="E1959">
        <v>32210008</v>
      </c>
      <c r="F1959" t="s">
        <v>15145</v>
      </c>
      <c r="G1959" t="b">
        <v>1</v>
      </c>
      <c r="H1959" t="s">
        <v>16084</v>
      </c>
    </row>
    <row r="1960" spans="1:8" hidden="1" x14ac:dyDescent="0.25">
      <c r="A1960">
        <v>80510</v>
      </c>
      <c r="B1960" t="s">
        <v>16083</v>
      </c>
      <c r="C1960" t="s">
        <v>15134</v>
      </c>
      <c r="D1960" t="s">
        <v>15135</v>
      </c>
      <c r="E1960">
        <v>32210008</v>
      </c>
      <c r="F1960" t="s">
        <v>15138</v>
      </c>
      <c r="G1960" t="b">
        <v>1</v>
      </c>
      <c r="H1960" t="s">
        <v>15960</v>
      </c>
    </row>
    <row r="1961" spans="1:8" hidden="1" x14ac:dyDescent="0.25">
      <c r="A1961">
        <v>90499</v>
      </c>
      <c r="B1961" t="s">
        <v>16636</v>
      </c>
      <c r="C1961" t="s">
        <v>15134</v>
      </c>
      <c r="D1961" t="s">
        <v>15135</v>
      </c>
      <c r="E1961">
        <v>103216001</v>
      </c>
      <c r="F1961" t="s">
        <v>15145</v>
      </c>
      <c r="G1961" t="b">
        <v>1</v>
      </c>
      <c r="H1961" t="s">
        <v>16637</v>
      </c>
    </row>
    <row r="1962" spans="1:8" hidden="1" x14ac:dyDescent="0.25">
      <c r="A1962">
        <v>9391</v>
      </c>
      <c r="B1962" t="s">
        <v>15505</v>
      </c>
      <c r="C1962" t="s">
        <v>15134</v>
      </c>
      <c r="D1962" t="s">
        <v>15135</v>
      </c>
      <c r="E1962">
        <v>73241001</v>
      </c>
    </row>
    <row r="1963" spans="1:8" hidden="1" x14ac:dyDescent="0.25">
      <c r="A1963">
        <v>9531</v>
      </c>
      <c r="B1963" t="s">
        <v>15584</v>
      </c>
      <c r="C1963" t="s">
        <v>15134</v>
      </c>
      <c r="D1963" t="s">
        <v>15135</v>
      </c>
      <c r="E1963">
        <v>73291001</v>
      </c>
    </row>
    <row r="1964" spans="1:8" hidden="1" x14ac:dyDescent="0.25">
      <c r="A1964">
        <v>90452</v>
      </c>
      <c r="B1964" t="s">
        <v>16617</v>
      </c>
      <c r="C1964" t="s">
        <v>15134</v>
      </c>
      <c r="D1964" t="s">
        <v>15135</v>
      </c>
      <c r="E1964">
        <v>23015000</v>
      </c>
      <c r="F1964" t="s">
        <v>15138</v>
      </c>
      <c r="G1964" t="b">
        <v>1</v>
      </c>
      <c r="H1964" t="s">
        <v>16618</v>
      </c>
    </row>
    <row r="1965" spans="1:8" hidden="1" x14ac:dyDescent="0.25">
      <c r="A1965">
        <v>90452</v>
      </c>
      <c r="B1965" t="s">
        <v>16617</v>
      </c>
      <c r="C1965" t="s">
        <v>15134</v>
      </c>
      <c r="D1965" t="s">
        <v>15135</v>
      </c>
      <c r="E1965">
        <v>23015000</v>
      </c>
      <c r="F1965" t="s">
        <v>15136</v>
      </c>
      <c r="G1965" t="b">
        <v>1</v>
      </c>
      <c r="H1965" t="s">
        <v>16618</v>
      </c>
    </row>
    <row r="1966" spans="1:8" hidden="1" x14ac:dyDescent="0.25">
      <c r="A1966">
        <v>90453</v>
      </c>
      <c r="B1966" t="s">
        <v>16617</v>
      </c>
      <c r="C1966" t="s">
        <v>15134</v>
      </c>
      <c r="D1966" t="s">
        <v>15135</v>
      </c>
      <c r="E1966">
        <v>23015001</v>
      </c>
      <c r="F1966" t="s">
        <v>15145</v>
      </c>
      <c r="G1966" t="b">
        <v>1</v>
      </c>
      <c r="H1966" t="s">
        <v>16619</v>
      </c>
    </row>
    <row r="1967" spans="1:8" hidden="1" x14ac:dyDescent="0.25">
      <c r="A1967">
        <v>80538</v>
      </c>
      <c r="B1967" t="s">
        <v>16106</v>
      </c>
      <c r="C1967" t="s">
        <v>15134</v>
      </c>
      <c r="D1967" t="s">
        <v>15135</v>
      </c>
      <c r="E1967">
        <v>73291002</v>
      </c>
      <c r="F1967" t="s">
        <v>15138</v>
      </c>
      <c r="G1967" t="b">
        <v>1</v>
      </c>
      <c r="H1967" t="s">
        <v>16107</v>
      </c>
    </row>
    <row r="1968" spans="1:8" hidden="1" x14ac:dyDescent="0.25">
      <c r="A1968">
        <v>80538</v>
      </c>
      <c r="B1968" t="s">
        <v>16106</v>
      </c>
      <c r="C1968" t="s">
        <v>15134</v>
      </c>
      <c r="D1968" t="s">
        <v>15135</v>
      </c>
      <c r="E1968">
        <v>73291002</v>
      </c>
      <c r="F1968" t="s">
        <v>15145</v>
      </c>
      <c r="G1968" t="b">
        <v>1</v>
      </c>
      <c r="H1968" t="s">
        <v>16108</v>
      </c>
    </row>
    <row r="1969" spans="1:8" hidden="1" x14ac:dyDescent="0.25">
      <c r="A1969">
        <v>80912</v>
      </c>
      <c r="B1969" t="s">
        <v>16233</v>
      </c>
      <c r="C1969" t="s">
        <v>15134</v>
      </c>
      <c r="D1969" t="s">
        <v>15135</v>
      </c>
      <c r="E1969">
        <v>73493000</v>
      </c>
      <c r="F1969" t="s">
        <v>15138</v>
      </c>
      <c r="G1969" t="b">
        <v>1</v>
      </c>
      <c r="H1969" t="s">
        <v>16234</v>
      </c>
    </row>
    <row r="1970" spans="1:8" hidden="1" x14ac:dyDescent="0.25">
      <c r="A1970">
        <v>80912</v>
      </c>
      <c r="B1970" t="s">
        <v>16233</v>
      </c>
      <c r="C1970" t="s">
        <v>15134</v>
      </c>
      <c r="D1970" t="s">
        <v>15135</v>
      </c>
      <c r="E1970">
        <v>73493000</v>
      </c>
      <c r="F1970" t="s">
        <v>15145</v>
      </c>
      <c r="G1970" t="b">
        <v>1</v>
      </c>
      <c r="H1970" t="s">
        <v>16234</v>
      </c>
    </row>
    <row r="1971" spans="1:8" hidden="1" x14ac:dyDescent="0.25">
      <c r="A1971">
        <v>80913</v>
      </c>
      <c r="B1971" t="s">
        <v>16233</v>
      </c>
      <c r="C1971" t="s">
        <v>15134</v>
      </c>
      <c r="D1971" t="s">
        <v>15135</v>
      </c>
      <c r="E1971">
        <v>73493001</v>
      </c>
      <c r="F1971" t="s">
        <v>15138</v>
      </c>
      <c r="G1971" t="b">
        <v>1</v>
      </c>
      <c r="H1971" t="s">
        <v>16234</v>
      </c>
    </row>
    <row r="1972" spans="1:8" hidden="1" x14ac:dyDescent="0.25">
      <c r="A1972">
        <v>80913</v>
      </c>
      <c r="B1972" t="s">
        <v>16233</v>
      </c>
      <c r="C1972" t="s">
        <v>15134</v>
      </c>
      <c r="D1972" t="s">
        <v>15135</v>
      </c>
      <c r="E1972">
        <v>73493001</v>
      </c>
      <c r="F1972" t="s">
        <v>15145</v>
      </c>
      <c r="G1972" t="b">
        <v>1</v>
      </c>
      <c r="H1972" t="s">
        <v>16234</v>
      </c>
    </row>
    <row r="1973" spans="1:8" hidden="1" x14ac:dyDescent="0.25">
      <c r="A1973">
        <v>9636</v>
      </c>
      <c r="B1973" t="s">
        <v>15617</v>
      </c>
      <c r="C1973" t="s">
        <v>15134</v>
      </c>
      <c r="D1973" t="s">
        <v>15135</v>
      </c>
      <c r="E1973">
        <v>83007003</v>
      </c>
    </row>
    <row r="1974" spans="1:8" hidden="1" x14ac:dyDescent="0.25">
      <c r="A1974">
        <v>1000061</v>
      </c>
      <c r="B1974" t="s">
        <v>17038</v>
      </c>
      <c r="C1974" t="s">
        <v>15134</v>
      </c>
      <c r="D1974" t="s">
        <v>15135</v>
      </c>
      <c r="E1974">
        <v>73345000</v>
      </c>
      <c r="F1974" t="s">
        <v>15138</v>
      </c>
      <c r="G1974" t="b">
        <v>1</v>
      </c>
      <c r="H1974" t="s">
        <v>17039</v>
      </c>
    </row>
    <row r="1975" spans="1:8" hidden="1" x14ac:dyDescent="0.25">
      <c r="A1975">
        <v>1000061</v>
      </c>
      <c r="B1975" t="s">
        <v>17038</v>
      </c>
      <c r="C1975" t="s">
        <v>15134</v>
      </c>
      <c r="D1975" t="s">
        <v>15135</v>
      </c>
      <c r="E1975">
        <v>73345000</v>
      </c>
      <c r="F1975" t="s">
        <v>15136</v>
      </c>
      <c r="G1975" t="b">
        <v>1</v>
      </c>
      <c r="H1975" t="s">
        <v>17039</v>
      </c>
    </row>
    <row r="1976" spans="1:8" hidden="1" x14ac:dyDescent="0.25">
      <c r="A1976">
        <v>9765</v>
      </c>
      <c r="B1976" t="s">
        <v>15659</v>
      </c>
      <c r="C1976" t="s">
        <v>15134</v>
      </c>
      <c r="D1976" t="s">
        <v>15135</v>
      </c>
      <c r="E1976">
        <v>102243000</v>
      </c>
    </row>
    <row r="1977" spans="1:8" hidden="1" x14ac:dyDescent="0.25">
      <c r="A1977">
        <v>9729</v>
      </c>
      <c r="B1977" t="s">
        <v>15637</v>
      </c>
      <c r="C1977" t="s">
        <v>15134</v>
      </c>
      <c r="D1977" t="s">
        <v>15135</v>
      </c>
      <c r="E1977">
        <v>102205000</v>
      </c>
    </row>
    <row r="1978" spans="1:8" hidden="1" x14ac:dyDescent="0.25">
      <c r="A1978">
        <v>9725</v>
      </c>
      <c r="B1978" t="s">
        <v>15634</v>
      </c>
      <c r="C1978" t="s">
        <v>15134</v>
      </c>
      <c r="D1978" t="s">
        <v>15135</v>
      </c>
      <c r="E1978">
        <v>102202000</v>
      </c>
    </row>
    <row r="1979" spans="1:8" hidden="1" x14ac:dyDescent="0.25">
      <c r="A1979">
        <v>9763</v>
      </c>
      <c r="B1979" t="s">
        <v>15657</v>
      </c>
      <c r="C1979" t="s">
        <v>15134</v>
      </c>
      <c r="D1979" t="s">
        <v>15135</v>
      </c>
      <c r="E1979">
        <v>102242000</v>
      </c>
    </row>
    <row r="1980" spans="1:8" hidden="1" x14ac:dyDescent="0.25">
      <c r="A1980">
        <v>9800</v>
      </c>
      <c r="B1980" t="s">
        <v>15689</v>
      </c>
      <c r="C1980" t="s">
        <v>15134</v>
      </c>
      <c r="D1980" t="s">
        <v>15135</v>
      </c>
      <c r="E1980">
        <v>102255000</v>
      </c>
      <c r="F1980" t="s">
        <v>15145</v>
      </c>
      <c r="G1980" t="b">
        <v>0</v>
      </c>
      <c r="H1980" t="s">
        <v>15690</v>
      </c>
    </row>
    <row r="1981" spans="1:8" hidden="1" x14ac:dyDescent="0.25">
      <c r="A1981">
        <v>9927</v>
      </c>
      <c r="B1981" t="s">
        <v>15732</v>
      </c>
      <c r="C1981" t="s">
        <v>15134</v>
      </c>
      <c r="D1981" t="s">
        <v>15135</v>
      </c>
      <c r="E1981">
        <v>103055001</v>
      </c>
    </row>
    <row r="1982" spans="1:8" hidden="1" x14ac:dyDescent="0.25">
      <c r="A1982">
        <v>90796</v>
      </c>
      <c r="B1982" t="s">
        <v>16688</v>
      </c>
      <c r="C1982" t="s">
        <v>15134</v>
      </c>
      <c r="D1982" t="s">
        <v>15135</v>
      </c>
      <c r="E1982">
        <v>73711001</v>
      </c>
      <c r="F1982" t="s">
        <v>15145</v>
      </c>
      <c r="G1982" t="b">
        <v>0</v>
      </c>
      <c r="H1982" t="s">
        <v>16686</v>
      </c>
    </row>
    <row r="1983" spans="1:8" hidden="1" x14ac:dyDescent="0.25">
      <c r="A1983">
        <v>90795</v>
      </c>
      <c r="B1983" t="s">
        <v>16685</v>
      </c>
      <c r="C1983" t="s">
        <v>15134</v>
      </c>
      <c r="D1983" t="s">
        <v>15135</v>
      </c>
      <c r="E1983">
        <v>73711000</v>
      </c>
      <c r="F1983" t="s">
        <v>15138</v>
      </c>
      <c r="G1983" t="b">
        <v>0</v>
      </c>
      <c r="H1983" t="s">
        <v>16686</v>
      </c>
    </row>
    <row r="1984" spans="1:8" hidden="1" x14ac:dyDescent="0.25">
      <c r="A1984">
        <v>90795</v>
      </c>
      <c r="B1984" t="s">
        <v>16685</v>
      </c>
      <c r="C1984" t="s">
        <v>15134</v>
      </c>
      <c r="D1984" t="s">
        <v>15135</v>
      </c>
      <c r="E1984">
        <v>73711000</v>
      </c>
      <c r="F1984" t="s">
        <v>15136</v>
      </c>
      <c r="G1984" t="b">
        <v>0</v>
      </c>
      <c r="H1984" t="s">
        <v>16687</v>
      </c>
    </row>
    <row r="1985" spans="1:8" hidden="1" x14ac:dyDescent="0.25">
      <c r="A1985">
        <v>8503</v>
      </c>
      <c r="B1985" t="s">
        <v>15156</v>
      </c>
      <c r="C1985" t="s">
        <v>15134</v>
      </c>
      <c r="D1985" t="s">
        <v>15135</v>
      </c>
      <c r="E1985">
        <v>23007001</v>
      </c>
    </row>
    <row r="1986" spans="1:8" hidden="1" x14ac:dyDescent="0.25">
      <c r="A1986">
        <v>90719</v>
      </c>
      <c r="B1986" t="s">
        <v>16669</v>
      </c>
      <c r="C1986" t="s">
        <v>15134</v>
      </c>
      <c r="D1986" t="s">
        <v>15135</v>
      </c>
      <c r="E1986">
        <v>73707001</v>
      </c>
      <c r="F1986" t="s">
        <v>15145</v>
      </c>
      <c r="G1986" t="b">
        <v>1</v>
      </c>
      <c r="H1986" t="s">
        <v>16670</v>
      </c>
    </row>
    <row r="1987" spans="1:8" hidden="1" x14ac:dyDescent="0.25">
      <c r="A1987">
        <v>9123</v>
      </c>
      <c r="B1987" t="s">
        <v>15372</v>
      </c>
      <c r="C1987" t="s">
        <v>15134</v>
      </c>
      <c r="D1987" t="s">
        <v>15135</v>
      </c>
      <c r="E1987">
        <v>73086001</v>
      </c>
    </row>
    <row r="1988" spans="1:8" hidden="1" x14ac:dyDescent="0.25">
      <c r="A1988">
        <v>80731</v>
      </c>
      <c r="B1988" t="s">
        <v>16207</v>
      </c>
      <c r="C1988" t="s">
        <v>15134</v>
      </c>
      <c r="D1988" t="s">
        <v>15135</v>
      </c>
      <c r="E1988">
        <v>73488001</v>
      </c>
      <c r="F1988" t="s">
        <v>15145</v>
      </c>
      <c r="G1988" t="b">
        <v>1</v>
      </c>
      <c r="H1988" t="s">
        <v>16206</v>
      </c>
    </row>
    <row r="1989" spans="1:8" hidden="1" x14ac:dyDescent="0.25">
      <c r="A1989">
        <v>80731</v>
      </c>
      <c r="B1989" t="s">
        <v>16207</v>
      </c>
      <c r="C1989" t="s">
        <v>15134</v>
      </c>
      <c r="D1989" t="s">
        <v>15135</v>
      </c>
      <c r="E1989">
        <v>73488001</v>
      </c>
      <c r="F1989" t="s">
        <v>15138</v>
      </c>
      <c r="G1989" t="b">
        <v>1</v>
      </c>
      <c r="H1989" t="s">
        <v>16206</v>
      </c>
    </row>
    <row r="1990" spans="1:8" hidden="1" x14ac:dyDescent="0.25">
      <c r="A1990">
        <v>90437</v>
      </c>
      <c r="B1990" t="s">
        <v>16615</v>
      </c>
      <c r="C1990" t="s">
        <v>15134</v>
      </c>
      <c r="D1990" t="s">
        <v>15135</v>
      </c>
      <c r="E1990">
        <v>73592001</v>
      </c>
      <c r="F1990" t="s">
        <v>15145</v>
      </c>
      <c r="G1990" t="b">
        <v>1</v>
      </c>
      <c r="H1990" t="s">
        <v>16616</v>
      </c>
    </row>
    <row r="1991" spans="1:8" hidden="1" x14ac:dyDescent="0.25">
      <c r="A1991">
        <v>10013</v>
      </c>
      <c r="B1991" t="s">
        <v>15780</v>
      </c>
      <c r="C1991" t="s">
        <v>15134</v>
      </c>
      <c r="D1991" t="s">
        <v>15135</v>
      </c>
      <c r="E1991">
        <v>103091001</v>
      </c>
    </row>
    <row r="1992" spans="1:8" hidden="1" x14ac:dyDescent="0.25">
      <c r="A1992">
        <v>9411</v>
      </c>
      <c r="B1992" t="s">
        <v>15514</v>
      </c>
      <c r="C1992" t="s">
        <v>15134</v>
      </c>
      <c r="D1992" t="s">
        <v>15135</v>
      </c>
      <c r="E1992">
        <v>73251001</v>
      </c>
    </row>
    <row r="1993" spans="1:8" hidden="1" x14ac:dyDescent="0.25">
      <c r="A1993">
        <v>8995</v>
      </c>
      <c r="B1993" t="s">
        <v>15304</v>
      </c>
      <c r="C1993" t="s">
        <v>15134</v>
      </c>
      <c r="D1993" t="s">
        <v>15135</v>
      </c>
      <c r="E1993">
        <v>73010001</v>
      </c>
    </row>
    <row r="1994" spans="1:8" hidden="1" x14ac:dyDescent="0.25">
      <c r="A1994">
        <v>1000101</v>
      </c>
      <c r="B1994" t="s">
        <v>17084</v>
      </c>
      <c r="C1994" t="s">
        <v>15134</v>
      </c>
      <c r="D1994" t="s">
        <v>15135</v>
      </c>
      <c r="E1994">
        <v>143032000</v>
      </c>
      <c r="F1994" t="s">
        <v>15138</v>
      </c>
      <c r="G1994" t="b">
        <v>0</v>
      </c>
      <c r="H1994" t="s">
        <v>17085</v>
      </c>
    </row>
    <row r="1995" spans="1:8" hidden="1" x14ac:dyDescent="0.25">
      <c r="A1995">
        <v>1000101</v>
      </c>
      <c r="B1995" t="s">
        <v>17084</v>
      </c>
      <c r="C1995" t="s">
        <v>15134</v>
      </c>
      <c r="D1995" t="s">
        <v>15135</v>
      </c>
      <c r="E1995">
        <v>143032000</v>
      </c>
      <c r="F1995" t="s">
        <v>15136</v>
      </c>
      <c r="G1995" t="b">
        <v>0</v>
      </c>
      <c r="H1995" t="s">
        <v>17085</v>
      </c>
    </row>
    <row r="1996" spans="1:8" hidden="1" x14ac:dyDescent="0.25">
      <c r="A1996">
        <v>1000102</v>
      </c>
      <c r="B1996" t="s">
        <v>17086</v>
      </c>
      <c r="C1996" t="s">
        <v>15134</v>
      </c>
      <c r="D1996" t="s">
        <v>15135</v>
      </c>
      <c r="E1996">
        <v>143032001</v>
      </c>
      <c r="F1996" t="s">
        <v>15136</v>
      </c>
      <c r="G1996" t="b">
        <v>0</v>
      </c>
      <c r="H1996" t="s">
        <v>17085</v>
      </c>
    </row>
    <row r="1997" spans="1:8" hidden="1" x14ac:dyDescent="0.25">
      <c r="A1997">
        <v>1000102</v>
      </c>
      <c r="B1997" t="s">
        <v>17086</v>
      </c>
      <c r="C1997" t="s">
        <v>15134</v>
      </c>
      <c r="D1997" t="s">
        <v>15135</v>
      </c>
      <c r="E1997">
        <v>143032001</v>
      </c>
      <c r="F1997" t="s">
        <v>15138</v>
      </c>
      <c r="G1997" t="b">
        <v>0</v>
      </c>
      <c r="H1997" t="s">
        <v>17085</v>
      </c>
    </row>
    <row r="1998" spans="1:8" hidden="1" x14ac:dyDescent="0.25">
      <c r="A1998">
        <v>1000103</v>
      </c>
      <c r="B1998" t="s">
        <v>17087</v>
      </c>
      <c r="C1998" t="s">
        <v>15134</v>
      </c>
      <c r="D1998" t="s">
        <v>15135</v>
      </c>
      <c r="E1998">
        <v>143032002</v>
      </c>
      <c r="F1998" t="s">
        <v>15138</v>
      </c>
      <c r="G1998" t="b">
        <v>1</v>
      </c>
      <c r="H1998" t="s">
        <v>17088</v>
      </c>
    </row>
    <row r="1999" spans="1:8" hidden="1" x14ac:dyDescent="0.25">
      <c r="A1999">
        <v>1000103</v>
      </c>
      <c r="B1999" t="s">
        <v>17087</v>
      </c>
      <c r="C1999" t="s">
        <v>15134</v>
      </c>
      <c r="D1999" t="s">
        <v>15135</v>
      </c>
      <c r="E1999">
        <v>143032002</v>
      </c>
      <c r="F1999" t="s">
        <v>15136</v>
      </c>
      <c r="G1999" t="b">
        <v>1</v>
      </c>
      <c r="H1999" t="s">
        <v>17088</v>
      </c>
    </row>
    <row r="2000" spans="1:8" hidden="1" x14ac:dyDescent="0.25">
      <c r="A2000">
        <v>350910</v>
      </c>
      <c r="B2000" t="s">
        <v>16990</v>
      </c>
      <c r="C2000" t="s">
        <v>15134</v>
      </c>
      <c r="D2000" t="s">
        <v>15135</v>
      </c>
      <c r="E2000">
        <v>73332001</v>
      </c>
    </row>
    <row r="2001" spans="1:8" hidden="1" x14ac:dyDescent="0.25">
      <c r="A2001">
        <v>699149</v>
      </c>
      <c r="B2001" t="s">
        <v>17018</v>
      </c>
      <c r="C2001" t="s">
        <v>15134</v>
      </c>
      <c r="D2001" t="s">
        <v>15135</v>
      </c>
      <c r="E2001">
        <v>73332000</v>
      </c>
    </row>
    <row r="2002" spans="1:8" hidden="1" x14ac:dyDescent="0.25">
      <c r="A2002">
        <v>80524</v>
      </c>
      <c r="B2002" t="s">
        <v>16092</v>
      </c>
      <c r="C2002" t="s">
        <v>15134</v>
      </c>
      <c r="D2002" t="s">
        <v>15135</v>
      </c>
      <c r="E2002">
        <v>72401005</v>
      </c>
      <c r="F2002" t="s">
        <v>15136</v>
      </c>
      <c r="G2002" t="b">
        <v>0</v>
      </c>
      <c r="H2002" t="s">
        <v>16093</v>
      </c>
    </row>
    <row r="2003" spans="1:8" hidden="1" x14ac:dyDescent="0.25">
      <c r="A2003">
        <v>80524</v>
      </c>
      <c r="B2003" t="s">
        <v>16092</v>
      </c>
      <c r="C2003" t="s">
        <v>15134</v>
      </c>
      <c r="D2003" t="s">
        <v>15135</v>
      </c>
      <c r="E2003">
        <v>72401005</v>
      </c>
      <c r="F2003" t="s">
        <v>15138</v>
      </c>
      <c r="G2003" t="b">
        <v>1</v>
      </c>
      <c r="H2003" t="s">
        <v>16094</v>
      </c>
    </row>
    <row r="2004" spans="1:8" hidden="1" x14ac:dyDescent="0.25">
      <c r="A2004">
        <v>10132</v>
      </c>
      <c r="B2004" t="s">
        <v>15814</v>
      </c>
      <c r="C2004" t="s">
        <v>15134</v>
      </c>
      <c r="D2004" t="s">
        <v>15135</v>
      </c>
      <c r="E2004">
        <v>132202000</v>
      </c>
      <c r="F2004" t="s">
        <v>15138</v>
      </c>
      <c r="G2004" t="b">
        <v>1</v>
      </c>
      <c r="H2004" t="s">
        <v>15815</v>
      </c>
    </row>
    <row r="2005" spans="1:8" hidden="1" x14ac:dyDescent="0.25">
      <c r="A2005">
        <v>10132</v>
      </c>
      <c r="B2005" t="s">
        <v>15814</v>
      </c>
      <c r="C2005" t="s">
        <v>15134</v>
      </c>
      <c r="D2005" t="s">
        <v>15135</v>
      </c>
      <c r="E2005">
        <v>132202000</v>
      </c>
      <c r="F2005" t="s">
        <v>15145</v>
      </c>
      <c r="G2005" t="b">
        <v>0</v>
      </c>
      <c r="H2005" t="s">
        <v>15816</v>
      </c>
    </row>
    <row r="2006" spans="1:8" hidden="1" x14ac:dyDescent="0.25">
      <c r="A2006">
        <v>89269</v>
      </c>
      <c r="B2006" t="s">
        <v>16388</v>
      </c>
      <c r="C2006" t="s">
        <v>15134</v>
      </c>
      <c r="D2006" t="s">
        <v>15135</v>
      </c>
      <c r="E2006">
        <v>72226000</v>
      </c>
      <c r="F2006" t="s">
        <v>15138</v>
      </c>
      <c r="G2006" t="b">
        <v>1</v>
      </c>
      <c r="H2006" t="s">
        <v>16389</v>
      </c>
    </row>
    <row r="2007" spans="1:8" hidden="1" x14ac:dyDescent="0.25">
      <c r="A2007">
        <v>89269</v>
      </c>
      <c r="B2007" t="s">
        <v>16388</v>
      </c>
      <c r="C2007" t="s">
        <v>15134</v>
      </c>
      <c r="D2007" t="s">
        <v>15135</v>
      </c>
      <c r="E2007">
        <v>72226000</v>
      </c>
      <c r="F2007" t="s">
        <v>15145</v>
      </c>
      <c r="G2007" t="b">
        <v>1</v>
      </c>
      <c r="H2007" t="s">
        <v>16389</v>
      </c>
    </row>
    <row r="2008" spans="1:8" hidden="1" x14ac:dyDescent="0.25">
      <c r="A2008">
        <v>89270</v>
      </c>
      <c r="B2008" t="s">
        <v>16388</v>
      </c>
      <c r="C2008" t="s">
        <v>15134</v>
      </c>
      <c r="D2008" t="s">
        <v>15135</v>
      </c>
      <c r="E2008">
        <v>72226001</v>
      </c>
      <c r="F2008" t="s">
        <v>15145</v>
      </c>
      <c r="G2008" t="b">
        <v>1</v>
      </c>
      <c r="H2008" t="s">
        <v>16389</v>
      </c>
    </row>
    <row r="2009" spans="1:8" hidden="1" x14ac:dyDescent="0.25">
      <c r="A2009">
        <v>89270</v>
      </c>
      <c r="B2009" t="s">
        <v>16388</v>
      </c>
      <c r="C2009" t="s">
        <v>15134</v>
      </c>
      <c r="D2009" t="s">
        <v>15135</v>
      </c>
      <c r="E2009">
        <v>72226001</v>
      </c>
      <c r="F2009" t="s">
        <v>15138</v>
      </c>
      <c r="G2009" t="b">
        <v>1</v>
      </c>
      <c r="H2009" t="s">
        <v>16389</v>
      </c>
    </row>
    <row r="2010" spans="1:8" hidden="1" x14ac:dyDescent="0.25">
      <c r="A2010">
        <v>9781</v>
      </c>
      <c r="B2010" t="s">
        <v>15674</v>
      </c>
      <c r="C2010" t="s">
        <v>15134</v>
      </c>
      <c r="D2010" t="s">
        <v>15135</v>
      </c>
      <c r="E2010">
        <v>102249001</v>
      </c>
    </row>
    <row r="2011" spans="1:8" hidden="1" x14ac:dyDescent="0.25">
      <c r="A2011">
        <v>9809</v>
      </c>
      <c r="B2011" t="s">
        <v>15674</v>
      </c>
      <c r="C2011" t="s">
        <v>15134</v>
      </c>
      <c r="D2011" t="s">
        <v>15135</v>
      </c>
      <c r="E2011">
        <v>102256004</v>
      </c>
    </row>
    <row r="2012" spans="1:8" hidden="1" x14ac:dyDescent="0.25">
      <c r="A2012">
        <v>88347</v>
      </c>
      <c r="B2012" t="s">
        <v>16364</v>
      </c>
      <c r="C2012" t="s">
        <v>15134</v>
      </c>
      <c r="D2012" t="s">
        <v>15135</v>
      </c>
      <c r="E2012">
        <v>12211000</v>
      </c>
      <c r="F2012" t="s">
        <v>15138</v>
      </c>
      <c r="G2012" t="b">
        <v>0</v>
      </c>
      <c r="H2012" t="s">
        <v>16365</v>
      </c>
    </row>
    <row r="2013" spans="1:8" hidden="1" x14ac:dyDescent="0.25">
      <c r="A2013">
        <v>90128</v>
      </c>
      <c r="B2013" t="s">
        <v>16554</v>
      </c>
      <c r="C2013" t="s">
        <v>15134</v>
      </c>
      <c r="D2013" t="s">
        <v>15135</v>
      </c>
      <c r="E2013">
        <v>103212000</v>
      </c>
      <c r="F2013" t="s">
        <v>15138</v>
      </c>
      <c r="G2013" t="b">
        <v>1</v>
      </c>
      <c r="H2013" t="s">
        <v>16543</v>
      </c>
    </row>
    <row r="2014" spans="1:8" hidden="1" x14ac:dyDescent="0.25">
      <c r="A2014">
        <v>90128</v>
      </c>
      <c r="B2014" t="s">
        <v>16554</v>
      </c>
      <c r="C2014" t="s">
        <v>15134</v>
      </c>
      <c r="D2014" t="s">
        <v>15135</v>
      </c>
      <c r="E2014">
        <v>103212000</v>
      </c>
      <c r="F2014" t="s">
        <v>15136</v>
      </c>
      <c r="G2014" t="b">
        <v>1</v>
      </c>
      <c r="H2014" t="s">
        <v>16543</v>
      </c>
    </row>
    <row r="2015" spans="1:8" hidden="1" x14ac:dyDescent="0.25">
      <c r="A2015">
        <v>90129</v>
      </c>
      <c r="B2015" t="s">
        <v>16555</v>
      </c>
      <c r="C2015" t="s">
        <v>15134</v>
      </c>
      <c r="D2015" t="s">
        <v>15135</v>
      </c>
      <c r="E2015">
        <v>103212001</v>
      </c>
      <c r="F2015" t="s">
        <v>15145</v>
      </c>
      <c r="G2015" t="b">
        <v>1</v>
      </c>
      <c r="H2015" t="s">
        <v>16556</v>
      </c>
    </row>
    <row r="2016" spans="1:8" hidden="1" x14ac:dyDescent="0.25">
      <c r="A2016">
        <v>89492</v>
      </c>
      <c r="B2016" t="s">
        <v>16405</v>
      </c>
      <c r="C2016" t="s">
        <v>15134</v>
      </c>
      <c r="D2016" t="s">
        <v>15135</v>
      </c>
      <c r="E2016">
        <v>102269000</v>
      </c>
      <c r="F2016" t="s">
        <v>15145</v>
      </c>
      <c r="G2016" t="b">
        <v>1</v>
      </c>
      <c r="H2016" t="s">
        <v>16406</v>
      </c>
    </row>
    <row r="2017" spans="1:8" hidden="1" x14ac:dyDescent="0.25">
      <c r="A2017">
        <v>89492</v>
      </c>
      <c r="B2017" t="s">
        <v>16405</v>
      </c>
      <c r="C2017" t="s">
        <v>15134</v>
      </c>
      <c r="D2017" t="s">
        <v>15135</v>
      </c>
      <c r="E2017">
        <v>102269000</v>
      </c>
      <c r="F2017" t="s">
        <v>15138</v>
      </c>
      <c r="G2017" t="b">
        <v>1</v>
      </c>
      <c r="H2017" t="s">
        <v>16406</v>
      </c>
    </row>
    <row r="2018" spans="1:8" hidden="1" x14ac:dyDescent="0.25">
      <c r="A2018">
        <v>89493</v>
      </c>
      <c r="B2018" t="s">
        <v>16405</v>
      </c>
      <c r="C2018" t="s">
        <v>15134</v>
      </c>
      <c r="D2018" t="s">
        <v>15135</v>
      </c>
      <c r="E2018">
        <v>102269001</v>
      </c>
      <c r="F2018" t="s">
        <v>15145</v>
      </c>
      <c r="G2018" t="b">
        <v>1</v>
      </c>
      <c r="H2018" t="s">
        <v>16406</v>
      </c>
    </row>
    <row r="2019" spans="1:8" hidden="1" x14ac:dyDescent="0.25">
      <c r="A2019">
        <v>89493</v>
      </c>
      <c r="B2019" t="s">
        <v>16405</v>
      </c>
      <c r="C2019" t="s">
        <v>15134</v>
      </c>
      <c r="D2019" t="s">
        <v>15135</v>
      </c>
      <c r="E2019">
        <v>102269001</v>
      </c>
      <c r="F2019" t="s">
        <v>15138</v>
      </c>
      <c r="G2019" t="b">
        <v>1</v>
      </c>
      <c r="H2019" t="s">
        <v>16406</v>
      </c>
    </row>
    <row r="2020" spans="1:8" hidden="1" x14ac:dyDescent="0.25">
      <c r="A2020">
        <v>9726</v>
      </c>
      <c r="B2020" t="s">
        <v>15635</v>
      </c>
      <c r="C2020" t="s">
        <v>15134</v>
      </c>
      <c r="D2020" t="s">
        <v>15135</v>
      </c>
      <c r="E2020">
        <v>102202001</v>
      </c>
    </row>
    <row r="2021" spans="1:8" hidden="1" x14ac:dyDescent="0.25">
      <c r="A2021">
        <v>80495</v>
      </c>
      <c r="B2021" t="s">
        <v>16057</v>
      </c>
      <c r="C2021" t="s">
        <v>15134</v>
      </c>
      <c r="D2021" t="s">
        <v>15135</v>
      </c>
      <c r="E2021">
        <v>102206002</v>
      </c>
      <c r="F2021" t="s">
        <v>15145</v>
      </c>
      <c r="G2021" t="b">
        <v>1</v>
      </c>
      <c r="H2021" t="s">
        <v>16058</v>
      </c>
    </row>
    <row r="2022" spans="1:8" hidden="1" x14ac:dyDescent="0.25">
      <c r="A2022">
        <v>80495</v>
      </c>
      <c r="B2022" t="s">
        <v>16057</v>
      </c>
      <c r="C2022" t="s">
        <v>15134</v>
      </c>
      <c r="D2022" t="s">
        <v>15135</v>
      </c>
      <c r="E2022">
        <v>102206002</v>
      </c>
      <c r="F2022" t="s">
        <v>15138</v>
      </c>
      <c r="G2022" t="b">
        <v>1</v>
      </c>
      <c r="H2022" t="s">
        <v>16059</v>
      </c>
    </row>
    <row r="2023" spans="1:8" hidden="1" x14ac:dyDescent="0.25">
      <c r="A2023">
        <v>9731</v>
      </c>
      <c r="B2023" t="s">
        <v>15639</v>
      </c>
      <c r="C2023" t="s">
        <v>15134</v>
      </c>
      <c r="D2023" t="s">
        <v>15135</v>
      </c>
      <c r="E2023">
        <v>102206000</v>
      </c>
    </row>
    <row r="2024" spans="1:8" hidden="1" x14ac:dyDescent="0.25">
      <c r="A2024">
        <v>9733</v>
      </c>
      <c r="B2024" t="s">
        <v>15640</v>
      </c>
      <c r="C2024" t="s">
        <v>15134</v>
      </c>
      <c r="D2024" t="s">
        <v>15135</v>
      </c>
      <c r="E2024">
        <v>102211000</v>
      </c>
    </row>
    <row r="2025" spans="1:8" hidden="1" x14ac:dyDescent="0.25">
      <c r="A2025">
        <v>89877</v>
      </c>
      <c r="B2025" t="s">
        <v>16475</v>
      </c>
      <c r="C2025" t="s">
        <v>15134</v>
      </c>
      <c r="D2025" t="s">
        <v>15135</v>
      </c>
      <c r="E2025">
        <v>103204000</v>
      </c>
      <c r="F2025" t="s">
        <v>15138</v>
      </c>
      <c r="G2025" t="b">
        <v>1</v>
      </c>
      <c r="H2025" t="s">
        <v>15537</v>
      </c>
    </row>
    <row r="2026" spans="1:8" hidden="1" x14ac:dyDescent="0.25">
      <c r="A2026">
        <v>89877</v>
      </c>
      <c r="B2026" t="s">
        <v>16475</v>
      </c>
      <c r="C2026" t="s">
        <v>15134</v>
      </c>
      <c r="D2026" t="s">
        <v>15135</v>
      </c>
      <c r="E2026">
        <v>103204000</v>
      </c>
      <c r="F2026" t="s">
        <v>15136</v>
      </c>
      <c r="G2026" t="b">
        <v>1</v>
      </c>
      <c r="H2026" t="s">
        <v>16476</v>
      </c>
    </row>
    <row r="2027" spans="1:8" hidden="1" x14ac:dyDescent="0.25">
      <c r="A2027">
        <v>92684</v>
      </c>
      <c r="B2027" t="s">
        <v>16893</v>
      </c>
      <c r="C2027" t="s">
        <v>15134</v>
      </c>
      <c r="D2027" t="s">
        <v>15135</v>
      </c>
      <c r="E2027">
        <v>73313000</v>
      </c>
      <c r="F2027" t="s">
        <v>15138</v>
      </c>
      <c r="G2027" t="b">
        <v>1</v>
      </c>
      <c r="H2027" t="s">
        <v>16894</v>
      </c>
    </row>
    <row r="2028" spans="1:8" hidden="1" x14ac:dyDescent="0.25">
      <c r="A2028">
        <v>92684</v>
      </c>
      <c r="B2028" t="s">
        <v>16893</v>
      </c>
      <c r="C2028" t="s">
        <v>15134</v>
      </c>
      <c r="D2028" t="s">
        <v>15135</v>
      </c>
      <c r="E2028">
        <v>73313000</v>
      </c>
      <c r="F2028" t="s">
        <v>15136</v>
      </c>
      <c r="G2028" t="b">
        <v>1</v>
      </c>
      <c r="H2028" t="s">
        <v>16895</v>
      </c>
    </row>
    <row r="2029" spans="1:8" hidden="1" x14ac:dyDescent="0.25">
      <c r="A2029">
        <v>92685</v>
      </c>
      <c r="B2029" t="s">
        <v>16893</v>
      </c>
      <c r="C2029" t="s">
        <v>15134</v>
      </c>
      <c r="D2029" t="s">
        <v>15135</v>
      </c>
      <c r="E2029">
        <v>73313001</v>
      </c>
      <c r="F2029" t="s">
        <v>15138</v>
      </c>
      <c r="G2029" t="b">
        <v>1</v>
      </c>
      <c r="H2029" t="s">
        <v>16896</v>
      </c>
    </row>
    <row r="2030" spans="1:8" hidden="1" x14ac:dyDescent="0.25">
      <c r="A2030">
        <v>8672</v>
      </c>
      <c r="B2030" t="s">
        <v>15185</v>
      </c>
      <c r="C2030" t="s">
        <v>15134</v>
      </c>
      <c r="D2030" t="s">
        <v>15135</v>
      </c>
      <c r="E2030">
        <v>72210001</v>
      </c>
    </row>
    <row r="2031" spans="1:8" hidden="1" x14ac:dyDescent="0.25">
      <c r="A2031">
        <v>8671</v>
      </c>
      <c r="B2031" t="s">
        <v>15184</v>
      </c>
      <c r="C2031" t="s">
        <v>15134</v>
      </c>
      <c r="D2031" t="s">
        <v>15135</v>
      </c>
      <c r="E2031">
        <v>72210000</v>
      </c>
    </row>
    <row r="2032" spans="1:8" hidden="1" x14ac:dyDescent="0.25">
      <c r="A2032">
        <v>8490</v>
      </c>
      <c r="B2032" t="s">
        <v>15144</v>
      </c>
      <c r="C2032" t="s">
        <v>15134</v>
      </c>
      <c r="D2032" t="s">
        <v>15135</v>
      </c>
      <c r="E2032">
        <v>22201000</v>
      </c>
      <c r="F2032" t="s">
        <v>15145</v>
      </c>
      <c r="G2032" t="b">
        <v>0</v>
      </c>
      <c r="H2032" t="s">
        <v>15146</v>
      </c>
    </row>
    <row r="2033" spans="1:8" hidden="1" x14ac:dyDescent="0.25">
      <c r="A2033">
        <v>278198</v>
      </c>
      <c r="B2033" t="s">
        <v>16980</v>
      </c>
      <c r="C2033" t="s">
        <v>15134</v>
      </c>
      <c r="D2033" t="s">
        <v>15135</v>
      </c>
      <c r="E2033">
        <v>23017001</v>
      </c>
      <c r="F2033" t="s">
        <v>15136</v>
      </c>
      <c r="G2033" t="b">
        <v>1</v>
      </c>
      <c r="H2033" t="s">
        <v>15864</v>
      </c>
    </row>
    <row r="2034" spans="1:8" hidden="1" x14ac:dyDescent="0.25">
      <c r="A2034">
        <v>22148</v>
      </c>
      <c r="B2034" t="s">
        <v>15863</v>
      </c>
      <c r="C2034" t="s">
        <v>15134</v>
      </c>
      <c r="D2034" t="s">
        <v>15135</v>
      </c>
      <c r="E2034">
        <v>23017000</v>
      </c>
      <c r="F2034" t="s">
        <v>15136</v>
      </c>
      <c r="G2034" t="b">
        <v>1</v>
      </c>
      <c r="H2034" t="s">
        <v>15864</v>
      </c>
    </row>
    <row r="2035" spans="1:8" hidden="1" x14ac:dyDescent="0.25">
      <c r="A2035">
        <v>79826</v>
      </c>
      <c r="B2035" t="s">
        <v>16015</v>
      </c>
      <c r="C2035" t="s">
        <v>15134</v>
      </c>
      <c r="D2035" t="s">
        <v>15135</v>
      </c>
      <c r="E2035">
        <v>72431001</v>
      </c>
      <c r="F2035" t="s">
        <v>15138</v>
      </c>
      <c r="G2035" t="b">
        <v>1</v>
      </c>
      <c r="H2035" t="s">
        <v>16016</v>
      </c>
    </row>
    <row r="2036" spans="1:8" hidden="1" x14ac:dyDescent="0.25">
      <c r="A2036">
        <v>79826</v>
      </c>
      <c r="B2036" t="s">
        <v>16015</v>
      </c>
      <c r="C2036" t="s">
        <v>15134</v>
      </c>
      <c r="D2036" t="s">
        <v>15135</v>
      </c>
      <c r="E2036">
        <v>72431001</v>
      </c>
      <c r="F2036" t="s">
        <v>15145</v>
      </c>
      <c r="G2036" t="b">
        <v>1</v>
      </c>
      <c r="H2036" t="s">
        <v>16016</v>
      </c>
    </row>
    <row r="2037" spans="1:8" hidden="1" x14ac:dyDescent="0.25">
      <c r="A2037">
        <v>8757</v>
      </c>
      <c r="B2037" t="s">
        <v>15253</v>
      </c>
      <c r="C2037" t="s">
        <v>15134</v>
      </c>
      <c r="D2037" t="s">
        <v>15135</v>
      </c>
      <c r="E2037">
        <v>72402003</v>
      </c>
    </row>
    <row r="2038" spans="1:8" hidden="1" x14ac:dyDescent="0.25">
      <c r="A2038">
        <v>8819</v>
      </c>
      <c r="B2038" t="s">
        <v>15253</v>
      </c>
      <c r="C2038" t="s">
        <v>15134</v>
      </c>
      <c r="D2038" t="s">
        <v>15135</v>
      </c>
      <c r="E2038">
        <v>72413002</v>
      </c>
      <c r="F2038" t="s">
        <v>15136</v>
      </c>
      <c r="G2038" t="b">
        <v>1</v>
      </c>
      <c r="H2038" t="s">
        <v>15293</v>
      </c>
    </row>
    <row r="2039" spans="1:8" hidden="1" x14ac:dyDescent="0.25">
      <c r="A2039">
        <v>8819</v>
      </c>
      <c r="B2039" t="s">
        <v>15253</v>
      </c>
      <c r="C2039" t="s">
        <v>15134</v>
      </c>
      <c r="D2039" t="s">
        <v>15135</v>
      </c>
      <c r="E2039">
        <v>72413002</v>
      </c>
      <c r="F2039" t="s">
        <v>15138</v>
      </c>
      <c r="G2039" t="b">
        <v>1</v>
      </c>
      <c r="H2039" t="s">
        <v>15293</v>
      </c>
    </row>
    <row r="2040" spans="1:8" hidden="1" x14ac:dyDescent="0.25">
      <c r="A2040">
        <v>90436</v>
      </c>
      <c r="B2040" t="s">
        <v>16613</v>
      </c>
      <c r="C2040" t="s">
        <v>15134</v>
      </c>
      <c r="D2040" t="s">
        <v>15135</v>
      </c>
      <c r="E2040">
        <v>73592000</v>
      </c>
      <c r="F2040" t="s">
        <v>15136</v>
      </c>
      <c r="G2040" t="b">
        <v>1</v>
      </c>
      <c r="H2040" t="s">
        <v>16614</v>
      </c>
    </row>
    <row r="2041" spans="1:8" hidden="1" x14ac:dyDescent="0.25">
      <c r="A2041">
        <v>90436</v>
      </c>
      <c r="B2041" t="s">
        <v>16613</v>
      </c>
      <c r="C2041" t="s">
        <v>15134</v>
      </c>
      <c r="D2041" t="s">
        <v>15135</v>
      </c>
      <c r="E2041">
        <v>73592000</v>
      </c>
      <c r="F2041" t="s">
        <v>15138</v>
      </c>
      <c r="G2041" t="b">
        <v>1</v>
      </c>
      <c r="H2041" t="s">
        <v>16614</v>
      </c>
    </row>
    <row r="2042" spans="1:8" hidden="1" x14ac:dyDescent="0.25">
      <c r="A2042">
        <v>92627</v>
      </c>
      <c r="B2042" t="s">
        <v>16878</v>
      </c>
      <c r="C2042" t="s">
        <v>15134</v>
      </c>
      <c r="D2042" t="s">
        <v>15135</v>
      </c>
      <c r="E2042">
        <v>73095001</v>
      </c>
      <c r="F2042" t="s">
        <v>15136</v>
      </c>
      <c r="G2042" t="b">
        <v>1</v>
      </c>
      <c r="H2042" t="s">
        <v>16879</v>
      </c>
    </row>
    <row r="2043" spans="1:8" hidden="1" x14ac:dyDescent="0.25">
      <c r="A2043">
        <v>92627</v>
      </c>
      <c r="B2043" t="s">
        <v>16878</v>
      </c>
      <c r="C2043" t="s">
        <v>15134</v>
      </c>
      <c r="D2043" t="s">
        <v>15135</v>
      </c>
      <c r="E2043">
        <v>73095001</v>
      </c>
      <c r="F2043" t="s">
        <v>15138</v>
      </c>
      <c r="G2043" t="b">
        <v>1</v>
      </c>
      <c r="H2043" t="s">
        <v>16879</v>
      </c>
    </row>
    <row r="2044" spans="1:8" hidden="1" x14ac:dyDescent="0.25">
      <c r="A2044">
        <v>79186</v>
      </c>
      <c r="B2044" t="s">
        <v>15906</v>
      </c>
      <c r="C2044" t="s">
        <v>15134</v>
      </c>
      <c r="D2044" t="s">
        <v>15135</v>
      </c>
      <c r="E2044">
        <v>71986001</v>
      </c>
      <c r="F2044" t="s">
        <v>15136</v>
      </c>
      <c r="G2044" t="b">
        <v>1</v>
      </c>
      <c r="H2044" t="s">
        <v>15907</v>
      </c>
    </row>
    <row r="2045" spans="1:8" hidden="1" x14ac:dyDescent="0.25">
      <c r="A2045">
        <v>79186</v>
      </c>
      <c r="B2045" t="s">
        <v>15906</v>
      </c>
      <c r="C2045" t="s">
        <v>15134</v>
      </c>
      <c r="D2045" t="s">
        <v>15135</v>
      </c>
      <c r="E2045">
        <v>71986001</v>
      </c>
      <c r="F2045" t="s">
        <v>15138</v>
      </c>
      <c r="G2045" t="b">
        <v>1</v>
      </c>
      <c r="H2045" t="s">
        <v>15907</v>
      </c>
    </row>
    <row r="2046" spans="1:8" hidden="1" x14ac:dyDescent="0.25">
      <c r="A2046">
        <v>139523</v>
      </c>
      <c r="B2046" t="s">
        <v>16969</v>
      </c>
      <c r="C2046" t="s">
        <v>15134</v>
      </c>
      <c r="D2046" t="s">
        <v>15135</v>
      </c>
      <c r="E2046">
        <v>71986000</v>
      </c>
    </row>
    <row r="2047" spans="1:8" hidden="1" x14ac:dyDescent="0.25">
      <c r="A2047">
        <v>79825</v>
      </c>
      <c r="B2047" t="s">
        <v>16013</v>
      </c>
      <c r="C2047" t="s">
        <v>15134</v>
      </c>
      <c r="D2047" t="s">
        <v>15135</v>
      </c>
      <c r="E2047">
        <v>72431000</v>
      </c>
      <c r="F2047" t="s">
        <v>15138</v>
      </c>
      <c r="G2047" t="b">
        <v>1</v>
      </c>
      <c r="H2047" t="s">
        <v>16014</v>
      </c>
    </row>
    <row r="2048" spans="1:8" hidden="1" x14ac:dyDescent="0.25">
      <c r="A2048">
        <v>79825</v>
      </c>
      <c r="B2048" t="s">
        <v>16013</v>
      </c>
      <c r="C2048" t="s">
        <v>15134</v>
      </c>
      <c r="D2048" t="s">
        <v>15135</v>
      </c>
      <c r="E2048">
        <v>72431000</v>
      </c>
      <c r="F2048" t="s">
        <v>15136</v>
      </c>
      <c r="G2048" t="b">
        <v>1</v>
      </c>
      <c r="H2048" t="s">
        <v>16014</v>
      </c>
    </row>
    <row r="2049" spans="1:8" hidden="1" x14ac:dyDescent="0.25">
      <c r="A2049">
        <v>9951</v>
      </c>
      <c r="B2049" t="s">
        <v>15746</v>
      </c>
      <c r="C2049" t="s">
        <v>15134</v>
      </c>
      <c r="D2049" t="s">
        <v>15135</v>
      </c>
      <c r="E2049">
        <v>103067001</v>
      </c>
    </row>
    <row r="2050" spans="1:8" hidden="1" x14ac:dyDescent="0.25">
      <c r="A2050">
        <v>9889</v>
      </c>
      <c r="B2050" t="s">
        <v>15715</v>
      </c>
      <c r="C2050" t="s">
        <v>15134</v>
      </c>
      <c r="D2050" t="s">
        <v>15135</v>
      </c>
      <c r="E2050">
        <v>103026001</v>
      </c>
    </row>
    <row r="2051" spans="1:8" hidden="1" x14ac:dyDescent="0.25">
      <c r="A2051">
        <v>9931</v>
      </c>
      <c r="B2051" t="s">
        <v>15734</v>
      </c>
      <c r="C2051" t="s">
        <v>15134</v>
      </c>
      <c r="D2051" t="s">
        <v>15135</v>
      </c>
      <c r="E2051">
        <v>103057001</v>
      </c>
    </row>
    <row r="2052" spans="1:8" hidden="1" x14ac:dyDescent="0.25">
      <c r="A2052">
        <v>8657</v>
      </c>
      <c r="B2052" t="s">
        <v>15175</v>
      </c>
      <c r="C2052" t="s">
        <v>15134</v>
      </c>
      <c r="D2052" t="s">
        <v>15135</v>
      </c>
      <c r="E2052">
        <v>72202001</v>
      </c>
    </row>
    <row r="2053" spans="1:8" hidden="1" x14ac:dyDescent="0.25">
      <c r="A2053">
        <v>10174</v>
      </c>
      <c r="B2053" t="s">
        <v>15826</v>
      </c>
      <c r="C2053" t="s">
        <v>15134</v>
      </c>
      <c r="D2053" t="s">
        <v>15135</v>
      </c>
      <c r="E2053">
        <v>142203001</v>
      </c>
    </row>
    <row r="2054" spans="1:8" hidden="1" x14ac:dyDescent="0.25">
      <c r="A2054">
        <v>10173</v>
      </c>
      <c r="B2054" t="s">
        <v>15824</v>
      </c>
      <c r="C2054" t="s">
        <v>15134</v>
      </c>
      <c r="D2054" t="s">
        <v>15135</v>
      </c>
      <c r="E2054">
        <v>142203000</v>
      </c>
      <c r="F2054" t="s">
        <v>15145</v>
      </c>
      <c r="G2054" t="b">
        <v>0</v>
      </c>
      <c r="H2054" t="s">
        <v>15825</v>
      </c>
    </row>
    <row r="2055" spans="1:8" hidden="1" x14ac:dyDescent="0.25">
      <c r="A2055">
        <v>10179</v>
      </c>
      <c r="B2055" t="s">
        <v>15830</v>
      </c>
      <c r="C2055" t="s">
        <v>15134</v>
      </c>
      <c r="D2055" t="s">
        <v>15135</v>
      </c>
      <c r="E2055">
        <v>142205000</v>
      </c>
    </row>
    <row r="2056" spans="1:8" hidden="1" x14ac:dyDescent="0.25">
      <c r="A2056">
        <v>10180</v>
      </c>
      <c r="B2056" t="s">
        <v>15830</v>
      </c>
      <c r="C2056" t="s">
        <v>15134</v>
      </c>
      <c r="D2056" t="s">
        <v>15135</v>
      </c>
      <c r="E2056">
        <v>142205001</v>
      </c>
    </row>
    <row r="2057" spans="1:8" hidden="1" x14ac:dyDescent="0.25">
      <c r="A2057">
        <v>80402</v>
      </c>
      <c r="B2057" t="s">
        <v>16049</v>
      </c>
      <c r="C2057" t="s">
        <v>15134</v>
      </c>
      <c r="D2057" t="s">
        <v>15135</v>
      </c>
      <c r="E2057">
        <v>73483001</v>
      </c>
      <c r="F2057" t="s">
        <v>15145</v>
      </c>
      <c r="G2057" t="b">
        <v>1</v>
      </c>
      <c r="H2057" t="s">
        <v>16050</v>
      </c>
    </row>
    <row r="2058" spans="1:8" hidden="1" x14ac:dyDescent="0.25">
      <c r="A2058">
        <v>9280</v>
      </c>
      <c r="B2058" t="s">
        <v>15444</v>
      </c>
      <c r="C2058" t="s">
        <v>15134</v>
      </c>
      <c r="D2058" t="s">
        <v>15135</v>
      </c>
      <c r="E2058">
        <v>73197000</v>
      </c>
      <c r="F2058" t="s">
        <v>15138</v>
      </c>
      <c r="G2058" t="b">
        <v>0</v>
      </c>
      <c r="H2058" t="s">
        <v>15445</v>
      </c>
    </row>
    <row r="2059" spans="1:8" hidden="1" x14ac:dyDescent="0.25">
      <c r="A2059">
        <v>9280</v>
      </c>
      <c r="B2059" t="s">
        <v>15444</v>
      </c>
      <c r="C2059" t="s">
        <v>15134</v>
      </c>
      <c r="D2059" t="s">
        <v>15135</v>
      </c>
      <c r="E2059">
        <v>73197000</v>
      </c>
      <c r="F2059" t="s">
        <v>15136</v>
      </c>
      <c r="G2059" t="b">
        <v>0</v>
      </c>
      <c r="H2059" t="s">
        <v>15446</v>
      </c>
    </row>
    <row r="2060" spans="1:8" hidden="1" x14ac:dyDescent="0.25">
      <c r="A2060">
        <v>9283</v>
      </c>
      <c r="B2060" t="s">
        <v>15444</v>
      </c>
      <c r="C2060" t="s">
        <v>15134</v>
      </c>
      <c r="D2060" t="s">
        <v>15135</v>
      </c>
      <c r="E2060">
        <v>73197003</v>
      </c>
    </row>
    <row r="2061" spans="1:8" hidden="1" x14ac:dyDescent="0.25">
      <c r="A2061">
        <v>9224</v>
      </c>
      <c r="B2061" t="s">
        <v>15421</v>
      </c>
      <c r="C2061" t="s">
        <v>15134</v>
      </c>
      <c r="D2061" t="s">
        <v>15135</v>
      </c>
      <c r="E2061">
        <v>73156001</v>
      </c>
    </row>
    <row r="2062" spans="1:8" hidden="1" x14ac:dyDescent="0.25">
      <c r="A2062">
        <v>91841</v>
      </c>
      <c r="B2062" t="s">
        <v>16800</v>
      </c>
      <c r="C2062" t="s">
        <v>15134</v>
      </c>
      <c r="D2062" t="s">
        <v>15135</v>
      </c>
      <c r="E2062">
        <v>73037001</v>
      </c>
      <c r="F2062" t="s">
        <v>15145</v>
      </c>
      <c r="G2062" t="b">
        <v>0</v>
      </c>
      <c r="H2062" t="s">
        <v>16801</v>
      </c>
    </row>
    <row r="2063" spans="1:8" hidden="1" x14ac:dyDescent="0.25">
      <c r="A2063">
        <v>9149</v>
      </c>
      <c r="B2063" t="s">
        <v>15380</v>
      </c>
      <c r="C2063" t="s">
        <v>15134</v>
      </c>
      <c r="D2063" t="s">
        <v>15135</v>
      </c>
      <c r="E2063">
        <v>73099001</v>
      </c>
    </row>
    <row r="2064" spans="1:8" hidden="1" x14ac:dyDescent="0.25">
      <c r="A2064">
        <v>92352</v>
      </c>
      <c r="B2064" t="s">
        <v>16858</v>
      </c>
      <c r="C2064" t="s">
        <v>15134</v>
      </c>
      <c r="D2064" t="s">
        <v>15135</v>
      </c>
      <c r="E2064">
        <v>103098000</v>
      </c>
      <c r="F2064" t="s">
        <v>15145</v>
      </c>
      <c r="G2064" t="b">
        <v>1</v>
      </c>
      <c r="H2064" t="s">
        <v>16859</v>
      </c>
    </row>
    <row r="2065" spans="1:8" hidden="1" x14ac:dyDescent="0.25">
      <c r="A2065">
        <v>92352</v>
      </c>
      <c r="B2065" t="s">
        <v>16858</v>
      </c>
      <c r="C2065" t="s">
        <v>15134</v>
      </c>
      <c r="D2065" t="s">
        <v>15135</v>
      </c>
      <c r="E2065">
        <v>103098000</v>
      </c>
      <c r="F2065" t="s">
        <v>15138</v>
      </c>
      <c r="G2065" t="b">
        <v>1</v>
      </c>
      <c r="H2065" t="s">
        <v>16859</v>
      </c>
    </row>
    <row r="2066" spans="1:8" hidden="1" x14ac:dyDescent="0.25">
      <c r="A2066">
        <v>92353</v>
      </c>
      <c r="B2066" t="s">
        <v>16858</v>
      </c>
      <c r="C2066" t="s">
        <v>15134</v>
      </c>
      <c r="D2066" t="s">
        <v>15135</v>
      </c>
      <c r="E2066">
        <v>103098001</v>
      </c>
      <c r="F2066" t="s">
        <v>15138</v>
      </c>
      <c r="G2066" t="b">
        <v>1</v>
      </c>
      <c r="H2066" t="s">
        <v>16859</v>
      </c>
    </row>
    <row r="2067" spans="1:8" hidden="1" x14ac:dyDescent="0.25">
      <c r="A2067">
        <v>92353</v>
      </c>
      <c r="B2067" t="s">
        <v>16858</v>
      </c>
      <c r="C2067" t="s">
        <v>15134</v>
      </c>
      <c r="D2067" t="s">
        <v>15135</v>
      </c>
      <c r="E2067">
        <v>103098001</v>
      </c>
      <c r="F2067" t="s">
        <v>15145</v>
      </c>
      <c r="G2067" t="b">
        <v>1</v>
      </c>
      <c r="H2067" t="s">
        <v>16859</v>
      </c>
    </row>
    <row r="2068" spans="1:8" hidden="1" x14ac:dyDescent="0.25">
      <c r="A2068">
        <v>1000330</v>
      </c>
      <c r="B2068" t="s">
        <v>17140</v>
      </c>
      <c r="C2068" t="s">
        <v>15134</v>
      </c>
      <c r="D2068" t="s">
        <v>15135</v>
      </c>
      <c r="E2068">
        <v>73361000</v>
      </c>
      <c r="F2068" t="s">
        <v>15136</v>
      </c>
      <c r="G2068" t="b">
        <v>1</v>
      </c>
      <c r="H2068" t="s">
        <v>17141</v>
      </c>
    </row>
    <row r="2069" spans="1:8" hidden="1" x14ac:dyDescent="0.25">
      <c r="A2069">
        <v>1000330</v>
      </c>
      <c r="B2069" t="s">
        <v>17140</v>
      </c>
      <c r="C2069" t="s">
        <v>15134</v>
      </c>
      <c r="D2069" t="s">
        <v>15135</v>
      </c>
      <c r="E2069">
        <v>73361000</v>
      </c>
      <c r="F2069" t="s">
        <v>15138</v>
      </c>
      <c r="G2069" t="b">
        <v>1</v>
      </c>
      <c r="H2069" t="s">
        <v>17141</v>
      </c>
    </row>
    <row r="2070" spans="1:8" hidden="1" x14ac:dyDescent="0.25">
      <c r="A2070">
        <v>1000331</v>
      </c>
      <c r="B2070" t="s">
        <v>17140</v>
      </c>
      <c r="C2070" t="s">
        <v>15134</v>
      </c>
      <c r="D2070" t="s">
        <v>15135</v>
      </c>
      <c r="E2070">
        <v>73361001</v>
      </c>
      <c r="F2070" t="s">
        <v>15136</v>
      </c>
      <c r="G2070" t="b">
        <v>1</v>
      </c>
      <c r="H2070" t="s">
        <v>17141</v>
      </c>
    </row>
    <row r="2071" spans="1:8" hidden="1" x14ac:dyDescent="0.25">
      <c r="A2071">
        <v>1000331</v>
      </c>
      <c r="B2071" t="s">
        <v>17140</v>
      </c>
      <c r="C2071" t="s">
        <v>15134</v>
      </c>
      <c r="D2071" t="s">
        <v>15135</v>
      </c>
      <c r="E2071">
        <v>73361001</v>
      </c>
      <c r="F2071" t="s">
        <v>15138</v>
      </c>
      <c r="G2071" t="b">
        <v>1</v>
      </c>
      <c r="H2071" t="s">
        <v>17141</v>
      </c>
    </row>
    <row r="2072" spans="1:8" hidden="1" x14ac:dyDescent="0.25">
      <c r="A2072">
        <v>9963</v>
      </c>
      <c r="B2072" t="s">
        <v>15752</v>
      </c>
      <c r="C2072" t="s">
        <v>15134</v>
      </c>
      <c r="D2072" t="s">
        <v>15135</v>
      </c>
      <c r="E2072">
        <v>103073001</v>
      </c>
    </row>
    <row r="2073" spans="1:8" hidden="1" x14ac:dyDescent="0.25">
      <c r="A2073">
        <v>9254</v>
      </c>
      <c r="B2073" t="s">
        <v>15434</v>
      </c>
      <c r="C2073" t="s">
        <v>15134</v>
      </c>
      <c r="D2073" t="s">
        <v>15135</v>
      </c>
      <c r="E2073">
        <v>73180001</v>
      </c>
    </row>
    <row r="2074" spans="1:8" hidden="1" x14ac:dyDescent="0.25">
      <c r="A2074">
        <v>9266</v>
      </c>
      <c r="B2074" t="s">
        <v>15439</v>
      </c>
      <c r="C2074" t="s">
        <v>15134</v>
      </c>
      <c r="D2074" t="s">
        <v>15135</v>
      </c>
      <c r="E2074">
        <v>73190001</v>
      </c>
    </row>
    <row r="2075" spans="1:8" hidden="1" x14ac:dyDescent="0.25">
      <c r="A2075">
        <v>8709</v>
      </c>
      <c r="B2075" t="s">
        <v>15216</v>
      </c>
      <c r="C2075" t="s">
        <v>15134</v>
      </c>
      <c r="D2075" t="s">
        <v>15135</v>
      </c>
      <c r="E2075">
        <v>72277001</v>
      </c>
      <c r="F2075" t="s">
        <v>15138</v>
      </c>
      <c r="G2075" t="b">
        <v>1</v>
      </c>
      <c r="H2075" t="s">
        <v>15217</v>
      </c>
    </row>
    <row r="2076" spans="1:8" hidden="1" x14ac:dyDescent="0.25">
      <c r="A2076">
        <v>8709</v>
      </c>
      <c r="B2076" t="s">
        <v>15216</v>
      </c>
      <c r="C2076" t="s">
        <v>15134</v>
      </c>
      <c r="D2076" t="s">
        <v>15135</v>
      </c>
      <c r="E2076">
        <v>72277001</v>
      </c>
      <c r="F2076" t="s">
        <v>15145</v>
      </c>
      <c r="G2076" t="b">
        <v>1</v>
      </c>
      <c r="H2076" t="s">
        <v>15217</v>
      </c>
    </row>
    <row r="2077" spans="1:8" hidden="1" x14ac:dyDescent="0.25">
      <c r="A2077">
        <v>1001130</v>
      </c>
      <c r="B2077" t="s">
        <v>17176</v>
      </c>
      <c r="C2077" t="s">
        <v>15134</v>
      </c>
      <c r="D2077" t="s">
        <v>15135</v>
      </c>
      <c r="E2077">
        <v>73368000</v>
      </c>
      <c r="F2077" t="s">
        <v>15138</v>
      </c>
      <c r="G2077" t="b">
        <v>1</v>
      </c>
      <c r="H2077" t="s">
        <v>17177</v>
      </c>
    </row>
    <row r="2078" spans="1:8" hidden="1" x14ac:dyDescent="0.25">
      <c r="A2078">
        <v>1001130</v>
      </c>
      <c r="B2078" t="s">
        <v>17176</v>
      </c>
      <c r="C2078" t="s">
        <v>15134</v>
      </c>
      <c r="D2078" t="s">
        <v>15135</v>
      </c>
      <c r="E2078">
        <v>73368000</v>
      </c>
      <c r="F2078" t="s">
        <v>15136</v>
      </c>
      <c r="G2078" t="b">
        <v>1</v>
      </c>
      <c r="H2078" t="s">
        <v>17178</v>
      </c>
    </row>
    <row r="2079" spans="1:8" hidden="1" x14ac:dyDescent="0.25">
      <c r="A2079">
        <v>9792</v>
      </c>
      <c r="B2079" t="s">
        <v>15684</v>
      </c>
      <c r="C2079" t="s">
        <v>15134</v>
      </c>
      <c r="D2079" t="s">
        <v>15135</v>
      </c>
      <c r="E2079">
        <v>102250010</v>
      </c>
    </row>
    <row r="2080" spans="1:8" hidden="1" x14ac:dyDescent="0.25">
      <c r="A2080">
        <v>89267</v>
      </c>
      <c r="B2080" t="s">
        <v>6026</v>
      </c>
      <c r="C2080" t="s">
        <v>15134</v>
      </c>
      <c r="D2080" t="s">
        <v>15135</v>
      </c>
      <c r="E2080">
        <v>73092000</v>
      </c>
      <c r="F2080" t="s">
        <v>15145</v>
      </c>
      <c r="G2080" t="b">
        <v>1</v>
      </c>
      <c r="H2080" t="s">
        <v>16385</v>
      </c>
    </row>
    <row r="2081" spans="1:8" hidden="1" x14ac:dyDescent="0.25">
      <c r="A2081">
        <v>89267</v>
      </c>
      <c r="B2081" t="s">
        <v>6026</v>
      </c>
      <c r="C2081" t="s">
        <v>15134</v>
      </c>
      <c r="D2081" t="s">
        <v>15135</v>
      </c>
      <c r="E2081">
        <v>73092000</v>
      </c>
      <c r="F2081" t="s">
        <v>15138</v>
      </c>
      <c r="G2081" t="b">
        <v>1</v>
      </c>
      <c r="H2081" t="s">
        <v>16386</v>
      </c>
    </row>
    <row r="2082" spans="1:8" hidden="1" x14ac:dyDescent="0.25">
      <c r="A2082">
        <v>90498</v>
      </c>
      <c r="B2082" t="s">
        <v>16633</v>
      </c>
      <c r="C2082" t="s">
        <v>15134</v>
      </c>
      <c r="D2082" t="s">
        <v>15135</v>
      </c>
      <c r="E2082">
        <v>103216000</v>
      </c>
      <c r="F2082" t="s">
        <v>15136</v>
      </c>
      <c r="G2082" t="b">
        <v>1</v>
      </c>
      <c r="H2082" t="s">
        <v>16634</v>
      </c>
    </row>
    <row r="2083" spans="1:8" hidden="1" x14ac:dyDescent="0.25">
      <c r="A2083">
        <v>90498</v>
      </c>
      <c r="B2083" t="s">
        <v>16633</v>
      </c>
      <c r="C2083" t="s">
        <v>15134</v>
      </c>
      <c r="D2083" t="s">
        <v>15135</v>
      </c>
      <c r="E2083">
        <v>103216000</v>
      </c>
      <c r="F2083" t="s">
        <v>15138</v>
      </c>
      <c r="G2083" t="b">
        <v>1</v>
      </c>
      <c r="H2083" t="s">
        <v>16635</v>
      </c>
    </row>
    <row r="2084" spans="1:8" hidden="1" x14ac:dyDescent="0.25">
      <c r="A2084">
        <v>91300</v>
      </c>
      <c r="B2084" t="s">
        <v>16768</v>
      </c>
      <c r="C2084" t="s">
        <v>15134</v>
      </c>
      <c r="D2084" t="s">
        <v>15135</v>
      </c>
      <c r="E2084">
        <v>73720001</v>
      </c>
      <c r="F2084" t="s">
        <v>15145</v>
      </c>
      <c r="G2084" t="b">
        <v>1</v>
      </c>
      <c r="H2084" t="s">
        <v>16767</v>
      </c>
    </row>
    <row r="2085" spans="1:8" hidden="1" x14ac:dyDescent="0.25">
      <c r="A2085">
        <v>10119</v>
      </c>
      <c r="B2085" t="s">
        <v>15808</v>
      </c>
      <c r="C2085" t="s">
        <v>15134</v>
      </c>
      <c r="D2085" t="s">
        <v>15135</v>
      </c>
      <c r="E2085">
        <v>113009001</v>
      </c>
    </row>
    <row r="2086" spans="1:8" hidden="1" x14ac:dyDescent="0.25">
      <c r="A2086">
        <v>8981</v>
      </c>
      <c r="B2086" t="s">
        <v>15297</v>
      </c>
      <c r="C2086" t="s">
        <v>15134</v>
      </c>
      <c r="D2086" t="s">
        <v>15135</v>
      </c>
      <c r="E2086">
        <v>73004000</v>
      </c>
      <c r="F2086" t="s">
        <v>15136</v>
      </c>
      <c r="G2086" t="b">
        <v>1</v>
      </c>
      <c r="H2086" t="s">
        <v>15298</v>
      </c>
    </row>
    <row r="2087" spans="1:8" hidden="1" x14ac:dyDescent="0.25">
      <c r="A2087">
        <v>8981</v>
      </c>
      <c r="B2087" t="s">
        <v>15297</v>
      </c>
      <c r="C2087" t="s">
        <v>15134</v>
      </c>
      <c r="D2087" t="s">
        <v>15135</v>
      </c>
      <c r="E2087">
        <v>73004000</v>
      </c>
      <c r="F2087" t="s">
        <v>15138</v>
      </c>
      <c r="G2087" t="b">
        <v>1</v>
      </c>
      <c r="H2087" t="s">
        <v>15299</v>
      </c>
    </row>
    <row r="2088" spans="1:8" hidden="1" x14ac:dyDescent="0.25">
      <c r="A2088">
        <v>8982</v>
      </c>
      <c r="B2088" t="s">
        <v>15297</v>
      </c>
      <c r="C2088" t="s">
        <v>15134</v>
      </c>
      <c r="D2088" t="s">
        <v>15135</v>
      </c>
      <c r="E2088">
        <v>73004001</v>
      </c>
    </row>
    <row r="2089" spans="1:8" hidden="1" x14ac:dyDescent="0.25">
      <c r="A2089">
        <v>8758</v>
      </c>
      <c r="B2089" t="s">
        <v>15254</v>
      </c>
      <c r="C2089" t="s">
        <v>15134</v>
      </c>
      <c r="D2089" t="s">
        <v>15135</v>
      </c>
      <c r="E2089">
        <v>72402004</v>
      </c>
    </row>
    <row r="2090" spans="1:8" hidden="1" x14ac:dyDescent="0.25">
      <c r="A2090">
        <v>8820</v>
      </c>
      <c r="B2090" t="s">
        <v>15254</v>
      </c>
      <c r="C2090" t="s">
        <v>15134</v>
      </c>
      <c r="D2090" t="s">
        <v>15135</v>
      </c>
      <c r="E2090">
        <v>72413003</v>
      </c>
      <c r="F2090" t="s">
        <v>15136</v>
      </c>
      <c r="G2090" t="b">
        <v>1</v>
      </c>
      <c r="H2090" t="s">
        <v>15294</v>
      </c>
    </row>
    <row r="2091" spans="1:8" hidden="1" x14ac:dyDescent="0.25">
      <c r="A2091">
        <v>8820</v>
      </c>
      <c r="B2091" t="s">
        <v>15254</v>
      </c>
      <c r="C2091" t="s">
        <v>15134</v>
      </c>
      <c r="D2091" t="s">
        <v>15135</v>
      </c>
      <c r="E2091">
        <v>72413003</v>
      </c>
      <c r="F2091" t="s">
        <v>15138</v>
      </c>
      <c r="G2091" t="b">
        <v>1</v>
      </c>
      <c r="H2091" t="s">
        <v>15294</v>
      </c>
    </row>
    <row r="2092" spans="1:8" hidden="1" x14ac:dyDescent="0.25">
      <c r="A2092">
        <v>79365</v>
      </c>
      <c r="B2092" t="s">
        <v>15254</v>
      </c>
      <c r="C2092" t="s">
        <v>15134</v>
      </c>
      <c r="D2092" t="s">
        <v>15135</v>
      </c>
      <c r="E2092">
        <v>72446000</v>
      </c>
      <c r="F2092" t="s">
        <v>15138</v>
      </c>
      <c r="G2092" t="b">
        <v>1</v>
      </c>
      <c r="H2092" t="s">
        <v>15930</v>
      </c>
    </row>
    <row r="2093" spans="1:8" hidden="1" x14ac:dyDescent="0.25">
      <c r="A2093">
        <v>79365</v>
      </c>
      <c r="B2093" t="s">
        <v>15254</v>
      </c>
      <c r="C2093" t="s">
        <v>15134</v>
      </c>
      <c r="D2093" t="s">
        <v>15135</v>
      </c>
      <c r="E2093">
        <v>72446000</v>
      </c>
      <c r="F2093" t="s">
        <v>15145</v>
      </c>
      <c r="G2093" t="b">
        <v>1</v>
      </c>
      <c r="H2093" t="s">
        <v>15930</v>
      </c>
    </row>
    <row r="2094" spans="1:8" hidden="1" x14ac:dyDescent="0.25">
      <c r="A2094">
        <v>79366</v>
      </c>
      <c r="B2094" t="s">
        <v>15254</v>
      </c>
      <c r="C2094" t="s">
        <v>15134</v>
      </c>
      <c r="D2094" t="s">
        <v>15135</v>
      </c>
      <c r="E2094">
        <v>72446001</v>
      </c>
      <c r="F2094" t="s">
        <v>15138</v>
      </c>
      <c r="G2094" t="b">
        <v>1</v>
      </c>
      <c r="H2094" t="s">
        <v>15930</v>
      </c>
    </row>
    <row r="2095" spans="1:8" hidden="1" x14ac:dyDescent="0.25">
      <c r="A2095">
        <v>79366</v>
      </c>
      <c r="B2095" t="s">
        <v>15254</v>
      </c>
      <c r="C2095" t="s">
        <v>15134</v>
      </c>
      <c r="D2095" t="s">
        <v>15135</v>
      </c>
      <c r="E2095">
        <v>72446001</v>
      </c>
      <c r="F2095" t="s">
        <v>15145</v>
      </c>
      <c r="G2095" t="b">
        <v>1</v>
      </c>
      <c r="H2095" t="s">
        <v>15930</v>
      </c>
    </row>
    <row r="2096" spans="1:8" hidden="1" x14ac:dyDescent="0.25">
      <c r="A2096">
        <v>1001186</v>
      </c>
      <c r="B2096" t="s">
        <v>17183</v>
      </c>
      <c r="C2096" t="s">
        <v>15134</v>
      </c>
      <c r="D2096" t="s">
        <v>15135</v>
      </c>
      <c r="E2096">
        <v>73370000</v>
      </c>
      <c r="F2096" t="s">
        <v>15136</v>
      </c>
      <c r="G2096" t="b">
        <v>1</v>
      </c>
      <c r="H2096" t="s">
        <v>15294</v>
      </c>
    </row>
    <row r="2097" spans="1:8" hidden="1" x14ac:dyDescent="0.25">
      <c r="A2097">
        <v>1001186</v>
      </c>
      <c r="B2097" t="s">
        <v>17183</v>
      </c>
      <c r="C2097" t="s">
        <v>15134</v>
      </c>
      <c r="D2097" t="s">
        <v>15135</v>
      </c>
      <c r="E2097">
        <v>73370000</v>
      </c>
      <c r="F2097" t="s">
        <v>15138</v>
      </c>
      <c r="G2097" t="b">
        <v>1</v>
      </c>
      <c r="H2097" t="s">
        <v>17184</v>
      </c>
    </row>
    <row r="2098" spans="1:8" hidden="1" x14ac:dyDescent="0.25">
      <c r="A2098">
        <v>79333</v>
      </c>
      <c r="B2098" t="s">
        <v>15929</v>
      </c>
      <c r="C2098" t="s">
        <v>15134</v>
      </c>
      <c r="D2098" t="s">
        <v>15135</v>
      </c>
      <c r="E2098">
        <v>72425003</v>
      </c>
      <c r="F2098" t="s">
        <v>15138</v>
      </c>
      <c r="G2098" t="b">
        <v>1</v>
      </c>
      <c r="H2098" t="s">
        <v>15930</v>
      </c>
    </row>
    <row r="2099" spans="1:8" hidden="1" x14ac:dyDescent="0.25">
      <c r="A2099">
        <v>79333</v>
      </c>
      <c r="B2099" t="s">
        <v>15929</v>
      </c>
      <c r="C2099" t="s">
        <v>15134</v>
      </c>
      <c r="D2099" t="s">
        <v>15135</v>
      </c>
      <c r="E2099">
        <v>72425003</v>
      </c>
      <c r="F2099" t="s">
        <v>15145</v>
      </c>
      <c r="G2099" t="b">
        <v>1</v>
      </c>
      <c r="H2099" t="s">
        <v>15930</v>
      </c>
    </row>
    <row r="2100" spans="1:8" hidden="1" x14ac:dyDescent="0.25">
      <c r="A2100">
        <v>8662</v>
      </c>
      <c r="B2100" t="s">
        <v>15180</v>
      </c>
      <c r="C2100" t="s">
        <v>15134</v>
      </c>
      <c r="D2100" t="s">
        <v>15135</v>
      </c>
      <c r="E2100">
        <v>72205000</v>
      </c>
    </row>
    <row r="2101" spans="1:8" hidden="1" x14ac:dyDescent="0.25">
      <c r="A2101">
        <v>9661</v>
      </c>
      <c r="B2101" t="s">
        <v>15624</v>
      </c>
      <c r="C2101" t="s">
        <v>15134</v>
      </c>
      <c r="D2101" t="s">
        <v>15135</v>
      </c>
      <c r="E2101">
        <v>92204001</v>
      </c>
    </row>
    <row r="2102" spans="1:8" hidden="1" x14ac:dyDescent="0.25">
      <c r="A2102">
        <v>8787</v>
      </c>
      <c r="B2102" t="s">
        <v>15277</v>
      </c>
      <c r="C2102" t="s">
        <v>15134</v>
      </c>
      <c r="D2102" t="s">
        <v>15135</v>
      </c>
      <c r="E2102">
        <v>72469000</v>
      </c>
    </row>
    <row r="2103" spans="1:8" hidden="1" x14ac:dyDescent="0.25">
      <c r="A2103">
        <v>10354</v>
      </c>
      <c r="B2103" t="s">
        <v>15277</v>
      </c>
      <c r="C2103" t="s">
        <v>15134</v>
      </c>
      <c r="D2103" t="s">
        <v>15135</v>
      </c>
      <c r="E2103">
        <v>72469001</v>
      </c>
    </row>
    <row r="2104" spans="1:8" hidden="1" x14ac:dyDescent="0.25">
      <c r="A2104">
        <v>79527</v>
      </c>
      <c r="B2104" t="s">
        <v>15972</v>
      </c>
      <c r="C2104" t="s">
        <v>15134</v>
      </c>
      <c r="D2104" t="s">
        <v>15135</v>
      </c>
      <c r="E2104">
        <v>82210000</v>
      </c>
      <c r="F2104" t="s">
        <v>15145</v>
      </c>
      <c r="G2104" t="b">
        <v>0</v>
      </c>
      <c r="H2104" t="s">
        <v>15973</v>
      </c>
    </row>
    <row r="2105" spans="1:8" hidden="1" x14ac:dyDescent="0.25">
      <c r="A2105">
        <v>79527</v>
      </c>
      <c r="B2105" t="s">
        <v>15972</v>
      </c>
      <c r="C2105" t="s">
        <v>15134</v>
      </c>
      <c r="D2105" t="s">
        <v>15135</v>
      </c>
      <c r="E2105">
        <v>82210000</v>
      </c>
      <c r="F2105" t="s">
        <v>15138</v>
      </c>
      <c r="G2105" t="b">
        <v>0</v>
      </c>
      <c r="H2105" t="s">
        <v>15973</v>
      </c>
    </row>
    <row r="2106" spans="1:8" hidden="1" x14ac:dyDescent="0.25">
      <c r="A2106">
        <v>79532</v>
      </c>
      <c r="B2106" t="s">
        <v>15972</v>
      </c>
      <c r="C2106" t="s">
        <v>15134</v>
      </c>
      <c r="D2106" t="s">
        <v>15135</v>
      </c>
      <c r="E2106">
        <v>82210</v>
      </c>
    </row>
    <row r="2107" spans="1:8" hidden="1" x14ac:dyDescent="0.25">
      <c r="A2107">
        <v>79330</v>
      </c>
      <c r="B2107" t="s">
        <v>15922</v>
      </c>
      <c r="C2107" t="s">
        <v>15134</v>
      </c>
      <c r="D2107" t="s">
        <v>15135</v>
      </c>
      <c r="E2107">
        <v>72425000</v>
      </c>
      <c r="F2107" t="s">
        <v>15138</v>
      </c>
      <c r="G2107" t="b">
        <v>0</v>
      </c>
      <c r="H2107" t="s">
        <v>15923</v>
      </c>
    </row>
    <row r="2108" spans="1:8" hidden="1" x14ac:dyDescent="0.25">
      <c r="A2108">
        <v>79330</v>
      </c>
      <c r="B2108" t="s">
        <v>15922</v>
      </c>
      <c r="C2108" t="s">
        <v>15134</v>
      </c>
      <c r="D2108" t="s">
        <v>15135</v>
      </c>
      <c r="E2108">
        <v>72425000</v>
      </c>
      <c r="F2108" t="s">
        <v>15145</v>
      </c>
      <c r="G2108" t="b">
        <v>0</v>
      </c>
      <c r="H2108" t="s">
        <v>15923</v>
      </c>
    </row>
    <row r="2109" spans="1:8" hidden="1" x14ac:dyDescent="0.25">
      <c r="A2109">
        <v>1000094</v>
      </c>
      <c r="B2109" t="s">
        <v>17078</v>
      </c>
      <c r="C2109" t="s">
        <v>15134</v>
      </c>
      <c r="D2109" t="s">
        <v>15135</v>
      </c>
      <c r="E2109">
        <v>72468005</v>
      </c>
      <c r="F2109" t="s">
        <v>15136</v>
      </c>
      <c r="G2109" t="b">
        <v>1</v>
      </c>
      <c r="H2109" t="s">
        <v>17069</v>
      </c>
    </row>
    <row r="2110" spans="1:8" hidden="1" x14ac:dyDescent="0.25">
      <c r="A2110">
        <v>1000094</v>
      </c>
      <c r="B2110" t="s">
        <v>17078</v>
      </c>
      <c r="C2110" t="s">
        <v>15134</v>
      </c>
      <c r="D2110" t="s">
        <v>15135</v>
      </c>
      <c r="E2110">
        <v>72468005</v>
      </c>
      <c r="F2110" t="s">
        <v>15138</v>
      </c>
      <c r="G2110" t="b">
        <v>1</v>
      </c>
      <c r="H2110" t="s">
        <v>17079</v>
      </c>
    </row>
    <row r="2111" spans="1:8" hidden="1" x14ac:dyDescent="0.25">
      <c r="A2111">
        <v>85800</v>
      </c>
      <c r="B2111" t="s">
        <v>442</v>
      </c>
      <c r="C2111" t="s">
        <v>15134</v>
      </c>
      <c r="D2111" t="s">
        <v>15135</v>
      </c>
      <c r="E2111">
        <v>112501005</v>
      </c>
    </row>
    <row r="2112" spans="1:8" hidden="1" x14ac:dyDescent="0.25">
      <c r="A2112">
        <v>1001405</v>
      </c>
      <c r="B2112" t="s">
        <v>17192</v>
      </c>
      <c r="C2112" t="s">
        <v>15134</v>
      </c>
      <c r="D2112" t="s">
        <v>15135</v>
      </c>
      <c r="E2112">
        <v>73725001</v>
      </c>
      <c r="F2112" t="s">
        <v>15138</v>
      </c>
      <c r="G2112" t="b">
        <v>1</v>
      </c>
      <c r="H2112" t="s">
        <v>17191</v>
      </c>
    </row>
    <row r="2113" spans="1:8" hidden="1" x14ac:dyDescent="0.25">
      <c r="A2113">
        <v>1001405</v>
      </c>
      <c r="B2113" t="s">
        <v>17192</v>
      </c>
      <c r="C2113" t="s">
        <v>15134</v>
      </c>
      <c r="D2113" t="s">
        <v>15135</v>
      </c>
      <c r="E2113">
        <v>73725001</v>
      </c>
      <c r="F2113" t="s">
        <v>15136</v>
      </c>
      <c r="G2113" t="b">
        <v>1</v>
      </c>
      <c r="H2113" t="s">
        <v>17191</v>
      </c>
    </row>
    <row r="2114" spans="1:8" hidden="1" x14ac:dyDescent="0.25">
      <c r="A2114">
        <v>80669</v>
      </c>
      <c r="B2114" t="s">
        <v>16167</v>
      </c>
      <c r="C2114" t="s">
        <v>15134</v>
      </c>
      <c r="D2114" t="s">
        <v>15135</v>
      </c>
      <c r="E2114">
        <v>143012003</v>
      </c>
      <c r="F2114" t="s">
        <v>15138</v>
      </c>
      <c r="G2114" t="b">
        <v>0</v>
      </c>
      <c r="H2114" t="s">
        <v>16168</v>
      </c>
    </row>
    <row r="2115" spans="1:8" hidden="1" x14ac:dyDescent="0.25">
      <c r="A2115">
        <v>80669</v>
      </c>
      <c r="B2115" t="s">
        <v>16167</v>
      </c>
      <c r="C2115" t="s">
        <v>15134</v>
      </c>
      <c r="D2115" t="s">
        <v>15135</v>
      </c>
      <c r="E2115">
        <v>143012003</v>
      </c>
      <c r="F2115" t="s">
        <v>15145</v>
      </c>
      <c r="G2115" t="b">
        <v>1</v>
      </c>
      <c r="H2115" t="s">
        <v>16169</v>
      </c>
    </row>
    <row r="2116" spans="1:8" hidden="1" x14ac:dyDescent="0.25">
      <c r="A2116">
        <v>90838</v>
      </c>
      <c r="B2116" t="s">
        <v>16698</v>
      </c>
      <c r="C2116" t="s">
        <v>15134</v>
      </c>
      <c r="D2116" t="s">
        <v>15135</v>
      </c>
      <c r="E2116">
        <v>73713001</v>
      </c>
      <c r="F2116" t="s">
        <v>15136</v>
      </c>
      <c r="G2116" t="b">
        <v>1</v>
      </c>
      <c r="H2116" t="s">
        <v>16697</v>
      </c>
    </row>
    <row r="2117" spans="1:8" hidden="1" x14ac:dyDescent="0.25">
      <c r="A2117">
        <v>90838</v>
      </c>
      <c r="B2117" t="s">
        <v>16698</v>
      </c>
      <c r="C2117" t="s">
        <v>15134</v>
      </c>
      <c r="D2117" t="s">
        <v>15135</v>
      </c>
      <c r="E2117">
        <v>73713001</v>
      </c>
      <c r="F2117" t="s">
        <v>15138</v>
      </c>
      <c r="G2117" t="b">
        <v>1</v>
      </c>
      <c r="H2117" t="s">
        <v>16697</v>
      </c>
    </row>
    <row r="2118" spans="1:8" hidden="1" x14ac:dyDescent="0.25">
      <c r="A2118">
        <v>90225</v>
      </c>
      <c r="B2118" t="s">
        <v>16585</v>
      </c>
      <c r="C2118" t="s">
        <v>15134</v>
      </c>
      <c r="D2118" t="s">
        <v>15135</v>
      </c>
      <c r="E2118">
        <v>22207000</v>
      </c>
      <c r="F2118" t="s">
        <v>15145</v>
      </c>
      <c r="G2118" t="b">
        <v>1</v>
      </c>
      <c r="H2118" t="s">
        <v>16586</v>
      </c>
    </row>
    <row r="2119" spans="1:8" hidden="1" x14ac:dyDescent="0.25">
      <c r="A2119">
        <v>8698</v>
      </c>
      <c r="B2119" t="s">
        <v>15208</v>
      </c>
      <c r="C2119" t="s">
        <v>15134</v>
      </c>
      <c r="D2119" t="s">
        <v>15135</v>
      </c>
      <c r="E2119">
        <v>72250000</v>
      </c>
    </row>
    <row r="2120" spans="1:8" hidden="1" x14ac:dyDescent="0.25">
      <c r="A2120">
        <v>8699</v>
      </c>
      <c r="B2120" t="s">
        <v>15209</v>
      </c>
      <c r="C2120" t="s">
        <v>15134</v>
      </c>
      <c r="D2120" t="s">
        <v>15135</v>
      </c>
      <c r="E2120">
        <v>72250001</v>
      </c>
    </row>
    <row r="2121" spans="1:8" hidden="1" x14ac:dyDescent="0.25">
      <c r="A2121">
        <v>9793</v>
      </c>
      <c r="B2121" t="s">
        <v>15685</v>
      </c>
      <c r="C2121" t="s">
        <v>15134</v>
      </c>
      <c r="D2121" t="s">
        <v>15135</v>
      </c>
      <c r="E2121">
        <v>102250011</v>
      </c>
    </row>
    <row r="2122" spans="1:8" hidden="1" x14ac:dyDescent="0.25">
      <c r="A2122">
        <v>92671</v>
      </c>
      <c r="B2122" t="s">
        <v>16885</v>
      </c>
      <c r="C2122" t="s">
        <v>15134</v>
      </c>
      <c r="D2122" t="s">
        <v>15135</v>
      </c>
      <c r="E2122">
        <v>72451007</v>
      </c>
      <c r="F2122" t="s">
        <v>15138</v>
      </c>
      <c r="G2122" t="b">
        <v>1</v>
      </c>
      <c r="H2122" t="s">
        <v>15596</v>
      </c>
    </row>
    <row r="2123" spans="1:8" hidden="1" x14ac:dyDescent="0.25">
      <c r="A2123">
        <v>90855</v>
      </c>
      <c r="B2123" t="s">
        <v>16704</v>
      </c>
      <c r="C2123" t="s">
        <v>15134</v>
      </c>
      <c r="D2123" t="s">
        <v>15135</v>
      </c>
      <c r="E2123">
        <v>143025000</v>
      </c>
      <c r="F2123" t="s">
        <v>15138</v>
      </c>
      <c r="G2123" t="b">
        <v>1</v>
      </c>
      <c r="H2123" t="s">
        <v>16705</v>
      </c>
    </row>
    <row r="2124" spans="1:8" hidden="1" x14ac:dyDescent="0.25">
      <c r="A2124">
        <v>90855</v>
      </c>
      <c r="B2124" t="s">
        <v>16704</v>
      </c>
      <c r="C2124" t="s">
        <v>15134</v>
      </c>
      <c r="D2124" t="s">
        <v>15135</v>
      </c>
      <c r="E2124">
        <v>143025000</v>
      </c>
      <c r="F2124" t="s">
        <v>15136</v>
      </c>
      <c r="G2124" t="b">
        <v>1</v>
      </c>
      <c r="H2124" t="s">
        <v>16705</v>
      </c>
    </row>
    <row r="2125" spans="1:8" hidden="1" x14ac:dyDescent="0.25">
      <c r="A2125">
        <v>90856</v>
      </c>
      <c r="B2125" t="s">
        <v>16704</v>
      </c>
      <c r="C2125" t="s">
        <v>15134</v>
      </c>
      <c r="D2125" t="s">
        <v>15135</v>
      </c>
      <c r="E2125">
        <v>143025001</v>
      </c>
      <c r="F2125" t="s">
        <v>15145</v>
      </c>
      <c r="G2125" t="b">
        <v>1</v>
      </c>
      <c r="H2125" t="s">
        <v>16169</v>
      </c>
    </row>
    <row r="2126" spans="1:8" hidden="1" x14ac:dyDescent="0.25">
      <c r="A2126">
        <v>9011</v>
      </c>
      <c r="B2126" t="s">
        <v>15312</v>
      </c>
      <c r="C2126" t="s">
        <v>15134</v>
      </c>
      <c r="D2126" t="s">
        <v>15135</v>
      </c>
      <c r="E2126">
        <v>73020001</v>
      </c>
    </row>
    <row r="2127" spans="1:8" hidden="1" x14ac:dyDescent="0.25">
      <c r="A2127">
        <v>10056</v>
      </c>
      <c r="B2127" t="s">
        <v>15796</v>
      </c>
      <c r="C2127" t="s">
        <v>15134</v>
      </c>
      <c r="D2127" t="s">
        <v>15135</v>
      </c>
      <c r="E2127">
        <v>103108001</v>
      </c>
      <c r="F2127" t="s">
        <v>15145</v>
      </c>
      <c r="G2127" t="b">
        <v>1</v>
      </c>
      <c r="H2127" t="s">
        <v>15795</v>
      </c>
    </row>
    <row r="2128" spans="1:8" hidden="1" x14ac:dyDescent="0.25">
      <c r="A2128">
        <v>89945</v>
      </c>
      <c r="B2128" t="s">
        <v>16512</v>
      </c>
      <c r="C2128" t="s">
        <v>15134</v>
      </c>
      <c r="D2128" t="s">
        <v>15135</v>
      </c>
      <c r="E2128">
        <v>72413014</v>
      </c>
      <c r="F2128" t="s">
        <v>15145</v>
      </c>
      <c r="G2128" t="b">
        <v>1</v>
      </c>
      <c r="H2128" t="s">
        <v>16513</v>
      </c>
    </row>
    <row r="2129" spans="1:8" hidden="1" x14ac:dyDescent="0.25">
      <c r="A2129">
        <v>89945</v>
      </c>
      <c r="B2129" t="s">
        <v>16512</v>
      </c>
      <c r="C2129" t="s">
        <v>15134</v>
      </c>
      <c r="D2129" t="s">
        <v>15135</v>
      </c>
      <c r="E2129">
        <v>72413014</v>
      </c>
      <c r="F2129" t="s">
        <v>15138</v>
      </c>
      <c r="G2129" t="b">
        <v>1</v>
      </c>
      <c r="H2129" t="s">
        <v>16513</v>
      </c>
    </row>
    <row r="2130" spans="1:8" hidden="1" x14ac:dyDescent="0.25">
      <c r="A2130">
        <v>89733</v>
      </c>
      <c r="B2130" t="s">
        <v>16442</v>
      </c>
      <c r="C2130" t="s">
        <v>15134</v>
      </c>
      <c r="D2130" t="s">
        <v>15135</v>
      </c>
      <c r="E2130">
        <v>132207000</v>
      </c>
      <c r="F2130" t="s">
        <v>15145</v>
      </c>
      <c r="G2130" t="b">
        <v>1</v>
      </c>
      <c r="H2130" t="s">
        <v>16443</v>
      </c>
    </row>
    <row r="2131" spans="1:8" hidden="1" x14ac:dyDescent="0.25">
      <c r="A2131">
        <v>89733</v>
      </c>
      <c r="B2131" t="s">
        <v>16442</v>
      </c>
      <c r="C2131" t="s">
        <v>15134</v>
      </c>
      <c r="D2131" t="s">
        <v>15135</v>
      </c>
      <c r="E2131">
        <v>132207000</v>
      </c>
      <c r="F2131" t="s">
        <v>15138</v>
      </c>
      <c r="G2131" t="b">
        <v>1</v>
      </c>
      <c r="H2131" t="s">
        <v>16443</v>
      </c>
    </row>
    <row r="2132" spans="1:8" hidden="1" x14ac:dyDescent="0.25">
      <c r="A2132">
        <v>90055</v>
      </c>
      <c r="B2132" t="s">
        <v>16514</v>
      </c>
      <c r="C2132" t="s">
        <v>15134</v>
      </c>
      <c r="D2132" t="s">
        <v>15135</v>
      </c>
      <c r="E2132">
        <v>72438000</v>
      </c>
      <c r="F2132" t="s">
        <v>15145</v>
      </c>
      <c r="G2132" t="b">
        <v>1</v>
      </c>
      <c r="H2132" t="s">
        <v>16515</v>
      </c>
    </row>
    <row r="2133" spans="1:8" hidden="1" x14ac:dyDescent="0.25">
      <c r="A2133">
        <v>1000128</v>
      </c>
      <c r="B2133" t="s">
        <v>17101</v>
      </c>
      <c r="C2133" t="s">
        <v>15134</v>
      </c>
      <c r="D2133" t="s">
        <v>15135</v>
      </c>
      <c r="E2133">
        <v>103160000</v>
      </c>
      <c r="F2133" t="s">
        <v>15136</v>
      </c>
      <c r="G2133" t="b">
        <v>1</v>
      </c>
      <c r="H2133" t="s">
        <v>17102</v>
      </c>
    </row>
    <row r="2134" spans="1:8" hidden="1" x14ac:dyDescent="0.25">
      <c r="A2134">
        <v>1000128</v>
      </c>
      <c r="B2134" t="s">
        <v>17101</v>
      </c>
      <c r="C2134" t="s">
        <v>15134</v>
      </c>
      <c r="D2134" t="s">
        <v>15135</v>
      </c>
      <c r="E2134">
        <v>103160000</v>
      </c>
      <c r="F2134" t="s">
        <v>15138</v>
      </c>
      <c r="G2134" t="b">
        <v>1</v>
      </c>
      <c r="H2134" t="s">
        <v>16612</v>
      </c>
    </row>
    <row r="2135" spans="1:8" hidden="1" x14ac:dyDescent="0.25">
      <c r="A2135">
        <v>9770</v>
      </c>
      <c r="B2135" t="s">
        <v>15665</v>
      </c>
      <c r="C2135" t="s">
        <v>15134</v>
      </c>
      <c r="D2135" t="s">
        <v>15135</v>
      </c>
      <c r="E2135">
        <v>102245001</v>
      </c>
      <c r="F2135" t="s">
        <v>15136</v>
      </c>
      <c r="G2135" t="b">
        <v>0</v>
      </c>
      <c r="H2135" t="s">
        <v>15666</v>
      </c>
    </row>
    <row r="2136" spans="1:8" hidden="1" x14ac:dyDescent="0.25">
      <c r="A2136">
        <v>9770</v>
      </c>
      <c r="B2136" t="s">
        <v>15665</v>
      </c>
      <c r="C2136" t="s">
        <v>15134</v>
      </c>
      <c r="D2136" t="s">
        <v>15135</v>
      </c>
      <c r="E2136">
        <v>102245001</v>
      </c>
      <c r="F2136" t="s">
        <v>15138</v>
      </c>
      <c r="G2136" t="b">
        <v>0</v>
      </c>
      <c r="H2136" t="s">
        <v>15667</v>
      </c>
    </row>
    <row r="2137" spans="1:8" hidden="1" x14ac:dyDescent="0.25">
      <c r="A2137">
        <v>9780</v>
      </c>
      <c r="B2137" t="s">
        <v>15673</v>
      </c>
      <c r="C2137" t="s">
        <v>15134</v>
      </c>
      <c r="D2137" t="s">
        <v>15135</v>
      </c>
      <c r="E2137">
        <v>102249000</v>
      </c>
    </row>
    <row r="2138" spans="1:8" hidden="1" x14ac:dyDescent="0.25">
      <c r="A2138">
        <v>9769</v>
      </c>
      <c r="B2138" t="s">
        <v>15662</v>
      </c>
      <c r="C2138" t="s">
        <v>15134</v>
      </c>
      <c r="D2138" t="s">
        <v>15135</v>
      </c>
      <c r="E2138">
        <v>102245000</v>
      </c>
      <c r="F2138" t="s">
        <v>15136</v>
      </c>
      <c r="G2138" t="b">
        <v>0</v>
      </c>
      <c r="H2138" t="s">
        <v>15663</v>
      </c>
    </row>
    <row r="2139" spans="1:8" hidden="1" x14ac:dyDescent="0.25">
      <c r="A2139">
        <v>9769</v>
      </c>
      <c r="B2139" t="s">
        <v>15662</v>
      </c>
      <c r="C2139" t="s">
        <v>15134</v>
      </c>
      <c r="D2139" t="s">
        <v>15135</v>
      </c>
      <c r="E2139">
        <v>102245000</v>
      </c>
      <c r="F2139" t="s">
        <v>15138</v>
      </c>
      <c r="G2139" t="b">
        <v>1</v>
      </c>
      <c r="H2139" t="s">
        <v>15664</v>
      </c>
    </row>
    <row r="2140" spans="1:8" hidden="1" x14ac:dyDescent="0.25">
      <c r="A2140">
        <v>9772</v>
      </c>
      <c r="B2140" t="s">
        <v>15668</v>
      </c>
      <c r="C2140" t="s">
        <v>15134</v>
      </c>
      <c r="D2140" t="s">
        <v>15135</v>
      </c>
      <c r="E2140">
        <v>102245003</v>
      </c>
    </row>
    <row r="2141" spans="1:8" hidden="1" x14ac:dyDescent="0.25">
      <c r="A2141">
        <v>90435</v>
      </c>
      <c r="B2141" t="s">
        <v>16611</v>
      </c>
      <c r="C2141" t="s">
        <v>15134</v>
      </c>
      <c r="D2141" t="s">
        <v>15135</v>
      </c>
      <c r="E2141">
        <v>103160001</v>
      </c>
      <c r="F2141" t="s">
        <v>15138</v>
      </c>
      <c r="G2141" t="b">
        <v>1</v>
      </c>
      <c r="H2141" t="s">
        <v>16612</v>
      </c>
    </row>
    <row r="2142" spans="1:8" hidden="1" x14ac:dyDescent="0.25">
      <c r="A2142">
        <v>90435</v>
      </c>
      <c r="B2142" t="s">
        <v>16611</v>
      </c>
      <c r="C2142" t="s">
        <v>15134</v>
      </c>
      <c r="D2142" t="s">
        <v>15135</v>
      </c>
      <c r="E2142">
        <v>103160001</v>
      </c>
      <c r="F2142" t="s">
        <v>15136</v>
      </c>
      <c r="G2142" t="b">
        <v>1</v>
      </c>
      <c r="H2142" t="s">
        <v>16612</v>
      </c>
    </row>
    <row r="2143" spans="1:8" hidden="1" x14ac:dyDescent="0.25">
      <c r="A2143">
        <v>90434</v>
      </c>
      <c r="B2143" t="s">
        <v>16609</v>
      </c>
      <c r="C2143" t="s">
        <v>15134</v>
      </c>
      <c r="D2143" t="s">
        <v>15135</v>
      </c>
      <c r="E2143">
        <v>103213001</v>
      </c>
      <c r="F2143" t="s">
        <v>15145</v>
      </c>
      <c r="G2143" t="b">
        <v>1</v>
      </c>
      <c r="H2143" t="s">
        <v>16610</v>
      </c>
    </row>
    <row r="2144" spans="1:8" hidden="1" x14ac:dyDescent="0.25">
      <c r="A2144">
        <v>78740</v>
      </c>
      <c r="B2144" t="s">
        <v>15879</v>
      </c>
      <c r="C2144" t="s">
        <v>15134</v>
      </c>
      <c r="D2144" t="s">
        <v>15135</v>
      </c>
      <c r="E2144">
        <v>73297002</v>
      </c>
    </row>
    <row r="2145" spans="1:8" hidden="1" x14ac:dyDescent="0.25">
      <c r="A2145">
        <v>10021</v>
      </c>
      <c r="B2145" t="s">
        <v>15783</v>
      </c>
      <c r="C2145" t="s">
        <v>15134</v>
      </c>
      <c r="D2145" t="s">
        <v>15135</v>
      </c>
      <c r="E2145">
        <v>103095001</v>
      </c>
    </row>
    <row r="2146" spans="1:8" hidden="1" x14ac:dyDescent="0.25">
      <c r="A2146">
        <v>1000066</v>
      </c>
      <c r="B2146" t="s">
        <v>17045</v>
      </c>
      <c r="C2146" t="s">
        <v>15134</v>
      </c>
      <c r="D2146" t="s">
        <v>15135</v>
      </c>
      <c r="E2146">
        <v>73347000</v>
      </c>
      <c r="F2146" t="s">
        <v>15138</v>
      </c>
      <c r="G2146" t="b">
        <v>1</v>
      </c>
      <c r="H2146" t="s">
        <v>17046</v>
      </c>
    </row>
    <row r="2147" spans="1:8" hidden="1" x14ac:dyDescent="0.25">
      <c r="A2147">
        <v>1000066</v>
      </c>
      <c r="B2147" t="s">
        <v>17045</v>
      </c>
      <c r="C2147" t="s">
        <v>15134</v>
      </c>
      <c r="D2147" t="s">
        <v>15135</v>
      </c>
      <c r="E2147">
        <v>73347000</v>
      </c>
      <c r="F2147" t="s">
        <v>15136</v>
      </c>
      <c r="G2147" t="b">
        <v>1</v>
      </c>
      <c r="H2147" t="s">
        <v>17046</v>
      </c>
    </row>
    <row r="2148" spans="1:8" hidden="1" x14ac:dyDescent="0.25">
      <c r="A2148">
        <v>79148</v>
      </c>
      <c r="B2148" t="s">
        <v>15901</v>
      </c>
      <c r="C2148" t="s">
        <v>15134</v>
      </c>
      <c r="D2148" t="s">
        <v>15135</v>
      </c>
      <c r="E2148">
        <v>22204001</v>
      </c>
      <c r="F2148" t="s">
        <v>15145</v>
      </c>
      <c r="G2148" t="b">
        <v>0</v>
      </c>
      <c r="H2148" t="s">
        <v>15900</v>
      </c>
    </row>
    <row r="2149" spans="1:8" hidden="1" x14ac:dyDescent="0.25">
      <c r="A2149">
        <v>87676</v>
      </c>
      <c r="B2149" t="s">
        <v>16348</v>
      </c>
      <c r="C2149" t="s">
        <v>15134</v>
      </c>
      <c r="D2149" t="s">
        <v>15135</v>
      </c>
      <c r="E2149">
        <v>22201003</v>
      </c>
    </row>
    <row r="2150" spans="1:8" hidden="1" x14ac:dyDescent="0.25">
      <c r="A2150">
        <v>91858</v>
      </c>
      <c r="B2150" t="s">
        <v>16806</v>
      </c>
      <c r="C2150" t="s">
        <v>15134</v>
      </c>
      <c r="D2150" t="s">
        <v>15135</v>
      </c>
      <c r="E2150">
        <v>143028000</v>
      </c>
      <c r="F2150" t="s">
        <v>15145</v>
      </c>
      <c r="G2150" t="b">
        <v>1</v>
      </c>
      <c r="H2150" t="s">
        <v>16807</v>
      </c>
    </row>
    <row r="2151" spans="1:8" hidden="1" x14ac:dyDescent="0.25">
      <c r="A2151">
        <v>91864</v>
      </c>
      <c r="B2151" t="s">
        <v>16806</v>
      </c>
      <c r="C2151" t="s">
        <v>15134</v>
      </c>
      <c r="D2151" t="s">
        <v>15135</v>
      </c>
      <c r="E2151">
        <v>143028001</v>
      </c>
    </row>
    <row r="2152" spans="1:8" hidden="1" x14ac:dyDescent="0.25">
      <c r="A2152">
        <v>10184</v>
      </c>
      <c r="B2152" t="s">
        <v>15831</v>
      </c>
      <c r="C2152" t="s">
        <v>15134</v>
      </c>
      <c r="D2152" t="s">
        <v>15135</v>
      </c>
      <c r="E2152">
        <v>142502000</v>
      </c>
      <c r="F2152" t="s">
        <v>15138</v>
      </c>
      <c r="G2152" t="b">
        <v>0</v>
      </c>
      <c r="H2152" t="s">
        <v>15832</v>
      </c>
    </row>
    <row r="2153" spans="1:8" hidden="1" x14ac:dyDescent="0.25">
      <c r="A2153">
        <v>10184</v>
      </c>
      <c r="B2153" t="s">
        <v>15831</v>
      </c>
      <c r="C2153" t="s">
        <v>15134</v>
      </c>
      <c r="D2153" t="s">
        <v>15135</v>
      </c>
      <c r="E2153">
        <v>142502000</v>
      </c>
      <c r="F2153" t="s">
        <v>15136</v>
      </c>
      <c r="G2153" t="b">
        <v>1</v>
      </c>
      <c r="H2153" t="s">
        <v>15833</v>
      </c>
    </row>
    <row r="2154" spans="1:8" hidden="1" x14ac:dyDescent="0.25">
      <c r="A2154">
        <v>80924</v>
      </c>
      <c r="B2154" t="s">
        <v>14996</v>
      </c>
      <c r="C2154" t="s">
        <v>15134</v>
      </c>
      <c r="D2154" t="s">
        <v>15135</v>
      </c>
      <c r="E2154">
        <v>142207000</v>
      </c>
      <c r="F2154" t="s">
        <v>15145</v>
      </c>
      <c r="G2154" t="b">
        <v>1</v>
      </c>
      <c r="H2154" t="s">
        <v>16245</v>
      </c>
    </row>
    <row r="2155" spans="1:8" hidden="1" x14ac:dyDescent="0.25">
      <c r="A2155">
        <v>80924</v>
      </c>
      <c r="B2155" t="s">
        <v>14996</v>
      </c>
      <c r="C2155" t="s">
        <v>15134</v>
      </c>
      <c r="D2155" t="s">
        <v>15135</v>
      </c>
      <c r="E2155">
        <v>142207000</v>
      </c>
      <c r="F2155" t="s">
        <v>15138</v>
      </c>
      <c r="G2155" t="b">
        <v>1</v>
      </c>
      <c r="H2155" t="s">
        <v>16246</v>
      </c>
    </row>
    <row r="2156" spans="1:8" hidden="1" x14ac:dyDescent="0.25">
      <c r="A2156">
        <v>80925</v>
      </c>
      <c r="B2156" t="s">
        <v>16247</v>
      </c>
      <c r="C2156" t="s">
        <v>15134</v>
      </c>
      <c r="D2156" t="s">
        <v>15135</v>
      </c>
      <c r="E2156">
        <v>142207001</v>
      </c>
      <c r="F2156" t="s">
        <v>15145</v>
      </c>
      <c r="G2156" t="b">
        <v>1</v>
      </c>
      <c r="H2156" t="s">
        <v>16246</v>
      </c>
    </row>
    <row r="2157" spans="1:8" hidden="1" x14ac:dyDescent="0.25">
      <c r="A2157">
        <v>80925</v>
      </c>
      <c r="B2157" t="s">
        <v>16247</v>
      </c>
      <c r="C2157" t="s">
        <v>15134</v>
      </c>
      <c r="D2157" t="s">
        <v>15135</v>
      </c>
      <c r="E2157">
        <v>142207001</v>
      </c>
      <c r="F2157" t="s">
        <v>15138</v>
      </c>
      <c r="G2157" t="b">
        <v>1</v>
      </c>
      <c r="H2157" t="s">
        <v>16245</v>
      </c>
    </row>
    <row r="2158" spans="1:8" hidden="1" x14ac:dyDescent="0.25">
      <c r="A2158">
        <v>1000075</v>
      </c>
      <c r="B2158" t="s">
        <v>17053</v>
      </c>
      <c r="C2158" t="s">
        <v>15134</v>
      </c>
      <c r="D2158" t="s">
        <v>15135</v>
      </c>
      <c r="E2158">
        <v>73348001</v>
      </c>
      <c r="F2158" t="s">
        <v>15138</v>
      </c>
      <c r="G2158" t="b">
        <v>1</v>
      </c>
      <c r="H2158" t="s">
        <v>17052</v>
      </c>
    </row>
    <row r="2159" spans="1:8" hidden="1" x14ac:dyDescent="0.25">
      <c r="A2159">
        <v>1000075</v>
      </c>
      <c r="B2159" t="s">
        <v>17053</v>
      </c>
      <c r="C2159" t="s">
        <v>15134</v>
      </c>
      <c r="D2159" t="s">
        <v>15135</v>
      </c>
      <c r="E2159">
        <v>73348001</v>
      </c>
      <c r="F2159" t="s">
        <v>15136</v>
      </c>
      <c r="G2159" t="b">
        <v>1</v>
      </c>
      <c r="H2159" t="s">
        <v>17052</v>
      </c>
    </row>
    <row r="2160" spans="1:8" hidden="1" x14ac:dyDescent="0.25">
      <c r="A2160">
        <v>8764</v>
      </c>
      <c r="B2160" t="s">
        <v>15258</v>
      </c>
      <c r="C2160" t="s">
        <v>15134</v>
      </c>
      <c r="D2160" t="s">
        <v>15135</v>
      </c>
      <c r="E2160">
        <v>72404002</v>
      </c>
    </row>
    <row r="2161" spans="1:1" hidden="1" x14ac:dyDescent="0.25">
      <c r="A2161" t="s">
        <v>17210</v>
      </c>
    </row>
  </sheetData>
  <autoFilter ref="A1:H2161" xr:uid="{4CC644A4-5FED-4380-B83D-3167F5E3922D}">
    <filterColumn colId="1">
      <filters>
        <filter val="Rock-a-bye Baby Day Care Inc."/>
        <filter val="Rocking Horse Preschool"/>
      </filters>
    </filterColumn>
    <sortState xmlns:xlrd2="http://schemas.microsoft.com/office/spreadsheetml/2017/richdata2" ref="A2:H2161">
      <sortCondition ref="B1:B216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6264-D7E0-4917-8611-50A06970D02A}">
  <dimension ref="A1:O2130"/>
  <sheetViews>
    <sheetView topLeftCell="A730" workbookViewId="0">
      <selection activeCell="C12" sqref="C12"/>
    </sheetView>
  </sheetViews>
  <sheetFormatPr defaultColWidth="8.7109375" defaultRowHeight="15" x14ac:dyDescent="0.25"/>
  <cols>
    <col min="1" max="1" width="17.42578125" style="20" customWidth="1"/>
    <col min="2" max="2" width="32.42578125" style="20" customWidth="1"/>
    <col min="3" max="4" width="17.42578125" style="20" customWidth="1"/>
    <col min="5" max="5" width="22.5703125" style="20" customWidth="1"/>
    <col min="6" max="6" width="23.42578125" style="20" customWidth="1"/>
    <col min="7" max="7" width="19.28515625" style="20" customWidth="1"/>
    <col min="8" max="8" width="14.140625" style="20" customWidth="1"/>
    <col min="9" max="9" width="16.42578125" style="20" customWidth="1"/>
    <col min="10" max="10" width="46.140625" style="20" customWidth="1"/>
    <col min="11" max="12" width="17.42578125" style="20" customWidth="1"/>
    <col min="13" max="16384" width="8.7109375" style="20"/>
  </cols>
  <sheetData>
    <row r="1" spans="1:13" s="19" customFormat="1" ht="30" x14ac:dyDescent="0.25">
      <c r="A1" s="18" t="s">
        <v>15125</v>
      </c>
      <c r="B1" s="19" t="s">
        <v>15126</v>
      </c>
      <c r="C1" s="18" t="s">
        <v>15125</v>
      </c>
      <c r="D1" s="18" t="s">
        <v>17211</v>
      </c>
      <c r="E1" s="19" t="s">
        <v>15127</v>
      </c>
      <c r="F1" s="19" t="s">
        <v>15128</v>
      </c>
      <c r="G1" s="19" t="s">
        <v>15129</v>
      </c>
      <c r="H1" s="19" t="s">
        <v>15130</v>
      </c>
      <c r="I1" s="19" t="s">
        <v>15131</v>
      </c>
      <c r="J1" s="19" t="s">
        <v>15132</v>
      </c>
      <c r="K1" s="18" t="s">
        <v>15125</v>
      </c>
      <c r="L1" s="18"/>
    </row>
    <row r="2" spans="1:13" x14ac:dyDescent="0.25">
      <c r="A2" s="20">
        <v>1000172</v>
      </c>
      <c r="B2" s="20" t="s">
        <v>17109</v>
      </c>
      <c r="C2" s="20">
        <v>1000172</v>
      </c>
      <c r="D2" s="20" t="e">
        <f>VLOOKUP(C2,[1]CHILDCARE_FACILITIES!AJ:AK,2,0)</f>
        <v>#N/A</v>
      </c>
      <c r="E2" s="20" t="s">
        <v>15134</v>
      </c>
      <c r="F2" s="20" t="s">
        <v>15135</v>
      </c>
      <c r="G2" s="20">
        <v>73723000</v>
      </c>
      <c r="H2" s="20" t="s">
        <v>15136</v>
      </c>
      <c r="I2" s="20" t="b">
        <v>1</v>
      </c>
      <c r="J2" s="20" t="s">
        <v>17212</v>
      </c>
      <c r="K2" s="20">
        <v>1000172</v>
      </c>
      <c r="L2" s="20" t="s">
        <v>17213</v>
      </c>
      <c r="M2" s="20" t="s">
        <v>17214</v>
      </c>
    </row>
    <row r="3" spans="1:13" x14ac:dyDescent="0.25">
      <c r="A3" s="20">
        <v>1000172</v>
      </c>
      <c r="B3" s="20" t="s">
        <v>17109</v>
      </c>
      <c r="C3" s="20">
        <v>1000172</v>
      </c>
      <c r="D3" s="20" t="e">
        <f>VLOOKUP(C3,[1]CHILDCARE_FACILITIES!AJ:AK,2,0)</f>
        <v>#N/A</v>
      </c>
      <c r="E3" s="20" t="s">
        <v>15134</v>
      </c>
      <c r="F3" s="20" t="s">
        <v>15135</v>
      </c>
      <c r="G3" s="20">
        <v>73723000</v>
      </c>
      <c r="H3" s="20" t="s">
        <v>15138</v>
      </c>
      <c r="I3" s="20" t="b">
        <v>1</v>
      </c>
      <c r="J3" s="20" t="s">
        <v>17212</v>
      </c>
      <c r="K3" s="20">
        <v>1000172</v>
      </c>
      <c r="L3" s="20" t="s">
        <v>17213</v>
      </c>
      <c r="M3" s="20" t="s">
        <v>17214</v>
      </c>
    </row>
    <row r="4" spans="1:13" x14ac:dyDescent="0.25">
      <c r="A4" s="20">
        <v>1000176</v>
      </c>
      <c r="B4" s="20" t="s">
        <v>17109</v>
      </c>
      <c r="C4" s="20">
        <v>1000176</v>
      </c>
      <c r="D4" s="20" t="e">
        <f>VLOOKUP(C4,[1]CHILDCARE_FACILITIES!AJ:AK,2,0)</f>
        <v>#N/A</v>
      </c>
      <c r="E4" s="20" t="s">
        <v>15134</v>
      </c>
      <c r="F4" s="20" t="s">
        <v>15135</v>
      </c>
      <c r="G4" s="20">
        <v>73723001</v>
      </c>
      <c r="H4" s="20" t="s">
        <v>15136</v>
      </c>
      <c r="I4" s="20" t="b">
        <v>1</v>
      </c>
      <c r="J4" s="20" t="s">
        <v>17212</v>
      </c>
      <c r="K4" s="20">
        <v>1000176</v>
      </c>
      <c r="L4" s="20" t="s">
        <v>17213</v>
      </c>
      <c r="M4" s="20" t="s">
        <v>17214</v>
      </c>
    </row>
    <row r="5" spans="1:13" x14ac:dyDescent="0.25">
      <c r="A5" s="20">
        <v>1000176</v>
      </c>
      <c r="B5" s="20" t="s">
        <v>17109</v>
      </c>
      <c r="C5" s="20">
        <v>1000176</v>
      </c>
      <c r="D5" s="20" t="e">
        <f>VLOOKUP(C5,[1]CHILDCARE_FACILITIES!AJ:AK,2,0)</f>
        <v>#N/A</v>
      </c>
      <c r="E5" s="20" t="s">
        <v>15134</v>
      </c>
      <c r="F5" s="20" t="s">
        <v>15135</v>
      </c>
      <c r="G5" s="20">
        <v>73723001</v>
      </c>
      <c r="H5" s="20" t="s">
        <v>15138</v>
      </c>
      <c r="I5" s="20" t="b">
        <v>1</v>
      </c>
      <c r="J5" s="20" t="s">
        <v>17212</v>
      </c>
      <c r="K5" s="20">
        <v>1000176</v>
      </c>
      <c r="L5" s="20" t="s">
        <v>17213</v>
      </c>
      <c r="M5" s="20" t="s">
        <v>17214</v>
      </c>
    </row>
    <row r="6" spans="1:13" x14ac:dyDescent="0.25">
      <c r="A6" s="20">
        <v>9117</v>
      </c>
      <c r="B6" s="20" t="s">
        <v>15369</v>
      </c>
      <c r="C6" s="20">
        <v>9117</v>
      </c>
      <c r="D6" s="20" t="e">
        <f>VLOOKUP(C6,[1]CHILDCARE_FACILITIES!AJ:AK,2,0)</f>
        <v>#N/A</v>
      </c>
      <c r="E6" s="20" t="s">
        <v>15134</v>
      </c>
      <c r="F6" s="20" t="s">
        <v>15135</v>
      </c>
      <c r="G6" s="20">
        <v>73083003</v>
      </c>
      <c r="K6" s="20">
        <v>9117</v>
      </c>
    </row>
    <row r="7" spans="1:13" x14ac:dyDescent="0.25">
      <c r="A7" s="20">
        <v>90153</v>
      </c>
      <c r="B7" s="20" t="s">
        <v>16573</v>
      </c>
      <c r="C7" s="20">
        <v>90153</v>
      </c>
      <c r="D7" s="20" t="str">
        <f>VLOOKUP(C7,[1]CHILDCARE_FACILITIES!AJ:AK,2,0)</f>
        <v>CDC-14548</v>
      </c>
      <c r="E7" s="20" t="s">
        <v>15134</v>
      </c>
      <c r="F7" s="20" t="s">
        <v>15135</v>
      </c>
      <c r="G7" s="20">
        <v>73577001</v>
      </c>
      <c r="H7" s="20" t="s">
        <v>15138</v>
      </c>
      <c r="I7" s="20" t="b">
        <v>1</v>
      </c>
      <c r="J7" s="20" t="s">
        <v>17215</v>
      </c>
      <c r="K7" s="20">
        <v>90153</v>
      </c>
      <c r="L7" s="20" t="s">
        <v>17216</v>
      </c>
      <c r="M7" s="20" t="s">
        <v>17217</v>
      </c>
    </row>
    <row r="8" spans="1:13" x14ac:dyDescent="0.25">
      <c r="A8" s="20">
        <v>90153</v>
      </c>
      <c r="B8" s="20" t="s">
        <v>16573</v>
      </c>
      <c r="C8" s="20">
        <v>90153</v>
      </c>
      <c r="D8" s="20" t="str">
        <f>VLOOKUP(C8,[1]CHILDCARE_FACILITIES!AJ:AK,2,0)</f>
        <v>CDC-14548</v>
      </c>
      <c r="E8" s="20" t="s">
        <v>15134</v>
      </c>
      <c r="F8" s="20" t="s">
        <v>15135</v>
      </c>
      <c r="G8" s="20">
        <v>73577001</v>
      </c>
      <c r="H8" s="20" t="s">
        <v>15145</v>
      </c>
      <c r="I8" s="20" t="b">
        <v>1</v>
      </c>
      <c r="J8" s="20" t="s">
        <v>17215</v>
      </c>
      <c r="K8" s="20">
        <v>90153</v>
      </c>
      <c r="L8" s="20" t="s">
        <v>17216</v>
      </c>
      <c r="M8" s="20" t="s">
        <v>17217</v>
      </c>
    </row>
    <row r="9" spans="1:13" x14ac:dyDescent="0.25">
      <c r="A9" s="20">
        <v>89878</v>
      </c>
      <c r="B9" s="20" t="s">
        <v>16477</v>
      </c>
      <c r="C9" s="20">
        <v>89878</v>
      </c>
      <c r="D9" s="20" t="e">
        <f>VLOOKUP(C9,[1]CHILDCARE_FACILITIES!AJ:AK,2,0)</f>
        <v>#N/A</v>
      </c>
      <c r="E9" s="20" t="s">
        <v>15134</v>
      </c>
      <c r="F9" s="20" t="s">
        <v>15135</v>
      </c>
      <c r="G9" s="20">
        <v>103204001</v>
      </c>
      <c r="H9" s="20" t="s">
        <v>15145</v>
      </c>
      <c r="I9" s="20" t="b">
        <v>1</v>
      </c>
      <c r="J9" s="20" t="s">
        <v>17218</v>
      </c>
      <c r="K9" s="20">
        <v>89878</v>
      </c>
      <c r="L9" s="20" t="s">
        <v>17213</v>
      </c>
      <c r="M9" s="20" t="s">
        <v>17219</v>
      </c>
    </row>
    <row r="10" spans="1:13" x14ac:dyDescent="0.25">
      <c r="A10" s="20">
        <v>89879</v>
      </c>
      <c r="B10" s="20" t="s">
        <v>16479</v>
      </c>
      <c r="C10" s="20">
        <v>89879</v>
      </c>
      <c r="D10" s="20" t="str">
        <f>VLOOKUP(C10,[1]CHILDCARE_FACILITIES!AJ:AK,2,0)</f>
        <v>CDC-13859</v>
      </c>
      <c r="E10" s="20" t="s">
        <v>15134</v>
      </c>
      <c r="F10" s="20" t="s">
        <v>15135</v>
      </c>
      <c r="G10" s="20">
        <v>103204002</v>
      </c>
      <c r="H10" s="20" t="s">
        <v>15145</v>
      </c>
      <c r="I10" s="20" t="b">
        <v>1</v>
      </c>
      <c r="J10" s="20" t="s">
        <v>17220</v>
      </c>
      <c r="K10" s="20">
        <v>89879</v>
      </c>
      <c r="L10" s="20" t="s">
        <v>17216</v>
      </c>
      <c r="M10" s="20" t="s">
        <v>17221</v>
      </c>
    </row>
    <row r="11" spans="1:13" x14ac:dyDescent="0.25">
      <c r="A11" s="20">
        <v>89880</v>
      </c>
      <c r="B11" s="20" t="s">
        <v>16481</v>
      </c>
      <c r="C11" s="20">
        <v>89880</v>
      </c>
      <c r="D11" s="20" t="str">
        <f>VLOOKUP(C11,[1]CHILDCARE_FACILITIES!AJ:AK,2,0)</f>
        <v>CDC-13863</v>
      </c>
      <c r="E11" s="20" t="s">
        <v>15134</v>
      </c>
      <c r="F11" s="20" t="s">
        <v>15135</v>
      </c>
      <c r="G11" s="20">
        <v>103204003</v>
      </c>
      <c r="H11" s="20" t="s">
        <v>15145</v>
      </c>
      <c r="I11" s="20" t="b">
        <v>1</v>
      </c>
      <c r="J11" s="20" t="s">
        <v>17222</v>
      </c>
      <c r="K11" s="20">
        <v>89880</v>
      </c>
      <c r="L11" s="20" t="s">
        <v>17223</v>
      </c>
      <c r="M11" s="20" t="s">
        <v>17224</v>
      </c>
    </row>
    <row r="12" spans="1:13" x14ac:dyDescent="0.25">
      <c r="A12" s="20">
        <v>93007</v>
      </c>
      <c r="B12" s="20" t="s">
        <v>16954</v>
      </c>
      <c r="C12" s="20">
        <v>93007</v>
      </c>
      <c r="D12" s="20" t="e">
        <f>VLOOKUP(C12,[1]CHILDCARE_FACILITIES!AJ:AK,2,0)</f>
        <v>#N/A</v>
      </c>
      <c r="E12" s="20" t="s">
        <v>15134</v>
      </c>
      <c r="F12" s="20" t="s">
        <v>15135</v>
      </c>
      <c r="G12" s="20">
        <v>103204019</v>
      </c>
      <c r="K12" s="20">
        <v>93007</v>
      </c>
    </row>
    <row r="13" spans="1:13" x14ac:dyDescent="0.25">
      <c r="A13" s="20">
        <v>90188</v>
      </c>
      <c r="B13" s="20" t="s">
        <v>16583</v>
      </c>
      <c r="C13" s="20">
        <v>90188</v>
      </c>
      <c r="D13" s="20" t="str">
        <f>VLOOKUP(C13,[1]CHILDCARE_FACILITIES!AJ:AK,2,0)</f>
        <v>CDC-13856</v>
      </c>
      <c r="E13" s="20" t="s">
        <v>15134</v>
      </c>
      <c r="F13" s="20" t="s">
        <v>15135</v>
      </c>
      <c r="G13" s="20">
        <v>103204015</v>
      </c>
      <c r="H13" s="20" t="s">
        <v>15145</v>
      </c>
      <c r="I13" s="20" t="b">
        <v>1</v>
      </c>
      <c r="J13" s="20" t="s">
        <v>17225</v>
      </c>
      <c r="K13" s="20">
        <v>90188</v>
      </c>
      <c r="L13" s="20" t="s">
        <v>17223</v>
      </c>
      <c r="M13" s="20" t="s">
        <v>17226</v>
      </c>
    </row>
    <row r="14" spans="1:13" x14ac:dyDescent="0.25">
      <c r="A14" s="20">
        <v>89881</v>
      </c>
      <c r="B14" s="20" t="s">
        <v>16483</v>
      </c>
      <c r="C14" s="20">
        <v>89881</v>
      </c>
      <c r="D14" s="20" t="e">
        <f>VLOOKUP(C14,[1]CHILDCARE_FACILITIES!AJ:AK,2,0)</f>
        <v>#N/A</v>
      </c>
      <c r="E14" s="20" t="s">
        <v>15134</v>
      </c>
      <c r="F14" s="20" t="s">
        <v>15135</v>
      </c>
      <c r="G14" s="20">
        <v>103204004</v>
      </c>
      <c r="H14" s="20" t="s">
        <v>15145</v>
      </c>
      <c r="I14" s="20" t="b">
        <v>0</v>
      </c>
      <c r="J14" s="20" t="s">
        <v>17227</v>
      </c>
      <c r="K14" s="20">
        <v>89881</v>
      </c>
      <c r="L14" s="20" t="s">
        <v>17228</v>
      </c>
      <c r="M14" s="20" t="s">
        <v>17229</v>
      </c>
    </row>
    <row r="15" spans="1:13" x14ac:dyDescent="0.25">
      <c r="A15" s="20">
        <v>89882</v>
      </c>
      <c r="B15" s="20" t="s">
        <v>16485</v>
      </c>
      <c r="C15" s="20">
        <v>89882</v>
      </c>
      <c r="D15" s="20" t="str">
        <f>VLOOKUP(C15,[1]CHILDCARE_FACILITIES!AJ:AK,2,0)</f>
        <v>CDC-13861</v>
      </c>
      <c r="E15" s="20" t="s">
        <v>15134</v>
      </c>
      <c r="F15" s="20" t="s">
        <v>15135</v>
      </c>
      <c r="G15" s="20">
        <v>103204005</v>
      </c>
      <c r="H15" s="20" t="s">
        <v>15136</v>
      </c>
      <c r="I15" s="20" t="b">
        <v>1</v>
      </c>
      <c r="J15" s="20" t="s">
        <v>17230</v>
      </c>
      <c r="K15" s="20">
        <v>89882</v>
      </c>
      <c r="L15" s="20" t="s">
        <v>17213</v>
      </c>
      <c r="M15" s="20" t="s">
        <v>17231</v>
      </c>
    </row>
    <row r="16" spans="1:13" x14ac:dyDescent="0.25">
      <c r="A16" s="20">
        <v>89882</v>
      </c>
      <c r="B16" s="20" t="s">
        <v>16485</v>
      </c>
      <c r="C16" s="20">
        <v>89882</v>
      </c>
      <c r="D16" s="20" t="str">
        <f>VLOOKUP(C16,[1]CHILDCARE_FACILITIES!AJ:AK,2,0)</f>
        <v>CDC-13861</v>
      </c>
      <c r="E16" s="20" t="s">
        <v>15134</v>
      </c>
      <c r="F16" s="20" t="s">
        <v>15135</v>
      </c>
      <c r="G16" s="20">
        <v>103204005</v>
      </c>
      <c r="H16" s="20" t="s">
        <v>15138</v>
      </c>
      <c r="I16" s="20" t="b">
        <v>1</v>
      </c>
      <c r="J16" s="20" t="s">
        <v>17230</v>
      </c>
      <c r="K16" s="20">
        <v>89882</v>
      </c>
      <c r="L16" s="20" t="s">
        <v>17213</v>
      </c>
      <c r="M16" s="20" t="s">
        <v>17231</v>
      </c>
    </row>
    <row r="17" spans="1:13" x14ac:dyDescent="0.25">
      <c r="A17" s="20">
        <v>89883</v>
      </c>
      <c r="B17" s="20" t="s">
        <v>16487</v>
      </c>
      <c r="C17" s="20">
        <v>89883</v>
      </c>
      <c r="D17" s="20" t="e">
        <f>VLOOKUP(C17,[1]CHILDCARE_FACILITIES!AJ:AK,2,0)</f>
        <v>#N/A</v>
      </c>
      <c r="E17" s="20" t="s">
        <v>15134</v>
      </c>
      <c r="F17" s="20" t="s">
        <v>15135</v>
      </c>
      <c r="G17" s="20">
        <v>103204006</v>
      </c>
      <c r="H17" s="20" t="s">
        <v>15145</v>
      </c>
      <c r="I17" s="20" t="b">
        <v>1</v>
      </c>
      <c r="J17" s="20" t="s">
        <v>17232</v>
      </c>
      <c r="K17" s="20">
        <v>89883</v>
      </c>
      <c r="L17" s="20" t="s">
        <v>17233</v>
      </c>
      <c r="M17" s="20" t="s">
        <v>17234</v>
      </c>
    </row>
    <row r="18" spans="1:13" x14ac:dyDescent="0.25">
      <c r="A18" s="20">
        <v>89884</v>
      </c>
      <c r="B18" s="20" t="s">
        <v>16489</v>
      </c>
      <c r="C18" s="20">
        <v>89884</v>
      </c>
      <c r="D18" s="20" t="str">
        <f>VLOOKUP(C18,[1]CHILDCARE_FACILITIES!AJ:AK,2,0)</f>
        <v>CDC-13841</v>
      </c>
      <c r="E18" s="20" t="s">
        <v>15134</v>
      </c>
      <c r="F18" s="20" t="s">
        <v>15135</v>
      </c>
      <c r="G18" s="20">
        <v>103204007</v>
      </c>
      <c r="H18" s="20" t="s">
        <v>15145</v>
      </c>
      <c r="I18" s="20" t="b">
        <v>1</v>
      </c>
      <c r="J18" s="20" t="s">
        <v>17235</v>
      </c>
      <c r="K18" s="20">
        <v>89884</v>
      </c>
      <c r="L18" s="20" t="s">
        <v>17236</v>
      </c>
      <c r="M18" s="20" t="s">
        <v>17237</v>
      </c>
    </row>
    <row r="19" spans="1:13" x14ac:dyDescent="0.25">
      <c r="A19" s="20">
        <v>92046</v>
      </c>
      <c r="B19" s="20" t="s">
        <v>16836</v>
      </c>
      <c r="C19" s="20">
        <v>92046</v>
      </c>
      <c r="D19" s="20" t="e">
        <f>VLOOKUP(C19,[1]CHILDCARE_FACILITIES!AJ:AK,2,0)</f>
        <v>#N/A</v>
      </c>
      <c r="E19" s="20" t="s">
        <v>15134</v>
      </c>
      <c r="F19" s="20" t="s">
        <v>15135</v>
      </c>
      <c r="G19" s="20">
        <v>103204017</v>
      </c>
      <c r="K19" s="20">
        <v>92046</v>
      </c>
    </row>
    <row r="20" spans="1:13" x14ac:dyDescent="0.25">
      <c r="A20" s="20">
        <v>89885</v>
      </c>
      <c r="B20" s="20" t="s">
        <v>16491</v>
      </c>
      <c r="C20" s="20">
        <v>89885</v>
      </c>
      <c r="D20" s="20" t="str">
        <f>VLOOKUP(C20,[1]CHILDCARE_FACILITIES!AJ:AK,2,0)</f>
        <v>CDC-13848</v>
      </c>
      <c r="E20" s="20" t="s">
        <v>15134</v>
      </c>
      <c r="F20" s="20" t="s">
        <v>15135</v>
      </c>
      <c r="G20" s="20">
        <v>103204008</v>
      </c>
      <c r="H20" s="20" t="s">
        <v>15145</v>
      </c>
      <c r="I20" s="20" t="b">
        <v>1</v>
      </c>
      <c r="J20" s="20" t="s">
        <v>17238</v>
      </c>
      <c r="K20" s="20">
        <v>89885</v>
      </c>
      <c r="L20" s="20" t="s">
        <v>17239</v>
      </c>
      <c r="M20" s="20" t="s">
        <v>17240</v>
      </c>
    </row>
    <row r="21" spans="1:13" x14ac:dyDescent="0.25">
      <c r="A21" s="20">
        <v>89886</v>
      </c>
      <c r="B21" s="20" t="s">
        <v>16493</v>
      </c>
      <c r="C21" s="20">
        <v>89886</v>
      </c>
      <c r="D21" s="20" t="str">
        <f>VLOOKUP(C21,[1]CHILDCARE_FACILITIES!AJ:AK,2,0)</f>
        <v>CDC-13849</v>
      </c>
      <c r="E21" s="20" t="s">
        <v>15134</v>
      </c>
      <c r="F21" s="20" t="s">
        <v>15135</v>
      </c>
      <c r="G21" s="20">
        <v>103204009</v>
      </c>
      <c r="H21" s="20" t="s">
        <v>15145</v>
      </c>
      <c r="I21" s="20" t="b">
        <v>1</v>
      </c>
      <c r="J21" s="20" t="s">
        <v>17241</v>
      </c>
      <c r="K21" s="20">
        <v>89886</v>
      </c>
      <c r="L21" s="20" t="s">
        <v>17236</v>
      </c>
      <c r="M21" s="20" t="s">
        <v>17242</v>
      </c>
    </row>
    <row r="22" spans="1:13" x14ac:dyDescent="0.25">
      <c r="A22" s="20">
        <v>89887</v>
      </c>
      <c r="B22" s="20" t="s">
        <v>16495</v>
      </c>
      <c r="C22" s="20">
        <v>89887</v>
      </c>
      <c r="D22" s="20" t="str">
        <f>VLOOKUP(C22,[1]CHILDCARE_FACILITIES!AJ:AK,2,0)</f>
        <v>CDC-13853</v>
      </c>
      <c r="E22" s="20" t="s">
        <v>15134</v>
      </c>
      <c r="F22" s="20" t="s">
        <v>15135</v>
      </c>
      <c r="G22" s="20">
        <v>103204010</v>
      </c>
      <c r="H22" s="20" t="s">
        <v>15145</v>
      </c>
      <c r="I22" s="20" t="b">
        <v>1</v>
      </c>
      <c r="J22" s="20" t="s">
        <v>17243</v>
      </c>
      <c r="K22" s="20">
        <v>89887</v>
      </c>
      <c r="L22" s="20" t="s">
        <v>17244</v>
      </c>
      <c r="M22" s="20" t="s">
        <v>17245</v>
      </c>
    </row>
    <row r="23" spans="1:13" x14ac:dyDescent="0.25">
      <c r="A23" s="20">
        <v>92678</v>
      </c>
      <c r="B23" s="20" t="s">
        <v>16889</v>
      </c>
      <c r="C23" s="20">
        <v>92678</v>
      </c>
      <c r="D23" s="20" t="e">
        <f>VLOOKUP(C23,[1]CHILDCARE_FACILITIES!AJ:AK,2,0)</f>
        <v>#N/A</v>
      </c>
      <c r="E23" s="20" t="s">
        <v>15134</v>
      </c>
      <c r="F23" s="20" t="s">
        <v>15135</v>
      </c>
      <c r="G23" s="20">
        <v>103204018</v>
      </c>
      <c r="K23" s="20">
        <v>92678</v>
      </c>
    </row>
    <row r="24" spans="1:13" x14ac:dyDescent="0.25">
      <c r="A24" s="20">
        <v>89888</v>
      </c>
      <c r="B24" s="20" t="s">
        <v>16497</v>
      </c>
      <c r="C24" s="20">
        <v>89888</v>
      </c>
      <c r="D24" s="20" t="str">
        <f>VLOOKUP(C24,[1]CHILDCARE_FACILITIES!AJ:AK,2,0)</f>
        <v>CDC-13846</v>
      </c>
      <c r="E24" s="20" t="s">
        <v>15134</v>
      </c>
      <c r="F24" s="20" t="s">
        <v>15135</v>
      </c>
      <c r="G24" s="20">
        <v>103204011</v>
      </c>
      <c r="H24" s="20" t="s">
        <v>15145</v>
      </c>
      <c r="I24" s="20" t="b">
        <v>1</v>
      </c>
      <c r="J24" s="20" t="s">
        <v>17246</v>
      </c>
      <c r="K24" s="20">
        <v>89888</v>
      </c>
      <c r="L24" s="20" t="s">
        <v>17236</v>
      </c>
      <c r="M24" s="20" t="s">
        <v>17247</v>
      </c>
    </row>
    <row r="25" spans="1:13" x14ac:dyDescent="0.25">
      <c r="A25" s="20">
        <v>89889</v>
      </c>
      <c r="B25" s="20" t="s">
        <v>16499</v>
      </c>
      <c r="C25" s="20">
        <v>89889</v>
      </c>
      <c r="D25" s="20" t="str">
        <f>VLOOKUP(C25,[1]CHILDCARE_FACILITIES!AJ:AK,2,0)</f>
        <v>CDC-13852</v>
      </c>
      <c r="E25" s="20" t="s">
        <v>15134</v>
      </c>
      <c r="F25" s="20" t="s">
        <v>15135</v>
      </c>
      <c r="G25" s="20">
        <v>103204012</v>
      </c>
      <c r="H25" s="20" t="s">
        <v>15145</v>
      </c>
      <c r="I25" s="20" t="b">
        <v>1</v>
      </c>
      <c r="J25" s="20" t="s">
        <v>17248</v>
      </c>
      <c r="K25" s="20">
        <v>89889</v>
      </c>
      <c r="L25" s="20" t="s">
        <v>17213</v>
      </c>
      <c r="M25" s="20" t="s">
        <v>17249</v>
      </c>
    </row>
    <row r="26" spans="1:13" x14ac:dyDescent="0.25">
      <c r="A26" s="20">
        <v>90936</v>
      </c>
      <c r="B26" s="20" t="s">
        <v>16728</v>
      </c>
      <c r="C26" s="20">
        <v>90936</v>
      </c>
      <c r="D26" s="20" t="str">
        <f>VLOOKUP(C26,[1]CHILDCARE_FACILITIES!AJ:AK,2,0)</f>
        <v>CDC-13843</v>
      </c>
      <c r="E26" s="20" t="s">
        <v>15134</v>
      </c>
      <c r="F26" s="20" t="s">
        <v>15135</v>
      </c>
      <c r="G26" s="20">
        <v>103204016</v>
      </c>
      <c r="H26" s="20" t="s">
        <v>15145</v>
      </c>
      <c r="I26" s="20" t="b">
        <v>1</v>
      </c>
      <c r="J26" s="20" t="s">
        <v>17250</v>
      </c>
      <c r="K26" s="20">
        <v>90936</v>
      </c>
      <c r="L26" s="20" t="s">
        <v>17251</v>
      </c>
      <c r="M26" s="20" t="s">
        <v>17252</v>
      </c>
    </row>
    <row r="27" spans="1:13" x14ac:dyDescent="0.25">
      <c r="A27" s="20">
        <v>90187</v>
      </c>
      <c r="B27" s="20" t="s">
        <v>16581</v>
      </c>
      <c r="C27" s="20">
        <v>90187</v>
      </c>
      <c r="D27" s="20" t="e">
        <f>VLOOKUP(C27,[1]CHILDCARE_FACILITIES!AJ:AK,2,0)</f>
        <v>#N/A</v>
      </c>
      <c r="E27" s="20" t="s">
        <v>15134</v>
      </c>
      <c r="F27" s="20" t="s">
        <v>15135</v>
      </c>
      <c r="G27" s="20">
        <v>103204014</v>
      </c>
      <c r="H27" s="20" t="s">
        <v>15145</v>
      </c>
      <c r="I27" s="20" t="b">
        <v>1</v>
      </c>
      <c r="J27" s="20" t="s">
        <v>17253</v>
      </c>
      <c r="K27" s="20">
        <v>90187</v>
      </c>
      <c r="L27" s="20" t="s">
        <v>17213</v>
      </c>
      <c r="M27" s="20" t="s">
        <v>17254</v>
      </c>
    </row>
    <row r="28" spans="1:13" x14ac:dyDescent="0.25">
      <c r="A28" s="20">
        <v>89890</v>
      </c>
      <c r="B28" s="20" t="s">
        <v>16501</v>
      </c>
      <c r="C28" s="20">
        <v>89890</v>
      </c>
      <c r="D28" s="20" t="str">
        <f>VLOOKUP(C28,[1]CHILDCARE_FACILITIES!AJ:AK,2,0)</f>
        <v>CDC-13839</v>
      </c>
      <c r="E28" s="20" t="s">
        <v>15134</v>
      </c>
      <c r="F28" s="20" t="s">
        <v>15135</v>
      </c>
      <c r="G28" s="20">
        <v>103204013</v>
      </c>
      <c r="H28" s="20" t="s">
        <v>15145</v>
      </c>
      <c r="I28" s="20" t="b">
        <v>1</v>
      </c>
      <c r="J28" s="20" t="s">
        <v>17255</v>
      </c>
      <c r="K28" s="20">
        <v>89890</v>
      </c>
      <c r="L28" s="20" t="s">
        <v>17213</v>
      </c>
      <c r="M28" s="20" t="s">
        <v>17256</v>
      </c>
    </row>
    <row r="29" spans="1:13" x14ac:dyDescent="0.25">
      <c r="A29" s="20">
        <v>286685</v>
      </c>
      <c r="B29" s="20" t="s">
        <v>16984</v>
      </c>
      <c r="C29" s="20">
        <v>286685</v>
      </c>
      <c r="D29" s="20" t="e">
        <f>VLOOKUP(C29,[1]CHILDCARE_FACILITIES!AJ:AK,2,0)</f>
        <v>#N/A</v>
      </c>
      <c r="E29" s="20" t="s">
        <v>15134</v>
      </c>
      <c r="F29" s="20" t="s">
        <v>15135</v>
      </c>
      <c r="G29" s="20">
        <v>103204020</v>
      </c>
      <c r="H29" s="20" t="s">
        <v>15136</v>
      </c>
      <c r="I29" s="20" t="b">
        <v>1</v>
      </c>
      <c r="J29" s="20" t="s">
        <v>17257</v>
      </c>
      <c r="K29" s="20">
        <v>286685</v>
      </c>
      <c r="L29" s="20" t="s">
        <v>17239</v>
      </c>
      <c r="M29" s="20" t="s">
        <v>17258</v>
      </c>
    </row>
    <row r="30" spans="1:13" x14ac:dyDescent="0.25">
      <c r="A30" s="20">
        <v>93011</v>
      </c>
      <c r="B30" s="20" t="s">
        <v>16955</v>
      </c>
      <c r="C30" s="20">
        <v>93011</v>
      </c>
      <c r="D30" s="20" t="e">
        <f>VLOOKUP(C30,[1]CHILDCARE_FACILITIES!AJ:AK,2,0)</f>
        <v>#N/A</v>
      </c>
      <c r="E30" s="20" t="s">
        <v>15134</v>
      </c>
      <c r="F30" s="20" t="s">
        <v>15135</v>
      </c>
      <c r="G30" s="20">
        <v>73325000</v>
      </c>
      <c r="H30" s="20" t="s">
        <v>15136</v>
      </c>
      <c r="I30" s="20" t="b">
        <v>1</v>
      </c>
      <c r="J30" s="20" t="s">
        <v>17259</v>
      </c>
      <c r="K30" s="20">
        <v>93011</v>
      </c>
      <c r="L30" s="20" t="s">
        <v>17233</v>
      </c>
      <c r="M30" s="20" t="s">
        <v>17260</v>
      </c>
    </row>
    <row r="31" spans="1:13" x14ac:dyDescent="0.25">
      <c r="A31" s="20">
        <v>93011</v>
      </c>
      <c r="B31" s="20" t="s">
        <v>16955</v>
      </c>
      <c r="C31" s="20">
        <v>93011</v>
      </c>
      <c r="D31" s="20" t="e">
        <f>VLOOKUP(C31,[1]CHILDCARE_FACILITIES!AJ:AK,2,0)</f>
        <v>#N/A</v>
      </c>
      <c r="E31" s="20" t="s">
        <v>15134</v>
      </c>
      <c r="F31" s="20" t="s">
        <v>15135</v>
      </c>
      <c r="G31" s="20">
        <v>73325000</v>
      </c>
      <c r="H31" s="20" t="s">
        <v>15138</v>
      </c>
      <c r="I31" s="20" t="b">
        <v>1</v>
      </c>
      <c r="J31" s="20" t="s">
        <v>17259</v>
      </c>
      <c r="K31" s="20">
        <v>93011</v>
      </c>
      <c r="L31" s="20" t="s">
        <v>17233</v>
      </c>
      <c r="M31" s="20" t="s">
        <v>17260</v>
      </c>
    </row>
    <row r="32" spans="1:13" x14ac:dyDescent="0.25">
      <c r="A32" s="20">
        <v>90082</v>
      </c>
      <c r="B32" s="20" t="s">
        <v>16530</v>
      </c>
      <c r="C32" s="20">
        <v>90082</v>
      </c>
      <c r="D32" s="20" t="str">
        <f>VLOOKUP(C32,[1]CHILDCARE_FACILITIES!AJ:AK,2,0)</f>
        <v>CDC-7971</v>
      </c>
      <c r="E32" s="20" t="s">
        <v>15134</v>
      </c>
      <c r="F32" s="20" t="s">
        <v>15135</v>
      </c>
      <c r="G32" s="20">
        <v>103114015</v>
      </c>
      <c r="H32" s="20" t="s">
        <v>15145</v>
      </c>
      <c r="I32" s="20" t="b">
        <v>1</v>
      </c>
      <c r="J32" s="20" t="s">
        <v>17261</v>
      </c>
      <c r="K32" s="20">
        <v>90082</v>
      </c>
      <c r="L32" s="20" t="s">
        <v>17262</v>
      </c>
      <c r="M32" s="20" t="s">
        <v>17263</v>
      </c>
    </row>
    <row r="33" spans="1:13" x14ac:dyDescent="0.25">
      <c r="A33" s="20">
        <v>92064</v>
      </c>
      <c r="B33" s="20" t="s">
        <v>16837</v>
      </c>
      <c r="C33" s="20">
        <v>92064</v>
      </c>
      <c r="D33" s="20" t="e">
        <f>VLOOKUP(C33,[1]CHILDCARE_FACILITIES!AJ:AK,2,0)</f>
        <v>#N/A</v>
      </c>
      <c r="E33" s="20" t="s">
        <v>15134</v>
      </c>
      <c r="F33" s="20" t="s">
        <v>15135</v>
      </c>
      <c r="G33" s="20">
        <v>103114018</v>
      </c>
      <c r="K33" s="20">
        <v>92064</v>
      </c>
    </row>
    <row r="34" spans="1:13" x14ac:dyDescent="0.25">
      <c r="A34" s="20">
        <v>90185</v>
      </c>
      <c r="B34" s="20" t="s">
        <v>16578</v>
      </c>
      <c r="C34" s="20">
        <v>90185</v>
      </c>
      <c r="D34" s="20" t="e">
        <f>VLOOKUP(C34,[1]CHILDCARE_FACILITIES!AJ:AK,2,0)</f>
        <v>#N/A</v>
      </c>
      <c r="E34" s="20" t="s">
        <v>15134</v>
      </c>
      <c r="F34" s="20" t="s">
        <v>15135</v>
      </c>
      <c r="G34" s="20">
        <v>103114016</v>
      </c>
      <c r="H34" s="20" t="s">
        <v>15145</v>
      </c>
      <c r="I34" s="20" t="b">
        <v>1</v>
      </c>
      <c r="J34" s="20" t="s">
        <v>17264</v>
      </c>
      <c r="K34" s="20">
        <v>90185</v>
      </c>
      <c r="L34" s="20" t="s">
        <v>17216</v>
      </c>
      <c r="M34" s="20" t="s">
        <v>17265</v>
      </c>
    </row>
    <row r="35" spans="1:13" x14ac:dyDescent="0.25">
      <c r="A35" s="20">
        <v>92653</v>
      </c>
      <c r="B35" s="20" t="s">
        <v>16883</v>
      </c>
      <c r="C35" s="20">
        <v>92653</v>
      </c>
      <c r="D35" s="20" t="str">
        <f>VLOOKUP(C35,[1]CHILDCARE_FACILITIES!AJ:AK,2,0)</f>
        <v>CDC-8277</v>
      </c>
      <c r="E35" s="20" t="s">
        <v>15134</v>
      </c>
      <c r="F35" s="20" t="s">
        <v>15135</v>
      </c>
      <c r="G35" s="20">
        <v>103114019</v>
      </c>
      <c r="K35" s="20">
        <v>92653</v>
      </c>
    </row>
    <row r="36" spans="1:13" x14ac:dyDescent="0.25">
      <c r="A36" s="20">
        <v>89666</v>
      </c>
      <c r="B36" s="20" t="s">
        <v>16424</v>
      </c>
      <c r="C36" s="20">
        <v>89666</v>
      </c>
      <c r="D36" s="20" t="e">
        <f>VLOOKUP(C36,[1]CHILDCARE_FACILITIES!AJ:AK,2,0)</f>
        <v>#N/A</v>
      </c>
      <c r="E36" s="20" t="s">
        <v>15134</v>
      </c>
      <c r="F36" s="20" t="s">
        <v>15135</v>
      </c>
      <c r="G36" s="20">
        <v>103114014</v>
      </c>
      <c r="H36" s="20" t="s">
        <v>15145</v>
      </c>
      <c r="I36" s="20" t="b">
        <v>1</v>
      </c>
      <c r="J36" s="20" t="s">
        <v>17266</v>
      </c>
      <c r="K36" s="20">
        <v>89666</v>
      </c>
      <c r="L36" s="20" t="s">
        <v>17239</v>
      </c>
      <c r="M36" s="20" t="s">
        <v>17267</v>
      </c>
    </row>
    <row r="37" spans="1:13" x14ac:dyDescent="0.25">
      <c r="A37" s="20">
        <v>90186</v>
      </c>
      <c r="B37" s="20" t="s">
        <v>16580</v>
      </c>
      <c r="C37" s="20">
        <v>90186</v>
      </c>
      <c r="D37" s="20" t="e">
        <f>VLOOKUP(C37,[1]CHILDCARE_FACILITIES!AJ:AK,2,0)</f>
        <v>#N/A</v>
      </c>
      <c r="E37" s="20" t="s">
        <v>15134</v>
      </c>
      <c r="F37" s="20" t="s">
        <v>15135</v>
      </c>
      <c r="G37" s="20">
        <v>103114017</v>
      </c>
      <c r="H37" s="20" t="s">
        <v>15145</v>
      </c>
      <c r="I37" s="20" t="b">
        <v>1</v>
      </c>
      <c r="J37" s="20" t="s">
        <v>17268</v>
      </c>
      <c r="K37" s="20">
        <v>90186</v>
      </c>
      <c r="L37" s="20" t="s">
        <v>17239</v>
      </c>
      <c r="M37" s="20" t="s">
        <v>17269</v>
      </c>
    </row>
    <row r="38" spans="1:13" x14ac:dyDescent="0.25">
      <c r="A38" s="20">
        <v>80498</v>
      </c>
      <c r="B38" s="20" t="s">
        <v>16065</v>
      </c>
      <c r="C38" s="20">
        <v>80498</v>
      </c>
      <c r="D38" s="20" t="str">
        <f>VLOOKUP(C38,[1]CHILDCARE_FACILITIES!AJ:AK,2,0)</f>
        <v>CDC-1956</v>
      </c>
      <c r="E38" s="20" t="s">
        <v>15134</v>
      </c>
      <c r="F38" s="20" t="s">
        <v>15135</v>
      </c>
      <c r="G38" s="20">
        <v>103114002</v>
      </c>
      <c r="H38" s="20" t="s">
        <v>15145</v>
      </c>
      <c r="I38" s="20" t="b">
        <v>1</v>
      </c>
      <c r="J38" s="20" t="s">
        <v>17270</v>
      </c>
      <c r="K38" s="20">
        <v>80498</v>
      </c>
      <c r="L38" s="20" t="s">
        <v>17271</v>
      </c>
      <c r="M38" s="20" t="s">
        <v>17272</v>
      </c>
    </row>
    <row r="39" spans="1:13" x14ac:dyDescent="0.25">
      <c r="A39" s="20">
        <v>80498</v>
      </c>
      <c r="B39" s="20" t="s">
        <v>16065</v>
      </c>
      <c r="C39" s="20">
        <v>80498</v>
      </c>
      <c r="D39" s="20" t="str">
        <f>VLOOKUP(C39,[1]CHILDCARE_FACILITIES!AJ:AK,2,0)</f>
        <v>CDC-1956</v>
      </c>
      <c r="E39" s="20" t="s">
        <v>15134</v>
      </c>
      <c r="F39" s="20" t="s">
        <v>15135</v>
      </c>
      <c r="G39" s="20">
        <v>103114002</v>
      </c>
      <c r="H39" s="20" t="s">
        <v>15138</v>
      </c>
      <c r="I39" s="20" t="b">
        <v>1</v>
      </c>
      <c r="J39" s="20" t="s">
        <v>17273</v>
      </c>
      <c r="K39" s="20">
        <v>80498</v>
      </c>
      <c r="L39" s="20" t="s">
        <v>17274</v>
      </c>
      <c r="M39" s="20" t="s">
        <v>17275</v>
      </c>
    </row>
    <row r="40" spans="1:13" x14ac:dyDescent="0.25">
      <c r="A40" s="20">
        <v>80497</v>
      </c>
      <c r="B40" s="20" t="s">
        <v>16063</v>
      </c>
      <c r="C40" s="20">
        <v>80497</v>
      </c>
      <c r="D40" s="20" t="str">
        <f>VLOOKUP(C40,[1]CHILDCARE_FACILITIES!AJ:AK,2,0)</f>
        <v>CDC-1781</v>
      </c>
      <c r="E40" s="20" t="s">
        <v>15134</v>
      </c>
      <c r="F40" s="20" t="s">
        <v>15135</v>
      </c>
      <c r="G40" s="20">
        <v>103114001</v>
      </c>
      <c r="H40" s="20" t="s">
        <v>15145</v>
      </c>
      <c r="I40" s="20" t="b">
        <v>1</v>
      </c>
      <c r="J40" s="20" t="s">
        <v>17276</v>
      </c>
      <c r="K40" s="20">
        <v>80497</v>
      </c>
      <c r="L40" s="20" t="s">
        <v>17271</v>
      </c>
      <c r="M40" s="20" t="s">
        <v>17277</v>
      </c>
    </row>
    <row r="41" spans="1:13" x14ac:dyDescent="0.25">
      <c r="A41" s="20">
        <v>80497</v>
      </c>
      <c r="B41" s="20" t="s">
        <v>16063</v>
      </c>
      <c r="C41" s="20">
        <v>80497</v>
      </c>
      <c r="D41" s="20" t="str">
        <f>VLOOKUP(C41,[1]CHILDCARE_FACILITIES!AJ:AK,2,0)</f>
        <v>CDC-1781</v>
      </c>
      <c r="E41" s="20" t="s">
        <v>15134</v>
      </c>
      <c r="F41" s="20" t="s">
        <v>15135</v>
      </c>
      <c r="G41" s="20">
        <v>103114001</v>
      </c>
      <c r="H41" s="20" t="s">
        <v>15138</v>
      </c>
      <c r="I41" s="20" t="b">
        <v>0</v>
      </c>
      <c r="J41" s="20" t="s">
        <v>17278</v>
      </c>
      <c r="K41" s="20">
        <v>80497</v>
      </c>
      <c r="L41" s="20" t="s">
        <v>17279</v>
      </c>
      <c r="M41" s="20" t="s">
        <v>17280</v>
      </c>
    </row>
    <row r="42" spans="1:13" x14ac:dyDescent="0.25">
      <c r="A42" s="20">
        <v>80499</v>
      </c>
      <c r="B42" s="20" t="s">
        <v>16067</v>
      </c>
      <c r="C42" s="20">
        <v>80499</v>
      </c>
      <c r="D42" s="20" t="str">
        <f>VLOOKUP(C42,[1]CHILDCARE_FACILITIES!AJ:AK,2,0)</f>
        <v>CDC-1988</v>
      </c>
      <c r="E42" s="20" t="s">
        <v>15134</v>
      </c>
      <c r="F42" s="20" t="s">
        <v>15135</v>
      </c>
      <c r="G42" s="20">
        <v>103114003</v>
      </c>
      <c r="H42" s="20" t="s">
        <v>15145</v>
      </c>
      <c r="I42" s="20" t="b">
        <v>0</v>
      </c>
      <c r="J42" s="20" t="s">
        <v>17281</v>
      </c>
      <c r="K42" s="20">
        <v>80499</v>
      </c>
      <c r="L42" s="20" t="s">
        <v>17282</v>
      </c>
      <c r="M42" s="20" t="s">
        <v>17283</v>
      </c>
    </row>
    <row r="43" spans="1:13" x14ac:dyDescent="0.25">
      <c r="A43" s="20">
        <v>80499</v>
      </c>
      <c r="B43" s="20" t="s">
        <v>16067</v>
      </c>
      <c r="C43" s="20">
        <v>80499</v>
      </c>
      <c r="D43" s="20" t="str">
        <f>VLOOKUP(C43,[1]CHILDCARE_FACILITIES!AJ:AK,2,0)</f>
        <v>CDC-1988</v>
      </c>
      <c r="E43" s="20" t="s">
        <v>15134</v>
      </c>
      <c r="F43" s="20" t="s">
        <v>15135</v>
      </c>
      <c r="G43" s="20">
        <v>103114003</v>
      </c>
      <c r="H43" s="20" t="s">
        <v>15138</v>
      </c>
      <c r="I43" s="20" t="b">
        <v>0</v>
      </c>
      <c r="J43" s="20" t="s">
        <v>17284</v>
      </c>
      <c r="K43" s="20">
        <v>80499</v>
      </c>
      <c r="L43" s="20" t="s">
        <v>17279</v>
      </c>
      <c r="M43" s="20" t="s">
        <v>17285</v>
      </c>
    </row>
    <row r="44" spans="1:13" x14ac:dyDescent="0.25">
      <c r="A44" s="20">
        <v>80500</v>
      </c>
      <c r="B44" s="20" t="s">
        <v>16070</v>
      </c>
      <c r="C44" s="20">
        <v>80500</v>
      </c>
      <c r="D44" s="20" t="str">
        <f>VLOOKUP(C44,[1]CHILDCARE_FACILITIES!AJ:AK,2,0)</f>
        <v>CDC-1997</v>
      </c>
      <c r="E44" s="20" t="s">
        <v>15134</v>
      </c>
      <c r="F44" s="20" t="s">
        <v>15135</v>
      </c>
      <c r="G44" s="20">
        <v>103114004</v>
      </c>
      <c r="H44" s="20" t="s">
        <v>15145</v>
      </c>
      <c r="I44" s="20" t="b">
        <v>1</v>
      </c>
      <c r="J44" s="20" t="s">
        <v>17286</v>
      </c>
      <c r="K44" s="20">
        <v>80500</v>
      </c>
      <c r="L44" s="20" t="s">
        <v>17271</v>
      </c>
      <c r="M44" s="20" t="s">
        <v>17287</v>
      </c>
    </row>
    <row r="45" spans="1:13" x14ac:dyDescent="0.25">
      <c r="A45" s="20">
        <v>80500</v>
      </c>
      <c r="B45" s="20" t="s">
        <v>16070</v>
      </c>
      <c r="C45" s="20">
        <v>80500</v>
      </c>
      <c r="D45" s="20" t="str">
        <f>VLOOKUP(C45,[1]CHILDCARE_FACILITIES!AJ:AK,2,0)</f>
        <v>CDC-1997</v>
      </c>
      <c r="E45" s="20" t="s">
        <v>15134</v>
      </c>
      <c r="F45" s="20" t="s">
        <v>15135</v>
      </c>
      <c r="G45" s="20">
        <v>103114004</v>
      </c>
      <c r="H45" s="20" t="s">
        <v>15138</v>
      </c>
      <c r="I45" s="20" t="b">
        <v>0</v>
      </c>
      <c r="J45" s="20" t="s">
        <v>17284</v>
      </c>
      <c r="K45" s="20">
        <v>80500</v>
      </c>
      <c r="L45" s="20" t="s">
        <v>17279</v>
      </c>
      <c r="M45" s="20" t="s">
        <v>17285</v>
      </c>
    </row>
    <row r="46" spans="1:13" x14ac:dyDescent="0.25">
      <c r="A46" s="20">
        <v>80696</v>
      </c>
      <c r="B46" s="20" t="s">
        <v>16193</v>
      </c>
      <c r="C46" s="20">
        <v>80696</v>
      </c>
      <c r="D46" s="20" t="str">
        <f>VLOOKUP(C46,[1]CHILDCARE_FACILITIES!AJ:AK,2,0)</f>
        <v>CDC-1870</v>
      </c>
      <c r="E46" s="20" t="s">
        <v>15134</v>
      </c>
      <c r="F46" s="20" t="s">
        <v>15135</v>
      </c>
      <c r="G46" s="20">
        <v>103114010</v>
      </c>
      <c r="H46" s="20" t="s">
        <v>15145</v>
      </c>
      <c r="I46" s="20" t="b">
        <v>1</v>
      </c>
      <c r="J46" s="20" t="s">
        <v>17288</v>
      </c>
      <c r="K46" s="20">
        <v>80696</v>
      </c>
      <c r="L46" s="20" t="s">
        <v>17271</v>
      </c>
      <c r="M46" s="20" t="s">
        <v>17289</v>
      </c>
    </row>
    <row r="47" spans="1:13" x14ac:dyDescent="0.25">
      <c r="A47" s="20">
        <v>80696</v>
      </c>
      <c r="B47" s="20" t="s">
        <v>16193</v>
      </c>
      <c r="C47" s="20">
        <v>80696</v>
      </c>
      <c r="D47" s="20" t="str">
        <f>VLOOKUP(C47,[1]CHILDCARE_FACILITIES!AJ:AK,2,0)</f>
        <v>CDC-1870</v>
      </c>
      <c r="E47" s="20" t="s">
        <v>15134</v>
      </c>
      <c r="F47" s="20" t="s">
        <v>15135</v>
      </c>
      <c r="G47" s="20">
        <v>103114010</v>
      </c>
      <c r="H47" s="20" t="s">
        <v>15138</v>
      </c>
      <c r="I47" s="20" t="b">
        <v>1</v>
      </c>
      <c r="J47" s="20" t="s">
        <v>17288</v>
      </c>
      <c r="K47" s="20">
        <v>80696</v>
      </c>
      <c r="L47" s="20" t="s">
        <v>17271</v>
      </c>
      <c r="M47" s="20" t="s">
        <v>17289</v>
      </c>
    </row>
    <row r="48" spans="1:13" x14ac:dyDescent="0.25">
      <c r="A48" s="20">
        <v>80695</v>
      </c>
      <c r="B48" s="20" t="s">
        <v>16191</v>
      </c>
      <c r="C48" s="20">
        <v>80695</v>
      </c>
      <c r="D48" s="20" t="str">
        <f>VLOOKUP(C48,[1]CHILDCARE_FACILITIES!AJ:AK,2,0)</f>
        <v>CDC-1929</v>
      </c>
      <c r="E48" s="20" t="s">
        <v>15134</v>
      </c>
      <c r="F48" s="20" t="s">
        <v>15135</v>
      </c>
      <c r="G48" s="20">
        <v>103114009</v>
      </c>
      <c r="H48" s="20" t="s">
        <v>15145</v>
      </c>
      <c r="I48" s="20" t="b">
        <v>1</v>
      </c>
      <c r="J48" s="20" t="s">
        <v>17290</v>
      </c>
      <c r="K48" s="20">
        <v>80695</v>
      </c>
      <c r="L48" s="20" t="s">
        <v>17271</v>
      </c>
      <c r="M48" s="20" t="s">
        <v>17291</v>
      </c>
    </row>
    <row r="49" spans="1:13" x14ac:dyDescent="0.25">
      <c r="A49" s="20">
        <v>80695</v>
      </c>
      <c r="B49" s="20" t="s">
        <v>16191</v>
      </c>
      <c r="C49" s="20">
        <v>80695</v>
      </c>
      <c r="D49" s="20" t="str">
        <f>VLOOKUP(C49,[1]CHILDCARE_FACILITIES!AJ:AK,2,0)</f>
        <v>CDC-1929</v>
      </c>
      <c r="E49" s="20" t="s">
        <v>15134</v>
      </c>
      <c r="F49" s="20" t="s">
        <v>15135</v>
      </c>
      <c r="G49" s="20">
        <v>103114009</v>
      </c>
      <c r="H49" s="20" t="s">
        <v>15138</v>
      </c>
      <c r="I49" s="20" t="b">
        <v>1</v>
      </c>
      <c r="J49" s="20" t="s">
        <v>17290</v>
      </c>
      <c r="K49" s="20">
        <v>80695</v>
      </c>
      <c r="L49" s="20" t="s">
        <v>17271</v>
      </c>
      <c r="M49" s="20" t="s">
        <v>17291</v>
      </c>
    </row>
    <row r="50" spans="1:13" x14ac:dyDescent="0.25">
      <c r="A50" s="20">
        <v>79773</v>
      </c>
      <c r="B50" s="20" t="s">
        <v>16003</v>
      </c>
      <c r="C50" s="20">
        <v>79773</v>
      </c>
      <c r="D50" s="20" t="e">
        <f>VLOOKUP(C50,[1]CHILDCARE_FACILITIES!AJ:AK,2,0)</f>
        <v>#N/A</v>
      </c>
      <c r="E50" s="20" t="s">
        <v>15134</v>
      </c>
      <c r="F50" s="20" t="s">
        <v>15135</v>
      </c>
      <c r="G50" s="20">
        <v>73465001</v>
      </c>
      <c r="H50" s="20" t="s">
        <v>15145</v>
      </c>
      <c r="I50" s="20" t="b">
        <v>1</v>
      </c>
      <c r="J50" s="20" t="s">
        <v>17292</v>
      </c>
      <c r="K50" s="20">
        <v>79773</v>
      </c>
      <c r="L50" s="20" t="s">
        <v>17213</v>
      </c>
      <c r="M50" s="20" t="s">
        <v>17293</v>
      </c>
    </row>
    <row r="51" spans="1:13" x14ac:dyDescent="0.25">
      <c r="A51" s="20">
        <v>79773</v>
      </c>
      <c r="B51" s="20" t="s">
        <v>16003</v>
      </c>
      <c r="C51" s="20">
        <v>79773</v>
      </c>
      <c r="D51" s="20" t="e">
        <f>VLOOKUP(C51,[1]CHILDCARE_FACILITIES!AJ:AK,2,0)</f>
        <v>#N/A</v>
      </c>
      <c r="E51" s="20" t="s">
        <v>15134</v>
      </c>
      <c r="F51" s="20" t="s">
        <v>15135</v>
      </c>
      <c r="G51" s="20">
        <v>73465001</v>
      </c>
      <c r="H51" s="20" t="s">
        <v>15138</v>
      </c>
      <c r="I51" s="20" t="b">
        <v>1</v>
      </c>
      <c r="J51" s="20" t="s">
        <v>17292</v>
      </c>
      <c r="K51" s="20">
        <v>79773</v>
      </c>
      <c r="L51" s="20" t="s">
        <v>17213</v>
      </c>
      <c r="M51" s="20" t="s">
        <v>17293</v>
      </c>
    </row>
    <row r="52" spans="1:13" x14ac:dyDescent="0.25">
      <c r="A52" s="20">
        <v>80603</v>
      </c>
      <c r="B52" s="20" t="s">
        <v>16137</v>
      </c>
      <c r="C52" s="20">
        <v>80603</v>
      </c>
      <c r="D52" s="20" t="e">
        <f>VLOOKUP(C52,[1]CHILDCARE_FACILITIES!AJ:AK,2,0)</f>
        <v>#N/A</v>
      </c>
      <c r="E52" s="20" t="s">
        <v>15134</v>
      </c>
      <c r="F52" s="20" t="s">
        <v>15135</v>
      </c>
      <c r="G52" s="20">
        <v>103210001</v>
      </c>
      <c r="H52" s="20" t="s">
        <v>15138</v>
      </c>
      <c r="I52" s="20" t="b">
        <v>1</v>
      </c>
      <c r="J52" s="20" t="s">
        <v>17294</v>
      </c>
      <c r="K52" s="20">
        <v>80603</v>
      </c>
      <c r="L52" s="20" t="s">
        <v>17271</v>
      </c>
      <c r="M52" s="20" t="s">
        <v>17295</v>
      </c>
    </row>
    <row r="53" spans="1:13" x14ac:dyDescent="0.25">
      <c r="A53" s="20">
        <v>80603</v>
      </c>
      <c r="B53" s="20" t="s">
        <v>16137</v>
      </c>
      <c r="C53" s="20">
        <v>80603</v>
      </c>
      <c r="D53" s="20" t="e">
        <f>VLOOKUP(C53,[1]CHILDCARE_FACILITIES!AJ:AK,2,0)</f>
        <v>#N/A</v>
      </c>
      <c r="E53" s="20" t="s">
        <v>15134</v>
      </c>
      <c r="F53" s="20" t="s">
        <v>15135</v>
      </c>
      <c r="G53" s="20">
        <v>103210001</v>
      </c>
      <c r="H53" s="20" t="s">
        <v>15145</v>
      </c>
      <c r="I53" s="20" t="b">
        <v>1</v>
      </c>
      <c r="J53" s="20" t="s">
        <v>17294</v>
      </c>
      <c r="K53" s="20">
        <v>80603</v>
      </c>
      <c r="L53" s="20" t="s">
        <v>17271</v>
      </c>
      <c r="M53" s="20" t="s">
        <v>17295</v>
      </c>
    </row>
    <row r="54" spans="1:13" x14ac:dyDescent="0.25">
      <c r="A54" s="20">
        <v>9101</v>
      </c>
      <c r="B54" s="20" t="s">
        <v>15360</v>
      </c>
      <c r="C54" s="20">
        <v>9101</v>
      </c>
      <c r="D54" s="20" t="e">
        <f>VLOOKUP(C54,[1]CHILDCARE_FACILITIES!AJ:AK,2,0)</f>
        <v>#N/A</v>
      </c>
      <c r="E54" s="20" t="s">
        <v>15134</v>
      </c>
      <c r="F54" s="20" t="s">
        <v>15135</v>
      </c>
      <c r="G54" s="20">
        <v>73074001</v>
      </c>
      <c r="K54" s="20">
        <v>9101</v>
      </c>
    </row>
    <row r="55" spans="1:13" x14ac:dyDescent="0.25">
      <c r="A55" s="20">
        <v>9515</v>
      </c>
      <c r="B55" s="20" t="s">
        <v>15360</v>
      </c>
      <c r="C55" s="20">
        <v>9515</v>
      </c>
      <c r="D55" s="20" t="e">
        <f>VLOOKUP(C55,[1]CHILDCARE_FACILITIES!AJ:AK,2,0)</f>
        <v>#N/A</v>
      </c>
      <c r="E55" s="20" t="s">
        <v>15134</v>
      </c>
      <c r="F55" s="20" t="s">
        <v>15135</v>
      </c>
      <c r="G55" s="20">
        <v>73283003</v>
      </c>
      <c r="K55" s="20">
        <v>9515</v>
      </c>
    </row>
    <row r="56" spans="1:13" x14ac:dyDescent="0.25">
      <c r="A56" s="20">
        <v>9166</v>
      </c>
      <c r="B56" s="20" t="s">
        <v>15387</v>
      </c>
      <c r="C56" s="20">
        <v>9166</v>
      </c>
      <c r="D56" s="20" t="e">
        <f>VLOOKUP(C56,[1]CHILDCARE_FACILITIES!AJ:AK,2,0)</f>
        <v>#N/A</v>
      </c>
      <c r="E56" s="20" t="s">
        <v>15134</v>
      </c>
      <c r="F56" s="20" t="s">
        <v>15135</v>
      </c>
      <c r="G56" s="20">
        <v>73110001</v>
      </c>
      <c r="K56" s="20">
        <v>9166</v>
      </c>
    </row>
    <row r="57" spans="1:13" x14ac:dyDescent="0.25">
      <c r="A57" s="20">
        <v>9019</v>
      </c>
      <c r="B57" s="20" t="s">
        <v>15318</v>
      </c>
      <c r="C57" s="20">
        <v>9019</v>
      </c>
      <c r="D57" s="20" t="str">
        <f>VLOOKUP(C57,[1]CHILDCARE_FACILITIES!AJ:AK,2,0)</f>
        <v>CDC-0179</v>
      </c>
      <c r="E57" s="20" t="s">
        <v>15134</v>
      </c>
      <c r="F57" s="20" t="s">
        <v>15135</v>
      </c>
      <c r="G57" s="20">
        <v>73024001</v>
      </c>
      <c r="K57" s="20">
        <v>9019</v>
      </c>
    </row>
    <row r="58" spans="1:13" x14ac:dyDescent="0.25">
      <c r="A58" s="20">
        <v>90840</v>
      </c>
      <c r="B58" s="20" t="s">
        <v>15318</v>
      </c>
      <c r="C58" s="20">
        <v>90840</v>
      </c>
      <c r="D58" s="20" t="e">
        <f>VLOOKUP(C58,[1]CHILDCARE_FACILITIES!AJ:AK,2,0)</f>
        <v>#N/A</v>
      </c>
      <c r="E58" s="20" t="s">
        <v>15134</v>
      </c>
      <c r="F58" s="20" t="s">
        <v>15135</v>
      </c>
      <c r="G58" s="20">
        <v>73024002</v>
      </c>
      <c r="H58" s="20" t="s">
        <v>15145</v>
      </c>
      <c r="I58" s="20" t="b">
        <v>1</v>
      </c>
      <c r="J58" s="20" t="s">
        <v>17296</v>
      </c>
      <c r="K58" s="20">
        <v>90840</v>
      </c>
      <c r="L58" s="20" t="s">
        <v>17213</v>
      </c>
      <c r="M58" s="20" t="s">
        <v>17297</v>
      </c>
    </row>
    <row r="59" spans="1:13" x14ac:dyDescent="0.25">
      <c r="A59" s="20">
        <v>90840</v>
      </c>
      <c r="B59" s="20" t="s">
        <v>15318</v>
      </c>
      <c r="C59" s="20">
        <v>90840</v>
      </c>
      <c r="D59" s="20" t="e">
        <f>VLOOKUP(C59,[1]CHILDCARE_FACILITIES!AJ:AK,2,0)</f>
        <v>#N/A</v>
      </c>
      <c r="E59" s="20" t="s">
        <v>15134</v>
      </c>
      <c r="F59" s="20" t="s">
        <v>15135</v>
      </c>
      <c r="G59" s="20">
        <v>73024002</v>
      </c>
      <c r="H59" s="20" t="s">
        <v>15138</v>
      </c>
      <c r="I59" s="20" t="b">
        <v>1</v>
      </c>
      <c r="J59" s="20" t="s">
        <v>17296</v>
      </c>
      <c r="K59" s="20">
        <v>90840</v>
      </c>
      <c r="L59" s="20" t="s">
        <v>17213</v>
      </c>
      <c r="M59" s="20" t="s">
        <v>17297</v>
      </c>
    </row>
    <row r="60" spans="1:13" x14ac:dyDescent="0.25">
      <c r="A60" s="20">
        <v>9018</v>
      </c>
      <c r="B60" s="20" t="s">
        <v>15316</v>
      </c>
      <c r="C60" s="20">
        <v>9018</v>
      </c>
      <c r="D60" s="20" t="e">
        <f>VLOOKUP(C60,[1]CHILDCARE_FACILITIES!AJ:AK,2,0)</f>
        <v>#N/A</v>
      </c>
      <c r="E60" s="20" t="s">
        <v>15134</v>
      </c>
      <c r="F60" s="20" t="s">
        <v>15135</v>
      </c>
      <c r="G60" s="20">
        <v>73024000</v>
      </c>
      <c r="H60" s="20" t="s">
        <v>15136</v>
      </c>
      <c r="I60" s="20" t="b">
        <v>1</v>
      </c>
      <c r="J60" s="20" t="s">
        <v>17298</v>
      </c>
      <c r="K60" s="20">
        <v>9018</v>
      </c>
      <c r="L60" s="20" t="s">
        <v>17213</v>
      </c>
      <c r="M60" s="20" t="s">
        <v>17297</v>
      </c>
    </row>
    <row r="61" spans="1:13" x14ac:dyDescent="0.25">
      <c r="A61" s="20">
        <v>9018</v>
      </c>
      <c r="B61" s="20" t="s">
        <v>15316</v>
      </c>
      <c r="C61" s="20">
        <v>9018</v>
      </c>
      <c r="D61" s="20" t="e">
        <f>VLOOKUP(C61,[1]CHILDCARE_FACILITIES!AJ:AK,2,0)</f>
        <v>#N/A</v>
      </c>
      <c r="E61" s="20" t="s">
        <v>15134</v>
      </c>
      <c r="F61" s="20" t="s">
        <v>15135</v>
      </c>
      <c r="G61" s="20">
        <v>73024000</v>
      </c>
      <c r="H61" s="20" t="s">
        <v>15138</v>
      </c>
      <c r="I61" s="20" t="b">
        <v>1</v>
      </c>
      <c r="J61" s="20" t="s">
        <v>17298</v>
      </c>
      <c r="K61" s="20">
        <v>9018</v>
      </c>
      <c r="L61" s="20" t="s">
        <v>17213</v>
      </c>
      <c r="M61" s="20" t="s">
        <v>17297</v>
      </c>
    </row>
    <row r="62" spans="1:13" x14ac:dyDescent="0.25">
      <c r="A62" s="20">
        <v>9033</v>
      </c>
      <c r="B62" s="20" t="s">
        <v>15328</v>
      </c>
      <c r="C62" s="20">
        <v>9033</v>
      </c>
      <c r="D62" s="20" t="e">
        <f>VLOOKUP(C62,[1]CHILDCARE_FACILITIES!AJ:AK,2,0)</f>
        <v>#N/A</v>
      </c>
      <c r="E62" s="20" t="s">
        <v>15134</v>
      </c>
      <c r="F62" s="20" t="s">
        <v>15135</v>
      </c>
      <c r="G62" s="20">
        <v>73030001</v>
      </c>
      <c r="K62" s="20">
        <v>9033</v>
      </c>
    </row>
    <row r="63" spans="1:13" x14ac:dyDescent="0.25">
      <c r="A63" s="20">
        <v>9893</v>
      </c>
      <c r="B63" s="20" t="s">
        <v>15717</v>
      </c>
      <c r="C63" s="20">
        <v>9893</v>
      </c>
      <c r="D63" s="20" t="e">
        <f>VLOOKUP(C63,[1]CHILDCARE_FACILITIES!AJ:AK,2,0)</f>
        <v>#N/A</v>
      </c>
      <c r="E63" s="20" t="s">
        <v>15134</v>
      </c>
      <c r="F63" s="20" t="s">
        <v>15135</v>
      </c>
      <c r="G63" s="20">
        <v>103032001</v>
      </c>
      <c r="K63" s="20">
        <v>9893</v>
      </c>
    </row>
    <row r="64" spans="1:13" x14ac:dyDescent="0.25">
      <c r="A64" s="20">
        <v>89463</v>
      </c>
      <c r="B64" s="20" t="s">
        <v>16396</v>
      </c>
      <c r="C64" s="20">
        <v>89463</v>
      </c>
      <c r="D64" s="20" t="e">
        <f>VLOOKUP(C64,[1]CHILDCARE_FACILITIES!AJ:AK,2,0)</f>
        <v>#N/A</v>
      </c>
      <c r="E64" s="20" t="s">
        <v>15134</v>
      </c>
      <c r="F64" s="20" t="s">
        <v>15135</v>
      </c>
      <c r="G64" s="20">
        <v>73550000</v>
      </c>
      <c r="H64" s="20" t="s">
        <v>15138</v>
      </c>
      <c r="I64" s="20" t="b">
        <v>1</v>
      </c>
      <c r="J64" s="20" t="s">
        <v>17299</v>
      </c>
      <c r="K64" s="20">
        <v>89463</v>
      </c>
      <c r="L64" s="20" t="s">
        <v>17216</v>
      </c>
      <c r="M64" s="20" t="s">
        <v>17300</v>
      </c>
    </row>
    <row r="65" spans="1:13" x14ac:dyDescent="0.25">
      <c r="A65" s="20">
        <v>89463</v>
      </c>
      <c r="B65" s="20" t="s">
        <v>16396</v>
      </c>
      <c r="C65" s="20">
        <v>89463</v>
      </c>
      <c r="D65" s="20" t="e">
        <f>VLOOKUP(C65,[1]CHILDCARE_FACILITIES!AJ:AK,2,0)</f>
        <v>#N/A</v>
      </c>
      <c r="E65" s="20" t="s">
        <v>15134</v>
      </c>
      <c r="F65" s="20" t="s">
        <v>15135</v>
      </c>
      <c r="G65" s="20">
        <v>73550000</v>
      </c>
      <c r="H65" s="20" t="s">
        <v>15136</v>
      </c>
      <c r="I65" s="20" t="b">
        <v>1</v>
      </c>
      <c r="J65" s="20" t="s">
        <v>17301</v>
      </c>
      <c r="K65" s="20">
        <v>89463</v>
      </c>
      <c r="L65" s="20" t="s">
        <v>17216</v>
      </c>
      <c r="M65" s="20" t="s">
        <v>17300</v>
      </c>
    </row>
    <row r="66" spans="1:13" x14ac:dyDescent="0.25">
      <c r="A66" s="20">
        <v>1000089</v>
      </c>
      <c r="B66" s="20" t="s">
        <v>17068</v>
      </c>
      <c r="C66" s="20">
        <v>1000089</v>
      </c>
      <c r="D66" s="20" t="e">
        <f>VLOOKUP(C66,[1]CHILDCARE_FACILITIES!AJ:AK,2,0)</f>
        <v>#N/A</v>
      </c>
      <c r="E66" s="20" t="s">
        <v>15134</v>
      </c>
      <c r="F66" s="20" t="s">
        <v>15135</v>
      </c>
      <c r="G66" s="20">
        <v>72468000</v>
      </c>
      <c r="H66" s="20" t="s">
        <v>15138</v>
      </c>
      <c r="I66" s="20" t="b">
        <v>1</v>
      </c>
      <c r="J66" s="20" t="s">
        <v>17302</v>
      </c>
      <c r="K66" s="20">
        <v>1000089</v>
      </c>
      <c r="L66" s="20" t="s">
        <v>17228</v>
      </c>
      <c r="M66" s="20" t="s">
        <v>17303</v>
      </c>
    </row>
    <row r="67" spans="1:13" x14ac:dyDescent="0.25">
      <c r="A67" s="20">
        <v>1000089</v>
      </c>
      <c r="B67" s="20" t="s">
        <v>17068</v>
      </c>
      <c r="C67" s="20">
        <v>1000089</v>
      </c>
      <c r="D67" s="20" t="e">
        <f>VLOOKUP(C67,[1]CHILDCARE_FACILITIES!AJ:AK,2,0)</f>
        <v>#N/A</v>
      </c>
      <c r="E67" s="20" t="s">
        <v>15134</v>
      </c>
      <c r="F67" s="20" t="s">
        <v>15135</v>
      </c>
      <c r="G67" s="20">
        <v>72468000</v>
      </c>
      <c r="H67" s="20" t="s">
        <v>15136</v>
      </c>
      <c r="I67" s="20" t="b">
        <v>1</v>
      </c>
      <c r="J67" s="20" t="s">
        <v>17302</v>
      </c>
      <c r="K67" s="20">
        <v>1000089</v>
      </c>
      <c r="L67" s="20" t="s">
        <v>17228</v>
      </c>
      <c r="M67" s="20" t="s">
        <v>17303</v>
      </c>
    </row>
    <row r="68" spans="1:13" x14ac:dyDescent="0.25">
      <c r="A68" s="20">
        <v>90372</v>
      </c>
      <c r="B68" s="20" t="s">
        <v>16594</v>
      </c>
      <c r="C68" s="20">
        <v>90372</v>
      </c>
      <c r="D68" s="20" t="e">
        <f>VLOOKUP(C68,[1]CHILDCARE_FACILITIES!AJ:AK,2,0)</f>
        <v>#N/A</v>
      </c>
      <c r="E68" s="20" t="s">
        <v>15134</v>
      </c>
      <c r="F68" s="20" t="s">
        <v>15135</v>
      </c>
      <c r="G68" s="20">
        <v>113021001</v>
      </c>
      <c r="H68" s="20" t="s">
        <v>15145</v>
      </c>
      <c r="I68" s="20" t="b">
        <v>1</v>
      </c>
      <c r="J68" s="20" t="s">
        <v>17304</v>
      </c>
      <c r="K68" s="20">
        <v>90372</v>
      </c>
      <c r="L68" s="20" t="s">
        <v>17305</v>
      </c>
      <c r="M68" s="20" t="s">
        <v>17306</v>
      </c>
    </row>
    <row r="69" spans="1:13" x14ac:dyDescent="0.25">
      <c r="A69" s="20">
        <v>1000394</v>
      </c>
      <c r="B69" s="20" t="s">
        <v>17156</v>
      </c>
      <c r="C69" s="20">
        <v>1000394</v>
      </c>
      <c r="D69" s="20" t="str">
        <f>VLOOKUP(C69,[1]CHILDCARE_FACILITIES!AJ:AK,2,0)</f>
        <v>CDC-18774</v>
      </c>
      <c r="E69" s="20" t="s">
        <v>15134</v>
      </c>
      <c r="F69" s="20" t="s">
        <v>15135</v>
      </c>
      <c r="G69" s="20">
        <v>113023002</v>
      </c>
      <c r="H69" s="20" t="s">
        <v>15136</v>
      </c>
      <c r="I69" s="20" t="b">
        <v>1</v>
      </c>
      <c r="J69" s="20" t="s">
        <v>17307</v>
      </c>
      <c r="K69" s="20">
        <v>1000394</v>
      </c>
      <c r="L69" s="20" t="s">
        <v>17308</v>
      </c>
      <c r="M69" s="20" t="s">
        <v>17309</v>
      </c>
    </row>
    <row r="70" spans="1:13" x14ac:dyDescent="0.25">
      <c r="A70" s="20">
        <v>1000394</v>
      </c>
      <c r="B70" s="20" t="s">
        <v>17156</v>
      </c>
      <c r="C70" s="20">
        <v>1000394</v>
      </c>
      <c r="D70" s="20" t="str">
        <f>VLOOKUP(C70,[1]CHILDCARE_FACILITIES!AJ:AK,2,0)</f>
        <v>CDC-18774</v>
      </c>
      <c r="E70" s="20" t="s">
        <v>15134</v>
      </c>
      <c r="F70" s="20" t="s">
        <v>15135</v>
      </c>
      <c r="G70" s="20">
        <v>113023002</v>
      </c>
      <c r="H70" s="20" t="s">
        <v>15138</v>
      </c>
      <c r="I70" s="20" t="b">
        <v>1</v>
      </c>
      <c r="J70" s="20" t="s">
        <v>17307</v>
      </c>
      <c r="K70" s="20">
        <v>1000394</v>
      </c>
      <c r="L70" s="20" t="s">
        <v>17308</v>
      </c>
      <c r="M70" s="20" t="s">
        <v>17309</v>
      </c>
    </row>
    <row r="71" spans="1:13" x14ac:dyDescent="0.25">
      <c r="A71" s="20">
        <v>91322</v>
      </c>
      <c r="B71" s="20" t="s">
        <v>16770</v>
      </c>
      <c r="C71" s="20">
        <v>91322</v>
      </c>
      <c r="D71" s="20" t="str">
        <f>VLOOKUP(C71,[1]CHILDCARE_FACILITIES!AJ:AK,2,0)</f>
        <v>CDC-16036</v>
      </c>
      <c r="E71" s="20" t="s">
        <v>15134</v>
      </c>
      <c r="F71" s="20" t="s">
        <v>15135</v>
      </c>
      <c r="G71" s="20">
        <v>113023001</v>
      </c>
      <c r="H71" s="20" t="s">
        <v>15145</v>
      </c>
      <c r="I71" s="20" t="b">
        <v>1</v>
      </c>
      <c r="J71" s="20" t="s">
        <v>17304</v>
      </c>
      <c r="K71" s="20">
        <v>91322</v>
      </c>
      <c r="L71" s="20" t="s">
        <v>17305</v>
      </c>
      <c r="M71" s="20" t="s">
        <v>17306</v>
      </c>
    </row>
    <row r="72" spans="1:13" x14ac:dyDescent="0.25">
      <c r="A72" s="20">
        <v>91322</v>
      </c>
      <c r="B72" s="20" t="s">
        <v>16770</v>
      </c>
      <c r="C72" s="20">
        <v>91322</v>
      </c>
      <c r="D72" s="20" t="str">
        <f>VLOOKUP(C72,[1]CHILDCARE_FACILITIES!AJ:AK,2,0)</f>
        <v>CDC-16036</v>
      </c>
      <c r="E72" s="20" t="s">
        <v>15134</v>
      </c>
      <c r="F72" s="20" t="s">
        <v>15135</v>
      </c>
      <c r="G72" s="20">
        <v>113023001</v>
      </c>
      <c r="H72" s="20" t="s">
        <v>15136</v>
      </c>
      <c r="I72" s="20" t="b">
        <v>1</v>
      </c>
      <c r="J72" s="20" t="s">
        <v>17310</v>
      </c>
      <c r="K72" s="20">
        <v>91322</v>
      </c>
      <c r="L72" s="20" t="s">
        <v>17305</v>
      </c>
      <c r="M72" s="20" t="s">
        <v>17306</v>
      </c>
    </row>
    <row r="73" spans="1:13" x14ac:dyDescent="0.25">
      <c r="A73" s="20">
        <v>91322</v>
      </c>
      <c r="B73" s="20" t="s">
        <v>16770</v>
      </c>
      <c r="C73" s="20">
        <v>91322</v>
      </c>
      <c r="D73" s="20" t="str">
        <f>VLOOKUP(C73,[1]CHILDCARE_FACILITIES!AJ:AK,2,0)</f>
        <v>CDC-16036</v>
      </c>
      <c r="E73" s="20" t="s">
        <v>15134</v>
      </c>
      <c r="F73" s="20" t="s">
        <v>15135</v>
      </c>
      <c r="G73" s="20">
        <v>113023001</v>
      </c>
      <c r="H73" s="20" t="s">
        <v>15138</v>
      </c>
      <c r="I73" s="20" t="b">
        <v>1</v>
      </c>
      <c r="J73" s="20" t="s">
        <v>17304</v>
      </c>
      <c r="K73" s="20">
        <v>91322</v>
      </c>
      <c r="L73" s="20" t="s">
        <v>17305</v>
      </c>
      <c r="M73" s="20" t="s">
        <v>17306</v>
      </c>
    </row>
    <row r="74" spans="1:13" x14ac:dyDescent="0.25">
      <c r="A74" s="20">
        <v>91321</v>
      </c>
      <c r="B74" s="20" t="s">
        <v>16769</v>
      </c>
      <c r="C74" s="20">
        <v>91321</v>
      </c>
      <c r="D74" s="20" t="e">
        <f>VLOOKUP(C74,[1]CHILDCARE_FACILITIES!AJ:AK,2,0)</f>
        <v>#N/A</v>
      </c>
      <c r="E74" s="20" t="s">
        <v>15134</v>
      </c>
      <c r="F74" s="20" t="s">
        <v>15135</v>
      </c>
      <c r="G74" s="20">
        <v>113023000</v>
      </c>
      <c r="H74" s="20" t="s">
        <v>15136</v>
      </c>
      <c r="I74" s="20" t="b">
        <v>1</v>
      </c>
      <c r="J74" s="20" t="s">
        <v>17304</v>
      </c>
      <c r="K74" s="20">
        <v>91321</v>
      </c>
      <c r="L74" s="20" t="s">
        <v>17305</v>
      </c>
      <c r="M74" s="20" t="s">
        <v>17306</v>
      </c>
    </row>
    <row r="75" spans="1:13" x14ac:dyDescent="0.25">
      <c r="A75" s="20">
        <v>91321</v>
      </c>
      <c r="B75" s="20" t="s">
        <v>16769</v>
      </c>
      <c r="C75" s="20">
        <v>91321</v>
      </c>
      <c r="D75" s="20" t="e">
        <f>VLOOKUP(C75,[1]CHILDCARE_FACILITIES!AJ:AK,2,0)</f>
        <v>#N/A</v>
      </c>
      <c r="E75" s="20" t="s">
        <v>15134</v>
      </c>
      <c r="F75" s="20" t="s">
        <v>15135</v>
      </c>
      <c r="G75" s="20">
        <v>113023000</v>
      </c>
      <c r="H75" s="20" t="s">
        <v>15138</v>
      </c>
      <c r="I75" s="20" t="b">
        <v>1</v>
      </c>
      <c r="J75" s="20" t="s">
        <v>17304</v>
      </c>
      <c r="K75" s="20">
        <v>91321</v>
      </c>
      <c r="L75" s="20" t="s">
        <v>17305</v>
      </c>
      <c r="M75" s="20" t="s">
        <v>17306</v>
      </c>
    </row>
    <row r="76" spans="1:13" x14ac:dyDescent="0.25">
      <c r="A76" s="20">
        <v>9915</v>
      </c>
      <c r="B76" s="20" t="s">
        <v>15727</v>
      </c>
      <c r="C76" s="20">
        <v>9915</v>
      </c>
      <c r="D76" s="20" t="e">
        <f>VLOOKUP(C76,[1]CHILDCARE_FACILITIES!AJ:AK,2,0)</f>
        <v>#N/A</v>
      </c>
      <c r="E76" s="20" t="s">
        <v>15134</v>
      </c>
      <c r="F76" s="20" t="s">
        <v>15135</v>
      </c>
      <c r="G76" s="20">
        <v>103047001</v>
      </c>
      <c r="K76" s="20">
        <v>9915</v>
      </c>
    </row>
    <row r="77" spans="1:13" x14ac:dyDescent="0.25">
      <c r="A77" s="20">
        <v>85801</v>
      </c>
      <c r="B77" s="20" t="s">
        <v>16307</v>
      </c>
      <c r="C77" s="20">
        <v>85801</v>
      </c>
      <c r="D77" s="20" t="e">
        <f>VLOOKUP(C77,[1]CHILDCARE_FACILITIES!AJ:AK,2,0)</f>
        <v>#N/A</v>
      </c>
      <c r="E77" s="20" t="s">
        <v>15134</v>
      </c>
      <c r="F77" s="20" t="s">
        <v>15135</v>
      </c>
      <c r="G77" s="20">
        <v>73512000</v>
      </c>
      <c r="H77" s="20" t="s">
        <v>15138</v>
      </c>
      <c r="I77" s="20" t="b">
        <v>1</v>
      </c>
      <c r="J77" s="20" t="s">
        <v>17311</v>
      </c>
      <c r="K77" s="20">
        <v>85801</v>
      </c>
      <c r="L77" s="20" t="s">
        <v>17312</v>
      </c>
      <c r="M77" s="20" t="s">
        <v>17313</v>
      </c>
    </row>
    <row r="78" spans="1:13" x14ac:dyDescent="0.25">
      <c r="A78" s="20">
        <v>85801</v>
      </c>
      <c r="B78" s="20" t="s">
        <v>16307</v>
      </c>
      <c r="C78" s="20">
        <v>85801</v>
      </c>
      <c r="D78" s="20" t="e">
        <f>VLOOKUP(C78,[1]CHILDCARE_FACILITIES!AJ:AK,2,0)</f>
        <v>#N/A</v>
      </c>
      <c r="E78" s="20" t="s">
        <v>15134</v>
      </c>
      <c r="F78" s="20" t="s">
        <v>15135</v>
      </c>
      <c r="G78" s="20">
        <v>73512000</v>
      </c>
      <c r="H78" s="20" t="s">
        <v>15136</v>
      </c>
      <c r="I78" s="20" t="b">
        <v>1</v>
      </c>
      <c r="J78" s="20" t="s">
        <v>17311</v>
      </c>
      <c r="K78" s="20">
        <v>85801</v>
      </c>
      <c r="L78" s="20" t="s">
        <v>17312</v>
      </c>
      <c r="M78" s="20" t="s">
        <v>17313</v>
      </c>
    </row>
    <row r="79" spans="1:13" x14ac:dyDescent="0.25">
      <c r="A79" s="20">
        <v>85802</v>
      </c>
      <c r="B79" s="20" t="s">
        <v>16307</v>
      </c>
      <c r="C79" s="20">
        <v>85802</v>
      </c>
      <c r="D79" s="20" t="e">
        <f>VLOOKUP(C79,[1]CHILDCARE_FACILITIES!AJ:AK,2,0)</f>
        <v>#N/A</v>
      </c>
      <c r="E79" s="20" t="s">
        <v>15134</v>
      </c>
      <c r="F79" s="20" t="s">
        <v>15135</v>
      </c>
      <c r="G79" s="20">
        <v>73512001</v>
      </c>
      <c r="H79" s="20" t="s">
        <v>15138</v>
      </c>
      <c r="I79" s="20" t="b">
        <v>1</v>
      </c>
      <c r="J79" s="20" t="s">
        <v>17311</v>
      </c>
      <c r="K79" s="20">
        <v>85802</v>
      </c>
      <c r="L79" s="20" t="s">
        <v>17312</v>
      </c>
      <c r="M79" s="20" t="s">
        <v>17313</v>
      </c>
    </row>
    <row r="80" spans="1:13" x14ac:dyDescent="0.25">
      <c r="A80" s="20">
        <v>85802</v>
      </c>
      <c r="B80" s="20" t="s">
        <v>16307</v>
      </c>
      <c r="C80" s="20">
        <v>85802</v>
      </c>
      <c r="D80" s="20" t="e">
        <f>VLOOKUP(C80,[1]CHILDCARE_FACILITIES!AJ:AK,2,0)</f>
        <v>#N/A</v>
      </c>
      <c r="E80" s="20" t="s">
        <v>15134</v>
      </c>
      <c r="F80" s="20" t="s">
        <v>15135</v>
      </c>
      <c r="G80" s="20">
        <v>73512001</v>
      </c>
      <c r="H80" s="20" t="s">
        <v>15145</v>
      </c>
      <c r="I80" s="20" t="b">
        <v>1</v>
      </c>
      <c r="J80" s="20" t="s">
        <v>17311</v>
      </c>
      <c r="K80" s="20">
        <v>85802</v>
      </c>
      <c r="L80" s="20" t="s">
        <v>17312</v>
      </c>
      <c r="M80" s="20" t="s">
        <v>17313</v>
      </c>
    </row>
    <row r="81" spans="1:13" x14ac:dyDescent="0.25">
      <c r="A81" s="20">
        <v>80625</v>
      </c>
      <c r="B81" s="20" t="s">
        <v>16150</v>
      </c>
      <c r="C81" s="20">
        <v>80625</v>
      </c>
      <c r="D81" s="20" t="e">
        <f>VLOOKUP(C81,[1]CHILDCARE_FACILITIES!AJ:AK,2,0)</f>
        <v>#N/A</v>
      </c>
      <c r="E81" s="20" t="s">
        <v>15134</v>
      </c>
      <c r="F81" s="20" t="s">
        <v>15135</v>
      </c>
      <c r="G81" s="20">
        <v>73435001</v>
      </c>
      <c r="H81" s="20" t="s">
        <v>15145</v>
      </c>
      <c r="I81" s="20" t="b">
        <v>1</v>
      </c>
      <c r="J81" s="20" t="s">
        <v>17314</v>
      </c>
      <c r="K81" s="20">
        <v>80625</v>
      </c>
      <c r="L81" s="20" t="s">
        <v>17213</v>
      </c>
      <c r="M81" s="20" t="s">
        <v>17315</v>
      </c>
    </row>
    <row r="82" spans="1:13" x14ac:dyDescent="0.25">
      <c r="A82" s="20">
        <v>80625</v>
      </c>
      <c r="B82" s="20" t="s">
        <v>16150</v>
      </c>
      <c r="C82" s="20">
        <v>80625</v>
      </c>
      <c r="D82" s="20" t="e">
        <f>VLOOKUP(C82,[1]CHILDCARE_FACILITIES!AJ:AK,2,0)</f>
        <v>#N/A</v>
      </c>
      <c r="E82" s="20" t="s">
        <v>15134</v>
      </c>
      <c r="F82" s="20" t="s">
        <v>15135</v>
      </c>
      <c r="G82" s="20">
        <v>73435001</v>
      </c>
      <c r="H82" s="20" t="s">
        <v>15138</v>
      </c>
      <c r="I82" s="20" t="b">
        <v>1</v>
      </c>
      <c r="J82" s="20" t="s">
        <v>17314</v>
      </c>
      <c r="K82" s="20">
        <v>80625</v>
      </c>
      <c r="L82" s="20" t="s">
        <v>17213</v>
      </c>
      <c r="M82" s="20" t="s">
        <v>17315</v>
      </c>
    </row>
    <row r="83" spans="1:13" x14ac:dyDescent="0.25">
      <c r="A83" s="20">
        <v>8529</v>
      </c>
      <c r="B83" s="20" t="s">
        <v>15162</v>
      </c>
      <c r="C83" s="20">
        <v>8529</v>
      </c>
      <c r="D83" s="20" t="e">
        <f>VLOOKUP(C83,[1]CHILDCARE_FACILITIES!AJ:AK,2,0)</f>
        <v>#N/A</v>
      </c>
      <c r="E83" s="20" t="s">
        <v>15134</v>
      </c>
      <c r="F83" s="20" t="s">
        <v>15135</v>
      </c>
      <c r="G83" s="20">
        <v>32208001</v>
      </c>
      <c r="K83" s="20">
        <v>8529</v>
      </c>
    </row>
    <row r="84" spans="1:13" x14ac:dyDescent="0.25">
      <c r="A84" s="20">
        <v>8777</v>
      </c>
      <c r="B84" s="20" t="s">
        <v>15268</v>
      </c>
      <c r="C84" s="20">
        <v>8777</v>
      </c>
      <c r="D84" s="20" t="e">
        <f>VLOOKUP(C84,[1]CHILDCARE_FACILITIES!AJ:AK,2,0)</f>
        <v>#N/A</v>
      </c>
      <c r="E84" s="20" t="s">
        <v>15134</v>
      </c>
      <c r="F84" s="20" t="s">
        <v>15135</v>
      </c>
      <c r="G84" s="20">
        <v>72407002</v>
      </c>
      <c r="K84" s="20">
        <v>8777</v>
      </c>
    </row>
    <row r="85" spans="1:13" x14ac:dyDescent="0.25">
      <c r="A85" s="20">
        <v>90763</v>
      </c>
      <c r="B85" s="20" t="s">
        <v>16678</v>
      </c>
      <c r="C85" s="20">
        <v>90763</v>
      </c>
      <c r="D85" s="20" t="e">
        <f>VLOOKUP(C85,[1]CHILDCARE_FACILITIES!AJ:AK,2,0)</f>
        <v>#N/A</v>
      </c>
      <c r="E85" s="20" t="s">
        <v>15134</v>
      </c>
      <c r="F85" s="20" t="s">
        <v>15135</v>
      </c>
      <c r="G85" s="20">
        <v>73710000</v>
      </c>
      <c r="H85" s="20" t="s">
        <v>15138</v>
      </c>
      <c r="I85" s="20" t="b">
        <v>1</v>
      </c>
      <c r="J85" s="20" t="s">
        <v>17316</v>
      </c>
      <c r="K85" s="20">
        <v>90763</v>
      </c>
      <c r="L85" s="20" t="s">
        <v>17233</v>
      </c>
      <c r="M85" s="20" t="s">
        <v>17317</v>
      </c>
    </row>
    <row r="86" spans="1:13" x14ac:dyDescent="0.25">
      <c r="A86" s="20">
        <v>90763</v>
      </c>
      <c r="B86" s="20" t="s">
        <v>16678</v>
      </c>
      <c r="C86" s="20">
        <v>90763</v>
      </c>
      <c r="D86" s="20" t="e">
        <f>VLOOKUP(C86,[1]CHILDCARE_FACILITIES!AJ:AK,2,0)</f>
        <v>#N/A</v>
      </c>
      <c r="E86" s="20" t="s">
        <v>15134</v>
      </c>
      <c r="F86" s="20" t="s">
        <v>15135</v>
      </c>
      <c r="G86" s="20">
        <v>73710000</v>
      </c>
      <c r="H86" s="20" t="s">
        <v>15136</v>
      </c>
      <c r="I86" s="20" t="b">
        <v>1</v>
      </c>
      <c r="J86" s="20" t="s">
        <v>17318</v>
      </c>
      <c r="K86" s="20">
        <v>90763</v>
      </c>
      <c r="L86" s="20" t="s">
        <v>17233</v>
      </c>
      <c r="M86" s="20" t="s">
        <v>17317</v>
      </c>
    </row>
    <row r="87" spans="1:13" x14ac:dyDescent="0.25">
      <c r="A87" s="20">
        <v>79300</v>
      </c>
      <c r="B87" s="20" t="s">
        <v>15915</v>
      </c>
      <c r="C87" s="20">
        <v>79300</v>
      </c>
      <c r="D87" s="20" t="e">
        <f>VLOOKUP(C87,[1]CHILDCARE_FACILITIES!AJ:AK,2,0)</f>
        <v>#N/A</v>
      </c>
      <c r="E87" s="20" t="s">
        <v>15134</v>
      </c>
      <c r="F87" s="20" t="s">
        <v>15135</v>
      </c>
      <c r="G87" s="20">
        <v>132205000</v>
      </c>
      <c r="H87" s="20" t="s">
        <v>15138</v>
      </c>
      <c r="I87" s="20" t="b">
        <v>1</v>
      </c>
      <c r="J87" s="20" t="s">
        <v>17319</v>
      </c>
      <c r="K87" s="20">
        <v>79300</v>
      </c>
      <c r="L87" s="20" t="s">
        <v>17320</v>
      </c>
      <c r="M87" s="20" t="s">
        <v>17321</v>
      </c>
    </row>
    <row r="88" spans="1:13" x14ac:dyDescent="0.25">
      <c r="A88" s="20">
        <v>79300</v>
      </c>
      <c r="B88" s="20" t="s">
        <v>15915</v>
      </c>
      <c r="C88" s="20">
        <v>79300</v>
      </c>
      <c r="D88" s="20" t="e">
        <f>VLOOKUP(C88,[1]CHILDCARE_FACILITIES!AJ:AK,2,0)</f>
        <v>#N/A</v>
      </c>
      <c r="E88" s="20" t="s">
        <v>15134</v>
      </c>
      <c r="F88" s="20" t="s">
        <v>15135</v>
      </c>
      <c r="G88" s="20">
        <v>132205000</v>
      </c>
      <c r="H88" s="20" t="s">
        <v>15145</v>
      </c>
      <c r="I88" s="20" t="b">
        <v>1</v>
      </c>
      <c r="J88" s="20" t="s">
        <v>17319</v>
      </c>
      <c r="K88" s="20">
        <v>79300</v>
      </c>
      <c r="L88" s="20" t="s">
        <v>17320</v>
      </c>
      <c r="M88" s="20" t="s">
        <v>17321</v>
      </c>
    </row>
    <row r="89" spans="1:13" x14ac:dyDescent="0.25">
      <c r="A89" s="20">
        <v>79301</v>
      </c>
      <c r="B89" s="20" t="s">
        <v>15915</v>
      </c>
      <c r="C89" s="20">
        <v>79301</v>
      </c>
      <c r="D89" s="20" t="str">
        <f>VLOOKUP(C89,[1]CHILDCARE_FACILITIES!AJ:AK,2,0)</f>
        <v>CDC-12649</v>
      </c>
      <c r="E89" s="20" t="s">
        <v>15134</v>
      </c>
      <c r="F89" s="20" t="s">
        <v>15135</v>
      </c>
      <c r="G89" s="20">
        <v>132205001</v>
      </c>
      <c r="H89" s="20" t="s">
        <v>15138</v>
      </c>
      <c r="I89" s="20" t="b">
        <v>1</v>
      </c>
      <c r="J89" s="20" t="s">
        <v>17319</v>
      </c>
      <c r="K89" s="20">
        <v>79301</v>
      </c>
      <c r="L89" s="20" t="s">
        <v>17320</v>
      </c>
      <c r="M89" s="20" t="s">
        <v>17321</v>
      </c>
    </row>
    <row r="90" spans="1:13" x14ac:dyDescent="0.25">
      <c r="A90" s="20">
        <v>79301</v>
      </c>
      <c r="B90" s="20" t="s">
        <v>15915</v>
      </c>
      <c r="C90" s="20">
        <v>79301</v>
      </c>
      <c r="D90" s="20" t="str">
        <f>VLOOKUP(C90,[1]CHILDCARE_FACILITIES!AJ:AK,2,0)</f>
        <v>CDC-12649</v>
      </c>
      <c r="E90" s="20" t="s">
        <v>15134</v>
      </c>
      <c r="F90" s="20" t="s">
        <v>15135</v>
      </c>
      <c r="G90" s="20">
        <v>132205001</v>
      </c>
      <c r="H90" s="20" t="s">
        <v>15145</v>
      </c>
      <c r="I90" s="20" t="b">
        <v>1</v>
      </c>
      <c r="J90" s="20" t="s">
        <v>17319</v>
      </c>
      <c r="K90" s="20">
        <v>79301</v>
      </c>
      <c r="L90" s="20" t="s">
        <v>17320</v>
      </c>
      <c r="M90" s="20" t="s">
        <v>17321</v>
      </c>
    </row>
    <row r="91" spans="1:13" x14ac:dyDescent="0.25">
      <c r="A91" s="20">
        <v>9319</v>
      </c>
      <c r="B91" s="20" t="s">
        <v>15469</v>
      </c>
      <c r="C91" s="20">
        <v>9319</v>
      </c>
      <c r="D91" s="20" t="e">
        <f>VLOOKUP(C91,[1]CHILDCARE_FACILITIES!AJ:AK,2,0)</f>
        <v>#N/A</v>
      </c>
      <c r="E91" s="20" t="s">
        <v>15134</v>
      </c>
      <c r="F91" s="20" t="s">
        <v>15135</v>
      </c>
      <c r="G91" s="20">
        <v>73206001</v>
      </c>
      <c r="K91" s="20">
        <v>9319</v>
      </c>
    </row>
    <row r="92" spans="1:13" x14ac:dyDescent="0.25">
      <c r="A92" s="20">
        <v>80922</v>
      </c>
      <c r="B92" s="20" t="s">
        <v>16244</v>
      </c>
      <c r="C92" s="20">
        <v>80922</v>
      </c>
      <c r="D92" s="20" t="str">
        <f>VLOOKUP(C92,[1]CHILDCARE_FACILITIES!AJ:AK,2,0)</f>
        <v>CDC-10283</v>
      </c>
      <c r="E92" s="20" t="s">
        <v>15134</v>
      </c>
      <c r="F92" s="20" t="s">
        <v>15135</v>
      </c>
      <c r="G92" s="20">
        <v>73491001</v>
      </c>
      <c r="H92" s="20" t="s">
        <v>15138</v>
      </c>
      <c r="I92" s="20" t="b">
        <v>1</v>
      </c>
      <c r="J92" s="20" t="s">
        <v>17322</v>
      </c>
      <c r="K92" s="20">
        <v>80922</v>
      </c>
      <c r="L92" s="20" t="s">
        <v>17213</v>
      </c>
      <c r="M92" s="20" t="s">
        <v>17323</v>
      </c>
    </row>
    <row r="93" spans="1:13" x14ac:dyDescent="0.25">
      <c r="A93" s="20">
        <v>80922</v>
      </c>
      <c r="B93" s="20" t="s">
        <v>16244</v>
      </c>
      <c r="C93" s="20">
        <v>80922</v>
      </c>
      <c r="D93" s="20" t="str">
        <f>VLOOKUP(C93,[1]CHILDCARE_FACILITIES!AJ:AK,2,0)</f>
        <v>CDC-10283</v>
      </c>
      <c r="E93" s="20" t="s">
        <v>15134</v>
      </c>
      <c r="F93" s="20" t="s">
        <v>15135</v>
      </c>
      <c r="G93" s="20">
        <v>73491001</v>
      </c>
      <c r="H93" s="20" t="s">
        <v>15145</v>
      </c>
      <c r="I93" s="20" t="b">
        <v>1</v>
      </c>
      <c r="J93" s="20" t="s">
        <v>17322</v>
      </c>
      <c r="K93" s="20">
        <v>80922</v>
      </c>
      <c r="L93" s="20" t="s">
        <v>17213</v>
      </c>
      <c r="M93" s="20" t="s">
        <v>17323</v>
      </c>
    </row>
    <row r="94" spans="1:13" x14ac:dyDescent="0.25">
      <c r="A94" s="20">
        <v>89753</v>
      </c>
      <c r="B94" s="20" t="s">
        <v>16455</v>
      </c>
      <c r="C94" s="20">
        <v>89753</v>
      </c>
      <c r="D94" s="20" t="str">
        <f>VLOOKUP(C94,[1]CHILDCARE_FACILITIES!AJ:AK,2,0)</f>
        <v>CDC-13631</v>
      </c>
      <c r="E94" s="20" t="s">
        <v>15134</v>
      </c>
      <c r="F94" s="20" t="s">
        <v>15135</v>
      </c>
      <c r="G94" s="20">
        <v>73561001</v>
      </c>
      <c r="H94" s="20" t="s">
        <v>15145</v>
      </c>
      <c r="I94" s="20" t="b">
        <v>1</v>
      </c>
      <c r="J94" s="20" t="s">
        <v>17324</v>
      </c>
      <c r="K94" s="20">
        <v>89753</v>
      </c>
      <c r="L94" s="20" t="s">
        <v>17213</v>
      </c>
      <c r="M94" s="20" t="s">
        <v>17325</v>
      </c>
    </row>
    <row r="95" spans="1:13" x14ac:dyDescent="0.25">
      <c r="A95" s="20">
        <v>89753</v>
      </c>
      <c r="B95" s="20" t="s">
        <v>16455</v>
      </c>
      <c r="C95" s="20">
        <v>89753</v>
      </c>
      <c r="D95" s="20" t="str">
        <f>VLOOKUP(C95,[1]CHILDCARE_FACILITIES!AJ:AK,2,0)</f>
        <v>CDC-13631</v>
      </c>
      <c r="E95" s="20" t="s">
        <v>15134</v>
      </c>
      <c r="F95" s="20" t="s">
        <v>15135</v>
      </c>
      <c r="G95" s="20">
        <v>73561001</v>
      </c>
      <c r="H95" s="20" t="s">
        <v>15138</v>
      </c>
      <c r="I95" s="20" t="b">
        <v>1</v>
      </c>
      <c r="J95" s="20" t="s">
        <v>17324</v>
      </c>
      <c r="K95" s="20">
        <v>89753</v>
      </c>
      <c r="L95" s="20" t="s">
        <v>17213</v>
      </c>
      <c r="M95" s="20" t="s">
        <v>17325</v>
      </c>
    </row>
    <row r="96" spans="1:13" x14ac:dyDescent="0.25">
      <c r="A96" s="20">
        <v>1000062</v>
      </c>
      <c r="B96" s="20" t="s">
        <v>17040</v>
      </c>
      <c r="C96" s="20">
        <v>1000062</v>
      </c>
      <c r="D96" s="20" t="str">
        <f>VLOOKUP(C96,[1]CHILDCARE_FACILITIES!AJ:AK,2,0)</f>
        <v>CDC-18368</v>
      </c>
      <c r="E96" s="20" t="s">
        <v>15134</v>
      </c>
      <c r="F96" s="20" t="s">
        <v>15135</v>
      </c>
      <c r="G96" s="20">
        <v>73345001</v>
      </c>
      <c r="H96" s="20" t="s">
        <v>15136</v>
      </c>
      <c r="I96" s="20" t="b">
        <v>1</v>
      </c>
      <c r="J96" s="20" t="s">
        <v>17326</v>
      </c>
      <c r="K96" s="20">
        <v>1000062</v>
      </c>
      <c r="L96" s="20" t="s">
        <v>17228</v>
      </c>
      <c r="M96" s="20" t="s">
        <v>17327</v>
      </c>
    </row>
    <row r="97" spans="1:13" x14ac:dyDescent="0.25">
      <c r="A97" s="20">
        <v>1000062</v>
      </c>
      <c r="B97" s="20" t="s">
        <v>17040</v>
      </c>
      <c r="C97" s="20">
        <v>1000062</v>
      </c>
      <c r="D97" s="20" t="str">
        <f>VLOOKUP(C97,[1]CHILDCARE_FACILITIES!AJ:AK,2,0)</f>
        <v>CDC-18368</v>
      </c>
      <c r="E97" s="20" t="s">
        <v>15134</v>
      </c>
      <c r="F97" s="20" t="s">
        <v>15135</v>
      </c>
      <c r="G97" s="20">
        <v>73345001</v>
      </c>
      <c r="H97" s="20" t="s">
        <v>15138</v>
      </c>
      <c r="I97" s="20" t="b">
        <v>1</v>
      </c>
      <c r="J97" s="20" t="s">
        <v>17326</v>
      </c>
      <c r="K97" s="20">
        <v>1000062</v>
      </c>
      <c r="L97" s="20" t="s">
        <v>17228</v>
      </c>
      <c r="M97" s="20" t="s">
        <v>17327</v>
      </c>
    </row>
    <row r="98" spans="1:13" x14ac:dyDescent="0.25">
      <c r="A98" s="20">
        <v>1001131</v>
      </c>
      <c r="B98" s="20" t="s">
        <v>17179</v>
      </c>
      <c r="C98" s="20">
        <v>1001131</v>
      </c>
      <c r="D98" s="20" t="str">
        <f>VLOOKUP(C98,[1]CHILDCARE_FACILITIES!AJ:AK,2,0)</f>
        <v>CDC-18832</v>
      </c>
      <c r="E98" s="20" t="s">
        <v>15134</v>
      </c>
      <c r="F98" s="20" t="s">
        <v>15135</v>
      </c>
      <c r="G98" s="20">
        <v>73367001</v>
      </c>
      <c r="H98" s="20" t="s">
        <v>15136</v>
      </c>
      <c r="I98" s="20" t="b">
        <v>1</v>
      </c>
      <c r="J98" s="20" t="s">
        <v>17328</v>
      </c>
      <c r="K98" s="20">
        <v>1001131</v>
      </c>
      <c r="L98" s="20" t="s">
        <v>17236</v>
      </c>
      <c r="M98" s="20" t="s">
        <v>17329</v>
      </c>
    </row>
    <row r="99" spans="1:13" x14ac:dyDescent="0.25">
      <c r="A99" s="20">
        <v>1001131</v>
      </c>
      <c r="B99" s="20" t="s">
        <v>17179</v>
      </c>
      <c r="C99" s="20">
        <v>1001131</v>
      </c>
      <c r="D99" s="20" t="str">
        <f>VLOOKUP(C99,[1]CHILDCARE_FACILITIES!AJ:AK,2,0)</f>
        <v>CDC-18832</v>
      </c>
      <c r="E99" s="20" t="s">
        <v>15134</v>
      </c>
      <c r="F99" s="20" t="s">
        <v>15135</v>
      </c>
      <c r="G99" s="20">
        <v>73367001</v>
      </c>
      <c r="H99" s="20" t="s">
        <v>15138</v>
      </c>
      <c r="I99" s="20" t="b">
        <v>1</v>
      </c>
      <c r="J99" s="20" t="s">
        <v>17328</v>
      </c>
      <c r="K99" s="20">
        <v>1001131</v>
      </c>
      <c r="L99" s="20" t="s">
        <v>17236</v>
      </c>
      <c r="M99" s="20" t="s">
        <v>17329</v>
      </c>
    </row>
    <row r="100" spans="1:13" x14ac:dyDescent="0.25">
      <c r="A100" s="20">
        <v>8796</v>
      </c>
      <c r="B100" s="20" t="s">
        <v>15290</v>
      </c>
      <c r="C100" s="20">
        <v>8796</v>
      </c>
      <c r="D100" s="20" t="e">
        <f>VLOOKUP(C100,[1]CHILDCARE_FACILITIES!AJ:AK,2,0)</f>
        <v>#N/A</v>
      </c>
      <c r="E100" s="20" t="s">
        <v>15134</v>
      </c>
      <c r="F100" s="20" t="s">
        <v>15135</v>
      </c>
      <c r="G100" s="20">
        <v>72517000</v>
      </c>
      <c r="H100" s="20" t="s">
        <v>15136</v>
      </c>
      <c r="I100" s="20" t="b">
        <v>1</v>
      </c>
      <c r="J100" s="20" t="s">
        <v>17330</v>
      </c>
      <c r="K100" s="20">
        <v>8796</v>
      </c>
      <c r="L100" s="20" t="s">
        <v>17312</v>
      </c>
      <c r="M100" s="20" t="s">
        <v>17331</v>
      </c>
    </row>
    <row r="101" spans="1:13" x14ac:dyDescent="0.25">
      <c r="A101" s="20">
        <v>8796</v>
      </c>
      <c r="B101" s="20" t="s">
        <v>15290</v>
      </c>
      <c r="C101" s="20">
        <v>8796</v>
      </c>
      <c r="D101" s="20" t="e">
        <f>VLOOKUP(C101,[1]CHILDCARE_FACILITIES!AJ:AK,2,0)</f>
        <v>#N/A</v>
      </c>
      <c r="E101" s="20" t="s">
        <v>15134</v>
      </c>
      <c r="F101" s="20" t="s">
        <v>15135</v>
      </c>
      <c r="G101" s="20">
        <v>72517000</v>
      </c>
      <c r="H101" s="20" t="s">
        <v>15138</v>
      </c>
      <c r="I101" s="20" t="b">
        <v>1</v>
      </c>
      <c r="J101" s="20" t="s">
        <v>17332</v>
      </c>
      <c r="K101" s="20">
        <v>8796</v>
      </c>
      <c r="L101" s="20" t="s">
        <v>17312</v>
      </c>
      <c r="M101" s="20" t="s">
        <v>17333</v>
      </c>
    </row>
    <row r="102" spans="1:13" x14ac:dyDescent="0.25">
      <c r="A102" s="20">
        <v>8773</v>
      </c>
      <c r="B102" s="20" t="s">
        <v>15265</v>
      </c>
      <c r="C102" s="20">
        <v>8773</v>
      </c>
      <c r="D102" s="20" t="e">
        <f>VLOOKUP(C102,[1]CHILDCARE_FACILITIES!AJ:AK,2,0)</f>
        <v>#N/A</v>
      </c>
      <c r="E102" s="20" t="s">
        <v>15134</v>
      </c>
      <c r="F102" s="20" t="s">
        <v>15135</v>
      </c>
      <c r="G102" s="20">
        <v>72406000</v>
      </c>
      <c r="K102" s="20">
        <v>8773</v>
      </c>
    </row>
    <row r="103" spans="1:13" x14ac:dyDescent="0.25">
      <c r="A103" s="20">
        <v>8774</v>
      </c>
      <c r="B103" s="20" t="s">
        <v>15265</v>
      </c>
      <c r="C103" s="20">
        <v>8774</v>
      </c>
      <c r="D103" s="20" t="e">
        <f>VLOOKUP(C103,[1]CHILDCARE_FACILITIES!AJ:AK,2,0)</f>
        <v>#N/A</v>
      </c>
      <c r="E103" s="20" t="s">
        <v>15134</v>
      </c>
      <c r="F103" s="20" t="s">
        <v>15135</v>
      </c>
      <c r="G103" s="20">
        <v>72406001</v>
      </c>
      <c r="K103" s="20">
        <v>8774</v>
      </c>
    </row>
    <row r="104" spans="1:13" x14ac:dyDescent="0.25">
      <c r="A104" s="20">
        <v>9955</v>
      </c>
      <c r="B104" s="20" t="s">
        <v>15748</v>
      </c>
      <c r="C104" s="20">
        <v>9955</v>
      </c>
      <c r="D104" s="20" t="e">
        <f>VLOOKUP(C104,[1]CHILDCARE_FACILITIES!AJ:AK,2,0)</f>
        <v>#N/A</v>
      </c>
      <c r="E104" s="20" t="s">
        <v>15134</v>
      </c>
      <c r="F104" s="20" t="s">
        <v>15135</v>
      </c>
      <c r="G104" s="20">
        <v>103069001</v>
      </c>
      <c r="K104" s="20">
        <v>9955</v>
      </c>
    </row>
    <row r="105" spans="1:13" x14ac:dyDescent="0.25">
      <c r="A105" s="20">
        <v>9913</v>
      </c>
      <c r="B105" s="20" t="s">
        <v>15726</v>
      </c>
      <c r="C105" s="20">
        <v>9913</v>
      </c>
      <c r="D105" s="20" t="e">
        <f>VLOOKUP(C105,[1]CHILDCARE_FACILITIES!AJ:AK,2,0)</f>
        <v>#N/A</v>
      </c>
      <c r="E105" s="20" t="s">
        <v>15134</v>
      </c>
      <c r="F105" s="20" t="s">
        <v>15135</v>
      </c>
      <c r="G105" s="20">
        <v>103046001</v>
      </c>
      <c r="K105" s="20">
        <v>9913</v>
      </c>
    </row>
    <row r="106" spans="1:13" x14ac:dyDescent="0.25">
      <c r="A106" s="20">
        <v>92196</v>
      </c>
      <c r="B106" s="20" t="s">
        <v>16842</v>
      </c>
      <c r="C106" s="20">
        <v>92196</v>
      </c>
      <c r="D106" s="20" t="e">
        <f>VLOOKUP(C106,[1]CHILDCARE_FACILITIES!AJ:AK,2,0)</f>
        <v>#N/A</v>
      </c>
      <c r="E106" s="20" t="s">
        <v>15134</v>
      </c>
      <c r="F106" s="20" t="s">
        <v>15135</v>
      </c>
      <c r="G106" s="20">
        <v>143029001</v>
      </c>
      <c r="H106" s="20" t="s">
        <v>15145</v>
      </c>
      <c r="I106" s="20" t="b">
        <v>1</v>
      </c>
      <c r="J106" s="20" t="s">
        <v>17334</v>
      </c>
      <c r="K106" s="20">
        <v>92196</v>
      </c>
      <c r="L106" s="20" t="s">
        <v>17335</v>
      </c>
      <c r="M106" s="20" t="s">
        <v>17336</v>
      </c>
    </row>
    <row r="107" spans="1:13" x14ac:dyDescent="0.25">
      <c r="A107" s="20">
        <v>92195</v>
      </c>
      <c r="B107" s="20" t="s">
        <v>16840</v>
      </c>
      <c r="C107" s="20">
        <v>92195</v>
      </c>
      <c r="D107" s="20" t="e">
        <f>VLOOKUP(C107,[1]CHILDCARE_FACILITIES!AJ:AK,2,0)</f>
        <v>#N/A</v>
      </c>
      <c r="E107" s="20" t="s">
        <v>15134</v>
      </c>
      <c r="F107" s="20" t="s">
        <v>15135</v>
      </c>
      <c r="G107" s="20">
        <v>143029000</v>
      </c>
      <c r="H107" s="20" t="s">
        <v>15136</v>
      </c>
      <c r="I107" s="20" t="b">
        <v>1</v>
      </c>
      <c r="J107" s="20" t="s">
        <v>17334</v>
      </c>
      <c r="K107" s="20">
        <v>92195</v>
      </c>
      <c r="L107" s="20" t="s">
        <v>17335</v>
      </c>
      <c r="M107" s="20" t="s">
        <v>17336</v>
      </c>
    </row>
    <row r="108" spans="1:13" x14ac:dyDescent="0.25">
      <c r="A108" s="20">
        <v>92195</v>
      </c>
      <c r="B108" s="20" t="s">
        <v>16840</v>
      </c>
      <c r="C108" s="20">
        <v>92195</v>
      </c>
      <c r="D108" s="20" t="e">
        <f>VLOOKUP(C108,[1]CHILDCARE_FACILITIES!AJ:AK,2,0)</f>
        <v>#N/A</v>
      </c>
      <c r="E108" s="20" t="s">
        <v>15134</v>
      </c>
      <c r="F108" s="20" t="s">
        <v>15135</v>
      </c>
      <c r="G108" s="20">
        <v>143029000</v>
      </c>
      <c r="H108" s="20" t="s">
        <v>15138</v>
      </c>
      <c r="I108" s="20" t="b">
        <v>1</v>
      </c>
      <c r="J108" s="20" t="s">
        <v>17334</v>
      </c>
      <c r="K108" s="20">
        <v>92195</v>
      </c>
      <c r="L108" s="20" t="s">
        <v>17335</v>
      </c>
      <c r="M108" s="20" t="s">
        <v>17336</v>
      </c>
    </row>
    <row r="109" spans="1:13" x14ac:dyDescent="0.25">
      <c r="A109" s="20">
        <v>9051</v>
      </c>
      <c r="B109" s="20" t="s">
        <v>15338</v>
      </c>
      <c r="C109" s="20">
        <v>9051</v>
      </c>
      <c r="D109" s="20" t="e">
        <f>VLOOKUP(C109,[1]CHILDCARE_FACILITIES!AJ:AK,2,0)</f>
        <v>#N/A</v>
      </c>
      <c r="E109" s="20" t="s">
        <v>15134</v>
      </c>
      <c r="F109" s="20" t="s">
        <v>15135</v>
      </c>
      <c r="G109" s="20">
        <v>73045001</v>
      </c>
      <c r="K109" s="20">
        <v>9051</v>
      </c>
    </row>
    <row r="110" spans="1:13" x14ac:dyDescent="0.25">
      <c r="A110" s="20">
        <v>91411</v>
      </c>
      <c r="B110" s="20" t="s">
        <v>5720</v>
      </c>
      <c r="C110" s="20">
        <v>91411</v>
      </c>
      <c r="D110" s="20" t="e">
        <f>VLOOKUP(C110,[1]CHILDCARE_FACILITIES!AJ:AK,2,0)</f>
        <v>#N/A</v>
      </c>
      <c r="E110" s="20" t="s">
        <v>15134</v>
      </c>
      <c r="F110" s="20" t="s">
        <v>15135</v>
      </c>
      <c r="G110" s="20">
        <v>70363102</v>
      </c>
      <c r="H110" s="20" t="s">
        <v>15136</v>
      </c>
      <c r="I110" s="20" t="b">
        <v>1</v>
      </c>
      <c r="J110" s="20" t="s">
        <v>17337</v>
      </c>
      <c r="K110" s="20">
        <v>91411</v>
      </c>
      <c r="L110" s="20" t="s">
        <v>17338</v>
      </c>
      <c r="M110" s="20" t="s">
        <v>17339</v>
      </c>
    </row>
    <row r="111" spans="1:13" x14ac:dyDescent="0.25">
      <c r="A111" s="20">
        <v>91411</v>
      </c>
      <c r="B111" s="20" t="s">
        <v>5720</v>
      </c>
      <c r="C111" s="20">
        <v>91411</v>
      </c>
      <c r="D111" s="20" t="e">
        <f>VLOOKUP(C111,[1]CHILDCARE_FACILITIES!AJ:AK,2,0)</f>
        <v>#N/A</v>
      </c>
      <c r="E111" s="20" t="s">
        <v>15134</v>
      </c>
      <c r="F111" s="20" t="s">
        <v>15135</v>
      </c>
      <c r="G111" s="20">
        <v>70363102</v>
      </c>
      <c r="H111" s="20" t="s">
        <v>15138</v>
      </c>
      <c r="I111" s="20" t="b">
        <v>0</v>
      </c>
      <c r="J111" s="20" t="s">
        <v>1489</v>
      </c>
      <c r="K111" s="20">
        <v>91411</v>
      </c>
      <c r="L111" s="20" t="s">
        <v>17340</v>
      </c>
      <c r="M111" s="20" t="s">
        <v>17341</v>
      </c>
    </row>
    <row r="112" spans="1:13" x14ac:dyDescent="0.25">
      <c r="A112" s="20">
        <v>10083</v>
      </c>
      <c r="B112" s="20" t="s">
        <v>15805</v>
      </c>
      <c r="C112" s="20">
        <v>10083</v>
      </c>
      <c r="D112" s="20" t="e">
        <f>VLOOKUP(C112,[1]CHILDCARE_FACILITIES!AJ:AK,2,0)</f>
        <v>#N/A</v>
      </c>
      <c r="E112" s="20" t="s">
        <v>15134</v>
      </c>
      <c r="F112" s="20" t="s">
        <v>15135</v>
      </c>
      <c r="G112" s="20">
        <v>112205001</v>
      </c>
      <c r="K112" s="20">
        <v>10083</v>
      </c>
    </row>
    <row r="113" spans="1:13" x14ac:dyDescent="0.25">
      <c r="A113" s="20">
        <v>10082</v>
      </c>
      <c r="B113" s="20" t="s">
        <v>15803</v>
      </c>
      <c r="C113" s="20">
        <v>10082</v>
      </c>
      <c r="D113" s="20" t="e">
        <f>VLOOKUP(C113,[1]CHILDCARE_FACILITIES!AJ:AK,2,0)</f>
        <v>#N/A</v>
      </c>
      <c r="E113" s="20" t="s">
        <v>15134</v>
      </c>
      <c r="F113" s="20" t="s">
        <v>15135</v>
      </c>
      <c r="G113" s="20">
        <v>112205000</v>
      </c>
      <c r="H113" s="20" t="s">
        <v>15145</v>
      </c>
      <c r="I113" s="20" t="b">
        <v>1</v>
      </c>
      <c r="J113" s="20" t="s">
        <v>17342</v>
      </c>
      <c r="K113" s="20">
        <v>10082</v>
      </c>
      <c r="L113" s="20" t="s">
        <v>17343</v>
      </c>
      <c r="M113" s="20" t="s">
        <v>17344</v>
      </c>
    </row>
    <row r="114" spans="1:13" x14ac:dyDescent="0.25">
      <c r="A114" s="20">
        <v>10082</v>
      </c>
      <c r="B114" s="20" t="s">
        <v>15803</v>
      </c>
      <c r="C114" s="20">
        <v>10082</v>
      </c>
      <c r="D114" s="20" t="e">
        <f>VLOOKUP(C114,[1]CHILDCARE_FACILITIES!AJ:AK,2,0)</f>
        <v>#N/A</v>
      </c>
      <c r="E114" s="20" t="s">
        <v>15134</v>
      </c>
      <c r="F114" s="20" t="s">
        <v>15135</v>
      </c>
      <c r="G114" s="20">
        <v>112205000</v>
      </c>
      <c r="H114" s="20" t="s">
        <v>15138</v>
      </c>
      <c r="I114" s="20" t="b">
        <v>1</v>
      </c>
      <c r="J114" s="20" t="s">
        <v>17342</v>
      </c>
      <c r="K114" s="20">
        <v>10082</v>
      </c>
      <c r="L114" s="20" t="s">
        <v>17343</v>
      </c>
      <c r="M114" s="20" t="s">
        <v>17344</v>
      </c>
    </row>
    <row r="115" spans="1:13" x14ac:dyDescent="0.25">
      <c r="A115" s="20">
        <v>90077</v>
      </c>
      <c r="B115" s="20" t="s">
        <v>16525</v>
      </c>
      <c r="C115" s="20">
        <v>90077</v>
      </c>
      <c r="D115" s="20" t="e">
        <f>VLOOKUP(C115,[1]CHILDCARE_FACILITIES!AJ:AK,2,0)</f>
        <v>#N/A</v>
      </c>
      <c r="E115" s="20" t="s">
        <v>15134</v>
      </c>
      <c r="F115" s="20" t="s">
        <v>15135</v>
      </c>
      <c r="G115" s="20">
        <v>93021001</v>
      </c>
      <c r="H115" s="20" t="s">
        <v>15145</v>
      </c>
      <c r="I115" s="20" t="b">
        <v>0</v>
      </c>
      <c r="J115" s="20" t="s">
        <v>17345</v>
      </c>
      <c r="K115" s="20">
        <v>90077</v>
      </c>
      <c r="L115" s="20" t="s">
        <v>17346</v>
      </c>
      <c r="M115" s="20" t="s">
        <v>17347</v>
      </c>
    </row>
    <row r="116" spans="1:13" x14ac:dyDescent="0.25">
      <c r="A116" s="20">
        <v>79344</v>
      </c>
      <c r="B116" s="20" t="s">
        <v>15941</v>
      </c>
      <c r="C116" s="20">
        <v>79344</v>
      </c>
      <c r="D116" s="20" t="e">
        <f>VLOOKUP(C116,[1]CHILDCARE_FACILITIES!AJ:AK,2,0)</f>
        <v>#N/A</v>
      </c>
      <c r="E116" s="20" t="s">
        <v>15134</v>
      </c>
      <c r="F116" s="20" t="s">
        <v>15135</v>
      </c>
      <c r="G116" s="20">
        <v>72425011</v>
      </c>
      <c r="H116" s="20" t="s">
        <v>15138</v>
      </c>
      <c r="I116" s="20" t="b">
        <v>1</v>
      </c>
      <c r="J116" s="20" t="s">
        <v>17348</v>
      </c>
      <c r="K116" s="20">
        <v>79344</v>
      </c>
      <c r="L116" s="20" t="s">
        <v>17213</v>
      </c>
      <c r="M116" s="20" t="s">
        <v>17349</v>
      </c>
    </row>
    <row r="117" spans="1:13" x14ac:dyDescent="0.25">
      <c r="A117" s="20">
        <v>79344</v>
      </c>
      <c r="B117" s="20" t="s">
        <v>15941</v>
      </c>
      <c r="C117" s="20">
        <v>79344</v>
      </c>
      <c r="D117" s="20" t="e">
        <f>VLOOKUP(C117,[1]CHILDCARE_FACILITIES!AJ:AK,2,0)</f>
        <v>#N/A</v>
      </c>
      <c r="E117" s="20" t="s">
        <v>15134</v>
      </c>
      <c r="F117" s="20" t="s">
        <v>15135</v>
      </c>
      <c r="G117" s="20">
        <v>72425011</v>
      </c>
      <c r="H117" s="20" t="s">
        <v>15145</v>
      </c>
      <c r="I117" s="20" t="b">
        <v>1</v>
      </c>
      <c r="J117" s="20" t="s">
        <v>17348</v>
      </c>
      <c r="K117" s="20">
        <v>79344</v>
      </c>
      <c r="L117" s="20" t="s">
        <v>17213</v>
      </c>
      <c r="M117" s="20" t="s">
        <v>17349</v>
      </c>
    </row>
    <row r="118" spans="1:13" x14ac:dyDescent="0.25">
      <c r="A118" s="20">
        <v>9127</v>
      </c>
      <c r="B118" s="20" t="s">
        <v>15374</v>
      </c>
      <c r="C118" s="20">
        <v>9127</v>
      </c>
      <c r="D118" s="20" t="e">
        <f>VLOOKUP(C118,[1]CHILDCARE_FACILITIES!AJ:AK,2,0)</f>
        <v>#N/A</v>
      </c>
      <c r="E118" s="20" t="s">
        <v>15134</v>
      </c>
      <c r="F118" s="20" t="s">
        <v>15135</v>
      </c>
      <c r="G118" s="20">
        <v>73088001</v>
      </c>
      <c r="K118" s="20">
        <v>9127</v>
      </c>
    </row>
    <row r="119" spans="1:13" x14ac:dyDescent="0.25">
      <c r="A119" s="20">
        <v>9381</v>
      </c>
      <c r="B119" s="20" t="s">
        <v>15501</v>
      </c>
      <c r="C119" s="20">
        <v>9381</v>
      </c>
      <c r="D119" s="20" t="e">
        <f>VLOOKUP(C119,[1]CHILDCARE_FACILITIES!AJ:AK,2,0)</f>
        <v>#N/A</v>
      </c>
      <c r="E119" s="20" t="s">
        <v>15134</v>
      </c>
      <c r="F119" s="20" t="s">
        <v>15135</v>
      </c>
      <c r="G119" s="20">
        <v>73236001</v>
      </c>
      <c r="K119" s="20">
        <v>9381</v>
      </c>
    </row>
    <row r="120" spans="1:13" x14ac:dyDescent="0.25">
      <c r="A120" s="20">
        <v>9446</v>
      </c>
      <c r="B120" s="20" t="s">
        <v>15526</v>
      </c>
      <c r="C120" s="20">
        <v>9446</v>
      </c>
      <c r="D120" s="20" t="e">
        <f>VLOOKUP(C120,[1]CHILDCARE_FACILITIES!AJ:AK,2,0)</f>
        <v>#N/A</v>
      </c>
      <c r="E120" s="20" t="s">
        <v>15134</v>
      </c>
      <c r="F120" s="20" t="s">
        <v>15135</v>
      </c>
      <c r="G120" s="20">
        <v>73268001</v>
      </c>
      <c r="K120" s="20">
        <v>9446</v>
      </c>
    </row>
    <row r="121" spans="1:13" x14ac:dyDescent="0.25">
      <c r="A121" s="20">
        <v>9313</v>
      </c>
      <c r="B121" s="20" t="s">
        <v>15466</v>
      </c>
      <c r="C121" s="20">
        <v>9313</v>
      </c>
      <c r="D121" s="20" t="e">
        <f>VLOOKUP(C121,[1]CHILDCARE_FACILITIES!AJ:AK,2,0)</f>
        <v>#N/A</v>
      </c>
      <c r="E121" s="20" t="s">
        <v>15134</v>
      </c>
      <c r="F121" s="20" t="s">
        <v>15135</v>
      </c>
      <c r="G121" s="20">
        <v>73203001</v>
      </c>
      <c r="K121" s="20">
        <v>9313</v>
      </c>
    </row>
    <row r="122" spans="1:13" x14ac:dyDescent="0.25">
      <c r="A122" s="20">
        <v>9109</v>
      </c>
      <c r="B122" s="20" t="s">
        <v>15364</v>
      </c>
      <c r="C122" s="20">
        <v>9109</v>
      </c>
      <c r="D122" s="20" t="e">
        <f>VLOOKUP(C122,[1]CHILDCARE_FACILITIES!AJ:AK,2,0)</f>
        <v>#N/A</v>
      </c>
      <c r="E122" s="20" t="s">
        <v>15134</v>
      </c>
      <c r="F122" s="20" t="s">
        <v>15135</v>
      </c>
      <c r="G122" s="20">
        <v>73078001</v>
      </c>
      <c r="K122" s="20">
        <v>9109</v>
      </c>
    </row>
    <row r="123" spans="1:13" x14ac:dyDescent="0.25">
      <c r="A123" s="20">
        <v>9017</v>
      </c>
      <c r="B123" s="20" t="s">
        <v>15315</v>
      </c>
      <c r="C123" s="20">
        <v>9017</v>
      </c>
      <c r="D123" s="20" t="e">
        <f>VLOOKUP(C123,[1]CHILDCARE_FACILITIES!AJ:AK,2,0)</f>
        <v>#N/A</v>
      </c>
      <c r="E123" s="20" t="s">
        <v>15134</v>
      </c>
      <c r="F123" s="20" t="s">
        <v>15135</v>
      </c>
      <c r="G123" s="20">
        <v>73023001</v>
      </c>
      <c r="K123" s="20">
        <v>9017</v>
      </c>
    </row>
    <row r="124" spans="1:13" x14ac:dyDescent="0.25">
      <c r="A124" s="20">
        <v>9514</v>
      </c>
      <c r="B124" s="20" t="s">
        <v>15315</v>
      </c>
      <c r="C124" s="20">
        <v>9514</v>
      </c>
      <c r="D124" s="20" t="e">
        <f>VLOOKUP(C124,[1]CHILDCARE_FACILITIES!AJ:AK,2,0)</f>
        <v>#N/A</v>
      </c>
      <c r="E124" s="20" t="s">
        <v>15134</v>
      </c>
      <c r="F124" s="20" t="s">
        <v>15135</v>
      </c>
      <c r="G124" s="20">
        <v>73283002</v>
      </c>
      <c r="K124" s="20">
        <v>9514</v>
      </c>
    </row>
    <row r="125" spans="1:13" x14ac:dyDescent="0.25">
      <c r="A125" s="20">
        <v>90474</v>
      </c>
      <c r="B125" s="20" t="s">
        <v>16624</v>
      </c>
      <c r="C125" s="20">
        <v>90474</v>
      </c>
      <c r="D125" s="20" t="e">
        <f>VLOOKUP(C125,[1]CHILDCARE_FACILITIES!AJ:AK,2,0)</f>
        <v>#N/A</v>
      </c>
      <c r="E125" s="20" t="s">
        <v>15134</v>
      </c>
      <c r="F125" s="20" t="s">
        <v>15135</v>
      </c>
      <c r="G125" s="20">
        <v>73595000</v>
      </c>
      <c r="H125" s="20" t="s">
        <v>15136</v>
      </c>
      <c r="I125" s="20" t="b">
        <v>1</v>
      </c>
      <c r="J125" s="20" t="s">
        <v>17350</v>
      </c>
      <c r="K125" s="20">
        <v>90474</v>
      </c>
      <c r="L125" s="20" t="s">
        <v>17216</v>
      </c>
      <c r="M125" s="20" t="s">
        <v>17351</v>
      </c>
    </row>
    <row r="126" spans="1:13" x14ac:dyDescent="0.25">
      <c r="A126" s="20">
        <v>90474</v>
      </c>
      <c r="B126" s="20" t="s">
        <v>16624</v>
      </c>
      <c r="C126" s="20">
        <v>90474</v>
      </c>
      <c r="D126" s="20" t="e">
        <f>VLOOKUP(C126,[1]CHILDCARE_FACILITIES!AJ:AK,2,0)</f>
        <v>#N/A</v>
      </c>
      <c r="E126" s="20" t="s">
        <v>15134</v>
      </c>
      <c r="F126" s="20" t="s">
        <v>15135</v>
      </c>
      <c r="G126" s="20">
        <v>73595000</v>
      </c>
      <c r="H126" s="20" t="s">
        <v>15138</v>
      </c>
      <c r="I126" s="20" t="b">
        <v>1</v>
      </c>
      <c r="J126" s="20" t="s">
        <v>17350</v>
      </c>
      <c r="K126" s="20">
        <v>90474</v>
      </c>
      <c r="L126" s="20" t="s">
        <v>17216</v>
      </c>
      <c r="M126" s="20" t="s">
        <v>17351</v>
      </c>
    </row>
    <row r="127" spans="1:13" x14ac:dyDescent="0.25">
      <c r="A127" s="20">
        <v>79710</v>
      </c>
      <c r="B127" s="20" t="s">
        <v>15986</v>
      </c>
      <c r="C127" s="20">
        <v>79710</v>
      </c>
      <c r="D127" s="20" t="e">
        <f>VLOOKUP(C127,[1]CHILDCARE_FACILITIES!AJ:AK,2,0)</f>
        <v>#N/A</v>
      </c>
      <c r="E127" s="20" t="s">
        <v>15134</v>
      </c>
      <c r="F127" s="20" t="s">
        <v>15135</v>
      </c>
      <c r="G127" s="20">
        <v>73462000</v>
      </c>
      <c r="H127" s="20" t="s">
        <v>15136</v>
      </c>
      <c r="I127" s="20" t="b">
        <v>1</v>
      </c>
      <c r="J127" s="20" t="s">
        <v>17352</v>
      </c>
      <c r="K127" s="20">
        <v>79710</v>
      </c>
      <c r="L127" s="20" t="s">
        <v>17216</v>
      </c>
      <c r="M127" s="20" t="s">
        <v>17353</v>
      </c>
    </row>
    <row r="128" spans="1:13" x14ac:dyDescent="0.25">
      <c r="A128" s="20">
        <v>79710</v>
      </c>
      <c r="B128" s="20" t="s">
        <v>15986</v>
      </c>
      <c r="C128" s="20">
        <v>79710</v>
      </c>
      <c r="D128" s="20" t="e">
        <f>VLOOKUP(C128,[1]CHILDCARE_FACILITIES!AJ:AK,2,0)</f>
        <v>#N/A</v>
      </c>
      <c r="E128" s="20" t="s">
        <v>15134</v>
      </c>
      <c r="F128" s="20" t="s">
        <v>15135</v>
      </c>
      <c r="G128" s="20">
        <v>73462000</v>
      </c>
      <c r="H128" s="20" t="s">
        <v>15138</v>
      </c>
      <c r="I128" s="20" t="b">
        <v>1</v>
      </c>
      <c r="J128" s="20" t="s">
        <v>17352</v>
      </c>
      <c r="K128" s="20">
        <v>79710</v>
      </c>
      <c r="L128" s="20" t="s">
        <v>17216</v>
      </c>
      <c r="M128" s="20" t="s">
        <v>17353</v>
      </c>
    </row>
    <row r="129" spans="1:13" x14ac:dyDescent="0.25">
      <c r="A129" s="20">
        <v>79711</v>
      </c>
      <c r="B129" s="20" t="s">
        <v>15986</v>
      </c>
      <c r="C129" s="20">
        <v>79711</v>
      </c>
      <c r="D129" s="20" t="str">
        <f>VLOOKUP(C129,[1]CHILDCARE_FACILITIES!AJ:AK,2,0)</f>
        <v>CDC-9725</v>
      </c>
      <c r="E129" s="20" t="s">
        <v>15134</v>
      </c>
      <c r="F129" s="20" t="s">
        <v>15135</v>
      </c>
      <c r="G129" s="20">
        <v>73462001</v>
      </c>
      <c r="H129" s="20" t="s">
        <v>15145</v>
      </c>
      <c r="I129" s="20" t="b">
        <v>1</v>
      </c>
      <c r="J129" s="20" t="s">
        <v>17352</v>
      </c>
      <c r="K129" s="20">
        <v>79711</v>
      </c>
      <c r="L129" s="20" t="s">
        <v>17216</v>
      </c>
      <c r="M129" s="20" t="s">
        <v>17353</v>
      </c>
    </row>
    <row r="130" spans="1:13" x14ac:dyDescent="0.25">
      <c r="A130" s="20">
        <v>79711</v>
      </c>
      <c r="B130" s="20" t="s">
        <v>15986</v>
      </c>
      <c r="C130" s="20">
        <v>79711</v>
      </c>
      <c r="D130" s="20" t="str">
        <f>VLOOKUP(C130,[1]CHILDCARE_FACILITIES!AJ:AK,2,0)</f>
        <v>CDC-9725</v>
      </c>
      <c r="E130" s="20" t="s">
        <v>15134</v>
      </c>
      <c r="F130" s="20" t="s">
        <v>15135</v>
      </c>
      <c r="G130" s="20">
        <v>73462001</v>
      </c>
      <c r="H130" s="20" t="s">
        <v>15138</v>
      </c>
      <c r="I130" s="20" t="b">
        <v>1</v>
      </c>
      <c r="J130" s="20" t="s">
        <v>17352</v>
      </c>
      <c r="K130" s="20">
        <v>79711</v>
      </c>
      <c r="L130" s="20" t="s">
        <v>17216</v>
      </c>
      <c r="M130" s="20" t="s">
        <v>17353</v>
      </c>
    </row>
    <row r="131" spans="1:13" x14ac:dyDescent="0.25">
      <c r="A131" s="20">
        <v>10055</v>
      </c>
      <c r="B131" s="20" t="s">
        <v>15794</v>
      </c>
      <c r="C131" s="20">
        <v>10055</v>
      </c>
      <c r="D131" s="20" t="e">
        <f>VLOOKUP(C131,[1]CHILDCARE_FACILITIES!AJ:AK,2,0)</f>
        <v>#N/A</v>
      </c>
      <c r="E131" s="20" t="s">
        <v>15134</v>
      </c>
      <c r="F131" s="20" t="s">
        <v>15135</v>
      </c>
      <c r="G131" s="20">
        <v>103108000</v>
      </c>
      <c r="H131" s="20" t="s">
        <v>15136</v>
      </c>
      <c r="I131" s="20" t="b">
        <v>1</v>
      </c>
      <c r="J131" s="20" t="s">
        <v>17354</v>
      </c>
      <c r="K131" s="20">
        <v>10055</v>
      </c>
      <c r="L131" s="20" t="s">
        <v>17271</v>
      </c>
      <c r="M131" s="20" t="s">
        <v>17355</v>
      </c>
    </row>
    <row r="132" spans="1:13" x14ac:dyDescent="0.25">
      <c r="A132" s="20">
        <v>10055</v>
      </c>
      <c r="B132" s="20" t="s">
        <v>15794</v>
      </c>
      <c r="C132" s="20">
        <v>10055</v>
      </c>
      <c r="D132" s="20" t="e">
        <f>VLOOKUP(C132,[1]CHILDCARE_FACILITIES!AJ:AK,2,0)</f>
        <v>#N/A</v>
      </c>
      <c r="E132" s="20" t="s">
        <v>15134</v>
      </c>
      <c r="F132" s="20" t="s">
        <v>15135</v>
      </c>
      <c r="G132" s="20">
        <v>103108000</v>
      </c>
      <c r="H132" s="20" t="s">
        <v>15138</v>
      </c>
      <c r="I132" s="20" t="b">
        <v>1</v>
      </c>
      <c r="J132" s="20" t="s">
        <v>17354</v>
      </c>
      <c r="K132" s="20">
        <v>10055</v>
      </c>
      <c r="L132" s="20" t="s">
        <v>17271</v>
      </c>
      <c r="M132" s="20" t="s">
        <v>17355</v>
      </c>
    </row>
    <row r="133" spans="1:13" x14ac:dyDescent="0.25">
      <c r="A133" s="20">
        <v>10062</v>
      </c>
      <c r="B133" s="20" t="s">
        <v>15799</v>
      </c>
      <c r="C133" s="20">
        <v>10062</v>
      </c>
      <c r="D133" s="20" t="e">
        <f>VLOOKUP(C133,[1]CHILDCARE_FACILITIES!AJ:AK,2,0)</f>
        <v>#N/A</v>
      </c>
      <c r="E133" s="20" t="s">
        <v>15134</v>
      </c>
      <c r="F133" s="20" t="s">
        <v>15135</v>
      </c>
      <c r="G133" s="20">
        <v>103112001</v>
      </c>
      <c r="K133" s="20">
        <v>10062</v>
      </c>
    </row>
    <row r="134" spans="1:13" x14ac:dyDescent="0.25">
      <c r="A134" s="20">
        <v>8695</v>
      </c>
      <c r="B134" s="20" t="s">
        <v>15205</v>
      </c>
      <c r="C134" s="20">
        <v>8695</v>
      </c>
      <c r="D134" s="20" t="e">
        <f>VLOOKUP(C134,[1]CHILDCARE_FACILITIES!AJ:AK,2,0)</f>
        <v>#N/A</v>
      </c>
      <c r="E134" s="20" t="s">
        <v>15134</v>
      </c>
      <c r="F134" s="20" t="s">
        <v>15135</v>
      </c>
      <c r="G134" s="20">
        <v>72241001</v>
      </c>
      <c r="K134" s="20">
        <v>8695</v>
      </c>
    </row>
    <row r="135" spans="1:13" x14ac:dyDescent="0.25">
      <c r="A135" s="20">
        <v>622822</v>
      </c>
      <c r="B135" s="20" t="s">
        <v>17012</v>
      </c>
      <c r="C135" s="20">
        <v>622822</v>
      </c>
      <c r="D135" s="20" t="e">
        <f>VLOOKUP(C135,[1]CHILDCARE_FACILITIES!AJ:AK,2,0)</f>
        <v>#N/A</v>
      </c>
      <c r="E135" s="20" t="s">
        <v>15134</v>
      </c>
      <c r="F135" s="20" t="s">
        <v>15135</v>
      </c>
      <c r="G135" s="20">
        <v>103137001</v>
      </c>
      <c r="H135" s="20" t="s">
        <v>15136</v>
      </c>
      <c r="I135" s="20" t="b">
        <v>1</v>
      </c>
      <c r="J135" s="20" t="s">
        <v>17356</v>
      </c>
      <c r="K135" s="20">
        <v>622822</v>
      </c>
      <c r="L135" s="20" t="s">
        <v>17271</v>
      </c>
      <c r="M135" s="20" t="s">
        <v>17357</v>
      </c>
    </row>
    <row r="136" spans="1:13" x14ac:dyDescent="0.25">
      <c r="A136" s="20">
        <v>8570</v>
      </c>
      <c r="B136" s="20" t="s">
        <v>15163</v>
      </c>
      <c r="C136" s="20">
        <v>8570</v>
      </c>
      <c r="D136" s="20" t="e">
        <f>VLOOKUP(C136,[1]CHILDCARE_FACILITIES!AJ:AK,2,0)</f>
        <v>#N/A</v>
      </c>
      <c r="E136" s="20" t="s">
        <v>15134</v>
      </c>
      <c r="F136" s="20" t="s">
        <v>15135</v>
      </c>
      <c r="G136" s="20">
        <v>33002001</v>
      </c>
      <c r="K136" s="20">
        <v>8570</v>
      </c>
    </row>
    <row r="137" spans="1:13" x14ac:dyDescent="0.25">
      <c r="A137" s="20">
        <v>91886</v>
      </c>
      <c r="B137" s="20" t="s">
        <v>16813</v>
      </c>
      <c r="C137" s="20">
        <v>91886</v>
      </c>
      <c r="D137" s="20" t="str">
        <f>VLOOKUP(C137,[1]CHILDCARE_FACILITIES!AJ:AK,2,0)</f>
        <v>CDC-0500</v>
      </c>
      <c r="E137" s="20" t="s">
        <v>15134</v>
      </c>
      <c r="F137" s="20" t="s">
        <v>15135</v>
      </c>
      <c r="G137" s="20">
        <v>73301001</v>
      </c>
      <c r="H137" s="20" t="s">
        <v>15145</v>
      </c>
      <c r="I137" s="20" t="b">
        <v>1</v>
      </c>
      <c r="J137" s="20" t="s">
        <v>17358</v>
      </c>
      <c r="K137" s="20">
        <v>91886</v>
      </c>
      <c r="L137" s="20" t="s">
        <v>17213</v>
      </c>
      <c r="M137" s="20" t="s">
        <v>17359</v>
      </c>
    </row>
    <row r="138" spans="1:13" x14ac:dyDescent="0.25">
      <c r="A138" s="20">
        <v>91890</v>
      </c>
      <c r="B138" s="20" t="s">
        <v>16815</v>
      </c>
      <c r="C138" s="20">
        <v>91890</v>
      </c>
      <c r="D138" s="20" t="str">
        <f>VLOOKUP(C138,[1]CHILDCARE_FACILITIES!AJ:AK,2,0)</f>
        <v>CDC-0715</v>
      </c>
      <c r="E138" s="20" t="s">
        <v>15134</v>
      </c>
      <c r="F138" s="20" t="s">
        <v>15135</v>
      </c>
      <c r="G138" s="20">
        <v>73301002</v>
      </c>
      <c r="H138" s="20" t="s">
        <v>15145</v>
      </c>
      <c r="I138" s="20" t="b">
        <v>1</v>
      </c>
      <c r="J138" s="20" t="s">
        <v>17360</v>
      </c>
      <c r="K138" s="20">
        <v>91890</v>
      </c>
      <c r="L138" s="20" t="s">
        <v>17236</v>
      </c>
      <c r="M138" s="20" t="s">
        <v>17361</v>
      </c>
    </row>
    <row r="139" spans="1:13" x14ac:dyDescent="0.25">
      <c r="A139" s="20">
        <v>91891</v>
      </c>
      <c r="B139" s="20" t="s">
        <v>16817</v>
      </c>
      <c r="C139" s="20">
        <v>91891</v>
      </c>
      <c r="D139" s="20" t="str">
        <f>VLOOKUP(C139,[1]CHILDCARE_FACILITIES!AJ:AK,2,0)</f>
        <v>CDC-0852</v>
      </c>
      <c r="E139" s="20" t="s">
        <v>15134</v>
      </c>
      <c r="F139" s="20" t="s">
        <v>15135</v>
      </c>
      <c r="G139" s="20">
        <v>73301003</v>
      </c>
      <c r="H139" s="20" t="s">
        <v>15145</v>
      </c>
      <c r="I139" s="20" t="b">
        <v>1</v>
      </c>
      <c r="J139" s="20" t="s">
        <v>17362</v>
      </c>
      <c r="K139" s="20">
        <v>91891</v>
      </c>
      <c r="L139" s="20" t="s">
        <v>17213</v>
      </c>
      <c r="M139" s="20" t="s">
        <v>17363</v>
      </c>
    </row>
    <row r="140" spans="1:13" x14ac:dyDescent="0.25">
      <c r="A140" s="20">
        <v>9383</v>
      </c>
      <c r="B140" s="20" t="s">
        <v>15502</v>
      </c>
      <c r="C140" s="20">
        <v>9383</v>
      </c>
      <c r="D140" s="20" t="e">
        <f>VLOOKUP(C140,[1]CHILDCARE_FACILITIES!AJ:AK,2,0)</f>
        <v>#N/A</v>
      </c>
      <c r="E140" s="20" t="s">
        <v>15134</v>
      </c>
      <c r="F140" s="20" t="s">
        <v>15135</v>
      </c>
      <c r="G140" s="20">
        <v>73237001</v>
      </c>
      <c r="K140" s="20">
        <v>9383</v>
      </c>
    </row>
    <row r="141" spans="1:13" x14ac:dyDescent="0.25">
      <c r="A141" s="20">
        <v>9043</v>
      </c>
      <c r="B141" s="20" t="s">
        <v>15333</v>
      </c>
      <c r="C141" s="20">
        <v>9043</v>
      </c>
      <c r="D141" s="20" t="e">
        <f>VLOOKUP(C141,[1]CHILDCARE_FACILITIES!AJ:AK,2,0)</f>
        <v>#N/A</v>
      </c>
      <c r="E141" s="20" t="s">
        <v>15134</v>
      </c>
      <c r="F141" s="20" t="s">
        <v>15135</v>
      </c>
      <c r="G141" s="20">
        <v>73039001</v>
      </c>
      <c r="K141" s="20">
        <v>9043</v>
      </c>
    </row>
    <row r="142" spans="1:13" x14ac:dyDescent="0.25">
      <c r="A142" s="20">
        <v>10204</v>
      </c>
      <c r="B142" s="20" t="s">
        <v>15838</v>
      </c>
      <c r="C142" s="20">
        <v>10204</v>
      </c>
      <c r="D142" s="20" t="e">
        <f>VLOOKUP(C142,[1]CHILDCARE_FACILITIES!AJ:AK,2,0)</f>
        <v>#N/A</v>
      </c>
      <c r="E142" s="20" t="s">
        <v>15134</v>
      </c>
      <c r="F142" s="20" t="s">
        <v>15135</v>
      </c>
      <c r="G142" s="20">
        <v>143002001</v>
      </c>
      <c r="K142" s="20">
        <v>10204</v>
      </c>
    </row>
    <row r="143" spans="1:13" x14ac:dyDescent="0.25">
      <c r="A143" s="20">
        <v>10113</v>
      </c>
      <c r="B143" s="20" t="s">
        <v>15806</v>
      </c>
      <c r="C143" s="20">
        <v>10113</v>
      </c>
      <c r="D143" s="20" t="e">
        <f>VLOOKUP(C143,[1]CHILDCARE_FACILITIES!AJ:AK,2,0)</f>
        <v>#N/A</v>
      </c>
      <c r="E143" s="20" t="s">
        <v>15134</v>
      </c>
      <c r="F143" s="20" t="s">
        <v>15135</v>
      </c>
      <c r="G143" s="20">
        <v>113003001</v>
      </c>
      <c r="K143" s="20">
        <v>10113</v>
      </c>
    </row>
    <row r="144" spans="1:13" x14ac:dyDescent="0.25">
      <c r="A144" s="20">
        <v>9119</v>
      </c>
      <c r="B144" s="20" t="s">
        <v>15370</v>
      </c>
      <c r="C144" s="20">
        <v>9119</v>
      </c>
      <c r="D144" s="20" t="e">
        <f>VLOOKUP(C144,[1]CHILDCARE_FACILITIES!AJ:AK,2,0)</f>
        <v>#N/A</v>
      </c>
      <c r="E144" s="20" t="s">
        <v>15134</v>
      </c>
      <c r="F144" s="20" t="s">
        <v>15135</v>
      </c>
      <c r="G144" s="20">
        <v>73084001</v>
      </c>
      <c r="K144" s="20">
        <v>9119</v>
      </c>
    </row>
    <row r="145" spans="1:11" x14ac:dyDescent="0.25">
      <c r="A145" s="20">
        <v>9001</v>
      </c>
      <c r="B145" s="20" t="s">
        <v>15307</v>
      </c>
      <c r="C145" s="20">
        <v>9001</v>
      </c>
      <c r="D145" s="20" t="e">
        <f>VLOOKUP(C145,[1]CHILDCARE_FACILITIES!AJ:AK,2,0)</f>
        <v>#N/A</v>
      </c>
      <c r="E145" s="20" t="s">
        <v>15134</v>
      </c>
      <c r="F145" s="20" t="s">
        <v>15135</v>
      </c>
      <c r="G145" s="20">
        <v>73014001</v>
      </c>
      <c r="K145" s="20">
        <v>9001</v>
      </c>
    </row>
    <row r="146" spans="1:11" x14ac:dyDescent="0.25">
      <c r="A146" s="20">
        <v>9003</v>
      </c>
      <c r="B146" s="20" t="s">
        <v>15308</v>
      </c>
      <c r="C146" s="20">
        <v>9003</v>
      </c>
      <c r="D146" s="20" t="e">
        <f>VLOOKUP(C146,[1]CHILDCARE_FACILITIES!AJ:AK,2,0)</f>
        <v>#N/A</v>
      </c>
      <c r="E146" s="20" t="s">
        <v>15134</v>
      </c>
      <c r="F146" s="20" t="s">
        <v>15135</v>
      </c>
      <c r="G146" s="20">
        <v>73015001</v>
      </c>
      <c r="K146" s="20">
        <v>9003</v>
      </c>
    </row>
    <row r="147" spans="1:11" x14ac:dyDescent="0.25">
      <c r="A147" s="20">
        <v>9005</v>
      </c>
      <c r="B147" s="20" t="s">
        <v>15309</v>
      </c>
      <c r="C147" s="20">
        <v>9005</v>
      </c>
      <c r="D147" s="20" t="e">
        <f>VLOOKUP(C147,[1]CHILDCARE_FACILITIES!AJ:AK,2,0)</f>
        <v>#N/A</v>
      </c>
      <c r="E147" s="20" t="s">
        <v>15134</v>
      </c>
      <c r="F147" s="20" t="s">
        <v>15135</v>
      </c>
      <c r="G147" s="20">
        <v>73016001</v>
      </c>
      <c r="K147" s="20">
        <v>9005</v>
      </c>
    </row>
    <row r="148" spans="1:11" x14ac:dyDescent="0.25">
      <c r="A148" s="20">
        <v>9007</v>
      </c>
      <c r="B148" s="20" t="s">
        <v>15310</v>
      </c>
      <c r="C148" s="20">
        <v>9007</v>
      </c>
      <c r="D148" s="20" t="e">
        <f>VLOOKUP(C148,[1]CHILDCARE_FACILITIES!AJ:AK,2,0)</f>
        <v>#N/A</v>
      </c>
      <c r="E148" s="20" t="s">
        <v>15134</v>
      </c>
      <c r="F148" s="20" t="s">
        <v>15135</v>
      </c>
      <c r="G148" s="20">
        <v>73018001</v>
      </c>
      <c r="K148" s="20">
        <v>9007</v>
      </c>
    </row>
    <row r="149" spans="1:11" x14ac:dyDescent="0.25">
      <c r="A149" s="20">
        <v>10202</v>
      </c>
      <c r="B149" s="20" t="s">
        <v>15837</v>
      </c>
      <c r="C149" s="20">
        <v>10202</v>
      </c>
      <c r="D149" s="20" t="e">
        <f>VLOOKUP(C149,[1]CHILDCARE_FACILITIES!AJ:AK,2,0)</f>
        <v>#N/A</v>
      </c>
      <c r="E149" s="20" t="s">
        <v>15134</v>
      </c>
      <c r="F149" s="20" t="s">
        <v>15135</v>
      </c>
      <c r="G149" s="20">
        <v>143001001</v>
      </c>
      <c r="K149" s="20">
        <v>10202</v>
      </c>
    </row>
    <row r="150" spans="1:11" x14ac:dyDescent="0.25">
      <c r="A150" s="20">
        <v>9207</v>
      </c>
      <c r="B150" s="20" t="s">
        <v>15412</v>
      </c>
      <c r="C150" s="20">
        <v>9207</v>
      </c>
      <c r="D150" s="20" t="e">
        <f>VLOOKUP(C150,[1]CHILDCARE_FACILITIES!AJ:AK,2,0)</f>
        <v>#N/A</v>
      </c>
      <c r="E150" s="20" t="s">
        <v>15134</v>
      </c>
      <c r="F150" s="20" t="s">
        <v>15135</v>
      </c>
      <c r="G150" s="20">
        <v>73146001</v>
      </c>
      <c r="K150" s="20">
        <v>9207</v>
      </c>
    </row>
    <row r="151" spans="1:11" x14ac:dyDescent="0.25">
      <c r="A151" s="20">
        <v>9190</v>
      </c>
      <c r="B151" s="20" t="s">
        <v>15403</v>
      </c>
      <c r="C151" s="20">
        <v>9190</v>
      </c>
      <c r="D151" s="20" t="e">
        <f>VLOOKUP(C151,[1]CHILDCARE_FACILITIES!AJ:AK,2,0)</f>
        <v>#N/A</v>
      </c>
      <c r="E151" s="20" t="s">
        <v>15134</v>
      </c>
      <c r="F151" s="20" t="s">
        <v>15135</v>
      </c>
      <c r="G151" s="20">
        <v>73131001</v>
      </c>
      <c r="K151" s="20">
        <v>9190</v>
      </c>
    </row>
    <row r="152" spans="1:11" x14ac:dyDescent="0.25">
      <c r="A152" s="20">
        <v>9186</v>
      </c>
      <c r="B152" s="20" t="s">
        <v>15401</v>
      </c>
      <c r="C152" s="20">
        <v>9186</v>
      </c>
      <c r="D152" s="20" t="e">
        <f>VLOOKUP(C152,[1]CHILDCARE_FACILITIES!AJ:AK,2,0)</f>
        <v>#N/A</v>
      </c>
      <c r="E152" s="20" t="s">
        <v>15134</v>
      </c>
      <c r="F152" s="20" t="s">
        <v>15135</v>
      </c>
      <c r="G152" s="20">
        <v>73128001</v>
      </c>
      <c r="K152" s="20">
        <v>9186</v>
      </c>
    </row>
    <row r="153" spans="1:11" x14ac:dyDescent="0.25">
      <c r="A153" s="20">
        <v>9230</v>
      </c>
      <c r="B153" s="20" t="s">
        <v>15424</v>
      </c>
      <c r="C153" s="20">
        <v>9230</v>
      </c>
      <c r="D153" s="20" t="e">
        <f>VLOOKUP(C153,[1]CHILDCARE_FACILITIES!AJ:AK,2,0)</f>
        <v>#N/A</v>
      </c>
      <c r="E153" s="20" t="s">
        <v>15134</v>
      </c>
      <c r="F153" s="20" t="s">
        <v>15135</v>
      </c>
      <c r="G153" s="20">
        <v>73163001</v>
      </c>
      <c r="K153" s="20">
        <v>9230</v>
      </c>
    </row>
    <row r="154" spans="1:11" x14ac:dyDescent="0.25">
      <c r="A154" s="20">
        <v>9196</v>
      </c>
      <c r="B154" s="20" t="s">
        <v>15407</v>
      </c>
      <c r="C154" s="20">
        <v>9196</v>
      </c>
      <c r="D154" s="20" t="e">
        <f>VLOOKUP(C154,[1]CHILDCARE_FACILITIES!AJ:AK,2,0)</f>
        <v>#N/A</v>
      </c>
      <c r="E154" s="20" t="s">
        <v>15134</v>
      </c>
      <c r="F154" s="20" t="s">
        <v>15135</v>
      </c>
      <c r="G154" s="20">
        <v>73137001</v>
      </c>
      <c r="K154" s="20">
        <v>9196</v>
      </c>
    </row>
    <row r="155" spans="1:11" x14ac:dyDescent="0.25">
      <c r="A155" s="20">
        <v>9226</v>
      </c>
      <c r="B155" s="20" t="s">
        <v>15422</v>
      </c>
      <c r="C155" s="20">
        <v>9226</v>
      </c>
      <c r="D155" s="20" t="e">
        <f>VLOOKUP(C155,[1]CHILDCARE_FACILITIES!AJ:AK,2,0)</f>
        <v>#N/A</v>
      </c>
      <c r="E155" s="20" t="s">
        <v>15134</v>
      </c>
      <c r="F155" s="20" t="s">
        <v>15135</v>
      </c>
      <c r="G155" s="20">
        <v>73157001</v>
      </c>
      <c r="K155" s="20">
        <v>9226</v>
      </c>
    </row>
    <row r="156" spans="1:11" x14ac:dyDescent="0.25">
      <c r="A156" s="20">
        <v>9115</v>
      </c>
      <c r="B156" s="20" t="s">
        <v>15367</v>
      </c>
      <c r="C156" s="20">
        <v>9115</v>
      </c>
      <c r="D156" s="20" t="e">
        <f>VLOOKUP(C156,[1]CHILDCARE_FACILITIES!AJ:AK,2,0)</f>
        <v>#N/A</v>
      </c>
      <c r="E156" s="20" t="s">
        <v>15134</v>
      </c>
      <c r="F156" s="20" t="s">
        <v>15135</v>
      </c>
      <c r="G156" s="20">
        <v>73083001</v>
      </c>
      <c r="K156" s="20">
        <v>9115</v>
      </c>
    </row>
    <row r="157" spans="1:11" x14ac:dyDescent="0.25">
      <c r="A157" s="20">
        <v>9304</v>
      </c>
      <c r="B157" s="20" t="s">
        <v>15460</v>
      </c>
      <c r="C157" s="20">
        <v>9304</v>
      </c>
      <c r="D157" s="20" t="e">
        <f>VLOOKUP(C157,[1]CHILDCARE_FACILITIES!AJ:AK,2,0)</f>
        <v>#N/A</v>
      </c>
      <c r="E157" s="20" t="s">
        <v>15134</v>
      </c>
      <c r="F157" s="20" t="s">
        <v>15135</v>
      </c>
      <c r="G157" s="20">
        <v>73199110</v>
      </c>
      <c r="K157" s="20">
        <v>9304</v>
      </c>
    </row>
    <row r="158" spans="1:11" x14ac:dyDescent="0.25">
      <c r="A158" s="20">
        <v>9305</v>
      </c>
      <c r="B158" s="20" t="s">
        <v>15461</v>
      </c>
      <c r="C158" s="20">
        <v>9305</v>
      </c>
      <c r="D158" s="20" t="e">
        <f>VLOOKUP(C158,[1]CHILDCARE_FACILITIES!AJ:AK,2,0)</f>
        <v>#N/A</v>
      </c>
      <c r="E158" s="20" t="s">
        <v>15134</v>
      </c>
      <c r="F158" s="20" t="s">
        <v>15135</v>
      </c>
      <c r="G158" s="20">
        <v>73199114</v>
      </c>
      <c r="K158" s="20">
        <v>9305</v>
      </c>
    </row>
    <row r="159" spans="1:11" x14ac:dyDescent="0.25">
      <c r="A159" s="20">
        <v>9289</v>
      </c>
      <c r="B159" s="20" t="s">
        <v>15452</v>
      </c>
      <c r="C159" s="20">
        <v>9289</v>
      </c>
      <c r="D159" s="20" t="e">
        <f>VLOOKUP(C159,[1]CHILDCARE_FACILITIES!AJ:AK,2,0)</f>
        <v>#N/A</v>
      </c>
      <c r="E159" s="20" t="s">
        <v>15134</v>
      </c>
      <c r="F159" s="20" t="s">
        <v>15135</v>
      </c>
      <c r="G159" s="20">
        <v>73199013</v>
      </c>
      <c r="K159" s="20">
        <v>9289</v>
      </c>
    </row>
    <row r="160" spans="1:11" x14ac:dyDescent="0.25">
      <c r="A160" s="20">
        <v>9290</v>
      </c>
      <c r="B160" s="20" t="s">
        <v>15453</v>
      </c>
      <c r="C160" s="20">
        <v>9290</v>
      </c>
      <c r="D160" s="20" t="e">
        <f>VLOOKUP(C160,[1]CHILDCARE_FACILITIES!AJ:AK,2,0)</f>
        <v>#N/A</v>
      </c>
      <c r="E160" s="20" t="s">
        <v>15134</v>
      </c>
      <c r="F160" s="20" t="s">
        <v>15135</v>
      </c>
      <c r="G160" s="20">
        <v>73199019</v>
      </c>
      <c r="K160" s="20">
        <v>9290</v>
      </c>
    </row>
    <row r="161" spans="1:13" x14ac:dyDescent="0.25">
      <c r="A161" s="20">
        <v>9288</v>
      </c>
      <c r="B161" s="20" t="s">
        <v>15451</v>
      </c>
      <c r="C161" s="20">
        <v>9288</v>
      </c>
      <c r="D161" s="20" t="e">
        <f>VLOOKUP(C161,[1]CHILDCARE_FACILITIES!AJ:AK,2,0)</f>
        <v>#N/A</v>
      </c>
      <c r="E161" s="20" t="s">
        <v>15134</v>
      </c>
      <c r="F161" s="20" t="s">
        <v>15135</v>
      </c>
      <c r="G161" s="20">
        <v>73199002</v>
      </c>
      <c r="K161" s="20">
        <v>9288</v>
      </c>
    </row>
    <row r="162" spans="1:13" x14ac:dyDescent="0.25">
      <c r="A162" s="20">
        <v>9292</v>
      </c>
      <c r="B162" s="20" t="s">
        <v>15454</v>
      </c>
      <c r="C162" s="20">
        <v>9292</v>
      </c>
      <c r="D162" s="20" t="e">
        <f>VLOOKUP(C162,[1]CHILDCARE_FACILITIES!AJ:AK,2,0)</f>
        <v>#N/A</v>
      </c>
      <c r="E162" s="20" t="s">
        <v>15134</v>
      </c>
      <c r="F162" s="20" t="s">
        <v>15135</v>
      </c>
      <c r="G162" s="20">
        <v>73199028</v>
      </c>
      <c r="K162" s="20">
        <v>9292</v>
      </c>
    </row>
    <row r="163" spans="1:13" x14ac:dyDescent="0.25">
      <c r="A163" s="20">
        <v>9293</v>
      </c>
      <c r="B163" s="20" t="s">
        <v>15455</v>
      </c>
      <c r="C163" s="20">
        <v>9293</v>
      </c>
      <c r="D163" s="20" t="e">
        <f>VLOOKUP(C163,[1]CHILDCARE_FACILITIES!AJ:AK,2,0)</f>
        <v>#N/A</v>
      </c>
      <c r="E163" s="20" t="s">
        <v>15134</v>
      </c>
      <c r="F163" s="20" t="s">
        <v>15135</v>
      </c>
      <c r="G163" s="20">
        <v>73199029</v>
      </c>
      <c r="K163" s="20">
        <v>9293</v>
      </c>
    </row>
    <row r="164" spans="1:13" x14ac:dyDescent="0.25">
      <c r="A164" s="20">
        <v>9295</v>
      </c>
      <c r="B164" s="20" t="s">
        <v>15456</v>
      </c>
      <c r="C164" s="20">
        <v>9295</v>
      </c>
      <c r="D164" s="20" t="e">
        <f>VLOOKUP(C164,[1]CHILDCARE_FACILITIES!AJ:AK,2,0)</f>
        <v>#N/A</v>
      </c>
      <c r="E164" s="20" t="s">
        <v>15134</v>
      </c>
      <c r="F164" s="20" t="s">
        <v>15135</v>
      </c>
      <c r="G164" s="20">
        <v>73199032</v>
      </c>
      <c r="K164" s="20">
        <v>9295</v>
      </c>
    </row>
    <row r="165" spans="1:13" x14ac:dyDescent="0.25">
      <c r="A165" s="20">
        <v>9296</v>
      </c>
      <c r="B165" s="20" t="s">
        <v>15457</v>
      </c>
      <c r="C165" s="20">
        <v>9296</v>
      </c>
      <c r="D165" s="20" t="e">
        <f>VLOOKUP(C165,[1]CHILDCARE_FACILITIES!AJ:AK,2,0)</f>
        <v>#N/A</v>
      </c>
      <c r="E165" s="20" t="s">
        <v>15134</v>
      </c>
      <c r="F165" s="20" t="s">
        <v>15135</v>
      </c>
      <c r="G165" s="20">
        <v>73199037</v>
      </c>
      <c r="K165" s="20">
        <v>9296</v>
      </c>
    </row>
    <row r="166" spans="1:13" x14ac:dyDescent="0.25">
      <c r="A166" s="20">
        <v>9300</v>
      </c>
      <c r="B166" s="20" t="s">
        <v>15458</v>
      </c>
      <c r="C166" s="20">
        <v>9300</v>
      </c>
      <c r="D166" s="20" t="e">
        <f>VLOOKUP(C166,[1]CHILDCARE_FACILITIES!AJ:AK,2,0)</f>
        <v>#N/A</v>
      </c>
      <c r="E166" s="20" t="s">
        <v>15134</v>
      </c>
      <c r="F166" s="20" t="s">
        <v>15135</v>
      </c>
      <c r="G166" s="20">
        <v>73199051</v>
      </c>
      <c r="K166" s="20">
        <v>9300</v>
      </c>
    </row>
    <row r="167" spans="1:13" x14ac:dyDescent="0.25">
      <c r="A167" s="20">
        <v>9303</v>
      </c>
      <c r="B167" s="20" t="s">
        <v>15459</v>
      </c>
      <c r="C167" s="20">
        <v>9303</v>
      </c>
      <c r="D167" s="20" t="e">
        <f>VLOOKUP(C167,[1]CHILDCARE_FACILITIES!AJ:AK,2,0)</f>
        <v>#N/A</v>
      </c>
      <c r="E167" s="20" t="s">
        <v>15134</v>
      </c>
      <c r="F167" s="20" t="s">
        <v>15135</v>
      </c>
      <c r="G167" s="20">
        <v>73199055</v>
      </c>
      <c r="K167" s="20">
        <v>9303</v>
      </c>
    </row>
    <row r="168" spans="1:13" x14ac:dyDescent="0.25">
      <c r="A168" s="20">
        <v>9029</v>
      </c>
      <c r="B168" s="20" t="s">
        <v>15324</v>
      </c>
      <c r="C168" s="20">
        <v>9029</v>
      </c>
      <c r="D168" s="20" t="e">
        <f>VLOOKUP(C168,[1]CHILDCARE_FACILITIES!AJ:AK,2,0)</f>
        <v>#N/A</v>
      </c>
      <c r="E168" s="20" t="s">
        <v>15134</v>
      </c>
      <c r="F168" s="20" t="s">
        <v>15135</v>
      </c>
      <c r="G168" s="20">
        <v>73028001</v>
      </c>
      <c r="K168" s="20">
        <v>9029</v>
      </c>
    </row>
    <row r="169" spans="1:13" x14ac:dyDescent="0.25">
      <c r="A169" s="20">
        <v>9327</v>
      </c>
      <c r="B169" s="20" t="s">
        <v>15473</v>
      </c>
      <c r="C169" s="20">
        <v>9327</v>
      </c>
      <c r="D169" s="20" t="e">
        <f>VLOOKUP(C169,[1]CHILDCARE_FACILITIES!AJ:AK,2,0)</f>
        <v>#N/A</v>
      </c>
      <c r="E169" s="20" t="s">
        <v>15134</v>
      </c>
      <c r="F169" s="20" t="s">
        <v>15135</v>
      </c>
      <c r="G169" s="20">
        <v>73210001</v>
      </c>
      <c r="K169" s="20">
        <v>9327</v>
      </c>
    </row>
    <row r="170" spans="1:13" x14ac:dyDescent="0.25">
      <c r="A170" s="20">
        <v>9395</v>
      </c>
      <c r="B170" s="20" t="s">
        <v>15507</v>
      </c>
      <c r="C170" s="20">
        <v>9395</v>
      </c>
      <c r="D170" s="20" t="e">
        <f>VLOOKUP(C170,[1]CHILDCARE_FACILITIES!AJ:AK,2,0)</f>
        <v>#N/A</v>
      </c>
      <c r="E170" s="20" t="s">
        <v>15134</v>
      </c>
      <c r="F170" s="20" t="s">
        <v>15135</v>
      </c>
      <c r="G170" s="20">
        <v>73244001</v>
      </c>
      <c r="K170" s="20">
        <v>9395</v>
      </c>
    </row>
    <row r="171" spans="1:13" x14ac:dyDescent="0.25">
      <c r="A171" s="20">
        <v>9069</v>
      </c>
      <c r="B171" s="20" t="s">
        <v>15345</v>
      </c>
      <c r="C171" s="20">
        <v>9069</v>
      </c>
      <c r="D171" s="20" t="e">
        <f>VLOOKUP(C171,[1]CHILDCARE_FACILITIES!AJ:AK,2,0)</f>
        <v>#N/A</v>
      </c>
      <c r="E171" s="20" t="s">
        <v>15134</v>
      </c>
      <c r="F171" s="20" t="s">
        <v>15135</v>
      </c>
      <c r="G171" s="20">
        <v>73055001</v>
      </c>
      <c r="K171" s="20">
        <v>9069</v>
      </c>
    </row>
    <row r="172" spans="1:13" x14ac:dyDescent="0.25">
      <c r="A172" s="20">
        <v>9510</v>
      </c>
      <c r="B172" s="20" t="s">
        <v>15345</v>
      </c>
      <c r="C172" s="20">
        <v>9510</v>
      </c>
      <c r="D172" s="20" t="e">
        <f>VLOOKUP(C172,[1]CHILDCARE_FACILITIES!AJ:AK,2,0)</f>
        <v>#N/A</v>
      </c>
      <c r="E172" s="20" t="s">
        <v>15134</v>
      </c>
      <c r="F172" s="20" t="s">
        <v>15135</v>
      </c>
      <c r="G172" s="20">
        <v>73282001</v>
      </c>
      <c r="K172" s="20">
        <v>9510</v>
      </c>
    </row>
    <row r="173" spans="1:13" x14ac:dyDescent="0.25">
      <c r="A173" s="20">
        <v>9178</v>
      </c>
      <c r="B173" s="20" t="s">
        <v>15399</v>
      </c>
      <c r="C173" s="20">
        <v>9178</v>
      </c>
      <c r="D173" s="20" t="e">
        <f>VLOOKUP(C173,[1]CHILDCARE_FACILITIES!AJ:AK,2,0)</f>
        <v>#N/A</v>
      </c>
      <c r="E173" s="20" t="s">
        <v>15134</v>
      </c>
      <c r="F173" s="20" t="s">
        <v>15135</v>
      </c>
      <c r="G173" s="20">
        <v>73123001</v>
      </c>
      <c r="K173" s="20">
        <v>9178</v>
      </c>
    </row>
    <row r="174" spans="1:13" x14ac:dyDescent="0.25">
      <c r="A174" s="20">
        <v>9511</v>
      </c>
      <c r="B174" s="20" t="s">
        <v>15399</v>
      </c>
      <c r="C174" s="20">
        <v>9511</v>
      </c>
      <c r="D174" s="20" t="str">
        <f>VLOOKUP(C174,[1]CHILDCARE_FACILITIES!AJ:AK,2,0)</f>
        <v>CDC-5307</v>
      </c>
      <c r="E174" s="20" t="s">
        <v>15134</v>
      </c>
      <c r="F174" s="20" t="s">
        <v>15135</v>
      </c>
      <c r="G174" s="20">
        <v>73282002</v>
      </c>
      <c r="K174" s="20">
        <v>9511</v>
      </c>
    </row>
    <row r="175" spans="1:13" x14ac:dyDescent="0.25">
      <c r="A175" s="20">
        <v>9509</v>
      </c>
      <c r="B175" s="20" t="s">
        <v>15573</v>
      </c>
      <c r="C175" s="20">
        <v>9509</v>
      </c>
      <c r="D175" s="20" t="e">
        <f>VLOOKUP(C175,[1]CHILDCARE_FACILITIES!AJ:AK,2,0)</f>
        <v>#N/A</v>
      </c>
      <c r="E175" s="20" t="s">
        <v>15134</v>
      </c>
      <c r="F175" s="20" t="s">
        <v>15135</v>
      </c>
      <c r="G175" s="20">
        <v>73282000</v>
      </c>
      <c r="H175" s="20" t="s">
        <v>15138</v>
      </c>
      <c r="I175" s="20" t="b">
        <v>1</v>
      </c>
      <c r="J175" s="20" t="s">
        <v>17364</v>
      </c>
      <c r="K175" s="20">
        <v>9509</v>
      </c>
      <c r="L175" s="20" t="s">
        <v>17213</v>
      </c>
      <c r="M175" s="20" t="s">
        <v>17365</v>
      </c>
    </row>
    <row r="176" spans="1:13" x14ac:dyDescent="0.25">
      <c r="A176" s="20">
        <v>9509</v>
      </c>
      <c r="B176" s="20" t="s">
        <v>15573</v>
      </c>
      <c r="C176" s="20">
        <v>9509</v>
      </c>
      <c r="D176" s="20" t="e">
        <f>VLOOKUP(C176,[1]CHILDCARE_FACILITIES!AJ:AK,2,0)</f>
        <v>#N/A</v>
      </c>
      <c r="E176" s="20" t="s">
        <v>15134</v>
      </c>
      <c r="F176" s="20" t="s">
        <v>15135</v>
      </c>
      <c r="G176" s="20">
        <v>73282000</v>
      </c>
      <c r="H176" s="20" t="s">
        <v>15136</v>
      </c>
      <c r="I176" s="20" t="b">
        <v>1</v>
      </c>
      <c r="J176" s="20" t="s">
        <v>17364</v>
      </c>
      <c r="K176" s="20">
        <v>9509</v>
      </c>
      <c r="L176" s="20" t="s">
        <v>17213</v>
      </c>
      <c r="M176" s="20" t="s">
        <v>17365</v>
      </c>
    </row>
    <row r="177" spans="1:13" x14ac:dyDescent="0.25">
      <c r="A177" s="20">
        <v>9767</v>
      </c>
      <c r="B177" s="20" t="s">
        <v>15661</v>
      </c>
      <c r="C177" s="20">
        <v>9767</v>
      </c>
      <c r="D177" s="20" t="e">
        <f>VLOOKUP(C177,[1]CHILDCARE_FACILITIES!AJ:AK,2,0)</f>
        <v>#N/A</v>
      </c>
      <c r="E177" s="20" t="s">
        <v>15134</v>
      </c>
      <c r="F177" s="20" t="s">
        <v>15135</v>
      </c>
      <c r="G177" s="20">
        <v>102244000</v>
      </c>
      <c r="K177" s="20">
        <v>9767</v>
      </c>
    </row>
    <row r="178" spans="1:13" x14ac:dyDescent="0.25">
      <c r="A178" s="20">
        <v>9768</v>
      </c>
      <c r="B178" s="20" t="s">
        <v>15661</v>
      </c>
      <c r="C178" s="20">
        <v>9768</v>
      </c>
      <c r="D178" s="20" t="e">
        <f>VLOOKUP(C178,[1]CHILDCARE_FACILITIES!AJ:AK,2,0)</f>
        <v>#N/A</v>
      </c>
      <c r="E178" s="20" t="s">
        <v>15134</v>
      </c>
      <c r="F178" s="20" t="s">
        <v>15135</v>
      </c>
      <c r="G178" s="20">
        <v>102244001</v>
      </c>
      <c r="K178" s="20">
        <v>9768</v>
      </c>
    </row>
    <row r="179" spans="1:13" x14ac:dyDescent="0.25">
      <c r="A179" s="20">
        <v>79349</v>
      </c>
      <c r="B179" s="20" t="s">
        <v>15950</v>
      </c>
      <c r="C179" s="20">
        <v>79349</v>
      </c>
      <c r="D179" s="20" t="e">
        <f>VLOOKUP(C179,[1]CHILDCARE_FACILITIES!AJ:AK,2,0)</f>
        <v>#N/A</v>
      </c>
      <c r="E179" s="20" t="s">
        <v>15134</v>
      </c>
      <c r="F179" s="20" t="s">
        <v>15135</v>
      </c>
      <c r="G179" s="20">
        <v>73455000</v>
      </c>
      <c r="H179" s="20" t="s">
        <v>15136</v>
      </c>
      <c r="I179" s="20" t="b">
        <v>1</v>
      </c>
      <c r="J179" s="20" t="s">
        <v>17366</v>
      </c>
      <c r="K179" s="20">
        <v>79349</v>
      </c>
      <c r="L179" s="20" t="s">
        <v>17367</v>
      </c>
      <c r="M179" s="20" t="s">
        <v>17368</v>
      </c>
    </row>
    <row r="180" spans="1:13" x14ac:dyDescent="0.25">
      <c r="A180" s="20">
        <v>79349</v>
      </c>
      <c r="B180" s="20" t="s">
        <v>15950</v>
      </c>
      <c r="C180" s="20">
        <v>79349</v>
      </c>
      <c r="D180" s="20" t="e">
        <f>VLOOKUP(C180,[1]CHILDCARE_FACILITIES!AJ:AK,2,0)</f>
        <v>#N/A</v>
      </c>
      <c r="E180" s="20" t="s">
        <v>15134</v>
      </c>
      <c r="F180" s="20" t="s">
        <v>15135</v>
      </c>
      <c r="G180" s="20">
        <v>73455000</v>
      </c>
      <c r="H180" s="20" t="s">
        <v>15138</v>
      </c>
      <c r="I180" s="20" t="b">
        <v>1</v>
      </c>
      <c r="J180" s="20" t="s">
        <v>17366</v>
      </c>
      <c r="K180" s="20">
        <v>79349</v>
      </c>
      <c r="L180" s="20" t="s">
        <v>17367</v>
      </c>
      <c r="M180" s="20" t="s">
        <v>17368</v>
      </c>
    </row>
    <row r="181" spans="1:13" x14ac:dyDescent="0.25">
      <c r="A181" s="20">
        <v>1000308</v>
      </c>
      <c r="B181" s="20" t="s">
        <v>17127</v>
      </c>
      <c r="C181" s="20">
        <v>1000308</v>
      </c>
      <c r="D181" s="20" t="e">
        <f>VLOOKUP(C181,[1]CHILDCARE_FACILITIES!AJ:AK,2,0)</f>
        <v>#N/A</v>
      </c>
      <c r="E181" s="20" t="s">
        <v>15134</v>
      </c>
      <c r="F181" s="20" t="s">
        <v>15135</v>
      </c>
      <c r="G181" s="20">
        <v>73357000</v>
      </c>
      <c r="H181" s="20" t="s">
        <v>15136</v>
      </c>
      <c r="I181" s="20" t="b">
        <v>1</v>
      </c>
      <c r="J181" s="20" t="s">
        <v>17369</v>
      </c>
      <c r="K181" s="20">
        <v>1000308</v>
      </c>
      <c r="L181" s="20" t="s">
        <v>17213</v>
      </c>
      <c r="M181" s="20" t="s">
        <v>17370</v>
      </c>
    </row>
    <row r="182" spans="1:13" x14ac:dyDescent="0.25">
      <c r="A182" s="20">
        <v>1000308</v>
      </c>
      <c r="B182" s="20" t="s">
        <v>17127</v>
      </c>
      <c r="C182" s="20">
        <v>1000308</v>
      </c>
      <c r="D182" s="20" t="e">
        <f>VLOOKUP(C182,[1]CHILDCARE_FACILITIES!AJ:AK,2,0)</f>
        <v>#N/A</v>
      </c>
      <c r="E182" s="20" t="s">
        <v>15134</v>
      </c>
      <c r="F182" s="20" t="s">
        <v>15135</v>
      </c>
      <c r="G182" s="20">
        <v>73357000</v>
      </c>
      <c r="H182" s="20" t="s">
        <v>15138</v>
      </c>
      <c r="I182" s="20" t="b">
        <v>1</v>
      </c>
      <c r="J182" s="20" t="s">
        <v>17369</v>
      </c>
      <c r="K182" s="20">
        <v>1000308</v>
      </c>
      <c r="L182" s="20" t="s">
        <v>17213</v>
      </c>
      <c r="M182" s="20" t="s">
        <v>17370</v>
      </c>
    </row>
    <row r="183" spans="1:13" x14ac:dyDescent="0.25">
      <c r="A183" s="20">
        <v>92801</v>
      </c>
      <c r="B183" s="20" t="s">
        <v>16927</v>
      </c>
      <c r="C183" s="20">
        <v>92801</v>
      </c>
      <c r="D183" s="20" t="e">
        <f>VLOOKUP(C183,[1]CHILDCARE_FACILITIES!AJ:AK,2,0)</f>
        <v>#N/A</v>
      </c>
      <c r="E183" s="20" t="s">
        <v>15134</v>
      </c>
      <c r="F183" s="20" t="s">
        <v>15135</v>
      </c>
      <c r="G183" s="20">
        <v>142210000</v>
      </c>
      <c r="H183" s="20" t="s">
        <v>15136</v>
      </c>
      <c r="I183" s="20" t="b">
        <v>0</v>
      </c>
      <c r="J183" s="20" t="s">
        <v>17371</v>
      </c>
      <c r="K183" s="20">
        <v>92801</v>
      </c>
      <c r="L183" s="20" t="s">
        <v>17372</v>
      </c>
      <c r="M183" s="20" t="s">
        <v>17373</v>
      </c>
    </row>
    <row r="184" spans="1:13" x14ac:dyDescent="0.25">
      <c r="A184" s="20">
        <v>92801</v>
      </c>
      <c r="B184" s="20" t="s">
        <v>16927</v>
      </c>
      <c r="C184" s="20">
        <v>92801</v>
      </c>
      <c r="D184" s="20" t="e">
        <f>VLOOKUP(C184,[1]CHILDCARE_FACILITIES!AJ:AK,2,0)</f>
        <v>#N/A</v>
      </c>
      <c r="E184" s="20" t="s">
        <v>15134</v>
      </c>
      <c r="F184" s="20" t="s">
        <v>15135</v>
      </c>
      <c r="G184" s="20">
        <v>142210000</v>
      </c>
      <c r="H184" s="20" t="s">
        <v>15138</v>
      </c>
      <c r="I184" s="20" t="b">
        <v>0</v>
      </c>
      <c r="J184" s="20" t="s">
        <v>17371</v>
      </c>
      <c r="K184" s="20">
        <v>92801</v>
      </c>
      <c r="L184" s="20" t="s">
        <v>17372</v>
      </c>
      <c r="M184" s="20" t="s">
        <v>17373</v>
      </c>
    </row>
    <row r="185" spans="1:13" x14ac:dyDescent="0.25">
      <c r="A185" s="20">
        <v>92802</v>
      </c>
      <c r="B185" s="20" t="s">
        <v>16927</v>
      </c>
      <c r="C185" s="20">
        <v>92802</v>
      </c>
      <c r="D185" s="20" t="e">
        <f>VLOOKUP(C185,[1]CHILDCARE_FACILITIES!AJ:AK,2,0)</f>
        <v>#N/A</v>
      </c>
      <c r="E185" s="20" t="s">
        <v>15134</v>
      </c>
      <c r="F185" s="20" t="s">
        <v>15135</v>
      </c>
      <c r="G185" s="20">
        <v>142210001</v>
      </c>
      <c r="H185" s="20" t="s">
        <v>15136</v>
      </c>
      <c r="I185" s="20" t="b">
        <v>0</v>
      </c>
      <c r="J185" s="20" t="s">
        <v>17371</v>
      </c>
      <c r="K185" s="20">
        <v>92802</v>
      </c>
      <c r="L185" s="20" t="s">
        <v>17372</v>
      </c>
      <c r="M185" s="20" t="s">
        <v>17373</v>
      </c>
    </row>
    <row r="186" spans="1:13" x14ac:dyDescent="0.25">
      <c r="A186" s="20">
        <v>92802</v>
      </c>
      <c r="B186" s="20" t="s">
        <v>16927</v>
      </c>
      <c r="C186" s="20">
        <v>92802</v>
      </c>
      <c r="D186" s="20" t="e">
        <f>VLOOKUP(C186,[1]CHILDCARE_FACILITIES!AJ:AK,2,0)</f>
        <v>#N/A</v>
      </c>
      <c r="E186" s="20" t="s">
        <v>15134</v>
      </c>
      <c r="F186" s="20" t="s">
        <v>15135</v>
      </c>
      <c r="G186" s="20">
        <v>142210001</v>
      </c>
      <c r="H186" s="20" t="s">
        <v>15138</v>
      </c>
      <c r="I186" s="20" t="b">
        <v>0</v>
      </c>
      <c r="J186" s="20" t="s">
        <v>17371</v>
      </c>
      <c r="K186" s="20">
        <v>92802</v>
      </c>
      <c r="L186" s="20" t="s">
        <v>17372</v>
      </c>
      <c r="M186" s="20" t="s">
        <v>17373</v>
      </c>
    </row>
    <row r="187" spans="1:13" x14ac:dyDescent="0.25">
      <c r="A187" s="20">
        <v>8791</v>
      </c>
      <c r="B187" s="20" t="s">
        <v>15278</v>
      </c>
      <c r="C187" s="20">
        <v>8791</v>
      </c>
      <c r="D187" s="20" t="e">
        <f>VLOOKUP(C187,[1]CHILDCARE_FACILITIES!AJ:AK,2,0)</f>
        <v>#N/A</v>
      </c>
      <c r="E187" s="20" t="s">
        <v>15134</v>
      </c>
      <c r="F187" s="20" t="s">
        <v>15135</v>
      </c>
      <c r="G187" s="20">
        <v>72508000</v>
      </c>
      <c r="H187" s="20" t="s">
        <v>15138</v>
      </c>
      <c r="I187" s="20" t="b">
        <v>1</v>
      </c>
      <c r="J187" s="20" t="s">
        <v>17374</v>
      </c>
      <c r="K187" s="20">
        <v>8791</v>
      </c>
      <c r="L187" s="20" t="s">
        <v>17312</v>
      </c>
      <c r="M187" s="20" t="s">
        <v>17375</v>
      </c>
    </row>
    <row r="188" spans="1:13" x14ac:dyDescent="0.25">
      <c r="A188" s="20">
        <v>8791</v>
      </c>
      <c r="B188" s="20" t="s">
        <v>15278</v>
      </c>
      <c r="C188" s="20">
        <v>8791</v>
      </c>
      <c r="D188" s="20" t="e">
        <f>VLOOKUP(C188,[1]CHILDCARE_FACILITIES!AJ:AK,2,0)</f>
        <v>#N/A</v>
      </c>
      <c r="E188" s="20" t="s">
        <v>15134</v>
      </c>
      <c r="F188" s="20" t="s">
        <v>15135</v>
      </c>
      <c r="G188" s="20">
        <v>72508000</v>
      </c>
      <c r="H188" s="20" t="s">
        <v>15136</v>
      </c>
      <c r="I188" s="20" t="b">
        <v>1</v>
      </c>
      <c r="J188" s="20" t="s">
        <v>17374</v>
      </c>
      <c r="K188" s="20">
        <v>8791</v>
      </c>
      <c r="L188" s="20" t="s">
        <v>17312</v>
      </c>
      <c r="M188" s="20" t="s">
        <v>17375</v>
      </c>
    </row>
    <row r="189" spans="1:13" x14ac:dyDescent="0.25">
      <c r="A189" s="20">
        <v>171622</v>
      </c>
      <c r="B189" s="20" t="s">
        <v>16972</v>
      </c>
      <c r="C189" s="20">
        <v>171622</v>
      </c>
      <c r="D189" s="20" t="e">
        <f>VLOOKUP(C189,[1]CHILDCARE_FACILITIES!AJ:AK,2,0)</f>
        <v>#N/A</v>
      </c>
      <c r="E189" s="20" t="s">
        <v>15134</v>
      </c>
      <c r="F189" s="20" t="s">
        <v>15135</v>
      </c>
      <c r="G189" s="20">
        <v>73342000</v>
      </c>
      <c r="K189" s="20">
        <v>171622</v>
      </c>
    </row>
    <row r="190" spans="1:13" x14ac:dyDescent="0.25">
      <c r="A190" s="20">
        <v>603438</v>
      </c>
      <c r="B190" s="20" t="s">
        <v>16972</v>
      </c>
      <c r="C190" s="20">
        <v>603438</v>
      </c>
      <c r="D190" s="20" t="str">
        <f>VLOOKUP(C190,[1]CHILDCARE_FACILITIES!AJ:AK,2,0)</f>
        <v>CDC-17823</v>
      </c>
      <c r="E190" s="20" t="s">
        <v>15134</v>
      </c>
      <c r="F190" s="20" t="s">
        <v>15135</v>
      </c>
      <c r="G190" s="20">
        <v>73342001</v>
      </c>
      <c r="K190" s="20">
        <v>603438</v>
      </c>
    </row>
    <row r="191" spans="1:13" x14ac:dyDescent="0.25">
      <c r="A191" s="20">
        <v>8780</v>
      </c>
      <c r="B191" s="20" t="s">
        <v>15272</v>
      </c>
      <c r="C191" s="20">
        <v>8780</v>
      </c>
      <c r="D191" s="20" t="e">
        <f>VLOOKUP(C191,[1]CHILDCARE_FACILITIES!AJ:AK,2,0)</f>
        <v>#N/A</v>
      </c>
      <c r="E191" s="20" t="s">
        <v>15134</v>
      </c>
      <c r="F191" s="20" t="s">
        <v>15135</v>
      </c>
      <c r="G191" s="20">
        <v>72409000</v>
      </c>
      <c r="K191" s="20">
        <v>8780</v>
      </c>
    </row>
    <row r="192" spans="1:13" x14ac:dyDescent="0.25">
      <c r="A192" s="20">
        <v>91324</v>
      </c>
      <c r="B192" s="20" t="s">
        <v>16772</v>
      </c>
      <c r="C192" s="20">
        <v>91324</v>
      </c>
      <c r="D192" s="20" t="e">
        <f>VLOOKUP(C192,[1]CHILDCARE_FACILITIES!AJ:AK,2,0)</f>
        <v>#N/A</v>
      </c>
      <c r="E192" s="20" t="s">
        <v>15134</v>
      </c>
      <c r="F192" s="20" t="s">
        <v>15135</v>
      </c>
      <c r="G192" s="20">
        <v>72214000</v>
      </c>
      <c r="H192" s="20" t="s">
        <v>15138</v>
      </c>
      <c r="I192" s="20" t="b">
        <v>1</v>
      </c>
      <c r="J192" s="20" t="s">
        <v>17376</v>
      </c>
      <c r="K192" s="20">
        <v>91324</v>
      </c>
      <c r="L192" s="20" t="s">
        <v>17213</v>
      </c>
      <c r="M192" s="20" t="s">
        <v>17377</v>
      </c>
    </row>
    <row r="193" spans="1:14" x14ac:dyDescent="0.25">
      <c r="A193" s="20">
        <v>91324</v>
      </c>
      <c r="B193" s="20" t="s">
        <v>16772</v>
      </c>
      <c r="C193" s="20">
        <v>91324</v>
      </c>
      <c r="D193" s="20" t="e">
        <f>VLOOKUP(C193,[1]CHILDCARE_FACILITIES!AJ:AK,2,0)</f>
        <v>#N/A</v>
      </c>
      <c r="E193" s="20" t="s">
        <v>15134</v>
      </c>
      <c r="F193" s="20" t="s">
        <v>15135</v>
      </c>
      <c r="G193" s="20">
        <v>72214000</v>
      </c>
      <c r="H193" s="20" t="s">
        <v>15145</v>
      </c>
      <c r="I193" s="20" t="b">
        <v>1</v>
      </c>
      <c r="J193" s="20" t="s">
        <v>17378</v>
      </c>
      <c r="K193" s="20">
        <v>91324</v>
      </c>
      <c r="L193" s="20" t="s">
        <v>17213</v>
      </c>
      <c r="M193" s="20" t="s">
        <v>17379</v>
      </c>
    </row>
    <row r="194" spans="1:14" x14ac:dyDescent="0.25">
      <c r="A194" s="20">
        <v>9139</v>
      </c>
      <c r="B194" s="20" t="s">
        <v>15375</v>
      </c>
      <c r="C194" s="20">
        <v>9139</v>
      </c>
      <c r="D194" s="20" t="e">
        <f>VLOOKUP(C194,[1]CHILDCARE_FACILITIES!AJ:AK,2,0)</f>
        <v>#N/A</v>
      </c>
      <c r="E194" s="20" t="s">
        <v>15134</v>
      </c>
      <c r="F194" s="20" t="s">
        <v>15135</v>
      </c>
      <c r="G194" s="20">
        <v>73093001</v>
      </c>
      <c r="K194" s="20">
        <v>9139</v>
      </c>
    </row>
    <row r="195" spans="1:14" x14ac:dyDescent="0.25">
      <c r="A195" s="20">
        <v>9901</v>
      </c>
      <c r="B195" s="20" t="s">
        <v>15719</v>
      </c>
      <c r="C195" s="20">
        <v>9901</v>
      </c>
      <c r="D195" s="20" t="e">
        <f>VLOOKUP(C195,[1]CHILDCARE_FACILITIES!AJ:AK,2,0)</f>
        <v>#N/A</v>
      </c>
      <c r="E195" s="20" t="s">
        <v>15134</v>
      </c>
      <c r="F195" s="20" t="s">
        <v>15135</v>
      </c>
      <c r="G195" s="20">
        <v>103038001</v>
      </c>
      <c r="K195" s="20">
        <v>9901</v>
      </c>
    </row>
    <row r="196" spans="1:14" x14ac:dyDescent="0.25">
      <c r="A196" s="20">
        <v>1000065</v>
      </c>
      <c r="B196" s="20" t="s">
        <v>17044</v>
      </c>
      <c r="C196" s="20">
        <v>1000065</v>
      </c>
      <c r="D196" s="20" t="e">
        <f>VLOOKUP(C196,[1]CHILDCARE_FACILITIES!AJ:AK,2,0)</f>
        <v>#N/A</v>
      </c>
      <c r="E196" s="20" t="s">
        <v>15134</v>
      </c>
      <c r="F196" s="20" t="s">
        <v>15135</v>
      </c>
      <c r="G196" s="20">
        <v>73346001</v>
      </c>
      <c r="H196" s="20" t="s">
        <v>15138</v>
      </c>
      <c r="I196" s="20" t="b">
        <v>0</v>
      </c>
      <c r="J196" s="20" t="s">
        <v>17380</v>
      </c>
      <c r="K196" s="20">
        <v>1000065</v>
      </c>
      <c r="L196" s="20" t="s">
        <v>17381</v>
      </c>
      <c r="M196" s="20" t="s">
        <v>17382</v>
      </c>
    </row>
    <row r="197" spans="1:14" x14ac:dyDescent="0.25">
      <c r="A197" s="20">
        <v>1000065</v>
      </c>
      <c r="B197" s="20" t="s">
        <v>17044</v>
      </c>
      <c r="C197" s="20">
        <v>1000065</v>
      </c>
      <c r="D197" s="20" t="e">
        <f>VLOOKUP(C197,[1]CHILDCARE_FACILITIES!AJ:AK,2,0)</f>
        <v>#N/A</v>
      </c>
      <c r="E197" s="20" t="s">
        <v>15134</v>
      </c>
      <c r="F197" s="20" t="s">
        <v>15135</v>
      </c>
      <c r="G197" s="20">
        <v>73346001</v>
      </c>
      <c r="H197" s="20" t="s">
        <v>15136</v>
      </c>
      <c r="I197" s="20" t="b">
        <v>0</v>
      </c>
      <c r="J197" s="20" t="s">
        <v>17380</v>
      </c>
      <c r="K197" s="20">
        <v>1000065</v>
      </c>
      <c r="L197" s="20" t="s">
        <v>17381</v>
      </c>
      <c r="M197" s="20" t="s">
        <v>17382</v>
      </c>
    </row>
    <row r="198" spans="1:14" x14ac:dyDescent="0.25">
      <c r="A198" s="20">
        <v>1000064</v>
      </c>
      <c r="B198" s="20" t="s">
        <v>17041</v>
      </c>
      <c r="C198" s="20">
        <v>1000064</v>
      </c>
      <c r="D198" s="20" t="e">
        <f>VLOOKUP(C198,[1]CHILDCARE_FACILITIES!AJ:AK,2,0)</f>
        <v>#N/A</v>
      </c>
      <c r="E198" s="20" t="s">
        <v>15134</v>
      </c>
      <c r="F198" s="20" t="s">
        <v>15135</v>
      </c>
      <c r="G198" s="20">
        <v>73346000</v>
      </c>
      <c r="H198" s="20" t="s">
        <v>15136</v>
      </c>
      <c r="I198" s="20" t="b">
        <v>0</v>
      </c>
      <c r="J198" s="20" t="s">
        <v>17380</v>
      </c>
      <c r="K198" s="20">
        <v>1000064</v>
      </c>
      <c r="L198" s="20" t="s">
        <v>17381</v>
      </c>
      <c r="M198" s="20" t="s">
        <v>17382</v>
      </c>
    </row>
    <row r="199" spans="1:14" x14ac:dyDescent="0.25">
      <c r="A199" s="20">
        <v>1000064</v>
      </c>
      <c r="B199" s="20" t="s">
        <v>17041</v>
      </c>
      <c r="C199" s="20">
        <v>1000064</v>
      </c>
      <c r="D199" s="20" t="e">
        <f>VLOOKUP(C199,[1]CHILDCARE_FACILITIES!AJ:AK,2,0)</f>
        <v>#N/A</v>
      </c>
      <c r="E199" s="20" t="s">
        <v>15134</v>
      </c>
      <c r="F199" s="20" t="s">
        <v>15135</v>
      </c>
      <c r="G199" s="20">
        <v>73346000</v>
      </c>
      <c r="H199" s="20" t="s">
        <v>15138</v>
      </c>
      <c r="I199" s="20" t="b">
        <v>0</v>
      </c>
      <c r="J199" s="20" t="s">
        <v>17383</v>
      </c>
      <c r="K199" s="20">
        <v>1000064</v>
      </c>
      <c r="L199" s="20" t="s">
        <v>17384</v>
      </c>
      <c r="M199" s="20" t="s">
        <v>17381</v>
      </c>
      <c r="N199" s="20" t="s">
        <v>17329</v>
      </c>
    </row>
    <row r="200" spans="1:14" x14ac:dyDescent="0.25">
      <c r="A200" s="20">
        <v>8673</v>
      </c>
      <c r="B200" s="20" t="s">
        <v>15186</v>
      </c>
      <c r="C200" s="20">
        <v>8673</v>
      </c>
      <c r="D200" s="20" t="e">
        <f>VLOOKUP(C200,[1]CHILDCARE_FACILITIES!AJ:AK,2,0)</f>
        <v>#N/A</v>
      </c>
      <c r="E200" s="20" t="s">
        <v>15134</v>
      </c>
      <c r="F200" s="20" t="s">
        <v>15135</v>
      </c>
      <c r="G200" s="20">
        <v>72211000</v>
      </c>
      <c r="K200" s="20">
        <v>8673</v>
      </c>
    </row>
    <row r="201" spans="1:14" x14ac:dyDescent="0.25">
      <c r="A201" s="20">
        <v>8674</v>
      </c>
      <c r="B201" s="20" t="s">
        <v>15186</v>
      </c>
      <c r="C201" s="20">
        <v>8674</v>
      </c>
      <c r="D201" s="20" t="e">
        <f>VLOOKUP(C201,[1]CHILDCARE_FACILITIES!AJ:AK,2,0)</f>
        <v>#N/A</v>
      </c>
      <c r="E201" s="20" t="s">
        <v>15134</v>
      </c>
      <c r="F201" s="20" t="s">
        <v>15135</v>
      </c>
      <c r="G201" s="20">
        <v>72211001</v>
      </c>
      <c r="K201" s="20">
        <v>8674</v>
      </c>
    </row>
    <row r="202" spans="1:14" x14ac:dyDescent="0.25">
      <c r="A202" s="20">
        <v>84310</v>
      </c>
      <c r="B202" s="20" t="s">
        <v>16281</v>
      </c>
      <c r="C202" s="20">
        <v>84310</v>
      </c>
      <c r="D202" s="20" t="e">
        <f>VLOOKUP(C202,[1]CHILDCARE_FACILITIES!AJ:AK,2,0)</f>
        <v>#N/A</v>
      </c>
      <c r="E202" s="20" t="s">
        <v>15134</v>
      </c>
      <c r="F202" s="20" t="s">
        <v>15135</v>
      </c>
      <c r="G202" s="20">
        <v>103123000</v>
      </c>
      <c r="H202" s="20" t="s">
        <v>15136</v>
      </c>
      <c r="I202" s="20" t="b">
        <v>1</v>
      </c>
      <c r="J202" s="20" t="s">
        <v>17385</v>
      </c>
      <c r="K202" s="20">
        <v>84310</v>
      </c>
      <c r="L202" s="20" t="s">
        <v>17271</v>
      </c>
      <c r="M202" s="20" t="s">
        <v>17386</v>
      </c>
    </row>
    <row r="203" spans="1:14" x14ac:dyDescent="0.25">
      <c r="A203" s="20">
        <v>84310</v>
      </c>
      <c r="B203" s="20" t="s">
        <v>16281</v>
      </c>
      <c r="C203" s="20">
        <v>84310</v>
      </c>
      <c r="D203" s="20" t="e">
        <f>VLOOKUP(C203,[1]CHILDCARE_FACILITIES!AJ:AK,2,0)</f>
        <v>#N/A</v>
      </c>
      <c r="E203" s="20" t="s">
        <v>15134</v>
      </c>
      <c r="F203" s="20" t="s">
        <v>15135</v>
      </c>
      <c r="G203" s="20">
        <v>103123000</v>
      </c>
      <c r="H203" s="20" t="s">
        <v>15138</v>
      </c>
      <c r="I203" s="20" t="b">
        <v>1</v>
      </c>
      <c r="J203" s="20" t="s">
        <v>17385</v>
      </c>
      <c r="K203" s="20">
        <v>84310</v>
      </c>
      <c r="L203" s="20" t="s">
        <v>17271</v>
      </c>
      <c r="M203" s="20" t="s">
        <v>17386</v>
      </c>
    </row>
    <row r="204" spans="1:14" x14ac:dyDescent="0.25">
      <c r="A204" s="20">
        <v>504449</v>
      </c>
      <c r="B204" s="20" t="s">
        <v>17001</v>
      </c>
      <c r="C204" s="20">
        <v>504449</v>
      </c>
      <c r="D204" s="20" t="e">
        <f>VLOOKUP(C204,[1]CHILDCARE_FACILITIES!AJ:AK,2,0)</f>
        <v>#N/A</v>
      </c>
      <c r="E204" s="20" t="s">
        <v>15134</v>
      </c>
      <c r="F204" s="20" t="s">
        <v>15135</v>
      </c>
      <c r="G204" s="20">
        <v>72454001</v>
      </c>
      <c r="H204" s="20" t="s">
        <v>15136</v>
      </c>
      <c r="I204" s="20" t="b">
        <v>1</v>
      </c>
      <c r="J204" s="20" t="s">
        <v>17387</v>
      </c>
      <c r="K204" s="20">
        <v>504449</v>
      </c>
      <c r="L204" s="20" t="s">
        <v>17213</v>
      </c>
      <c r="M204" s="20" t="s">
        <v>17388</v>
      </c>
    </row>
    <row r="205" spans="1:14" x14ac:dyDescent="0.25">
      <c r="A205" s="20">
        <v>9264</v>
      </c>
      <c r="B205" s="20" t="s">
        <v>15438</v>
      </c>
      <c r="C205" s="20">
        <v>9264</v>
      </c>
      <c r="D205" s="20" t="e">
        <f>VLOOKUP(C205,[1]CHILDCARE_FACILITIES!AJ:AK,2,0)</f>
        <v>#N/A</v>
      </c>
      <c r="E205" s="20" t="s">
        <v>15134</v>
      </c>
      <c r="F205" s="20" t="s">
        <v>15135</v>
      </c>
      <c r="G205" s="20">
        <v>73189001</v>
      </c>
      <c r="K205" s="20">
        <v>9264</v>
      </c>
    </row>
    <row r="206" spans="1:14" x14ac:dyDescent="0.25">
      <c r="A206" s="20">
        <v>79020</v>
      </c>
      <c r="B206" s="20" t="s">
        <v>15893</v>
      </c>
      <c r="C206" s="20">
        <v>79020</v>
      </c>
      <c r="D206" s="20" t="str">
        <f>VLOOKUP(C206,[1]CHILDCARE_FACILITIES!AJ:AK,2,0)</f>
        <v>CDC-5982</v>
      </c>
      <c r="E206" s="20" t="s">
        <v>15134</v>
      </c>
      <c r="F206" s="20" t="s">
        <v>15135</v>
      </c>
      <c r="G206" s="20">
        <v>73447001</v>
      </c>
      <c r="H206" s="20" t="s">
        <v>15138</v>
      </c>
      <c r="I206" s="20" t="b">
        <v>1</v>
      </c>
      <c r="J206" s="20" t="s">
        <v>17389</v>
      </c>
      <c r="K206" s="20">
        <v>79020</v>
      </c>
      <c r="L206" s="20" t="s">
        <v>17216</v>
      </c>
      <c r="M206" s="20" t="s">
        <v>17390</v>
      </c>
    </row>
    <row r="207" spans="1:14" x14ac:dyDescent="0.25">
      <c r="A207" s="20">
        <v>79020</v>
      </c>
      <c r="B207" s="20" t="s">
        <v>15893</v>
      </c>
      <c r="C207" s="20">
        <v>79020</v>
      </c>
      <c r="D207" s="20" t="str">
        <f>VLOOKUP(C207,[1]CHILDCARE_FACILITIES!AJ:AK,2,0)</f>
        <v>CDC-5982</v>
      </c>
      <c r="E207" s="20" t="s">
        <v>15134</v>
      </c>
      <c r="F207" s="20" t="s">
        <v>15135</v>
      </c>
      <c r="G207" s="20">
        <v>73447001</v>
      </c>
      <c r="H207" s="20" t="s">
        <v>15145</v>
      </c>
      <c r="I207" s="20" t="b">
        <v>1</v>
      </c>
      <c r="J207" s="20" t="s">
        <v>17389</v>
      </c>
      <c r="K207" s="20">
        <v>79020</v>
      </c>
      <c r="L207" s="20" t="s">
        <v>17216</v>
      </c>
      <c r="M207" s="20" t="s">
        <v>17390</v>
      </c>
    </row>
    <row r="208" spans="1:14" x14ac:dyDescent="0.25">
      <c r="A208" s="20">
        <v>92695</v>
      </c>
      <c r="B208" s="20" t="s">
        <v>16900</v>
      </c>
      <c r="C208" s="20">
        <v>92695</v>
      </c>
      <c r="D208" s="20" t="e">
        <f>VLOOKUP(C208,[1]CHILDCARE_FACILITIES!AJ:AK,2,0)</f>
        <v>#N/A</v>
      </c>
      <c r="E208" s="20" t="s">
        <v>15134</v>
      </c>
      <c r="F208" s="20" t="s">
        <v>15135</v>
      </c>
      <c r="G208" s="20">
        <v>73314001</v>
      </c>
      <c r="H208" s="20" t="s">
        <v>15136</v>
      </c>
      <c r="I208" s="20" t="b">
        <v>1</v>
      </c>
      <c r="J208" s="20" t="s">
        <v>17391</v>
      </c>
      <c r="K208" s="20">
        <v>92695</v>
      </c>
      <c r="L208" s="20" t="s">
        <v>17216</v>
      </c>
      <c r="M208" s="20" t="s">
        <v>17392</v>
      </c>
    </row>
    <row r="209" spans="1:13" x14ac:dyDescent="0.25">
      <c r="A209" s="20">
        <v>92695</v>
      </c>
      <c r="B209" s="20" t="s">
        <v>16900</v>
      </c>
      <c r="C209" s="20">
        <v>92695</v>
      </c>
      <c r="D209" s="20" t="e">
        <f>VLOOKUP(C209,[1]CHILDCARE_FACILITIES!AJ:AK,2,0)</f>
        <v>#N/A</v>
      </c>
      <c r="E209" s="20" t="s">
        <v>15134</v>
      </c>
      <c r="F209" s="20" t="s">
        <v>15135</v>
      </c>
      <c r="G209" s="20">
        <v>73314001</v>
      </c>
      <c r="H209" s="20" t="s">
        <v>15138</v>
      </c>
      <c r="I209" s="20" t="b">
        <v>1</v>
      </c>
      <c r="J209" s="20" t="s">
        <v>17393</v>
      </c>
      <c r="K209" s="20">
        <v>92695</v>
      </c>
      <c r="L209" s="20" t="s">
        <v>17216</v>
      </c>
      <c r="M209" s="20" t="s">
        <v>17392</v>
      </c>
    </row>
    <row r="210" spans="1:13" x14ac:dyDescent="0.25">
      <c r="A210" s="20">
        <v>9035</v>
      </c>
      <c r="B210" s="20" t="s">
        <v>15329</v>
      </c>
      <c r="C210" s="20">
        <v>9035</v>
      </c>
      <c r="D210" s="20" t="e">
        <f>VLOOKUP(C210,[1]CHILDCARE_FACILITIES!AJ:AK,2,0)</f>
        <v>#N/A</v>
      </c>
      <c r="E210" s="20" t="s">
        <v>15134</v>
      </c>
      <c r="F210" s="20" t="s">
        <v>15135</v>
      </c>
      <c r="G210" s="20">
        <v>73031001</v>
      </c>
      <c r="K210" s="20">
        <v>9035</v>
      </c>
    </row>
    <row r="211" spans="1:13" x14ac:dyDescent="0.25">
      <c r="A211" s="20">
        <v>89528</v>
      </c>
      <c r="B211" s="20" t="s">
        <v>16414</v>
      </c>
      <c r="C211" s="20">
        <v>89528</v>
      </c>
      <c r="D211" s="20" t="e">
        <f>VLOOKUP(C211,[1]CHILDCARE_FACILITIES!AJ:AK,2,0)</f>
        <v>#N/A</v>
      </c>
      <c r="E211" s="20" t="s">
        <v>15134</v>
      </c>
      <c r="F211" s="20" t="s">
        <v>15135</v>
      </c>
      <c r="G211" s="20">
        <v>73551000</v>
      </c>
      <c r="H211" s="20" t="s">
        <v>15136</v>
      </c>
      <c r="I211" s="20" t="b">
        <v>1</v>
      </c>
      <c r="J211" s="20" t="s">
        <v>17394</v>
      </c>
      <c r="K211" s="20">
        <v>89528</v>
      </c>
      <c r="L211" s="20" t="s">
        <v>17395</v>
      </c>
      <c r="M211" s="20" t="s">
        <v>17396</v>
      </c>
    </row>
    <row r="212" spans="1:13" x14ac:dyDescent="0.25">
      <c r="A212" s="20">
        <v>89528</v>
      </c>
      <c r="B212" s="20" t="s">
        <v>16414</v>
      </c>
      <c r="C212" s="20">
        <v>89528</v>
      </c>
      <c r="D212" s="20" t="e">
        <f>VLOOKUP(C212,[1]CHILDCARE_FACILITIES!AJ:AK,2,0)</f>
        <v>#N/A</v>
      </c>
      <c r="E212" s="20" t="s">
        <v>15134</v>
      </c>
      <c r="F212" s="20" t="s">
        <v>15135</v>
      </c>
      <c r="G212" s="20">
        <v>73551000</v>
      </c>
      <c r="H212" s="20" t="s">
        <v>15138</v>
      </c>
      <c r="I212" s="20" t="b">
        <v>1</v>
      </c>
      <c r="J212" s="20" t="s">
        <v>17397</v>
      </c>
      <c r="K212" s="20">
        <v>89528</v>
      </c>
      <c r="L212" s="20" t="s">
        <v>17262</v>
      </c>
      <c r="M212" s="20" t="s">
        <v>17396</v>
      </c>
    </row>
    <row r="213" spans="1:13" x14ac:dyDescent="0.25">
      <c r="A213" s="20">
        <v>89529</v>
      </c>
      <c r="B213" s="20" t="s">
        <v>16414</v>
      </c>
      <c r="C213" s="20">
        <v>89529</v>
      </c>
      <c r="D213" s="20" t="e">
        <f>VLOOKUP(C213,[1]CHILDCARE_FACILITIES!AJ:AK,2,0)</f>
        <v>#N/A</v>
      </c>
      <c r="E213" s="20" t="s">
        <v>15134</v>
      </c>
      <c r="F213" s="20" t="s">
        <v>15135</v>
      </c>
      <c r="G213" s="20">
        <v>73551001</v>
      </c>
      <c r="H213" s="20" t="s">
        <v>15138</v>
      </c>
      <c r="I213" s="20" t="b">
        <v>1</v>
      </c>
      <c r="J213" s="20" t="s">
        <v>17394</v>
      </c>
      <c r="K213" s="20">
        <v>89529</v>
      </c>
      <c r="L213" s="20" t="s">
        <v>17395</v>
      </c>
      <c r="M213" s="20" t="s">
        <v>17396</v>
      </c>
    </row>
    <row r="214" spans="1:13" x14ac:dyDescent="0.25">
      <c r="A214" s="20">
        <v>89529</v>
      </c>
      <c r="B214" s="20" t="s">
        <v>16414</v>
      </c>
      <c r="C214" s="20">
        <v>89529</v>
      </c>
      <c r="D214" s="20" t="e">
        <f>VLOOKUP(C214,[1]CHILDCARE_FACILITIES!AJ:AK,2,0)</f>
        <v>#N/A</v>
      </c>
      <c r="E214" s="20" t="s">
        <v>15134</v>
      </c>
      <c r="F214" s="20" t="s">
        <v>15135</v>
      </c>
      <c r="G214" s="20">
        <v>73551001</v>
      </c>
      <c r="H214" s="20" t="s">
        <v>15145</v>
      </c>
      <c r="I214" s="20" t="b">
        <v>1</v>
      </c>
      <c r="J214" s="20" t="s">
        <v>17397</v>
      </c>
      <c r="K214" s="20">
        <v>89529</v>
      </c>
      <c r="L214" s="20" t="s">
        <v>17262</v>
      </c>
      <c r="M214" s="20" t="s">
        <v>17396</v>
      </c>
    </row>
    <row r="215" spans="1:13" x14ac:dyDescent="0.25">
      <c r="A215" s="20">
        <v>89529</v>
      </c>
      <c r="B215" s="20" t="s">
        <v>16414</v>
      </c>
      <c r="C215" s="20">
        <v>89529</v>
      </c>
      <c r="D215" s="20" t="e">
        <f>VLOOKUP(C215,[1]CHILDCARE_FACILITIES!AJ:AK,2,0)</f>
        <v>#N/A</v>
      </c>
      <c r="E215" s="20" t="s">
        <v>15134</v>
      </c>
      <c r="F215" s="20" t="s">
        <v>15135</v>
      </c>
      <c r="G215" s="20">
        <v>73551001</v>
      </c>
      <c r="H215" s="20" t="s">
        <v>15136</v>
      </c>
      <c r="I215" s="20" t="b">
        <v>1</v>
      </c>
      <c r="J215" s="20" t="s">
        <v>17394</v>
      </c>
      <c r="K215" s="20">
        <v>89529</v>
      </c>
      <c r="L215" s="20" t="s">
        <v>17395</v>
      </c>
      <c r="M215" s="20" t="s">
        <v>17396</v>
      </c>
    </row>
    <row r="216" spans="1:13" x14ac:dyDescent="0.25">
      <c r="A216" s="20">
        <v>89840</v>
      </c>
      <c r="B216" s="20" t="s">
        <v>16465</v>
      </c>
      <c r="C216" s="20">
        <v>89840</v>
      </c>
      <c r="D216" s="20" t="e">
        <f>VLOOKUP(C216,[1]CHILDCARE_FACILITIES!AJ:AK,2,0)</f>
        <v>#N/A</v>
      </c>
      <c r="E216" s="20" t="s">
        <v>15134</v>
      </c>
      <c r="F216" s="20" t="s">
        <v>15135</v>
      </c>
      <c r="G216" s="20">
        <v>83022000</v>
      </c>
      <c r="H216" s="20" t="s">
        <v>15136</v>
      </c>
      <c r="I216" s="20" t="b">
        <v>0</v>
      </c>
      <c r="J216" s="20" t="s">
        <v>17398</v>
      </c>
      <c r="K216" s="20">
        <v>89840</v>
      </c>
      <c r="L216" s="20" t="s">
        <v>17399</v>
      </c>
      <c r="M216" s="20" t="s">
        <v>17400</v>
      </c>
    </row>
    <row r="217" spans="1:13" x14ac:dyDescent="0.25">
      <c r="A217" s="20">
        <v>89840</v>
      </c>
      <c r="B217" s="20" t="s">
        <v>16465</v>
      </c>
      <c r="C217" s="20">
        <v>89840</v>
      </c>
      <c r="D217" s="20" t="e">
        <f>VLOOKUP(C217,[1]CHILDCARE_FACILITIES!AJ:AK,2,0)</f>
        <v>#N/A</v>
      </c>
      <c r="E217" s="20" t="s">
        <v>15134</v>
      </c>
      <c r="F217" s="20" t="s">
        <v>15135</v>
      </c>
      <c r="G217" s="20">
        <v>83022000</v>
      </c>
      <c r="H217" s="20" t="s">
        <v>15138</v>
      </c>
      <c r="I217" s="20" t="b">
        <v>1</v>
      </c>
      <c r="J217" s="20" t="s">
        <v>17401</v>
      </c>
      <c r="K217" s="20">
        <v>89840</v>
      </c>
      <c r="L217" s="20" t="s">
        <v>17402</v>
      </c>
      <c r="M217" s="20" t="s">
        <v>17403</v>
      </c>
    </row>
    <row r="218" spans="1:13" x14ac:dyDescent="0.25">
      <c r="A218" s="20">
        <v>9562</v>
      </c>
      <c r="B218" s="20" t="s">
        <v>15593</v>
      </c>
      <c r="C218" s="20">
        <v>9562</v>
      </c>
      <c r="D218" s="20" t="e">
        <f>VLOOKUP(C218,[1]CHILDCARE_FACILITIES!AJ:AK,2,0)</f>
        <v>#N/A</v>
      </c>
      <c r="E218" s="20" t="s">
        <v>15134</v>
      </c>
      <c r="F218" s="20" t="s">
        <v>15135</v>
      </c>
      <c r="G218" s="20">
        <v>73419000</v>
      </c>
      <c r="K218" s="20">
        <v>9562</v>
      </c>
    </row>
    <row r="219" spans="1:13" x14ac:dyDescent="0.25">
      <c r="A219" s="20">
        <v>10365</v>
      </c>
      <c r="B219" s="20" t="s">
        <v>15593</v>
      </c>
      <c r="C219" s="20">
        <v>10365</v>
      </c>
      <c r="D219" s="20" t="str">
        <f>VLOOKUP(C219,[1]CHILDCARE_FACILITIES!AJ:AK,2,0)</f>
        <v>CDC-7550</v>
      </c>
      <c r="E219" s="20" t="s">
        <v>15134</v>
      </c>
      <c r="F219" s="20" t="s">
        <v>15135</v>
      </c>
      <c r="G219" s="20">
        <v>73419001</v>
      </c>
      <c r="K219" s="20">
        <v>10365</v>
      </c>
    </row>
    <row r="220" spans="1:13" x14ac:dyDescent="0.25">
      <c r="A220" s="20">
        <v>9403</v>
      </c>
      <c r="B220" s="20" t="s">
        <v>15510</v>
      </c>
      <c r="C220" s="20">
        <v>9403</v>
      </c>
      <c r="D220" s="20" t="e">
        <f>VLOOKUP(C220,[1]CHILDCARE_FACILITIES!AJ:AK,2,0)</f>
        <v>#N/A</v>
      </c>
      <c r="E220" s="20" t="s">
        <v>15134</v>
      </c>
      <c r="F220" s="20" t="s">
        <v>15135</v>
      </c>
      <c r="G220" s="20">
        <v>73248001</v>
      </c>
      <c r="K220" s="20">
        <v>9403</v>
      </c>
    </row>
    <row r="221" spans="1:13" x14ac:dyDescent="0.25">
      <c r="A221" s="20">
        <v>9039</v>
      </c>
      <c r="B221" s="20" t="s">
        <v>15331</v>
      </c>
      <c r="C221" s="20">
        <v>9039</v>
      </c>
      <c r="D221" s="20" t="e">
        <f>VLOOKUP(C221,[1]CHILDCARE_FACILITIES!AJ:AK,2,0)</f>
        <v>#N/A</v>
      </c>
      <c r="E221" s="20" t="s">
        <v>15134</v>
      </c>
      <c r="F221" s="20" t="s">
        <v>15135</v>
      </c>
      <c r="G221" s="20">
        <v>73034001</v>
      </c>
      <c r="K221" s="20">
        <v>9039</v>
      </c>
    </row>
    <row r="222" spans="1:13" x14ac:dyDescent="0.25">
      <c r="A222" s="20">
        <v>9340</v>
      </c>
      <c r="B222" s="20" t="s">
        <v>15331</v>
      </c>
      <c r="C222" s="20">
        <v>9340</v>
      </c>
      <c r="D222" s="20" t="e">
        <f>VLOOKUP(C222,[1]CHILDCARE_FACILITIES!AJ:AK,2,0)</f>
        <v>#N/A</v>
      </c>
      <c r="E222" s="20" t="s">
        <v>15134</v>
      </c>
      <c r="F222" s="20" t="s">
        <v>15135</v>
      </c>
      <c r="G222" s="20">
        <v>73216001</v>
      </c>
      <c r="K222" s="20">
        <v>9340</v>
      </c>
    </row>
    <row r="223" spans="1:13" x14ac:dyDescent="0.25">
      <c r="A223" s="20">
        <v>90919</v>
      </c>
      <c r="B223" s="20" t="s">
        <v>16720</v>
      </c>
      <c r="C223" s="20">
        <v>90919</v>
      </c>
      <c r="D223" s="20" t="e">
        <f>VLOOKUP(C223,[1]CHILDCARE_FACILITIES!AJ:AK,2,0)</f>
        <v>#N/A</v>
      </c>
      <c r="E223" s="20" t="s">
        <v>15134</v>
      </c>
      <c r="F223" s="20" t="s">
        <v>15135</v>
      </c>
      <c r="G223" s="20">
        <v>143026001</v>
      </c>
      <c r="H223" s="20" t="s">
        <v>15145</v>
      </c>
      <c r="I223" s="20" t="b">
        <v>0</v>
      </c>
      <c r="J223" s="20" t="s">
        <v>17404</v>
      </c>
      <c r="K223" s="20">
        <v>90919</v>
      </c>
      <c r="L223" s="20" t="s">
        <v>17372</v>
      </c>
      <c r="M223" s="20" t="s">
        <v>17373</v>
      </c>
    </row>
    <row r="224" spans="1:13" x14ac:dyDescent="0.25">
      <c r="A224" s="20">
        <v>90918</v>
      </c>
      <c r="B224" s="20" t="s">
        <v>16717</v>
      </c>
      <c r="C224" s="20">
        <v>90918</v>
      </c>
      <c r="D224" s="20" t="e">
        <f>VLOOKUP(C224,[1]CHILDCARE_FACILITIES!AJ:AK,2,0)</f>
        <v>#N/A</v>
      </c>
      <c r="E224" s="20" t="s">
        <v>15134</v>
      </c>
      <c r="F224" s="20" t="s">
        <v>15135</v>
      </c>
      <c r="G224" s="20">
        <v>143026000</v>
      </c>
      <c r="H224" s="20" t="s">
        <v>15138</v>
      </c>
      <c r="I224" s="20" t="b">
        <v>0</v>
      </c>
      <c r="J224" s="20" t="s">
        <v>17405</v>
      </c>
      <c r="K224" s="20">
        <v>90918</v>
      </c>
      <c r="L224" s="20" t="s">
        <v>17372</v>
      </c>
      <c r="M224" s="20" t="s">
        <v>17373</v>
      </c>
    </row>
    <row r="225" spans="1:13" x14ac:dyDescent="0.25">
      <c r="A225" s="20">
        <v>90918</v>
      </c>
      <c r="B225" s="20" t="s">
        <v>16717</v>
      </c>
      <c r="C225" s="20">
        <v>90918</v>
      </c>
      <c r="D225" s="20" t="e">
        <f>VLOOKUP(C225,[1]CHILDCARE_FACILITIES!AJ:AK,2,0)</f>
        <v>#N/A</v>
      </c>
      <c r="E225" s="20" t="s">
        <v>15134</v>
      </c>
      <c r="F225" s="20" t="s">
        <v>15135</v>
      </c>
      <c r="G225" s="20">
        <v>143026000</v>
      </c>
      <c r="H225" s="20" t="s">
        <v>15136</v>
      </c>
      <c r="I225" s="20" t="b">
        <v>1</v>
      </c>
      <c r="J225" s="20" t="s">
        <v>17406</v>
      </c>
      <c r="K225" s="20">
        <v>90918</v>
      </c>
      <c r="L225" s="20" t="s">
        <v>17407</v>
      </c>
      <c r="M225" s="20" t="s">
        <v>17408</v>
      </c>
    </row>
    <row r="226" spans="1:13" x14ac:dyDescent="0.25">
      <c r="A226" s="20">
        <v>1000319</v>
      </c>
      <c r="B226" s="20" t="s">
        <v>17133</v>
      </c>
      <c r="C226" s="20">
        <v>1000319</v>
      </c>
      <c r="D226" s="20" t="e">
        <f>VLOOKUP(C226,[1]CHILDCARE_FACILITIES!AJ:AK,2,0)</f>
        <v>#N/A</v>
      </c>
      <c r="E226" s="20" t="s">
        <v>15134</v>
      </c>
      <c r="F226" s="20" t="s">
        <v>15135</v>
      </c>
      <c r="G226" s="20">
        <v>143026002</v>
      </c>
      <c r="H226" s="20" t="s">
        <v>15136</v>
      </c>
      <c r="I226" s="20" t="b">
        <v>1</v>
      </c>
      <c r="J226" s="20" t="s">
        <v>17406</v>
      </c>
      <c r="K226" s="20">
        <v>1000319</v>
      </c>
      <c r="L226" s="20" t="s">
        <v>17407</v>
      </c>
      <c r="M226" s="20" t="s">
        <v>17408</v>
      </c>
    </row>
    <row r="227" spans="1:13" x14ac:dyDescent="0.25">
      <c r="A227" s="20">
        <v>1000319</v>
      </c>
      <c r="B227" s="20" t="s">
        <v>17133</v>
      </c>
      <c r="C227" s="20">
        <v>1000319</v>
      </c>
      <c r="D227" s="20" t="e">
        <f>VLOOKUP(C227,[1]CHILDCARE_FACILITIES!AJ:AK,2,0)</f>
        <v>#N/A</v>
      </c>
      <c r="E227" s="20" t="s">
        <v>15134</v>
      </c>
      <c r="F227" s="20" t="s">
        <v>15135</v>
      </c>
      <c r="G227" s="20">
        <v>143026002</v>
      </c>
      <c r="H227" s="20" t="s">
        <v>15138</v>
      </c>
      <c r="I227" s="20" t="b">
        <v>0</v>
      </c>
      <c r="J227" s="20" t="s">
        <v>17409</v>
      </c>
      <c r="K227" s="20">
        <v>1000319</v>
      </c>
      <c r="L227" s="20" t="s">
        <v>17372</v>
      </c>
      <c r="M227" s="20" t="s">
        <v>17373</v>
      </c>
    </row>
    <row r="228" spans="1:13" x14ac:dyDescent="0.25">
      <c r="A228" s="20">
        <v>8769</v>
      </c>
      <c r="B228" s="20" t="s">
        <v>15262</v>
      </c>
      <c r="C228" s="20">
        <v>8769</v>
      </c>
      <c r="D228" s="20" t="e">
        <f>VLOOKUP(C228,[1]CHILDCARE_FACILITIES!AJ:AK,2,0)</f>
        <v>#N/A</v>
      </c>
      <c r="E228" s="20" t="s">
        <v>15134</v>
      </c>
      <c r="F228" s="20" t="s">
        <v>15135</v>
      </c>
      <c r="G228" s="20">
        <v>72405002</v>
      </c>
      <c r="K228" s="20">
        <v>8769</v>
      </c>
    </row>
    <row r="229" spans="1:13" x14ac:dyDescent="0.25">
      <c r="A229" s="20">
        <v>79295</v>
      </c>
      <c r="B229" s="20" t="s">
        <v>15914</v>
      </c>
      <c r="C229" s="20">
        <v>79295</v>
      </c>
      <c r="D229" s="20" t="e">
        <f>VLOOKUP(C229,[1]CHILDCARE_FACILITIES!AJ:AK,2,0)</f>
        <v>#N/A</v>
      </c>
      <c r="E229" s="20" t="s">
        <v>15134</v>
      </c>
      <c r="F229" s="20" t="s">
        <v>15135</v>
      </c>
      <c r="G229" s="20">
        <v>72424001</v>
      </c>
      <c r="H229" s="20" t="s">
        <v>15145</v>
      </c>
      <c r="I229" s="20" t="b">
        <v>1</v>
      </c>
      <c r="J229" s="20" t="s">
        <v>17410</v>
      </c>
      <c r="K229" s="20">
        <v>79295</v>
      </c>
      <c r="L229" s="20" t="s">
        <v>17213</v>
      </c>
      <c r="M229" s="20" t="s">
        <v>17411</v>
      </c>
    </row>
    <row r="230" spans="1:13" x14ac:dyDescent="0.25">
      <c r="A230" s="20">
        <v>79295</v>
      </c>
      <c r="B230" s="20" t="s">
        <v>15914</v>
      </c>
      <c r="C230" s="20">
        <v>79295</v>
      </c>
      <c r="D230" s="20" t="e">
        <f>VLOOKUP(C230,[1]CHILDCARE_FACILITIES!AJ:AK,2,0)</f>
        <v>#N/A</v>
      </c>
      <c r="E230" s="20" t="s">
        <v>15134</v>
      </c>
      <c r="F230" s="20" t="s">
        <v>15135</v>
      </c>
      <c r="G230" s="20">
        <v>72424001</v>
      </c>
      <c r="H230" s="20" t="s">
        <v>15138</v>
      </c>
      <c r="I230" s="20" t="b">
        <v>1</v>
      </c>
      <c r="J230" s="20" t="s">
        <v>17410</v>
      </c>
      <c r="K230" s="20">
        <v>79295</v>
      </c>
      <c r="L230" s="20" t="s">
        <v>17213</v>
      </c>
      <c r="M230" s="20" t="s">
        <v>17411</v>
      </c>
    </row>
    <row r="231" spans="1:13" x14ac:dyDescent="0.25">
      <c r="A231" s="20">
        <v>79294</v>
      </c>
      <c r="B231" s="20" t="s">
        <v>15912</v>
      </c>
      <c r="C231" s="20">
        <v>79294</v>
      </c>
      <c r="D231" s="20" t="e">
        <f>VLOOKUP(C231,[1]CHILDCARE_FACILITIES!AJ:AK,2,0)</f>
        <v>#N/A</v>
      </c>
      <c r="E231" s="20" t="s">
        <v>15134</v>
      </c>
      <c r="F231" s="20" t="s">
        <v>15135</v>
      </c>
      <c r="G231" s="20">
        <v>72424000</v>
      </c>
      <c r="H231" s="20" t="s">
        <v>15145</v>
      </c>
      <c r="I231" s="20" t="b">
        <v>1</v>
      </c>
      <c r="J231" s="20" t="s">
        <v>17410</v>
      </c>
      <c r="K231" s="20">
        <v>79294</v>
      </c>
      <c r="L231" s="20" t="s">
        <v>17213</v>
      </c>
      <c r="M231" s="20" t="s">
        <v>17411</v>
      </c>
    </row>
    <row r="232" spans="1:13" x14ac:dyDescent="0.25">
      <c r="A232" s="20">
        <v>79294</v>
      </c>
      <c r="B232" s="20" t="s">
        <v>15912</v>
      </c>
      <c r="C232" s="20">
        <v>79294</v>
      </c>
      <c r="D232" s="20" t="e">
        <f>VLOOKUP(C232,[1]CHILDCARE_FACILITIES!AJ:AK,2,0)</f>
        <v>#N/A</v>
      </c>
      <c r="E232" s="20" t="s">
        <v>15134</v>
      </c>
      <c r="F232" s="20" t="s">
        <v>15135</v>
      </c>
      <c r="G232" s="20">
        <v>72424000</v>
      </c>
      <c r="H232" s="20" t="s">
        <v>15138</v>
      </c>
      <c r="I232" s="20" t="b">
        <v>1</v>
      </c>
      <c r="J232" s="20" t="s">
        <v>17410</v>
      </c>
      <c r="K232" s="20">
        <v>79294</v>
      </c>
      <c r="L232" s="20" t="s">
        <v>17213</v>
      </c>
      <c r="M232" s="20" t="s">
        <v>17411</v>
      </c>
    </row>
    <row r="233" spans="1:13" x14ac:dyDescent="0.25">
      <c r="A233" s="20">
        <v>8678</v>
      </c>
      <c r="B233" s="20" t="s">
        <v>15190</v>
      </c>
      <c r="C233" s="20">
        <v>8678</v>
      </c>
      <c r="D233" s="20" t="e">
        <f>VLOOKUP(C233,[1]CHILDCARE_FACILITIES!AJ:AK,2,0)</f>
        <v>#N/A</v>
      </c>
      <c r="E233" s="20" t="s">
        <v>15134</v>
      </c>
      <c r="F233" s="20" t="s">
        <v>15135</v>
      </c>
      <c r="G233" s="20">
        <v>72213001</v>
      </c>
      <c r="K233" s="20">
        <v>8678</v>
      </c>
    </row>
    <row r="234" spans="1:13" x14ac:dyDescent="0.25">
      <c r="A234" s="20">
        <v>8792</v>
      </c>
      <c r="B234" s="20" t="s">
        <v>15280</v>
      </c>
      <c r="C234" s="20">
        <v>8792</v>
      </c>
      <c r="D234" s="20" t="e">
        <f>VLOOKUP(C234,[1]CHILDCARE_FACILITIES!AJ:AK,2,0)</f>
        <v>#N/A</v>
      </c>
      <c r="E234" s="20" t="s">
        <v>15134</v>
      </c>
      <c r="F234" s="20" t="s">
        <v>15135</v>
      </c>
      <c r="G234" s="20">
        <v>72509000</v>
      </c>
      <c r="H234" s="20" t="s">
        <v>15138</v>
      </c>
      <c r="I234" s="20" t="b">
        <v>1</v>
      </c>
      <c r="J234" s="20" t="s">
        <v>17412</v>
      </c>
      <c r="K234" s="20">
        <v>8792</v>
      </c>
      <c r="L234" s="20" t="s">
        <v>17367</v>
      </c>
      <c r="M234" s="20" t="s">
        <v>17413</v>
      </c>
    </row>
    <row r="235" spans="1:13" x14ac:dyDescent="0.25">
      <c r="A235" s="20">
        <v>8792</v>
      </c>
      <c r="B235" s="20" t="s">
        <v>15280</v>
      </c>
      <c r="C235" s="20">
        <v>8792</v>
      </c>
      <c r="D235" s="20" t="e">
        <f>VLOOKUP(C235,[1]CHILDCARE_FACILITIES!AJ:AK,2,0)</f>
        <v>#N/A</v>
      </c>
      <c r="E235" s="20" t="s">
        <v>15134</v>
      </c>
      <c r="F235" s="20" t="s">
        <v>15135</v>
      </c>
      <c r="G235" s="20">
        <v>72509000</v>
      </c>
      <c r="H235" s="20" t="s">
        <v>15136</v>
      </c>
      <c r="I235" s="20" t="b">
        <v>1</v>
      </c>
      <c r="J235" s="20" t="s">
        <v>17414</v>
      </c>
      <c r="K235" s="20">
        <v>8792</v>
      </c>
      <c r="L235" s="20" t="s">
        <v>17367</v>
      </c>
      <c r="M235" s="20" t="s">
        <v>17415</v>
      </c>
    </row>
    <row r="236" spans="1:13" x14ac:dyDescent="0.25">
      <c r="A236" s="20">
        <v>9612</v>
      </c>
      <c r="B236" s="20" t="s">
        <v>15605</v>
      </c>
      <c r="C236" s="20">
        <v>9612</v>
      </c>
      <c r="D236" s="20" t="e">
        <f>VLOOKUP(C236,[1]CHILDCARE_FACILITIES!AJ:AK,2,0)</f>
        <v>#N/A</v>
      </c>
      <c r="E236" s="20" t="s">
        <v>15134</v>
      </c>
      <c r="F236" s="20" t="s">
        <v>15135</v>
      </c>
      <c r="G236" s="20">
        <v>82205001</v>
      </c>
      <c r="K236" s="20">
        <v>9612</v>
      </c>
    </row>
    <row r="237" spans="1:13" x14ac:dyDescent="0.25">
      <c r="A237" s="20">
        <v>79183</v>
      </c>
      <c r="B237" s="20" t="s">
        <v>15905</v>
      </c>
      <c r="C237" s="20">
        <v>79183</v>
      </c>
      <c r="D237" s="20" t="e">
        <f>VLOOKUP(C237,[1]CHILDCARE_FACILITIES!AJ:AK,2,0)</f>
        <v>#N/A</v>
      </c>
      <c r="E237" s="20" t="s">
        <v>15134</v>
      </c>
      <c r="F237" s="20" t="s">
        <v>15135</v>
      </c>
      <c r="G237" s="20">
        <v>82208001</v>
      </c>
      <c r="H237" s="20" t="s">
        <v>15136</v>
      </c>
      <c r="I237" s="20" t="b">
        <v>1</v>
      </c>
      <c r="J237" s="20" t="s">
        <v>17416</v>
      </c>
      <c r="K237" s="20">
        <v>79183</v>
      </c>
      <c r="L237" s="20" t="s">
        <v>17417</v>
      </c>
      <c r="M237" s="20" t="s">
        <v>17418</v>
      </c>
    </row>
    <row r="238" spans="1:13" x14ac:dyDescent="0.25">
      <c r="A238" s="20">
        <v>79183</v>
      </c>
      <c r="B238" s="20" t="s">
        <v>15905</v>
      </c>
      <c r="C238" s="20">
        <v>79183</v>
      </c>
      <c r="D238" s="20" t="e">
        <f>VLOOKUP(C238,[1]CHILDCARE_FACILITIES!AJ:AK,2,0)</f>
        <v>#N/A</v>
      </c>
      <c r="E238" s="20" t="s">
        <v>15134</v>
      </c>
      <c r="F238" s="20" t="s">
        <v>15135</v>
      </c>
      <c r="G238" s="20">
        <v>82208001</v>
      </c>
      <c r="H238" s="20" t="s">
        <v>15138</v>
      </c>
      <c r="I238" s="20" t="b">
        <v>1</v>
      </c>
      <c r="J238" s="20" t="s">
        <v>17419</v>
      </c>
      <c r="K238" s="20">
        <v>79183</v>
      </c>
      <c r="L238" s="20" t="s">
        <v>17417</v>
      </c>
      <c r="M238" s="20" t="s">
        <v>17420</v>
      </c>
    </row>
    <row r="239" spans="1:13" x14ac:dyDescent="0.25">
      <c r="A239" s="20">
        <v>85917</v>
      </c>
      <c r="B239" s="20" t="s">
        <v>16310</v>
      </c>
      <c r="C239" s="20">
        <v>85917</v>
      </c>
      <c r="D239" s="20" t="e">
        <f>VLOOKUP(C239,[1]CHILDCARE_FACILITIES!AJ:AK,2,0)</f>
        <v>#N/A</v>
      </c>
      <c r="E239" s="20" t="s">
        <v>15134</v>
      </c>
      <c r="F239" s="20" t="s">
        <v>15135</v>
      </c>
      <c r="G239" s="20">
        <v>22205000</v>
      </c>
      <c r="H239" s="20" t="s">
        <v>15136</v>
      </c>
      <c r="I239" s="20" t="b">
        <v>1</v>
      </c>
      <c r="J239" s="20" t="s">
        <v>17421</v>
      </c>
      <c r="K239" s="20">
        <v>85917</v>
      </c>
      <c r="L239" s="20" t="s">
        <v>17422</v>
      </c>
      <c r="M239" s="20" t="s">
        <v>17423</v>
      </c>
    </row>
    <row r="240" spans="1:13" x14ac:dyDescent="0.25">
      <c r="A240" s="20">
        <v>85917</v>
      </c>
      <c r="B240" s="20" t="s">
        <v>16310</v>
      </c>
      <c r="C240" s="20">
        <v>85917</v>
      </c>
      <c r="D240" s="20" t="e">
        <f>VLOOKUP(C240,[1]CHILDCARE_FACILITIES!AJ:AK,2,0)</f>
        <v>#N/A</v>
      </c>
      <c r="E240" s="20" t="s">
        <v>15134</v>
      </c>
      <c r="F240" s="20" t="s">
        <v>15135</v>
      </c>
      <c r="G240" s="20">
        <v>22205000</v>
      </c>
      <c r="H240" s="20" t="s">
        <v>15138</v>
      </c>
      <c r="I240" s="20" t="b">
        <v>1</v>
      </c>
      <c r="J240" s="20" t="s">
        <v>17424</v>
      </c>
      <c r="K240" s="20">
        <v>85917</v>
      </c>
      <c r="L240" s="20" t="s">
        <v>17422</v>
      </c>
      <c r="M240" s="20" t="s">
        <v>17425</v>
      </c>
    </row>
    <row r="241" spans="1:13" x14ac:dyDescent="0.25">
      <c r="A241" s="20">
        <v>8749</v>
      </c>
      <c r="B241" s="20" t="s">
        <v>15240</v>
      </c>
      <c r="C241" s="20">
        <v>8749</v>
      </c>
      <c r="D241" s="20" t="e">
        <f>VLOOKUP(C241,[1]CHILDCARE_FACILITIES!AJ:AK,2,0)</f>
        <v>#N/A</v>
      </c>
      <c r="E241" s="20" t="s">
        <v>15134</v>
      </c>
      <c r="F241" s="20" t="s">
        <v>15135</v>
      </c>
      <c r="G241" s="20">
        <v>72401000</v>
      </c>
      <c r="H241" s="20" t="s">
        <v>15136</v>
      </c>
      <c r="I241" s="20" t="b">
        <v>1</v>
      </c>
      <c r="J241" s="20" t="s">
        <v>17426</v>
      </c>
      <c r="K241" s="20">
        <v>8749</v>
      </c>
      <c r="L241" s="20" t="s">
        <v>17213</v>
      </c>
      <c r="M241" s="20" t="s">
        <v>17427</v>
      </c>
    </row>
    <row r="242" spans="1:13" x14ac:dyDescent="0.25">
      <c r="A242" s="20">
        <v>8749</v>
      </c>
      <c r="B242" s="20" t="s">
        <v>15240</v>
      </c>
      <c r="C242" s="20">
        <v>8749</v>
      </c>
      <c r="D242" s="20" t="e">
        <f>VLOOKUP(C242,[1]CHILDCARE_FACILITIES!AJ:AK,2,0)</f>
        <v>#N/A</v>
      </c>
      <c r="E242" s="20" t="s">
        <v>15134</v>
      </c>
      <c r="F242" s="20" t="s">
        <v>15135</v>
      </c>
      <c r="G242" s="20">
        <v>72401000</v>
      </c>
      <c r="H242" s="20" t="s">
        <v>15138</v>
      </c>
      <c r="I242" s="20" t="b">
        <v>1</v>
      </c>
      <c r="J242" s="20" t="s">
        <v>17428</v>
      </c>
      <c r="K242" s="20">
        <v>8749</v>
      </c>
      <c r="L242" s="20" t="s">
        <v>17213</v>
      </c>
      <c r="M242" s="20" t="s">
        <v>17427</v>
      </c>
    </row>
    <row r="243" spans="1:13" x14ac:dyDescent="0.25">
      <c r="A243" s="20">
        <v>85918</v>
      </c>
      <c r="B243" s="20" t="s">
        <v>16313</v>
      </c>
      <c r="C243" s="20">
        <v>85918</v>
      </c>
      <c r="D243" s="20" t="e">
        <f>VLOOKUP(C243,[1]CHILDCARE_FACILITIES!AJ:AK,2,0)</f>
        <v>#N/A</v>
      </c>
      <c r="E243" s="20" t="s">
        <v>15134</v>
      </c>
      <c r="F243" s="20" t="s">
        <v>15135</v>
      </c>
      <c r="G243" s="20">
        <v>22205001</v>
      </c>
      <c r="H243" s="20" t="s">
        <v>15136</v>
      </c>
      <c r="I243" s="20" t="b">
        <v>1</v>
      </c>
      <c r="J243" s="20" t="s">
        <v>17421</v>
      </c>
      <c r="K243" s="20">
        <v>85918</v>
      </c>
      <c r="L243" s="20" t="s">
        <v>17422</v>
      </c>
      <c r="M243" s="20" t="s">
        <v>17423</v>
      </c>
    </row>
    <row r="244" spans="1:13" x14ac:dyDescent="0.25">
      <c r="A244" s="20">
        <v>85918</v>
      </c>
      <c r="B244" s="20" t="s">
        <v>16313</v>
      </c>
      <c r="C244" s="20">
        <v>85918</v>
      </c>
      <c r="D244" s="20" t="e">
        <f>VLOOKUP(C244,[1]CHILDCARE_FACILITIES!AJ:AK,2,0)</f>
        <v>#N/A</v>
      </c>
      <c r="E244" s="20" t="s">
        <v>15134</v>
      </c>
      <c r="F244" s="20" t="s">
        <v>15135</v>
      </c>
      <c r="G244" s="20">
        <v>22205001</v>
      </c>
      <c r="H244" s="20" t="s">
        <v>15138</v>
      </c>
      <c r="I244" s="20" t="b">
        <v>1</v>
      </c>
      <c r="J244" s="20" t="s">
        <v>17424</v>
      </c>
      <c r="K244" s="20">
        <v>85918</v>
      </c>
      <c r="L244" s="20" t="s">
        <v>17422</v>
      </c>
      <c r="M244" s="20" t="s">
        <v>17425</v>
      </c>
    </row>
    <row r="245" spans="1:13" x14ac:dyDescent="0.25">
      <c r="A245" s="20">
        <v>91221</v>
      </c>
      <c r="B245" s="20" t="s">
        <v>16752</v>
      </c>
      <c r="C245" s="20">
        <v>91221</v>
      </c>
      <c r="D245" s="20" t="e">
        <f>VLOOKUP(C245,[1]CHILDCARE_FACILITIES!AJ:AK,2,0)</f>
        <v>#N/A</v>
      </c>
      <c r="E245" s="20" t="s">
        <v>15134</v>
      </c>
      <c r="F245" s="20" t="s">
        <v>15135</v>
      </c>
      <c r="G245" s="20">
        <v>73402001</v>
      </c>
      <c r="H245" s="20" t="s">
        <v>15145</v>
      </c>
      <c r="I245" s="20" t="b">
        <v>1</v>
      </c>
      <c r="J245" s="20" t="s">
        <v>17429</v>
      </c>
      <c r="K245" s="20">
        <v>91221</v>
      </c>
      <c r="L245" s="20" t="s">
        <v>17430</v>
      </c>
      <c r="M245" s="20" t="s">
        <v>17431</v>
      </c>
    </row>
    <row r="246" spans="1:13" x14ac:dyDescent="0.25">
      <c r="A246" s="20">
        <v>91221</v>
      </c>
      <c r="B246" s="20" t="s">
        <v>16752</v>
      </c>
      <c r="C246" s="20">
        <v>91221</v>
      </c>
      <c r="D246" s="20" t="e">
        <f>VLOOKUP(C246,[1]CHILDCARE_FACILITIES!AJ:AK,2,0)</f>
        <v>#N/A</v>
      </c>
      <c r="E246" s="20" t="s">
        <v>15134</v>
      </c>
      <c r="F246" s="20" t="s">
        <v>15135</v>
      </c>
      <c r="G246" s="20">
        <v>73402001</v>
      </c>
      <c r="H246" s="20" t="s">
        <v>15138</v>
      </c>
      <c r="I246" s="20" t="b">
        <v>0</v>
      </c>
      <c r="J246" s="20" t="s">
        <v>17432</v>
      </c>
      <c r="K246" s="20">
        <v>91221</v>
      </c>
      <c r="L246" s="20" t="s">
        <v>17433</v>
      </c>
      <c r="M246" s="20" t="s">
        <v>17434</v>
      </c>
    </row>
    <row r="247" spans="1:13" x14ac:dyDescent="0.25">
      <c r="A247" s="20">
        <v>78766</v>
      </c>
      <c r="B247" s="20" t="s">
        <v>15888</v>
      </c>
      <c r="C247" s="20">
        <v>78766</v>
      </c>
      <c r="D247" s="20" t="e">
        <f>VLOOKUP(C247,[1]CHILDCARE_FACILITIES!AJ:AK,2,0)</f>
        <v>#N/A</v>
      </c>
      <c r="E247" s="20" t="s">
        <v>15134</v>
      </c>
      <c r="F247" s="20" t="s">
        <v>15135</v>
      </c>
      <c r="G247" s="20">
        <v>103113001</v>
      </c>
      <c r="K247" s="20">
        <v>78766</v>
      </c>
    </row>
    <row r="248" spans="1:13" x14ac:dyDescent="0.25">
      <c r="A248" s="20">
        <v>10121</v>
      </c>
      <c r="B248" s="20" t="s">
        <v>15811</v>
      </c>
      <c r="C248" s="20">
        <v>10121</v>
      </c>
      <c r="D248" s="20" t="e">
        <f>VLOOKUP(C248,[1]CHILDCARE_FACILITIES!AJ:AK,2,0)</f>
        <v>#N/A</v>
      </c>
      <c r="E248" s="20" t="s">
        <v>15134</v>
      </c>
      <c r="F248" s="20" t="s">
        <v>15135</v>
      </c>
      <c r="G248" s="20">
        <v>113010001</v>
      </c>
      <c r="H248" s="20" t="s">
        <v>15136</v>
      </c>
      <c r="I248" s="20" t="b">
        <v>1</v>
      </c>
      <c r="J248" s="20" t="s">
        <v>17435</v>
      </c>
      <c r="K248" s="20">
        <v>10121</v>
      </c>
      <c r="L248" s="20" t="s">
        <v>17308</v>
      </c>
      <c r="M248" s="20" t="s">
        <v>17436</v>
      </c>
    </row>
    <row r="249" spans="1:13" x14ac:dyDescent="0.25">
      <c r="A249" s="20">
        <v>10121</v>
      </c>
      <c r="B249" s="20" t="s">
        <v>15811</v>
      </c>
      <c r="C249" s="20">
        <v>10121</v>
      </c>
      <c r="D249" s="20" t="e">
        <f>VLOOKUP(C249,[1]CHILDCARE_FACILITIES!AJ:AK,2,0)</f>
        <v>#N/A</v>
      </c>
      <c r="E249" s="20" t="s">
        <v>15134</v>
      </c>
      <c r="F249" s="20" t="s">
        <v>15135</v>
      </c>
      <c r="G249" s="20">
        <v>113010001</v>
      </c>
      <c r="H249" s="20" t="s">
        <v>15138</v>
      </c>
      <c r="I249" s="20" t="b">
        <v>1</v>
      </c>
      <c r="J249" s="20" t="s">
        <v>17437</v>
      </c>
      <c r="K249" s="20">
        <v>10121</v>
      </c>
      <c r="L249" s="20" t="s">
        <v>17308</v>
      </c>
      <c r="M249" s="20" t="s">
        <v>17436</v>
      </c>
    </row>
    <row r="250" spans="1:13" x14ac:dyDescent="0.25">
      <c r="A250" s="20">
        <v>93012</v>
      </c>
      <c r="B250" s="20" t="s">
        <v>16957</v>
      </c>
      <c r="C250" s="20">
        <v>93012</v>
      </c>
      <c r="D250" s="20" t="str">
        <f>VLOOKUP(C250,[1]CHILDCARE_FACILITIES!AJ:AK,2,0)</f>
        <v>CDC-17248</v>
      </c>
      <c r="E250" s="20" t="s">
        <v>15134</v>
      </c>
      <c r="F250" s="20" t="s">
        <v>15135</v>
      </c>
      <c r="G250" s="20">
        <v>73325001</v>
      </c>
      <c r="K250" s="20">
        <v>93012</v>
      </c>
    </row>
    <row r="251" spans="1:13" x14ac:dyDescent="0.25">
      <c r="A251" s="20">
        <v>92694</v>
      </c>
      <c r="B251" s="20" t="s">
        <v>16897</v>
      </c>
      <c r="C251" s="20">
        <v>92694</v>
      </c>
      <c r="D251" s="20" t="e">
        <f>VLOOKUP(C251,[1]CHILDCARE_FACILITIES!AJ:AK,2,0)</f>
        <v>#N/A</v>
      </c>
      <c r="E251" s="20" t="s">
        <v>15134</v>
      </c>
      <c r="F251" s="20" t="s">
        <v>15135</v>
      </c>
      <c r="G251" s="20">
        <v>73314000</v>
      </c>
      <c r="H251" s="20" t="s">
        <v>15136</v>
      </c>
      <c r="I251" s="20" t="b">
        <v>1</v>
      </c>
      <c r="J251" s="20" t="s">
        <v>17391</v>
      </c>
      <c r="K251" s="20">
        <v>92694</v>
      </c>
      <c r="L251" s="20" t="s">
        <v>17216</v>
      </c>
      <c r="M251" s="20" t="s">
        <v>17392</v>
      </c>
    </row>
    <row r="252" spans="1:13" x14ac:dyDescent="0.25">
      <c r="A252" s="20">
        <v>92694</v>
      </c>
      <c r="B252" s="20" t="s">
        <v>16897</v>
      </c>
      <c r="C252" s="20">
        <v>92694</v>
      </c>
      <c r="D252" s="20" t="e">
        <f>VLOOKUP(C252,[1]CHILDCARE_FACILITIES!AJ:AK,2,0)</f>
        <v>#N/A</v>
      </c>
      <c r="E252" s="20" t="s">
        <v>15134</v>
      </c>
      <c r="F252" s="20" t="s">
        <v>15135</v>
      </c>
      <c r="G252" s="20">
        <v>73314000</v>
      </c>
      <c r="H252" s="20" t="s">
        <v>15138</v>
      </c>
      <c r="I252" s="20" t="b">
        <v>1</v>
      </c>
      <c r="J252" s="20" t="s">
        <v>17393</v>
      </c>
      <c r="K252" s="20">
        <v>92694</v>
      </c>
      <c r="L252" s="20" t="s">
        <v>17216</v>
      </c>
      <c r="M252" s="20" t="s">
        <v>17392</v>
      </c>
    </row>
    <row r="253" spans="1:13" x14ac:dyDescent="0.25">
      <c r="A253" s="20">
        <v>79251</v>
      </c>
      <c r="B253" s="20" t="s">
        <v>15908</v>
      </c>
      <c r="C253" s="20">
        <v>79251</v>
      </c>
      <c r="D253" s="20" t="e">
        <f>VLOOKUP(C253,[1]CHILDCARE_FACILITIES!AJ:AK,2,0)</f>
        <v>#N/A</v>
      </c>
      <c r="E253" s="20" t="s">
        <v>15134</v>
      </c>
      <c r="F253" s="20" t="s">
        <v>15135</v>
      </c>
      <c r="G253" s="20">
        <v>73451001</v>
      </c>
      <c r="H253" s="20" t="s">
        <v>15145</v>
      </c>
      <c r="I253" s="20" t="b">
        <v>1</v>
      </c>
      <c r="J253" s="20" t="s">
        <v>17438</v>
      </c>
      <c r="K253" s="20">
        <v>79251</v>
      </c>
      <c r="L253" s="20" t="s">
        <v>17213</v>
      </c>
      <c r="M253" s="20" t="s">
        <v>17439</v>
      </c>
    </row>
    <row r="254" spans="1:13" x14ac:dyDescent="0.25">
      <c r="A254" s="20">
        <v>79251</v>
      </c>
      <c r="B254" s="20" t="s">
        <v>15908</v>
      </c>
      <c r="C254" s="20">
        <v>79251</v>
      </c>
      <c r="D254" s="20" t="e">
        <f>VLOOKUP(C254,[1]CHILDCARE_FACILITIES!AJ:AK,2,0)</f>
        <v>#N/A</v>
      </c>
      <c r="E254" s="20" t="s">
        <v>15134</v>
      </c>
      <c r="F254" s="20" t="s">
        <v>15135</v>
      </c>
      <c r="G254" s="20">
        <v>73451001</v>
      </c>
      <c r="H254" s="20" t="s">
        <v>15138</v>
      </c>
      <c r="I254" s="20" t="b">
        <v>1</v>
      </c>
      <c r="J254" s="20" t="s">
        <v>17438</v>
      </c>
      <c r="K254" s="20">
        <v>79251</v>
      </c>
      <c r="L254" s="20" t="s">
        <v>17213</v>
      </c>
      <c r="M254" s="20" t="s">
        <v>17439</v>
      </c>
    </row>
    <row r="255" spans="1:13" x14ac:dyDescent="0.25">
      <c r="A255" s="20">
        <v>81193</v>
      </c>
      <c r="B255" s="20" t="s">
        <v>16259</v>
      </c>
      <c r="C255" s="20">
        <v>81193</v>
      </c>
      <c r="D255" s="20" t="e">
        <f>VLOOKUP(C255,[1]CHILDCARE_FACILITIES!AJ:AK,2,0)</f>
        <v>#N/A</v>
      </c>
      <c r="E255" s="20" t="s">
        <v>15134</v>
      </c>
      <c r="F255" s="20" t="s">
        <v>15135</v>
      </c>
      <c r="G255" s="20">
        <v>103122000</v>
      </c>
      <c r="H255" s="20" t="s">
        <v>15145</v>
      </c>
      <c r="I255" s="20" t="b">
        <v>1</v>
      </c>
      <c r="J255" s="20" t="s">
        <v>17440</v>
      </c>
      <c r="K255" s="20">
        <v>81193</v>
      </c>
      <c r="L255" s="20" t="s">
        <v>17271</v>
      </c>
      <c r="M255" s="20" t="s">
        <v>17441</v>
      </c>
    </row>
    <row r="256" spans="1:13" x14ac:dyDescent="0.25">
      <c r="A256" s="20">
        <v>81193</v>
      </c>
      <c r="B256" s="20" t="s">
        <v>16259</v>
      </c>
      <c r="C256" s="20">
        <v>81193</v>
      </c>
      <c r="D256" s="20" t="e">
        <f>VLOOKUP(C256,[1]CHILDCARE_FACILITIES!AJ:AK,2,0)</f>
        <v>#N/A</v>
      </c>
      <c r="E256" s="20" t="s">
        <v>15134</v>
      </c>
      <c r="F256" s="20" t="s">
        <v>15135</v>
      </c>
      <c r="G256" s="20">
        <v>103122000</v>
      </c>
      <c r="H256" s="20" t="s">
        <v>15138</v>
      </c>
      <c r="I256" s="20" t="b">
        <v>1</v>
      </c>
      <c r="J256" s="20" t="s">
        <v>17440</v>
      </c>
      <c r="K256" s="20">
        <v>81193</v>
      </c>
      <c r="L256" s="20" t="s">
        <v>17271</v>
      </c>
      <c r="M256" s="20" t="s">
        <v>17441</v>
      </c>
    </row>
    <row r="257" spans="1:13" x14ac:dyDescent="0.25">
      <c r="A257" s="20">
        <v>81194</v>
      </c>
      <c r="B257" s="20" t="s">
        <v>16259</v>
      </c>
      <c r="C257" s="20">
        <v>81194</v>
      </c>
      <c r="D257" s="20" t="str">
        <f>VLOOKUP(C257,[1]CHILDCARE_FACILITIES!AJ:AK,2,0)</f>
        <v>CDC-10741</v>
      </c>
      <c r="E257" s="20" t="s">
        <v>15134</v>
      </c>
      <c r="F257" s="20" t="s">
        <v>15135</v>
      </c>
      <c r="G257" s="20">
        <v>103122001</v>
      </c>
      <c r="H257" s="20" t="s">
        <v>15145</v>
      </c>
      <c r="I257" s="20" t="b">
        <v>1</v>
      </c>
      <c r="J257" s="20" t="s">
        <v>17440</v>
      </c>
      <c r="K257" s="20">
        <v>81194</v>
      </c>
      <c r="L257" s="20" t="s">
        <v>17271</v>
      </c>
      <c r="M257" s="20" t="s">
        <v>17441</v>
      </c>
    </row>
    <row r="258" spans="1:13" x14ac:dyDescent="0.25">
      <c r="A258" s="20">
        <v>81194</v>
      </c>
      <c r="B258" s="20" t="s">
        <v>16259</v>
      </c>
      <c r="C258" s="20">
        <v>81194</v>
      </c>
      <c r="D258" s="20" t="str">
        <f>VLOOKUP(C258,[1]CHILDCARE_FACILITIES!AJ:AK,2,0)</f>
        <v>CDC-10741</v>
      </c>
      <c r="E258" s="20" t="s">
        <v>15134</v>
      </c>
      <c r="F258" s="20" t="s">
        <v>15135</v>
      </c>
      <c r="G258" s="20">
        <v>103122001</v>
      </c>
      <c r="H258" s="20" t="s">
        <v>15138</v>
      </c>
      <c r="I258" s="20" t="b">
        <v>1</v>
      </c>
      <c r="J258" s="20" t="s">
        <v>17440</v>
      </c>
      <c r="K258" s="20">
        <v>81194</v>
      </c>
      <c r="L258" s="20" t="s">
        <v>17271</v>
      </c>
      <c r="M258" s="20" t="s">
        <v>17441</v>
      </c>
    </row>
    <row r="259" spans="1:13" x14ac:dyDescent="0.25">
      <c r="A259" s="20">
        <v>87057</v>
      </c>
      <c r="B259" s="20" t="s">
        <v>16327</v>
      </c>
      <c r="C259" s="20">
        <v>87057</v>
      </c>
      <c r="D259" s="20" t="e">
        <f>VLOOKUP(C259,[1]CHILDCARE_FACILITIES!AJ:AK,2,0)</f>
        <v>#N/A</v>
      </c>
      <c r="E259" s="20" t="s">
        <v>15134</v>
      </c>
      <c r="F259" s="20" t="s">
        <v>15135</v>
      </c>
      <c r="G259" s="20">
        <v>73523001</v>
      </c>
      <c r="H259" s="20" t="s">
        <v>15145</v>
      </c>
      <c r="I259" s="20" t="b">
        <v>1</v>
      </c>
      <c r="J259" s="20" t="s">
        <v>17442</v>
      </c>
      <c r="K259" s="20">
        <v>87057</v>
      </c>
      <c r="L259" s="20" t="s">
        <v>17213</v>
      </c>
      <c r="M259" s="20" t="s">
        <v>17443</v>
      </c>
    </row>
    <row r="260" spans="1:13" x14ac:dyDescent="0.25">
      <c r="A260" s="20">
        <v>87057</v>
      </c>
      <c r="B260" s="20" t="s">
        <v>16327</v>
      </c>
      <c r="C260" s="20">
        <v>87057</v>
      </c>
      <c r="D260" s="20" t="e">
        <f>VLOOKUP(C260,[1]CHILDCARE_FACILITIES!AJ:AK,2,0)</f>
        <v>#N/A</v>
      </c>
      <c r="E260" s="20" t="s">
        <v>15134</v>
      </c>
      <c r="F260" s="20" t="s">
        <v>15135</v>
      </c>
      <c r="G260" s="20">
        <v>73523001</v>
      </c>
      <c r="H260" s="20" t="s">
        <v>15138</v>
      </c>
      <c r="I260" s="20" t="b">
        <v>1</v>
      </c>
      <c r="J260" s="20" t="s">
        <v>17442</v>
      </c>
      <c r="K260" s="20">
        <v>87057</v>
      </c>
      <c r="L260" s="20" t="s">
        <v>17213</v>
      </c>
      <c r="M260" s="20" t="s">
        <v>17443</v>
      </c>
    </row>
    <row r="261" spans="1:13" x14ac:dyDescent="0.25">
      <c r="A261" s="20">
        <v>93014</v>
      </c>
      <c r="B261" s="20" t="s">
        <v>16961</v>
      </c>
      <c r="C261" s="20">
        <v>93014</v>
      </c>
      <c r="D261" s="20" t="e">
        <f>VLOOKUP(C261,[1]CHILDCARE_FACILITIES!AJ:AK,2,0)</f>
        <v>#N/A</v>
      </c>
      <c r="E261" s="20" t="s">
        <v>15134</v>
      </c>
      <c r="F261" s="20" t="s">
        <v>15135</v>
      </c>
      <c r="G261" s="20">
        <v>143030000</v>
      </c>
      <c r="H261" s="20" t="s">
        <v>15136</v>
      </c>
      <c r="I261" s="20" t="b">
        <v>0</v>
      </c>
      <c r="J261" s="20" t="s">
        <v>17444</v>
      </c>
      <c r="K261" s="20">
        <v>93014</v>
      </c>
      <c r="L261" s="20" t="s">
        <v>17445</v>
      </c>
      <c r="M261" s="20" t="s">
        <v>17446</v>
      </c>
    </row>
    <row r="262" spans="1:13" x14ac:dyDescent="0.25">
      <c r="A262" s="20">
        <v>93014</v>
      </c>
      <c r="B262" s="20" t="s">
        <v>16961</v>
      </c>
      <c r="C262" s="20">
        <v>93014</v>
      </c>
      <c r="D262" s="20" t="e">
        <f>VLOOKUP(C262,[1]CHILDCARE_FACILITIES!AJ:AK,2,0)</f>
        <v>#N/A</v>
      </c>
      <c r="E262" s="20" t="s">
        <v>15134</v>
      </c>
      <c r="F262" s="20" t="s">
        <v>15135</v>
      </c>
      <c r="G262" s="20">
        <v>143030000</v>
      </c>
      <c r="H262" s="20" t="s">
        <v>15138</v>
      </c>
      <c r="I262" s="20" t="b">
        <v>1</v>
      </c>
      <c r="J262" s="20" t="s">
        <v>17447</v>
      </c>
      <c r="K262" s="20">
        <v>93014</v>
      </c>
      <c r="L262" s="20" t="s">
        <v>17335</v>
      </c>
      <c r="M262" s="20" t="s">
        <v>17448</v>
      </c>
    </row>
    <row r="263" spans="1:13" x14ac:dyDescent="0.25">
      <c r="A263" s="20">
        <v>93015</v>
      </c>
      <c r="B263" s="20" t="s">
        <v>16961</v>
      </c>
      <c r="C263" s="20">
        <v>93015</v>
      </c>
      <c r="D263" s="20" t="str">
        <f>VLOOKUP(C263,[1]CHILDCARE_FACILITIES!AJ:AK,2,0)</f>
        <v>CDC-17319</v>
      </c>
      <c r="E263" s="20" t="s">
        <v>15134</v>
      </c>
      <c r="F263" s="20" t="s">
        <v>15135</v>
      </c>
      <c r="G263" s="20">
        <v>143030001</v>
      </c>
      <c r="K263" s="20">
        <v>93015</v>
      </c>
    </row>
    <row r="264" spans="1:13" x14ac:dyDescent="0.25">
      <c r="A264" s="20">
        <v>1000134</v>
      </c>
      <c r="B264" s="20" t="s">
        <v>17103</v>
      </c>
      <c r="C264" s="20">
        <v>1000134</v>
      </c>
      <c r="D264" s="20" t="str">
        <f>VLOOKUP(C264,[1]CHILDCARE_FACILITIES!AJ:AK,2,0)</f>
        <v>CDC-18430</v>
      </c>
      <c r="E264" s="20" t="s">
        <v>15134</v>
      </c>
      <c r="F264" s="20" t="s">
        <v>15135</v>
      </c>
      <c r="G264" s="20">
        <v>143030002</v>
      </c>
      <c r="H264" s="20" t="s">
        <v>15136</v>
      </c>
      <c r="I264" s="20" t="b">
        <v>1</v>
      </c>
      <c r="J264" s="20" t="s">
        <v>17449</v>
      </c>
      <c r="K264" s="20">
        <v>1000134</v>
      </c>
      <c r="L264" s="20" t="s">
        <v>17335</v>
      </c>
      <c r="M264" s="20" t="s">
        <v>17450</v>
      </c>
    </row>
    <row r="265" spans="1:13" x14ac:dyDescent="0.25">
      <c r="A265" s="20">
        <v>1000134</v>
      </c>
      <c r="B265" s="20" t="s">
        <v>17103</v>
      </c>
      <c r="C265" s="20">
        <v>1000134</v>
      </c>
      <c r="D265" s="20" t="str">
        <f>VLOOKUP(C265,[1]CHILDCARE_FACILITIES!AJ:AK,2,0)</f>
        <v>CDC-18430</v>
      </c>
      <c r="E265" s="20" t="s">
        <v>15134</v>
      </c>
      <c r="F265" s="20" t="s">
        <v>15135</v>
      </c>
      <c r="G265" s="20">
        <v>143030002</v>
      </c>
      <c r="H265" s="20" t="s">
        <v>15138</v>
      </c>
      <c r="I265" s="20" t="b">
        <v>1</v>
      </c>
      <c r="J265" s="20" t="s">
        <v>17449</v>
      </c>
      <c r="K265" s="20">
        <v>1000134</v>
      </c>
      <c r="L265" s="20" t="s">
        <v>17335</v>
      </c>
      <c r="M265" s="20" t="s">
        <v>17450</v>
      </c>
    </row>
    <row r="266" spans="1:13" x14ac:dyDescent="0.25">
      <c r="A266" s="20">
        <v>9361</v>
      </c>
      <c r="B266" s="20" t="s">
        <v>15487</v>
      </c>
      <c r="C266" s="20">
        <v>9361</v>
      </c>
      <c r="D266" s="20" t="e">
        <f>VLOOKUP(C266,[1]CHILDCARE_FACILITIES!AJ:AK,2,0)</f>
        <v>#N/A</v>
      </c>
      <c r="E266" s="20" t="s">
        <v>15134</v>
      </c>
      <c r="F266" s="20" t="s">
        <v>15135</v>
      </c>
      <c r="G266" s="20">
        <v>73226001</v>
      </c>
      <c r="K266" s="20">
        <v>9361</v>
      </c>
    </row>
    <row r="267" spans="1:13" x14ac:dyDescent="0.25">
      <c r="A267" s="20">
        <v>90357</v>
      </c>
      <c r="B267" s="20" t="s">
        <v>16589</v>
      </c>
      <c r="C267" s="20">
        <v>90357</v>
      </c>
      <c r="D267" s="20" t="e">
        <f>VLOOKUP(C267,[1]CHILDCARE_FACILITIES!AJ:AK,2,0)</f>
        <v>#N/A</v>
      </c>
      <c r="E267" s="20" t="s">
        <v>15134</v>
      </c>
      <c r="F267" s="20" t="s">
        <v>15135</v>
      </c>
      <c r="G267" s="20">
        <v>73587001</v>
      </c>
      <c r="H267" s="20" t="s">
        <v>15136</v>
      </c>
      <c r="I267" s="20" t="b">
        <v>1</v>
      </c>
      <c r="J267" s="20" t="s">
        <v>17451</v>
      </c>
      <c r="K267" s="20">
        <v>90357</v>
      </c>
      <c r="L267" s="20" t="s">
        <v>17213</v>
      </c>
      <c r="M267" s="20" t="s">
        <v>17452</v>
      </c>
    </row>
    <row r="268" spans="1:13" x14ac:dyDescent="0.25">
      <c r="A268" s="20">
        <v>90357</v>
      </c>
      <c r="B268" s="20" t="s">
        <v>16589</v>
      </c>
      <c r="C268" s="20">
        <v>90357</v>
      </c>
      <c r="D268" s="20" t="e">
        <f>VLOOKUP(C268,[1]CHILDCARE_FACILITIES!AJ:AK,2,0)</f>
        <v>#N/A</v>
      </c>
      <c r="E268" s="20" t="s">
        <v>15134</v>
      </c>
      <c r="F268" s="20" t="s">
        <v>15135</v>
      </c>
      <c r="G268" s="20">
        <v>73587001</v>
      </c>
      <c r="H268" s="20" t="s">
        <v>15138</v>
      </c>
      <c r="I268" s="20" t="b">
        <v>1</v>
      </c>
      <c r="J268" s="20" t="s">
        <v>17451</v>
      </c>
      <c r="K268" s="20">
        <v>90357</v>
      </c>
      <c r="L268" s="20" t="s">
        <v>17213</v>
      </c>
      <c r="M268" s="20" t="s">
        <v>17452</v>
      </c>
    </row>
    <row r="269" spans="1:13" x14ac:dyDescent="0.25">
      <c r="A269" s="20">
        <v>90357</v>
      </c>
      <c r="B269" s="20" t="s">
        <v>16589</v>
      </c>
      <c r="C269" s="20">
        <v>90357</v>
      </c>
      <c r="D269" s="20" t="e">
        <f>VLOOKUP(C269,[1]CHILDCARE_FACILITIES!AJ:AK,2,0)</f>
        <v>#N/A</v>
      </c>
      <c r="E269" s="20" t="s">
        <v>15134</v>
      </c>
      <c r="F269" s="20" t="s">
        <v>15135</v>
      </c>
      <c r="G269" s="20">
        <v>73587001</v>
      </c>
      <c r="H269" s="20" t="s">
        <v>15145</v>
      </c>
      <c r="I269" s="20" t="b">
        <v>0</v>
      </c>
      <c r="J269" s="20" t="s">
        <v>17453</v>
      </c>
      <c r="K269" s="20">
        <v>90357</v>
      </c>
      <c r="L269" s="20" t="s">
        <v>17228</v>
      </c>
      <c r="M269" s="20" t="s">
        <v>17454</v>
      </c>
    </row>
    <row r="270" spans="1:13" x14ac:dyDescent="0.25">
      <c r="A270" s="20">
        <v>9282</v>
      </c>
      <c r="B270" s="20" t="s">
        <v>15448</v>
      </c>
      <c r="C270" s="20">
        <v>9282</v>
      </c>
      <c r="D270" s="20" t="str">
        <f>VLOOKUP(C270,[1]CHILDCARE_FACILITIES!AJ:AK,2,0)</f>
        <v>CDC-1192</v>
      </c>
      <c r="E270" s="20" t="s">
        <v>15134</v>
      </c>
      <c r="F270" s="20" t="s">
        <v>15135</v>
      </c>
      <c r="G270" s="20">
        <v>73197002</v>
      </c>
      <c r="K270" s="20">
        <v>9282</v>
      </c>
    </row>
    <row r="271" spans="1:13" x14ac:dyDescent="0.25">
      <c r="A271" s="20">
        <v>10143</v>
      </c>
      <c r="B271" s="20" t="s">
        <v>15448</v>
      </c>
      <c r="C271" s="20">
        <v>10143</v>
      </c>
      <c r="D271" s="20" t="e">
        <f>VLOOKUP(C271,[1]CHILDCARE_FACILITIES!AJ:AK,2,0)</f>
        <v>#N/A</v>
      </c>
      <c r="E271" s="20" t="s">
        <v>15134</v>
      </c>
      <c r="F271" s="20" t="s">
        <v>15135</v>
      </c>
      <c r="G271" s="20">
        <v>133010001</v>
      </c>
      <c r="K271" s="20">
        <v>10143</v>
      </c>
    </row>
    <row r="272" spans="1:13" x14ac:dyDescent="0.25">
      <c r="A272" s="20">
        <v>90073</v>
      </c>
      <c r="B272" s="20" t="s">
        <v>16524</v>
      </c>
      <c r="C272" s="20">
        <v>90073</v>
      </c>
      <c r="D272" s="20" t="e">
        <f>VLOOKUP(C272,[1]CHILDCARE_FACILITIES!AJ:AK,2,0)</f>
        <v>#N/A</v>
      </c>
      <c r="E272" s="20" t="s">
        <v>15134</v>
      </c>
      <c r="F272" s="20" t="s">
        <v>15135</v>
      </c>
      <c r="G272" s="20">
        <v>143022001</v>
      </c>
      <c r="H272" s="20" t="s">
        <v>15145</v>
      </c>
      <c r="I272" s="20" t="b">
        <v>1</v>
      </c>
      <c r="J272" s="20" t="s">
        <v>17455</v>
      </c>
      <c r="K272" s="20">
        <v>90073</v>
      </c>
      <c r="L272" s="20" t="s">
        <v>17335</v>
      </c>
      <c r="M272" s="20" t="s">
        <v>17456</v>
      </c>
    </row>
    <row r="273" spans="1:13" x14ac:dyDescent="0.25">
      <c r="A273" s="20">
        <v>90073</v>
      </c>
      <c r="B273" s="20" t="s">
        <v>16524</v>
      </c>
      <c r="C273" s="20">
        <v>90073</v>
      </c>
      <c r="D273" s="20" t="e">
        <f>VLOOKUP(C273,[1]CHILDCARE_FACILITIES!AJ:AK,2,0)</f>
        <v>#N/A</v>
      </c>
      <c r="E273" s="20" t="s">
        <v>15134</v>
      </c>
      <c r="F273" s="20" t="s">
        <v>15135</v>
      </c>
      <c r="G273" s="20">
        <v>143022001</v>
      </c>
      <c r="H273" s="20" t="s">
        <v>15138</v>
      </c>
      <c r="I273" s="20" t="b">
        <v>1</v>
      </c>
      <c r="J273" s="20" t="s">
        <v>17455</v>
      </c>
      <c r="K273" s="20">
        <v>90073</v>
      </c>
      <c r="L273" s="20" t="s">
        <v>17335</v>
      </c>
      <c r="M273" s="20" t="s">
        <v>17456</v>
      </c>
    </row>
    <row r="274" spans="1:13" x14ac:dyDescent="0.25">
      <c r="A274" s="20">
        <v>90072</v>
      </c>
      <c r="B274" s="20" t="s">
        <v>16522</v>
      </c>
      <c r="C274" s="20">
        <v>90072</v>
      </c>
      <c r="D274" s="20" t="e">
        <f>VLOOKUP(C274,[1]CHILDCARE_FACILITIES!AJ:AK,2,0)</f>
        <v>#N/A</v>
      </c>
      <c r="E274" s="20" t="s">
        <v>15134</v>
      </c>
      <c r="F274" s="20" t="s">
        <v>15135</v>
      </c>
      <c r="G274" s="20">
        <v>143022000</v>
      </c>
      <c r="H274" s="20" t="s">
        <v>15138</v>
      </c>
      <c r="I274" s="20" t="b">
        <v>1</v>
      </c>
      <c r="J274" s="20" t="s">
        <v>17455</v>
      </c>
      <c r="K274" s="20">
        <v>90072</v>
      </c>
      <c r="L274" s="20" t="s">
        <v>17335</v>
      </c>
      <c r="M274" s="20" t="s">
        <v>17456</v>
      </c>
    </row>
    <row r="275" spans="1:13" x14ac:dyDescent="0.25">
      <c r="A275" s="20">
        <v>90072</v>
      </c>
      <c r="B275" s="20" t="s">
        <v>16522</v>
      </c>
      <c r="C275" s="20">
        <v>90072</v>
      </c>
      <c r="D275" s="20" t="e">
        <f>VLOOKUP(C275,[1]CHILDCARE_FACILITIES!AJ:AK,2,0)</f>
        <v>#N/A</v>
      </c>
      <c r="E275" s="20" t="s">
        <v>15134</v>
      </c>
      <c r="F275" s="20" t="s">
        <v>15135</v>
      </c>
      <c r="G275" s="20">
        <v>143022000</v>
      </c>
      <c r="H275" s="20" t="s">
        <v>15136</v>
      </c>
      <c r="I275" s="20" t="b">
        <v>1</v>
      </c>
      <c r="J275" s="20" t="s">
        <v>17455</v>
      </c>
      <c r="K275" s="20">
        <v>90072</v>
      </c>
      <c r="L275" s="20" t="s">
        <v>17335</v>
      </c>
      <c r="M275" s="20" t="s">
        <v>17456</v>
      </c>
    </row>
    <row r="276" spans="1:13" x14ac:dyDescent="0.25">
      <c r="A276" s="20">
        <v>79348</v>
      </c>
      <c r="B276" s="20" t="s">
        <v>15948</v>
      </c>
      <c r="C276" s="20">
        <v>79348</v>
      </c>
      <c r="D276" s="20" t="e">
        <f>VLOOKUP(C276,[1]CHILDCARE_FACILITIES!AJ:AK,2,0)</f>
        <v>#N/A</v>
      </c>
      <c r="E276" s="20" t="s">
        <v>15134</v>
      </c>
      <c r="F276" s="20" t="s">
        <v>15135</v>
      </c>
      <c r="G276" s="20">
        <v>72425016</v>
      </c>
      <c r="H276" s="20" t="s">
        <v>15145</v>
      </c>
      <c r="I276" s="20" t="b">
        <v>1</v>
      </c>
      <c r="J276" s="20" t="s">
        <v>17457</v>
      </c>
      <c r="K276" s="20">
        <v>79348</v>
      </c>
      <c r="L276" s="20" t="s">
        <v>17213</v>
      </c>
      <c r="M276" s="20" t="s">
        <v>17458</v>
      </c>
    </row>
    <row r="277" spans="1:13" x14ac:dyDescent="0.25">
      <c r="A277" s="20">
        <v>79348</v>
      </c>
      <c r="B277" s="20" t="s">
        <v>15948</v>
      </c>
      <c r="C277" s="20">
        <v>79348</v>
      </c>
      <c r="D277" s="20" t="e">
        <f>VLOOKUP(C277,[1]CHILDCARE_FACILITIES!AJ:AK,2,0)</f>
        <v>#N/A</v>
      </c>
      <c r="E277" s="20" t="s">
        <v>15134</v>
      </c>
      <c r="F277" s="20" t="s">
        <v>15135</v>
      </c>
      <c r="G277" s="20">
        <v>72425016</v>
      </c>
      <c r="H277" s="20" t="s">
        <v>15138</v>
      </c>
      <c r="I277" s="20" t="b">
        <v>1</v>
      </c>
      <c r="J277" s="20" t="s">
        <v>17457</v>
      </c>
      <c r="K277" s="20">
        <v>79348</v>
      </c>
      <c r="L277" s="20" t="s">
        <v>17213</v>
      </c>
      <c r="M277" s="20" t="s">
        <v>17458</v>
      </c>
    </row>
    <row r="278" spans="1:13" x14ac:dyDescent="0.25">
      <c r="A278" s="20">
        <v>8766</v>
      </c>
      <c r="B278" s="20" t="s">
        <v>15260</v>
      </c>
      <c r="C278" s="20">
        <v>8766</v>
      </c>
      <c r="D278" s="20" t="e">
        <f>VLOOKUP(C278,[1]CHILDCARE_FACILITIES!AJ:AK,2,0)</f>
        <v>#N/A</v>
      </c>
      <c r="E278" s="20" t="s">
        <v>15134</v>
      </c>
      <c r="F278" s="20" t="s">
        <v>15135</v>
      </c>
      <c r="G278" s="20">
        <v>72404004</v>
      </c>
      <c r="K278" s="20">
        <v>8766</v>
      </c>
    </row>
    <row r="279" spans="1:13" x14ac:dyDescent="0.25">
      <c r="A279" s="20">
        <v>9094</v>
      </c>
      <c r="B279" s="20" t="s">
        <v>15355</v>
      </c>
      <c r="C279" s="20">
        <v>9094</v>
      </c>
      <c r="D279" s="20" t="e">
        <f>VLOOKUP(C279,[1]CHILDCARE_FACILITIES!AJ:AK,2,0)</f>
        <v>#N/A</v>
      </c>
      <c r="E279" s="20" t="s">
        <v>15134</v>
      </c>
      <c r="F279" s="20" t="s">
        <v>15135</v>
      </c>
      <c r="G279" s="20">
        <v>73071000</v>
      </c>
      <c r="H279" s="20" t="s">
        <v>15136</v>
      </c>
      <c r="I279" s="20" t="b">
        <v>1</v>
      </c>
      <c r="J279" s="20" t="s">
        <v>17459</v>
      </c>
      <c r="K279" s="20">
        <v>9094</v>
      </c>
      <c r="L279" s="20" t="s">
        <v>17216</v>
      </c>
      <c r="M279" s="20" t="s">
        <v>17460</v>
      </c>
    </row>
    <row r="280" spans="1:13" x14ac:dyDescent="0.25">
      <c r="A280" s="20">
        <v>9094</v>
      </c>
      <c r="B280" s="20" t="s">
        <v>15355</v>
      </c>
      <c r="C280" s="20">
        <v>9094</v>
      </c>
      <c r="D280" s="20" t="e">
        <f>VLOOKUP(C280,[1]CHILDCARE_FACILITIES!AJ:AK,2,0)</f>
        <v>#N/A</v>
      </c>
      <c r="E280" s="20" t="s">
        <v>15134</v>
      </c>
      <c r="F280" s="20" t="s">
        <v>15135</v>
      </c>
      <c r="G280" s="20">
        <v>73071000</v>
      </c>
      <c r="H280" s="20" t="s">
        <v>15138</v>
      </c>
      <c r="I280" s="20" t="b">
        <v>1</v>
      </c>
      <c r="J280" s="20" t="s">
        <v>17459</v>
      </c>
      <c r="K280" s="20">
        <v>9094</v>
      </c>
      <c r="L280" s="20" t="s">
        <v>17216</v>
      </c>
      <c r="M280" s="20" t="s">
        <v>17460</v>
      </c>
    </row>
    <row r="281" spans="1:13" x14ac:dyDescent="0.25">
      <c r="A281" s="20">
        <v>9041</v>
      </c>
      <c r="B281" s="20" t="s">
        <v>15332</v>
      </c>
      <c r="C281" s="20">
        <v>9041</v>
      </c>
      <c r="D281" s="20" t="e">
        <f>VLOOKUP(C281,[1]CHILDCARE_FACILITIES!AJ:AK,2,0)</f>
        <v>#N/A</v>
      </c>
      <c r="E281" s="20" t="s">
        <v>15134</v>
      </c>
      <c r="F281" s="20" t="s">
        <v>15135</v>
      </c>
      <c r="G281" s="20">
        <v>73036001</v>
      </c>
      <c r="K281" s="20">
        <v>9041</v>
      </c>
    </row>
    <row r="282" spans="1:13" x14ac:dyDescent="0.25">
      <c r="A282" s="20">
        <v>84280</v>
      </c>
      <c r="B282" s="20" t="s">
        <v>15332</v>
      </c>
      <c r="C282" s="20">
        <v>84280</v>
      </c>
      <c r="D282" s="20" t="e">
        <f>VLOOKUP(C282,[1]CHILDCARE_FACILITIES!AJ:AK,2,0)</f>
        <v>#N/A</v>
      </c>
      <c r="E282" s="20" t="s">
        <v>15134</v>
      </c>
      <c r="F282" s="20" t="s">
        <v>15135</v>
      </c>
      <c r="G282" s="20">
        <v>73499001</v>
      </c>
      <c r="H282" s="20" t="s">
        <v>15138</v>
      </c>
      <c r="I282" s="20" t="b">
        <v>1</v>
      </c>
      <c r="J282" s="20" t="s">
        <v>17461</v>
      </c>
      <c r="K282" s="20">
        <v>84280</v>
      </c>
      <c r="L282" s="20" t="s">
        <v>17213</v>
      </c>
      <c r="M282" s="20" t="s">
        <v>17462</v>
      </c>
    </row>
    <row r="283" spans="1:13" x14ac:dyDescent="0.25">
      <c r="A283" s="20">
        <v>84280</v>
      </c>
      <c r="B283" s="20" t="s">
        <v>15332</v>
      </c>
      <c r="C283" s="20">
        <v>84280</v>
      </c>
      <c r="D283" s="20" t="e">
        <f>VLOOKUP(C283,[1]CHILDCARE_FACILITIES!AJ:AK,2,0)</f>
        <v>#N/A</v>
      </c>
      <c r="E283" s="20" t="s">
        <v>15134</v>
      </c>
      <c r="F283" s="20" t="s">
        <v>15135</v>
      </c>
      <c r="G283" s="20">
        <v>73499001</v>
      </c>
      <c r="H283" s="20" t="s">
        <v>15145</v>
      </c>
      <c r="I283" s="20" t="b">
        <v>1</v>
      </c>
      <c r="J283" s="20" t="s">
        <v>17463</v>
      </c>
      <c r="K283" s="20">
        <v>84280</v>
      </c>
      <c r="L283" s="20" t="s">
        <v>17312</v>
      </c>
      <c r="M283" s="20" t="s">
        <v>17464</v>
      </c>
    </row>
    <row r="284" spans="1:13" x14ac:dyDescent="0.25">
      <c r="A284" s="20">
        <v>9419</v>
      </c>
      <c r="B284" s="20" t="s">
        <v>15520</v>
      </c>
      <c r="C284" s="20">
        <v>9419</v>
      </c>
      <c r="D284" s="20" t="e">
        <f>VLOOKUP(C284,[1]CHILDCARE_FACILITIES!AJ:AK,2,0)</f>
        <v>#N/A</v>
      </c>
      <c r="E284" s="20" t="s">
        <v>15134</v>
      </c>
      <c r="F284" s="20" t="s">
        <v>15135</v>
      </c>
      <c r="G284" s="20">
        <v>73255001</v>
      </c>
      <c r="K284" s="20">
        <v>9419</v>
      </c>
    </row>
    <row r="285" spans="1:13" x14ac:dyDescent="0.25">
      <c r="A285" s="20">
        <v>9481</v>
      </c>
      <c r="B285" s="20" t="s">
        <v>15561</v>
      </c>
      <c r="C285" s="20">
        <v>9481</v>
      </c>
      <c r="D285" s="20" t="e">
        <f>VLOOKUP(C285,[1]CHILDCARE_FACILITIES!AJ:AK,2,0)</f>
        <v>#N/A</v>
      </c>
      <c r="E285" s="20" t="s">
        <v>15134</v>
      </c>
      <c r="F285" s="20" t="s">
        <v>15135</v>
      </c>
      <c r="G285" s="20">
        <v>73274001</v>
      </c>
      <c r="K285" s="20">
        <v>9481</v>
      </c>
    </row>
    <row r="286" spans="1:13" x14ac:dyDescent="0.25">
      <c r="A286" s="20">
        <v>9482</v>
      </c>
      <c r="B286" s="20" t="s">
        <v>15562</v>
      </c>
      <c r="C286" s="20">
        <v>9482</v>
      </c>
      <c r="D286" s="20" t="e">
        <f>VLOOKUP(C286,[1]CHILDCARE_FACILITIES!AJ:AK,2,0)</f>
        <v>#N/A</v>
      </c>
      <c r="E286" s="20" t="s">
        <v>15134</v>
      </c>
      <c r="F286" s="20" t="s">
        <v>15135</v>
      </c>
      <c r="G286" s="20">
        <v>73274002</v>
      </c>
      <c r="K286" s="20">
        <v>9482</v>
      </c>
    </row>
    <row r="287" spans="1:13" x14ac:dyDescent="0.25">
      <c r="A287" s="20">
        <v>9483</v>
      </c>
      <c r="B287" s="20" t="s">
        <v>15563</v>
      </c>
      <c r="C287" s="20">
        <v>9483</v>
      </c>
      <c r="D287" s="20" t="e">
        <f>VLOOKUP(C287,[1]CHILDCARE_FACILITIES!AJ:AK,2,0)</f>
        <v>#N/A</v>
      </c>
      <c r="E287" s="20" t="s">
        <v>15134</v>
      </c>
      <c r="F287" s="20" t="s">
        <v>15135</v>
      </c>
      <c r="G287" s="20">
        <v>73274003</v>
      </c>
      <c r="K287" s="20">
        <v>9483</v>
      </c>
    </row>
    <row r="288" spans="1:13" x14ac:dyDescent="0.25">
      <c r="A288" s="20">
        <v>9484</v>
      </c>
      <c r="B288" s="20" t="s">
        <v>15564</v>
      </c>
      <c r="C288" s="20">
        <v>9484</v>
      </c>
      <c r="D288" s="20" t="e">
        <f>VLOOKUP(C288,[1]CHILDCARE_FACILITIES!AJ:AK,2,0)</f>
        <v>#N/A</v>
      </c>
      <c r="E288" s="20" t="s">
        <v>15134</v>
      </c>
      <c r="F288" s="20" t="s">
        <v>15135</v>
      </c>
      <c r="G288" s="20">
        <v>73274004</v>
      </c>
      <c r="K288" s="20">
        <v>9484</v>
      </c>
    </row>
    <row r="289" spans="1:13" x14ac:dyDescent="0.25">
      <c r="A289" s="20">
        <v>9214</v>
      </c>
      <c r="B289" s="20" t="s">
        <v>15416</v>
      </c>
      <c r="C289" s="20">
        <v>9214</v>
      </c>
      <c r="D289" s="20" t="e">
        <f>VLOOKUP(C289,[1]CHILDCARE_FACILITIES!AJ:AK,2,0)</f>
        <v>#N/A</v>
      </c>
      <c r="E289" s="20" t="s">
        <v>15134</v>
      </c>
      <c r="F289" s="20" t="s">
        <v>15135</v>
      </c>
      <c r="G289" s="20">
        <v>73149001</v>
      </c>
      <c r="K289" s="20">
        <v>9214</v>
      </c>
    </row>
    <row r="290" spans="1:13" x14ac:dyDescent="0.25">
      <c r="A290" s="20">
        <v>9421</v>
      </c>
      <c r="B290" s="20" t="s">
        <v>15416</v>
      </c>
      <c r="C290" s="20">
        <v>9421</v>
      </c>
      <c r="D290" s="20" t="e">
        <f>VLOOKUP(C290,[1]CHILDCARE_FACILITIES!AJ:AK,2,0)</f>
        <v>#N/A</v>
      </c>
      <c r="E290" s="20" t="s">
        <v>15134</v>
      </c>
      <c r="F290" s="20" t="s">
        <v>15135</v>
      </c>
      <c r="G290" s="20">
        <v>73256001</v>
      </c>
      <c r="K290" s="20">
        <v>9421</v>
      </c>
    </row>
    <row r="291" spans="1:13" x14ac:dyDescent="0.25">
      <c r="A291" s="20">
        <v>9085</v>
      </c>
      <c r="B291" s="20" t="s">
        <v>15349</v>
      </c>
      <c r="C291" s="20">
        <v>9085</v>
      </c>
      <c r="D291" s="20" t="e">
        <f>VLOOKUP(C291,[1]CHILDCARE_FACILITIES!AJ:AK,2,0)</f>
        <v>#N/A</v>
      </c>
      <c r="E291" s="20" t="s">
        <v>15134</v>
      </c>
      <c r="F291" s="20" t="s">
        <v>15135</v>
      </c>
      <c r="G291" s="20">
        <v>73064001</v>
      </c>
      <c r="K291" s="20">
        <v>9085</v>
      </c>
    </row>
    <row r="292" spans="1:13" x14ac:dyDescent="0.25">
      <c r="A292" s="20">
        <v>84279</v>
      </c>
      <c r="B292" s="20" t="s">
        <v>16274</v>
      </c>
      <c r="C292" s="20">
        <v>84279</v>
      </c>
      <c r="D292" s="20" t="e">
        <f>VLOOKUP(C292,[1]CHILDCARE_FACILITIES!AJ:AK,2,0)</f>
        <v>#N/A</v>
      </c>
      <c r="E292" s="20" t="s">
        <v>15134</v>
      </c>
      <c r="F292" s="20" t="s">
        <v>15135</v>
      </c>
      <c r="G292" s="20">
        <v>73499000</v>
      </c>
      <c r="H292" s="20" t="s">
        <v>15136</v>
      </c>
      <c r="I292" s="20" t="b">
        <v>0</v>
      </c>
      <c r="J292" s="20" t="s">
        <v>17465</v>
      </c>
      <c r="K292" s="20">
        <v>84279</v>
      </c>
      <c r="L292" s="20" t="s">
        <v>17228</v>
      </c>
      <c r="M292" s="20" t="s">
        <v>17466</v>
      </c>
    </row>
    <row r="293" spans="1:13" x14ac:dyDescent="0.25">
      <c r="A293" s="20">
        <v>84279</v>
      </c>
      <c r="B293" s="20" t="s">
        <v>16274</v>
      </c>
      <c r="C293" s="20">
        <v>84279</v>
      </c>
      <c r="D293" s="20" t="e">
        <f>VLOOKUP(C293,[1]CHILDCARE_FACILITIES!AJ:AK,2,0)</f>
        <v>#N/A</v>
      </c>
      <c r="E293" s="20" t="s">
        <v>15134</v>
      </c>
      <c r="F293" s="20" t="s">
        <v>15135</v>
      </c>
      <c r="G293" s="20">
        <v>73499000</v>
      </c>
      <c r="H293" s="20" t="s">
        <v>15138</v>
      </c>
      <c r="I293" s="20" t="b">
        <v>1</v>
      </c>
      <c r="J293" s="20" t="s">
        <v>17467</v>
      </c>
      <c r="K293" s="20">
        <v>84279</v>
      </c>
      <c r="L293" s="20" t="s">
        <v>17312</v>
      </c>
      <c r="M293" s="20" t="s">
        <v>17464</v>
      </c>
    </row>
    <row r="294" spans="1:13" x14ac:dyDescent="0.25">
      <c r="A294" s="20">
        <v>9125</v>
      </c>
      <c r="B294" s="20" t="s">
        <v>15373</v>
      </c>
      <c r="C294" s="20">
        <v>9125</v>
      </c>
      <c r="D294" s="20" t="e">
        <f>VLOOKUP(C294,[1]CHILDCARE_FACILITIES!AJ:AK,2,0)</f>
        <v>#N/A</v>
      </c>
      <c r="E294" s="20" t="s">
        <v>15134</v>
      </c>
      <c r="F294" s="20" t="s">
        <v>15135</v>
      </c>
      <c r="G294" s="20">
        <v>73087001</v>
      </c>
      <c r="K294" s="20">
        <v>9125</v>
      </c>
    </row>
    <row r="295" spans="1:13" x14ac:dyDescent="0.25">
      <c r="A295" s="20">
        <v>80401</v>
      </c>
      <c r="B295" s="20" t="s">
        <v>16046</v>
      </c>
      <c r="C295" s="20">
        <v>80401</v>
      </c>
      <c r="D295" s="20" t="e">
        <f>VLOOKUP(C295,[1]CHILDCARE_FACILITIES!AJ:AK,2,0)</f>
        <v>#N/A</v>
      </c>
      <c r="E295" s="20" t="s">
        <v>15134</v>
      </c>
      <c r="F295" s="20" t="s">
        <v>15135</v>
      </c>
      <c r="G295" s="20">
        <v>73483000</v>
      </c>
      <c r="H295" s="20" t="s">
        <v>15138</v>
      </c>
      <c r="I295" s="20" t="b">
        <v>1</v>
      </c>
      <c r="J295" s="20" t="s">
        <v>17468</v>
      </c>
      <c r="K295" s="20">
        <v>80401</v>
      </c>
      <c r="L295" s="20" t="s">
        <v>17213</v>
      </c>
      <c r="M295" s="20" t="s">
        <v>17469</v>
      </c>
    </row>
    <row r="296" spans="1:13" x14ac:dyDescent="0.25">
      <c r="A296" s="20">
        <v>80401</v>
      </c>
      <c r="B296" s="20" t="s">
        <v>16046</v>
      </c>
      <c r="C296" s="20">
        <v>80401</v>
      </c>
      <c r="D296" s="20" t="e">
        <f>VLOOKUP(C296,[1]CHILDCARE_FACILITIES!AJ:AK,2,0)</f>
        <v>#N/A</v>
      </c>
      <c r="E296" s="20" t="s">
        <v>15134</v>
      </c>
      <c r="F296" s="20" t="s">
        <v>15135</v>
      </c>
      <c r="G296" s="20">
        <v>73483000</v>
      </c>
      <c r="H296" s="20" t="s">
        <v>15136</v>
      </c>
      <c r="I296" s="20" t="b">
        <v>1</v>
      </c>
      <c r="J296" s="20" t="s">
        <v>17470</v>
      </c>
      <c r="K296" s="20">
        <v>80401</v>
      </c>
      <c r="L296" s="20" t="s">
        <v>17213</v>
      </c>
      <c r="M296" s="20" t="s">
        <v>17471</v>
      </c>
    </row>
    <row r="297" spans="1:13" x14ac:dyDescent="0.25">
      <c r="A297" s="20">
        <v>9988</v>
      </c>
      <c r="B297" s="20" t="s">
        <v>15764</v>
      </c>
      <c r="C297" s="20">
        <v>9988</v>
      </c>
      <c r="D297" s="20" t="e">
        <f>VLOOKUP(C297,[1]CHILDCARE_FACILITIES!AJ:AK,2,0)</f>
        <v>#N/A</v>
      </c>
      <c r="E297" s="20" t="s">
        <v>15134</v>
      </c>
      <c r="F297" s="20" t="s">
        <v>15135</v>
      </c>
      <c r="G297" s="20">
        <v>103082000</v>
      </c>
      <c r="H297" s="20" t="s">
        <v>15136</v>
      </c>
      <c r="I297" s="20" t="b">
        <v>1</v>
      </c>
      <c r="J297" s="20" t="s">
        <v>17472</v>
      </c>
      <c r="K297" s="20">
        <v>9988</v>
      </c>
      <c r="L297" s="20" t="s">
        <v>17367</v>
      </c>
      <c r="M297" s="20" t="s">
        <v>17473</v>
      </c>
    </row>
    <row r="298" spans="1:13" x14ac:dyDescent="0.25">
      <c r="A298" s="20">
        <v>9988</v>
      </c>
      <c r="B298" s="20" t="s">
        <v>15764</v>
      </c>
      <c r="C298" s="20">
        <v>9988</v>
      </c>
      <c r="D298" s="20" t="e">
        <f>VLOOKUP(C298,[1]CHILDCARE_FACILITIES!AJ:AK,2,0)</f>
        <v>#N/A</v>
      </c>
      <c r="E298" s="20" t="s">
        <v>15134</v>
      </c>
      <c r="F298" s="20" t="s">
        <v>15135</v>
      </c>
      <c r="G298" s="20">
        <v>103082000</v>
      </c>
      <c r="H298" s="20" t="s">
        <v>15138</v>
      </c>
      <c r="I298" s="20" t="b">
        <v>1</v>
      </c>
      <c r="J298" s="20" t="s">
        <v>17472</v>
      </c>
      <c r="K298" s="20">
        <v>9988</v>
      </c>
      <c r="L298" s="20" t="s">
        <v>17367</v>
      </c>
      <c r="M298" s="20" t="s">
        <v>17473</v>
      </c>
    </row>
    <row r="299" spans="1:13" x14ac:dyDescent="0.25">
      <c r="A299" s="20">
        <v>80629</v>
      </c>
      <c r="B299" s="20" t="s">
        <v>391</v>
      </c>
      <c r="C299" s="20">
        <v>80629</v>
      </c>
      <c r="D299" s="20" t="e">
        <f>VLOOKUP(C299,[1]CHILDCARE_FACILITIES!AJ:AK,2,0)</f>
        <v>#N/A</v>
      </c>
      <c r="E299" s="20" t="s">
        <v>15134</v>
      </c>
      <c r="F299" s="20" t="s">
        <v>15135</v>
      </c>
      <c r="G299" s="20">
        <v>133021002</v>
      </c>
      <c r="H299" s="20" t="s">
        <v>15138</v>
      </c>
      <c r="I299" s="20" t="b">
        <v>1</v>
      </c>
      <c r="J299" s="20" t="s">
        <v>17474</v>
      </c>
      <c r="K299" s="20">
        <v>80629</v>
      </c>
      <c r="L299" s="20" t="s">
        <v>17475</v>
      </c>
      <c r="M299" s="20" t="s">
        <v>17476</v>
      </c>
    </row>
    <row r="300" spans="1:13" x14ac:dyDescent="0.25">
      <c r="A300" s="20">
        <v>80629</v>
      </c>
      <c r="B300" s="20" t="s">
        <v>391</v>
      </c>
      <c r="C300" s="20">
        <v>80629</v>
      </c>
      <c r="D300" s="20" t="e">
        <f>VLOOKUP(C300,[1]CHILDCARE_FACILITIES!AJ:AK,2,0)</f>
        <v>#N/A</v>
      </c>
      <c r="E300" s="20" t="s">
        <v>15134</v>
      </c>
      <c r="F300" s="20" t="s">
        <v>15135</v>
      </c>
      <c r="G300" s="20">
        <v>133021002</v>
      </c>
      <c r="H300" s="20" t="s">
        <v>15145</v>
      </c>
      <c r="I300" s="20" t="b">
        <v>1</v>
      </c>
      <c r="J300" s="20" t="s">
        <v>17477</v>
      </c>
      <c r="K300" s="20">
        <v>80629</v>
      </c>
      <c r="L300" s="20" t="s">
        <v>17475</v>
      </c>
      <c r="M300" s="20" t="s">
        <v>17478</v>
      </c>
    </row>
    <row r="301" spans="1:13" x14ac:dyDescent="0.25">
      <c r="A301" s="20">
        <v>9175</v>
      </c>
      <c r="B301" s="20" t="s">
        <v>15396</v>
      </c>
      <c r="C301" s="20">
        <v>9175</v>
      </c>
      <c r="D301" s="20" t="e">
        <f>VLOOKUP(C301,[1]CHILDCARE_FACILITIES!AJ:AK,2,0)</f>
        <v>#N/A</v>
      </c>
      <c r="E301" s="20" t="s">
        <v>15134</v>
      </c>
      <c r="F301" s="20" t="s">
        <v>15135</v>
      </c>
      <c r="G301" s="20">
        <v>73121000</v>
      </c>
      <c r="H301" s="20" t="s">
        <v>15136</v>
      </c>
      <c r="I301" s="20" t="b">
        <v>1</v>
      </c>
      <c r="J301" s="20" t="s">
        <v>17479</v>
      </c>
      <c r="K301" s="20">
        <v>9175</v>
      </c>
      <c r="L301" s="20" t="s">
        <v>17213</v>
      </c>
      <c r="M301" s="20" t="s">
        <v>17480</v>
      </c>
    </row>
    <row r="302" spans="1:13" x14ac:dyDescent="0.25">
      <c r="A302" s="20">
        <v>9175</v>
      </c>
      <c r="B302" s="20" t="s">
        <v>15396</v>
      </c>
      <c r="C302" s="20">
        <v>9175</v>
      </c>
      <c r="D302" s="20" t="e">
        <f>VLOOKUP(C302,[1]CHILDCARE_FACILITIES!AJ:AK,2,0)</f>
        <v>#N/A</v>
      </c>
      <c r="E302" s="20" t="s">
        <v>15134</v>
      </c>
      <c r="F302" s="20" t="s">
        <v>15135</v>
      </c>
      <c r="G302" s="20">
        <v>73121000</v>
      </c>
      <c r="H302" s="20" t="s">
        <v>15138</v>
      </c>
      <c r="I302" s="20" t="b">
        <v>1</v>
      </c>
      <c r="J302" s="20" t="s">
        <v>17479</v>
      </c>
      <c r="K302" s="20">
        <v>9175</v>
      </c>
      <c r="L302" s="20" t="s">
        <v>17213</v>
      </c>
      <c r="M302" s="20" t="s">
        <v>17480</v>
      </c>
    </row>
    <row r="303" spans="1:13" x14ac:dyDescent="0.25">
      <c r="A303" s="20">
        <v>9876</v>
      </c>
      <c r="B303" s="20" t="s">
        <v>15708</v>
      </c>
      <c r="C303" s="20">
        <v>9876</v>
      </c>
      <c r="D303" s="20" t="e">
        <f>VLOOKUP(C303,[1]CHILDCARE_FACILITIES!AJ:AK,2,0)</f>
        <v>#N/A</v>
      </c>
      <c r="E303" s="20" t="s">
        <v>15134</v>
      </c>
      <c r="F303" s="20" t="s">
        <v>15135</v>
      </c>
      <c r="G303" s="20">
        <v>103008000</v>
      </c>
      <c r="H303" s="20" t="s">
        <v>15138</v>
      </c>
      <c r="I303" s="20" t="b">
        <v>0</v>
      </c>
      <c r="J303" s="20" t="s">
        <v>17481</v>
      </c>
      <c r="K303" s="20">
        <v>9876</v>
      </c>
      <c r="L303" s="20" t="s">
        <v>17282</v>
      </c>
      <c r="M303" s="20" t="s">
        <v>17482</v>
      </c>
    </row>
    <row r="304" spans="1:13" x14ac:dyDescent="0.25">
      <c r="A304" s="20">
        <v>9876</v>
      </c>
      <c r="B304" s="20" t="s">
        <v>15708</v>
      </c>
      <c r="C304" s="20">
        <v>9876</v>
      </c>
      <c r="D304" s="20" t="e">
        <f>VLOOKUP(C304,[1]CHILDCARE_FACILITIES!AJ:AK,2,0)</f>
        <v>#N/A</v>
      </c>
      <c r="E304" s="20" t="s">
        <v>15134</v>
      </c>
      <c r="F304" s="20" t="s">
        <v>15135</v>
      </c>
      <c r="G304" s="20">
        <v>103008000</v>
      </c>
      <c r="H304" s="20" t="s">
        <v>15136</v>
      </c>
      <c r="I304" s="20" t="b">
        <v>1</v>
      </c>
      <c r="J304" s="20" t="s">
        <v>17483</v>
      </c>
      <c r="K304" s="20">
        <v>9876</v>
      </c>
      <c r="L304" s="20" t="s">
        <v>17271</v>
      </c>
      <c r="M304" s="20" t="s">
        <v>17484</v>
      </c>
    </row>
    <row r="305" spans="1:13" x14ac:dyDescent="0.25">
      <c r="A305" s="20">
        <v>8522</v>
      </c>
      <c r="B305" s="20" t="s">
        <v>15159</v>
      </c>
      <c r="C305" s="20">
        <v>8522</v>
      </c>
      <c r="D305" s="20" t="e">
        <f>VLOOKUP(C305,[1]CHILDCARE_FACILITIES!AJ:AK,2,0)</f>
        <v>#N/A</v>
      </c>
      <c r="E305" s="20" t="s">
        <v>15134</v>
      </c>
      <c r="F305" s="20" t="s">
        <v>15135</v>
      </c>
      <c r="G305" s="20">
        <v>32201001</v>
      </c>
      <c r="K305" s="20">
        <v>8522</v>
      </c>
    </row>
    <row r="306" spans="1:13" x14ac:dyDescent="0.25">
      <c r="A306" s="20">
        <v>8521</v>
      </c>
      <c r="B306" s="20" t="s">
        <v>15158</v>
      </c>
      <c r="C306" s="20">
        <v>8521</v>
      </c>
      <c r="D306" s="20" t="e">
        <f>VLOOKUP(C306,[1]CHILDCARE_FACILITIES!AJ:AK,2,0)</f>
        <v>#N/A</v>
      </c>
      <c r="E306" s="20" t="s">
        <v>15134</v>
      </c>
      <c r="F306" s="20" t="s">
        <v>15135</v>
      </c>
      <c r="G306" s="20">
        <v>32201000</v>
      </c>
      <c r="K306" s="20">
        <v>8521</v>
      </c>
    </row>
    <row r="307" spans="1:13" x14ac:dyDescent="0.25">
      <c r="A307" s="20">
        <v>89447</v>
      </c>
      <c r="B307" s="20" t="s">
        <v>16393</v>
      </c>
      <c r="C307" s="20">
        <v>89447</v>
      </c>
      <c r="D307" s="20" t="e">
        <f>VLOOKUP(C307,[1]CHILDCARE_FACILITIES!AJ:AK,2,0)</f>
        <v>#N/A</v>
      </c>
      <c r="E307" s="20" t="s">
        <v>15134</v>
      </c>
      <c r="F307" s="20" t="s">
        <v>15135</v>
      </c>
      <c r="G307" s="20">
        <v>73548000</v>
      </c>
      <c r="H307" s="20" t="s">
        <v>15138</v>
      </c>
      <c r="I307" s="20" t="b">
        <v>1</v>
      </c>
      <c r="J307" s="20" t="s">
        <v>17485</v>
      </c>
      <c r="K307" s="20">
        <v>89447</v>
      </c>
      <c r="L307" s="20" t="s">
        <v>17236</v>
      </c>
      <c r="M307" s="20" t="s">
        <v>17486</v>
      </c>
    </row>
    <row r="308" spans="1:13" x14ac:dyDescent="0.25">
      <c r="A308" s="20">
        <v>89447</v>
      </c>
      <c r="B308" s="20" t="s">
        <v>16393</v>
      </c>
      <c r="C308" s="20">
        <v>89447</v>
      </c>
      <c r="D308" s="20" t="e">
        <f>VLOOKUP(C308,[1]CHILDCARE_FACILITIES!AJ:AK,2,0)</f>
        <v>#N/A</v>
      </c>
      <c r="E308" s="20" t="s">
        <v>15134</v>
      </c>
      <c r="F308" s="20" t="s">
        <v>15135</v>
      </c>
      <c r="G308" s="20">
        <v>73548000</v>
      </c>
      <c r="H308" s="20" t="s">
        <v>15136</v>
      </c>
      <c r="I308" s="20" t="b">
        <v>1</v>
      </c>
      <c r="J308" s="20" t="s">
        <v>17485</v>
      </c>
      <c r="K308" s="20">
        <v>89447</v>
      </c>
      <c r="L308" s="20" t="s">
        <v>17236</v>
      </c>
      <c r="M308" s="20" t="s">
        <v>17486</v>
      </c>
    </row>
    <row r="309" spans="1:13" x14ac:dyDescent="0.25">
      <c r="A309" s="20">
        <v>10358</v>
      </c>
      <c r="B309" s="20" t="s">
        <v>15848</v>
      </c>
      <c r="C309" s="20">
        <v>10358</v>
      </c>
      <c r="D309" s="20" t="e">
        <f>VLOOKUP(C309,[1]CHILDCARE_FACILITIES!AJ:AK,2,0)</f>
        <v>#N/A</v>
      </c>
      <c r="E309" s="20" t="s">
        <v>15134</v>
      </c>
      <c r="F309" s="20" t="s">
        <v>15135</v>
      </c>
      <c r="G309" s="20">
        <v>73193002</v>
      </c>
      <c r="K309" s="20">
        <v>10358</v>
      </c>
    </row>
    <row r="310" spans="1:13" x14ac:dyDescent="0.25">
      <c r="A310" s="20">
        <v>1000256</v>
      </c>
      <c r="B310" s="20" t="s">
        <v>17124</v>
      </c>
      <c r="C310" s="20">
        <v>1000256</v>
      </c>
      <c r="D310" s="20" t="str">
        <f>VLOOKUP(C310,[1]CHILDCARE_FACILITIES!AJ:AK,2,0)</f>
        <v>CDC-18560</v>
      </c>
      <c r="E310" s="20" t="s">
        <v>15134</v>
      </c>
      <c r="F310" s="20" t="s">
        <v>15135</v>
      </c>
      <c r="G310" s="20">
        <v>102261003</v>
      </c>
      <c r="H310" s="20" t="s">
        <v>15136</v>
      </c>
      <c r="I310" s="20" t="b">
        <v>1</v>
      </c>
      <c r="J310" s="20" t="s">
        <v>17487</v>
      </c>
      <c r="K310" s="20">
        <v>1000256</v>
      </c>
      <c r="L310" s="20" t="s">
        <v>17271</v>
      </c>
      <c r="M310" s="20" t="s">
        <v>17488</v>
      </c>
    </row>
    <row r="311" spans="1:13" x14ac:dyDescent="0.25">
      <c r="A311" s="20">
        <v>1000256</v>
      </c>
      <c r="B311" s="20" t="s">
        <v>17124</v>
      </c>
      <c r="C311" s="20">
        <v>1000256</v>
      </c>
      <c r="D311" s="20" t="str">
        <f>VLOOKUP(C311,[1]CHILDCARE_FACILITIES!AJ:AK,2,0)</f>
        <v>CDC-18560</v>
      </c>
      <c r="E311" s="20" t="s">
        <v>15134</v>
      </c>
      <c r="F311" s="20" t="s">
        <v>15135</v>
      </c>
      <c r="G311" s="20">
        <v>102261003</v>
      </c>
      <c r="H311" s="20" t="s">
        <v>15138</v>
      </c>
      <c r="I311" s="20" t="b">
        <v>0</v>
      </c>
      <c r="J311" s="20" t="s">
        <v>17489</v>
      </c>
      <c r="K311" s="20">
        <v>1000256</v>
      </c>
      <c r="L311" s="20" t="s">
        <v>17282</v>
      </c>
      <c r="M311" s="20" t="s">
        <v>17482</v>
      </c>
    </row>
    <row r="312" spans="1:13" x14ac:dyDescent="0.25">
      <c r="A312" s="20">
        <v>79389</v>
      </c>
      <c r="B312" s="20" t="s">
        <v>15964</v>
      </c>
      <c r="C312" s="20">
        <v>79389</v>
      </c>
      <c r="D312" s="20" t="e">
        <f>VLOOKUP(C312,[1]CHILDCARE_FACILITIES!AJ:AK,2,0)</f>
        <v>#N/A</v>
      </c>
      <c r="E312" s="20" t="s">
        <v>15134</v>
      </c>
      <c r="F312" s="20" t="s">
        <v>15135</v>
      </c>
      <c r="G312" s="20">
        <v>102261000</v>
      </c>
      <c r="H312" s="20" t="s">
        <v>15136</v>
      </c>
      <c r="I312" s="20" t="b">
        <v>1</v>
      </c>
      <c r="J312" s="20" t="s">
        <v>17490</v>
      </c>
      <c r="K312" s="20">
        <v>79389</v>
      </c>
      <c r="L312" s="20" t="s">
        <v>17271</v>
      </c>
      <c r="M312" s="20" t="s">
        <v>17491</v>
      </c>
    </row>
    <row r="313" spans="1:13" x14ac:dyDescent="0.25">
      <c r="A313" s="20">
        <v>79389</v>
      </c>
      <c r="B313" s="20" t="s">
        <v>15964</v>
      </c>
      <c r="C313" s="20">
        <v>79389</v>
      </c>
      <c r="D313" s="20" t="e">
        <f>VLOOKUP(C313,[1]CHILDCARE_FACILITIES!AJ:AK,2,0)</f>
        <v>#N/A</v>
      </c>
      <c r="E313" s="20" t="s">
        <v>15134</v>
      </c>
      <c r="F313" s="20" t="s">
        <v>15135</v>
      </c>
      <c r="G313" s="20">
        <v>102261000</v>
      </c>
      <c r="H313" s="20" t="s">
        <v>15138</v>
      </c>
      <c r="I313" s="20" t="b">
        <v>1</v>
      </c>
      <c r="J313" s="20" t="s">
        <v>17492</v>
      </c>
      <c r="K313" s="20">
        <v>79389</v>
      </c>
      <c r="L313" s="20" t="s">
        <v>17271</v>
      </c>
      <c r="M313" s="20" t="s">
        <v>17491</v>
      </c>
    </row>
    <row r="314" spans="1:13" x14ac:dyDescent="0.25">
      <c r="A314" s="20">
        <v>80314</v>
      </c>
      <c r="B314" s="20" t="s">
        <v>15964</v>
      </c>
      <c r="C314" s="20">
        <v>80314</v>
      </c>
      <c r="D314" s="20" t="e">
        <f>VLOOKUP(C314,[1]CHILDCARE_FACILITIES!AJ:AK,2,0)</f>
        <v>#N/A</v>
      </c>
      <c r="E314" s="20" t="s">
        <v>15134</v>
      </c>
      <c r="F314" s="20" t="s">
        <v>15135</v>
      </c>
      <c r="G314" s="20">
        <v>102261002</v>
      </c>
      <c r="H314" s="20" t="s">
        <v>15138</v>
      </c>
      <c r="I314" s="20" t="b">
        <v>1</v>
      </c>
      <c r="J314" s="20" t="s">
        <v>17492</v>
      </c>
      <c r="K314" s="20">
        <v>80314</v>
      </c>
      <c r="L314" s="20" t="s">
        <v>17271</v>
      </c>
      <c r="M314" s="20" t="s">
        <v>17491</v>
      </c>
    </row>
    <row r="315" spans="1:13" x14ac:dyDescent="0.25">
      <c r="A315" s="20">
        <v>80314</v>
      </c>
      <c r="B315" s="20" t="s">
        <v>15964</v>
      </c>
      <c r="C315" s="20">
        <v>80314</v>
      </c>
      <c r="D315" s="20" t="e">
        <f>VLOOKUP(C315,[1]CHILDCARE_FACILITIES!AJ:AK,2,0)</f>
        <v>#N/A</v>
      </c>
      <c r="E315" s="20" t="s">
        <v>15134</v>
      </c>
      <c r="F315" s="20" t="s">
        <v>15135</v>
      </c>
      <c r="G315" s="20">
        <v>102261002</v>
      </c>
      <c r="H315" s="20" t="s">
        <v>15145</v>
      </c>
      <c r="I315" s="20" t="b">
        <v>1</v>
      </c>
      <c r="J315" s="20" t="s">
        <v>17492</v>
      </c>
      <c r="K315" s="20">
        <v>80314</v>
      </c>
      <c r="L315" s="20" t="s">
        <v>17271</v>
      </c>
      <c r="M315" s="20" t="s">
        <v>17491</v>
      </c>
    </row>
    <row r="316" spans="1:13" x14ac:dyDescent="0.25">
      <c r="A316" s="20">
        <v>1000170</v>
      </c>
      <c r="B316" s="20" t="s">
        <v>17107</v>
      </c>
      <c r="C316" s="20">
        <v>1000170</v>
      </c>
      <c r="D316" s="20" t="e">
        <f>VLOOKUP(C316,[1]CHILDCARE_FACILITIES!AJ:AK,2,0)</f>
        <v>#N/A</v>
      </c>
      <c r="E316" s="20" t="s">
        <v>15134</v>
      </c>
      <c r="F316" s="20" t="s">
        <v>15135</v>
      </c>
      <c r="G316" s="20">
        <v>103161000</v>
      </c>
      <c r="H316" s="20" t="s">
        <v>15138</v>
      </c>
      <c r="I316" s="20" t="b">
        <v>1</v>
      </c>
      <c r="J316" s="20" t="s">
        <v>17493</v>
      </c>
      <c r="K316" s="20">
        <v>1000170</v>
      </c>
      <c r="L316" s="20" t="s">
        <v>17271</v>
      </c>
      <c r="M316" s="20" t="s">
        <v>17494</v>
      </c>
    </row>
    <row r="317" spans="1:13" x14ac:dyDescent="0.25">
      <c r="A317" s="20">
        <v>1000170</v>
      </c>
      <c r="B317" s="20" t="s">
        <v>17107</v>
      </c>
      <c r="C317" s="20">
        <v>1000170</v>
      </c>
      <c r="D317" s="20" t="e">
        <f>VLOOKUP(C317,[1]CHILDCARE_FACILITIES!AJ:AK,2,0)</f>
        <v>#N/A</v>
      </c>
      <c r="E317" s="20" t="s">
        <v>15134</v>
      </c>
      <c r="F317" s="20" t="s">
        <v>15135</v>
      </c>
      <c r="G317" s="20">
        <v>103161000</v>
      </c>
      <c r="H317" s="20" t="s">
        <v>15136</v>
      </c>
      <c r="I317" s="20" t="b">
        <v>1</v>
      </c>
      <c r="J317" s="20" t="s">
        <v>17493</v>
      </c>
      <c r="K317" s="20">
        <v>1000170</v>
      </c>
      <c r="L317" s="20" t="s">
        <v>17271</v>
      </c>
      <c r="M317" s="20" t="s">
        <v>17494</v>
      </c>
    </row>
    <row r="318" spans="1:13" x14ac:dyDescent="0.25">
      <c r="A318" s="20">
        <v>1000171</v>
      </c>
      <c r="B318" s="20" t="s">
        <v>17107</v>
      </c>
      <c r="C318" s="20">
        <v>1000171</v>
      </c>
      <c r="D318" s="20" t="str">
        <f>VLOOKUP(C318,[1]CHILDCARE_FACILITIES!AJ:AK,2,0)</f>
        <v>CDC-18433</v>
      </c>
      <c r="E318" s="20" t="s">
        <v>15134</v>
      </c>
      <c r="F318" s="20" t="s">
        <v>15135</v>
      </c>
      <c r="G318" s="20">
        <v>103161001</v>
      </c>
      <c r="H318" s="20" t="s">
        <v>15136</v>
      </c>
      <c r="I318" s="20" t="b">
        <v>1</v>
      </c>
      <c r="J318" s="20" t="s">
        <v>17493</v>
      </c>
      <c r="K318" s="20">
        <v>1000171</v>
      </c>
      <c r="L318" s="20" t="s">
        <v>17271</v>
      </c>
      <c r="M318" s="20" t="s">
        <v>17494</v>
      </c>
    </row>
    <row r="319" spans="1:13" x14ac:dyDescent="0.25">
      <c r="A319" s="20">
        <v>1000171</v>
      </c>
      <c r="B319" s="20" t="s">
        <v>17107</v>
      </c>
      <c r="C319" s="20">
        <v>1000171</v>
      </c>
      <c r="D319" s="20" t="str">
        <f>VLOOKUP(C319,[1]CHILDCARE_FACILITIES!AJ:AK,2,0)</f>
        <v>CDC-18433</v>
      </c>
      <c r="E319" s="20" t="s">
        <v>15134</v>
      </c>
      <c r="F319" s="20" t="s">
        <v>15135</v>
      </c>
      <c r="G319" s="20">
        <v>103161001</v>
      </c>
      <c r="H319" s="20" t="s">
        <v>15138</v>
      </c>
      <c r="I319" s="20" t="b">
        <v>1</v>
      </c>
      <c r="J319" s="20" t="s">
        <v>17493</v>
      </c>
      <c r="K319" s="20">
        <v>1000171</v>
      </c>
      <c r="L319" s="20" t="s">
        <v>17271</v>
      </c>
      <c r="M319" s="20" t="s">
        <v>17494</v>
      </c>
    </row>
    <row r="320" spans="1:13" x14ac:dyDescent="0.25">
      <c r="A320" s="20">
        <v>89658</v>
      </c>
      <c r="B320" s="20" t="s">
        <v>16421</v>
      </c>
      <c r="C320" s="20">
        <v>89658</v>
      </c>
      <c r="D320" s="20" t="str">
        <f>VLOOKUP(C320,[1]CHILDCARE_FACILITIES!AJ:AK,2,0)</f>
        <v>SGH-10402</v>
      </c>
      <c r="E320" s="20" t="s">
        <v>15134</v>
      </c>
      <c r="F320" s="20" t="s">
        <v>15135</v>
      </c>
      <c r="G320" s="20">
        <v>103132001</v>
      </c>
      <c r="H320" s="20" t="s">
        <v>15145</v>
      </c>
      <c r="I320" s="20" t="b">
        <v>1</v>
      </c>
      <c r="J320" s="20" t="s">
        <v>17495</v>
      </c>
      <c r="K320" s="20">
        <v>89658</v>
      </c>
      <c r="L320" s="20" t="s">
        <v>17271</v>
      </c>
      <c r="M320" s="20" t="s">
        <v>17496</v>
      </c>
    </row>
    <row r="321" spans="1:13" x14ac:dyDescent="0.25">
      <c r="A321" s="20">
        <v>89658</v>
      </c>
      <c r="B321" s="20" t="s">
        <v>16421</v>
      </c>
      <c r="C321" s="20">
        <v>89658</v>
      </c>
      <c r="D321" s="20" t="str">
        <f>VLOOKUP(C321,[1]CHILDCARE_FACILITIES!AJ:AK,2,0)</f>
        <v>SGH-10402</v>
      </c>
      <c r="E321" s="20" t="s">
        <v>15134</v>
      </c>
      <c r="F321" s="20" t="s">
        <v>15135</v>
      </c>
      <c r="G321" s="20">
        <v>103132001</v>
      </c>
      <c r="H321" s="20" t="s">
        <v>15138</v>
      </c>
      <c r="I321" s="20" t="b">
        <v>1</v>
      </c>
      <c r="J321" s="20" t="s">
        <v>17495</v>
      </c>
      <c r="K321" s="20">
        <v>89658</v>
      </c>
      <c r="L321" s="20" t="s">
        <v>17271</v>
      </c>
      <c r="M321" s="20" t="s">
        <v>17496</v>
      </c>
    </row>
    <row r="322" spans="1:13" x14ac:dyDescent="0.25">
      <c r="A322" s="20">
        <v>89657</v>
      </c>
      <c r="B322" s="20" t="s">
        <v>16419</v>
      </c>
      <c r="C322" s="20">
        <v>89657</v>
      </c>
      <c r="D322" s="20" t="e">
        <f>VLOOKUP(C322,[1]CHILDCARE_FACILITIES!AJ:AK,2,0)</f>
        <v>#N/A</v>
      </c>
      <c r="E322" s="20" t="s">
        <v>15134</v>
      </c>
      <c r="F322" s="20" t="s">
        <v>15135</v>
      </c>
      <c r="G322" s="20">
        <v>103132000</v>
      </c>
      <c r="H322" s="20" t="s">
        <v>15138</v>
      </c>
      <c r="I322" s="20" t="b">
        <v>1</v>
      </c>
      <c r="J322" s="20" t="s">
        <v>17495</v>
      </c>
      <c r="K322" s="20">
        <v>89657</v>
      </c>
      <c r="L322" s="20" t="s">
        <v>17271</v>
      </c>
      <c r="M322" s="20" t="s">
        <v>17496</v>
      </c>
    </row>
    <row r="323" spans="1:13" x14ac:dyDescent="0.25">
      <c r="A323" s="20">
        <v>89657</v>
      </c>
      <c r="B323" s="20" t="s">
        <v>16419</v>
      </c>
      <c r="C323" s="20">
        <v>89657</v>
      </c>
      <c r="D323" s="20" t="e">
        <f>VLOOKUP(C323,[1]CHILDCARE_FACILITIES!AJ:AK,2,0)</f>
        <v>#N/A</v>
      </c>
      <c r="E323" s="20" t="s">
        <v>15134</v>
      </c>
      <c r="F323" s="20" t="s">
        <v>15135</v>
      </c>
      <c r="G323" s="20">
        <v>103132000</v>
      </c>
      <c r="H323" s="20" t="s">
        <v>15136</v>
      </c>
      <c r="I323" s="20" t="b">
        <v>1</v>
      </c>
      <c r="J323" s="20" t="s">
        <v>17495</v>
      </c>
      <c r="K323" s="20">
        <v>89657</v>
      </c>
      <c r="L323" s="20" t="s">
        <v>17271</v>
      </c>
      <c r="M323" s="20" t="s">
        <v>17496</v>
      </c>
    </row>
    <row r="324" spans="1:13" x14ac:dyDescent="0.25">
      <c r="A324" s="20">
        <v>9723</v>
      </c>
      <c r="B324" s="20" t="s">
        <v>15633</v>
      </c>
      <c r="C324" s="20">
        <v>9723</v>
      </c>
      <c r="D324" s="20" t="e">
        <f>VLOOKUP(C324,[1]CHILDCARE_FACILITIES!AJ:AK,2,0)</f>
        <v>#N/A</v>
      </c>
      <c r="E324" s="20" t="s">
        <v>15134</v>
      </c>
      <c r="F324" s="20" t="s">
        <v>15135</v>
      </c>
      <c r="G324" s="20">
        <v>102201000</v>
      </c>
      <c r="K324" s="20">
        <v>9723</v>
      </c>
    </row>
    <row r="325" spans="1:13" x14ac:dyDescent="0.25">
      <c r="A325" s="20">
        <v>9724</v>
      </c>
      <c r="B325" s="20" t="s">
        <v>15633</v>
      </c>
      <c r="C325" s="20">
        <v>9724</v>
      </c>
      <c r="D325" s="20" t="str">
        <f>VLOOKUP(C325,[1]CHILDCARE_FACILITIES!AJ:AK,2,0)</f>
        <v>CDC-0278</v>
      </c>
      <c r="E325" s="20" t="s">
        <v>15134</v>
      </c>
      <c r="F325" s="20" t="s">
        <v>15135</v>
      </c>
      <c r="G325" s="20">
        <v>102201001</v>
      </c>
      <c r="K325" s="20">
        <v>9724</v>
      </c>
    </row>
    <row r="326" spans="1:13" x14ac:dyDescent="0.25">
      <c r="A326" s="20">
        <v>9746</v>
      </c>
      <c r="B326" s="20" t="s">
        <v>15647</v>
      </c>
      <c r="C326" s="20">
        <v>9746</v>
      </c>
      <c r="D326" s="20" t="e">
        <f>VLOOKUP(C326,[1]CHILDCARE_FACILITIES!AJ:AK,2,0)</f>
        <v>#N/A</v>
      </c>
      <c r="E326" s="20" t="s">
        <v>15134</v>
      </c>
      <c r="F326" s="20" t="s">
        <v>15135</v>
      </c>
      <c r="G326" s="20">
        <v>102221000</v>
      </c>
      <c r="K326" s="20">
        <v>9746</v>
      </c>
    </row>
    <row r="327" spans="1:13" x14ac:dyDescent="0.25">
      <c r="A327" s="20">
        <v>79667</v>
      </c>
      <c r="B327" s="20" t="s">
        <v>15979</v>
      </c>
      <c r="C327" s="20">
        <v>79667</v>
      </c>
      <c r="D327" s="20" t="e">
        <f>VLOOKUP(C327,[1]CHILDCARE_FACILITIES!AJ:AK,2,0)</f>
        <v>#N/A</v>
      </c>
      <c r="E327" s="20" t="s">
        <v>15134</v>
      </c>
      <c r="F327" s="20" t="s">
        <v>15135</v>
      </c>
      <c r="G327" s="20">
        <v>142206000</v>
      </c>
      <c r="H327" s="20" t="s">
        <v>15138</v>
      </c>
      <c r="I327" s="20" t="b">
        <v>1</v>
      </c>
      <c r="J327" s="20" t="s">
        <v>17497</v>
      </c>
      <c r="K327" s="20">
        <v>79667</v>
      </c>
      <c r="L327" s="20" t="s">
        <v>17335</v>
      </c>
      <c r="M327" s="20" t="s">
        <v>17498</v>
      </c>
    </row>
    <row r="328" spans="1:13" x14ac:dyDescent="0.25">
      <c r="A328" s="20">
        <v>79667</v>
      </c>
      <c r="B328" s="20" t="s">
        <v>15979</v>
      </c>
      <c r="C328" s="20">
        <v>79667</v>
      </c>
      <c r="D328" s="20" t="e">
        <f>VLOOKUP(C328,[1]CHILDCARE_FACILITIES!AJ:AK,2,0)</f>
        <v>#N/A</v>
      </c>
      <c r="E328" s="20" t="s">
        <v>15134</v>
      </c>
      <c r="F328" s="20" t="s">
        <v>15135</v>
      </c>
      <c r="G328" s="20">
        <v>142206000</v>
      </c>
      <c r="H328" s="20" t="s">
        <v>15136</v>
      </c>
      <c r="I328" s="20" t="b">
        <v>1</v>
      </c>
      <c r="J328" s="20" t="s">
        <v>17499</v>
      </c>
      <c r="K328" s="20">
        <v>79667</v>
      </c>
      <c r="L328" s="20" t="s">
        <v>17271</v>
      </c>
      <c r="M328" s="20" t="s">
        <v>17500</v>
      </c>
    </row>
    <row r="329" spans="1:13" x14ac:dyDescent="0.25">
      <c r="A329" s="20">
        <v>1000416</v>
      </c>
      <c r="B329" s="20" t="s">
        <v>17168</v>
      </c>
      <c r="C329" s="20">
        <v>1000416</v>
      </c>
      <c r="D329" s="20" t="e">
        <f>VLOOKUP(C329,[1]CHILDCARE_FACILITIES!AJ:AK,2,0)</f>
        <v>#N/A</v>
      </c>
      <c r="E329" s="20" t="s">
        <v>15134</v>
      </c>
      <c r="F329" s="20" t="s">
        <v>15135</v>
      </c>
      <c r="G329" s="20">
        <v>73366000</v>
      </c>
      <c r="H329" s="20" t="s">
        <v>15138</v>
      </c>
      <c r="I329" s="20" t="b">
        <v>1</v>
      </c>
      <c r="J329" s="20" t="s">
        <v>17501</v>
      </c>
      <c r="K329" s="20">
        <v>1000416</v>
      </c>
      <c r="L329" s="20" t="s">
        <v>17216</v>
      </c>
      <c r="M329" s="20" t="s">
        <v>17502</v>
      </c>
    </row>
    <row r="330" spans="1:13" x14ac:dyDescent="0.25">
      <c r="A330" s="20">
        <v>1000416</v>
      </c>
      <c r="B330" s="20" t="s">
        <v>17168</v>
      </c>
      <c r="C330" s="20">
        <v>1000416</v>
      </c>
      <c r="D330" s="20" t="e">
        <f>VLOOKUP(C330,[1]CHILDCARE_FACILITIES!AJ:AK,2,0)</f>
        <v>#N/A</v>
      </c>
      <c r="E330" s="20" t="s">
        <v>15134</v>
      </c>
      <c r="F330" s="20" t="s">
        <v>15135</v>
      </c>
      <c r="G330" s="20">
        <v>73366000</v>
      </c>
      <c r="H330" s="20" t="s">
        <v>15136</v>
      </c>
      <c r="I330" s="20" t="b">
        <v>1</v>
      </c>
      <c r="J330" s="20" t="s">
        <v>17501</v>
      </c>
      <c r="K330" s="20">
        <v>1000416</v>
      </c>
      <c r="L330" s="20" t="s">
        <v>17216</v>
      </c>
      <c r="M330" s="20" t="s">
        <v>17502</v>
      </c>
    </row>
    <row r="331" spans="1:13" x14ac:dyDescent="0.25">
      <c r="A331" s="20">
        <v>10159</v>
      </c>
      <c r="B331" s="20" t="s">
        <v>15822</v>
      </c>
      <c r="C331" s="20">
        <v>10159</v>
      </c>
      <c r="D331" s="20" t="e">
        <f>VLOOKUP(C331,[1]CHILDCARE_FACILITIES!AJ:AK,2,0)</f>
        <v>#N/A</v>
      </c>
      <c r="E331" s="20" t="s">
        <v>15134</v>
      </c>
      <c r="F331" s="20" t="s">
        <v>15135</v>
      </c>
      <c r="G331" s="20">
        <v>133020001</v>
      </c>
      <c r="K331" s="20">
        <v>10159</v>
      </c>
    </row>
    <row r="332" spans="1:13" x14ac:dyDescent="0.25">
      <c r="A332" s="20">
        <v>8708</v>
      </c>
      <c r="B332" s="20" t="s">
        <v>15215</v>
      </c>
      <c r="C332" s="20">
        <v>8708</v>
      </c>
      <c r="D332" s="20" t="e">
        <f>VLOOKUP(C332,[1]CHILDCARE_FACILITIES!AJ:AK,2,0)</f>
        <v>#N/A</v>
      </c>
      <c r="E332" s="20" t="s">
        <v>15134</v>
      </c>
      <c r="F332" s="20" t="s">
        <v>15135</v>
      </c>
      <c r="G332" s="20">
        <v>72277000</v>
      </c>
      <c r="K332" s="20">
        <v>8708</v>
      </c>
    </row>
    <row r="333" spans="1:13" x14ac:dyDescent="0.25">
      <c r="A333" s="20">
        <v>79334</v>
      </c>
      <c r="B333" s="20" t="s">
        <v>15931</v>
      </c>
      <c r="C333" s="20">
        <v>79334</v>
      </c>
      <c r="D333" s="20" t="e">
        <f>VLOOKUP(C333,[1]CHILDCARE_FACILITIES!AJ:AK,2,0)</f>
        <v>#N/A</v>
      </c>
      <c r="E333" s="20" t="s">
        <v>15134</v>
      </c>
      <c r="F333" s="20" t="s">
        <v>15135</v>
      </c>
      <c r="G333" s="20">
        <v>72425004</v>
      </c>
      <c r="H333" s="20" t="s">
        <v>15138</v>
      </c>
      <c r="I333" s="20" t="b">
        <v>0</v>
      </c>
      <c r="J333" s="20" t="s">
        <v>17503</v>
      </c>
      <c r="K333" s="20">
        <v>79334</v>
      </c>
      <c r="L333" s="20" t="s">
        <v>17504</v>
      </c>
      <c r="M333" s="20" t="s">
        <v>17505</v>
      </c>
    </row>
    <row r="334" spans="1:13" x14ac:dyDescent="0.25">
      <c r="A334" s="20">
        <v>79334</v>
      </c>
      <c r="B334" s="20" t="s">
        <v>15931</v>
      </c>
      <c r="C334" s="20">
        <v>79334</v>
      </c>
      <c r="D334" s="20" t="e">
        <f>VLOOKUP(C334,[1]CHILDCARE_FACILITIES!AJ:AK,2,0)</f>
        <v>#N/A</v>
      </c>
      <c r="E334" s="20" t="s">
        <v>15134</v>
      </c>
      <c r="F334" s="20" t="s">
        <v>15135</v>
      </c>
      <c r="G334" s="20">
        <v>72425004</v>
      </c>
      <c r="H334" s="20" t="s">
        <v>15145</v>
      </c>
      <c r="I334" s="20" t="b">
        <v>1</v>
      </c>
      <c r="J334" s="20" t="s">
        <v>17506</v>
      </c>
      <c r="K334" s="20">
        <v>79334</v>
      </c>
      <c r="L334" s="20" t="s">
        <v>17213</v>
      </c>
      <c r="M334" s="20" t="s">
        <v>17507</v>
      </c>
    </row>
    <row r="335" spans="1:13" x14ac:dyDescent="0.25">
      <c r="A335" s="20">
        <v>9610</v>
      </c>
      <c r="B335" s="20" t="s">
        <v>15603</v>
      </c>
      <c r="C335" s="20">
        <v>9610</v>
      </c>
      <c r="D335" s="20" t="e">
        <f>VLOOKUP(C335,[1]CHILDCARE_FACILITIES!AJ:AK,2,0)</f>
        <v>#N/A</v>
      </c>
      <c r="E335" s="20" t="s">
        <v>15134</v>
      </c>
      <c r="F335" s="20" t="s">
        <v>15135</v>
      </c>
      <c r="G335" s="20">
        <v>82204001</v>
      </c>
      <c r="K335" s="20">
        <v>9610</v>
      </c>
    </row>
    <row r="336" spans="1:13" x14ac:dyDescent="0.25">
      <c r="A336" s="20">
        <v>89752</v>
      </c>
      <c r="B336" s="20" t="s">
        <v>16454</v>
      </c>
      <c r="C336" s="20">
        <v>89752</v>
      </c>
      <c r="D336" s="20" t="e">
        <f>VLOOKUP(C336,[1]CHILDCARE_FACILITIES!AJ:AK,2,0)</f>
        <v>#N/A</v>
      </c>
      <c r="E336" s="20" t="s">
        <v>15134</v>
      </c>
      <c r="F336" s="20" t="s">
        <v>15135</v>
      </c>
      <c r="G336" s="20">
        <v>73561000</v>
      </c>
      <c r="H336" s="20" t="s">
        <v>15138</v>
      </c>
      <c r="I336" s="20" t="b">
        <v>1</v>
      </c>
      <c r="J336" s="20" t="s">
        <v>17324</v>
      </c>
      <c r="K336" s="20">
        <v>89752</v>
      </c>
      <c r="L336" s="20" t="s">
        <v>17213</v>
      </c>
      <c r="M336" s="20" t="s">
        <v>17325</v>
      </c>
    </row>
    <row r="337" spans="1:13" x14ac:dyDescent="0.25">
      <c r="A337" s="20">
        <v>89752</v>
      </c>
      <c r="B337" s="20" t="s">
        <v>16454</v>
      </c>
      <c r="C337" s="20">
        <v>89752</v>
      </c>
      <c r="D337" s="20" t="e">
        <f>VLOOKUP(C337,[1]CHILDCARE_FACILITIES!AJ:AK,2,0)</f>
        <v>#N/A</v>
      </c>
      <c r="E337" s="20" t="s">
        <v>15134</v>
      </c>
      <c r="F337" s="20" t="s">
        <v>15135</v>
      </c>
      <c r="G337" s="20">
        <v>73561000</v>
      </c>
      <c r="H337" s="20" t="s">
        <v>15136</v>
      </c>
      <c r="I337" s="20" t="b">
        <v>1</v>
      </c>
      <c r="J337" s="20" t="s">
        <v>17324</v>
      </c>
      <c r="K337" s="20">
        <v>89752</v>
      </c>
      <c r="L337" s="20" t="s">
        <v>17213</v>
      </c>
      <c r="M337" s="20" t="s">
        <v>17325</v>
      </c>
    </row>
    <row r="338" spans="1:13" x14ac:dyDescent="0.25">
      <c r="A338" s="20">
        <v>9546</v>
      </c>
      <c r="B338" s="20" t="s">
        <v>15590</v>
      </c>
      <c r="C338" s="20">
        <v>9546</v>
      </c>
      <c r="D338" s="20" t="e">
        <f>VLOOKUP(C338,[1]CHILDCARE_FACILITIES!AJ:AK,2,0)</f>
        <v>#N/A</v>
      </c>
      <c r="E338" s="20" t="s">
        <v>15134</v>
      </c>
      <c r="F338" s="20" t="s">
        <v>15135</v>
      </c>
      <c r="G338" s="20">
        <v>73408003</v>
      </c>
      <c r="K338" s="20">
        <v>9546</v>
      </c>
    </row>
    <row r="339" spans="1:13" x14ac:dyDescent="0.25">
      <c r="A339" s="20">
        <v>9810</v>
      </c>
      <c r="B339" s="20" t="s">
        <v>15697</v>
      </c>
      <c r="C339" s="20">
        <v>9810</v>
      </c>
      <c r="D339" s="20" t="e">
        <f>VLOOKUP(C339,[1]CHILDCARE_FACILITIES!AJ:AK,2,0)</f>
        <v>#N/A</v>
      </c>
      <c r="E339" s="20" t="s">
        <v>15134</v>
      </c>
      <c r="F339" s="20" t="s">
        <v>15135</v>
      </c>
      <c r="G339" s="20">
        <v>102501000</v>
      </c>
      <c r="H339" s="20" t="s">
        <v>15138</v>
      </c>
      <c r="I339" s="20" t="b">
        <v>1</v>
      </c>
      <c r="J339" s="20" t="s">
        <v>17508</v>
      </c>
      <c r="K339" s="20">
        <v>9810</v>
      </c>
      <c r="L339" s="20" t="s">
        <v>17271</v>
      </c>
      <c r="M339" s="20" t="s">
        <v>17509</v>
      </c>
    </row>
    <row r="340" spans="1:13" x14ac:dyDescent="0.25">
      <c r="A340" s="20">
        <v>9810</v>
      </c>
      <c r="B340" s="20" t="s">
        <v>15697</v>
      </c>
      <c r="C340" s="20">
        <v>9810</v>
      </c>
      <c r="D340" s="20" t="e">
        <f>VLOOKUP(C340,[1]CHILDCARE_FACILITIES!AJ:AK,2,0)</f>
        <v>#N/A</v>
      </c>
      <c r="E340" s="20" t="s">
        <v>15134</v>
      </c>
      <c r="F340" s="20" t="s">
        <v>15135</v>
      </c>
      <c r="G340" s="20">
        <v>102501000</v>
      </c>
      <c r="H340" s="20" t="s">
        <v>15136</v>
      </c>
      <c r="I340" s="20" t="b">
        <v>1</v>
      </c>
      <c r="J340" s="20" t="s">
        <v>17508</v>
      </c>
      <c r="K340" s="20">
        <v>9810</v>
      </c>
      <c r="L340" s="20" t="s">
        <v>17271</v>
      </c>
      <c r="M340" s="20" t="s">
        <v>17509</v>
      </c>
    </row>
    <row r="341" spans="1:13" x14ac:dyDescent="0.25">
      <c r="A341" s="20">
        <v>9375</v>
      </c>
      <c r="B341" s="20" t="s">
        <v>15496</v>
      </c>
      <c r="C341" s="20">
        <v>9375</v>
      </c>
      <c r="D341" s="20" t="e">
        <f>VLOOKUP(C341,[1]CHILDCARE_FACILITIES!AJ:AK,2,0)</f>
        <v>#N/A</v>
      </c>
      <c r="E341" s="20" t="s">
        <v>15134</v>
      </c>
      <c r="F341" s="20" t="s">
        <v>15135</v>
      </c>
      <c r="G341" s="20">
        <v>73233001</v>
      </c>
      <c r="K341" s="20">
        <v>9375</v>
      </c>
    </row>
    <row r="342" spans="1:13" x14ac:dyDescent="0.25">
      <c r="A342" s="20">
        <v>10374</v>
      </c>
      <c r="B342" s="20" t="s">
        <v>15857</v>
      </c>
      <c r="C342" s="20">
        <v>10374</v>
      </c>
      <c r="D342" s="20" t="e">
        <f>VLOOKUP(C342,[1]CHILDCARE_FACILITIES!AJ:AK,2,0)</f>
        <v>#N/A</v>
      </c>
      <c r="E342" s="20" t="s">
        <v>15134</v>
      </c>
      <c r="F342" s="20" t="s">
        <v>15135</v>
      </c>
      <c r="G342" s="20">
        <v>103110001</v>
      </c>
      <c r="K342" s="20">
        <v>10374</v>
      </c>
    </row>
    <row r="343" spans="1:13" x14ac:dyDescent="0.25">
      <c r="A343" s="20">
        <v>8778</v>
      </c>
      <c r="B343" s="20" t="s">
        <v>15269</v>
      </c>
      <c r="C343" s="20">
        <v>8778</v>
      </c>
      <c r="D343" s="20" t="e">
        <f>VLOOKUP(C343,[1]CHILDCARE_FACILITIES!AJ:AK,2,0)</f>
        <v>#N/A</v>
      </c>
      <c r="E343" s="20" t="s">
        <v>15134</v>
      </c>
      <c r="F343" s="20" t="s">
        <v>15135</v>
      </c>
      <c r="G343" s="20">
        <v>72408000</v>
      </c>
      <c r="H343" s="20" t="s">
        <v>15145</v>
      </c>
      <c r="I343" s="20" t="b">
        <v>1</v>
      </c>
      <c r="J343" s="20" t="s">
        <v>17510</v>
      </c>
      <c r="K343" s="20">
        <v>8778</v>
      </c>
      <c r="L343" s="20" t="s">
        <v>17213</v>
      </c>
      <c r="M343" s="20" t="s">
        <v>17511</v>
      </c>
    </row>
    <row r="344" spans="1:13" x14ac:dyDescent="0.25">
      <c r="A344" s="20">
        <v>8778</v>
      </c>
      <c r="B344" s="20" t="s">
        <v>15269</v>
      </c>
      <c r="C344" s="20">
        <v>8778</v>
      </c>
      <c r="D344" s="20" t="e">
        <f>VLOOKUP(C344,[1]CHILDCARE_FACILITIES!AJ:AK,2,0)</f>
        <v>#N/A</v>
      </c>
      <c r="E344" s="20" t="s">
        <v>15134</v>
      </c>
      <c r="F344" s="20" t="s">
        <v>15135</v>
      </c>
      <c r="G344" s="20">
        <v>72408000</v>
      </c>
      <c r="H344" s="20" t="s">
        <v>15138</v>
      </c>
      <c r="I344" s="20" t="b">
        <v>1</v>
      </c>
      <c r="J344" s="20" t="s">
        <v>17510</v>
      </c>
      <c r="K344" s="20">
        <v>8778</v>
      </c>
      <c r="L344" s="20" t="s">
        <v>17213</v>
      </c>
      <c r="M344" s="20" t="s">
        <v>17511</v>
      </c>
    </row>
    <row r="345" spans="1:13" x14ac:dyDescent="0.25">
      <c r="A345" s="20">
        <v>8731</v>
      </c>
      <c r="B345" s="20" t="s">
        <v>15232</v>
      </c>
      <c r="C345" s="20">
        <v>8731</v>
      </c>
      <c r="D345" s="20" t="e">
        <f>VLOOKUP(C345,[1]CHILDCARE_FACILITIES!AJ:AK,2,0)</f>
        <v>#N/A</v>
      </c>
      <c r="E345" s="20" t="s">
        <v>15134</v>
      </c>
      <c r="F345" s="20" t="s">
        <v>15135</v>
      </c>
      <c r="G345" s="20">
        <v>72291001</v>
      </c>
      <c r="K345" s="20">
        <v>8731</v>
      </c>
    </row>
    <row r="346" spans="1:13" x14ac:dyDescent="0.25">
      <c r="A346" s="20">
        <v>8707</v>
      </c>
      <c r="B346" s="20" t="s">
        <v>15214</v>
      </c>
      <c r="C346" s="20">
        <v>8707</v>
      </c>
      <c r="D346" s="20" t="e">
        <f>VLOOKUP(C346,[1]CHILDCARE_FACILITIES!AJ:AK,2,0)</f>
        <v>#N/A</v>
      </c>
      <c r="E346" s="20" t="s">
        <v>15134</v>
      </c>
      <c r="F346" s="20" t="s">
        <v>15135</v>
      </c>
      <c r="G346" s="20">
        <v>72274001</v>
      </c>
      <c r="K346" s="20">
        <v>8707</v>
      </c>
    </row>
    <row r="347" spans="1:13" x14ac:dyDescent="0.25">
      <c r="A347" s="20">
        <v>8730</v>
      </c>
      <c r="B347" s="20" t="s">
        <v>15231</v>
      </c>
      <c r="C347" s="20">
        <v>8730</v>
      </c>
      <c r="D347" s="20" t="e">
        <f>VLOOKUP(C347,[1]CHILDCARE_FACILITIES!AJ:AK,2,0)</f>
        <v>#N/A</v>
      </c>
      <c r="E347" s="20" t="s">
        <v>15134</v>
      </c>
      <c r="F347" s="20" t="s">
        <v>15135</v>
      </c>
      <c r="G347" s="20">
        <v>72291000</v>
      </c>
      <c r="K347" s="20">
        <v>8730</v>
      </c>
    </row>
    <row r="348" spans="1:13" x14ac:dyDescent="0.25">
      <c r="A348" s="20">
        <v>10176</v>
      </c>
      <c r="B348" s="20" t="s">
        <v>15828</v>
      </c>
      <c r="C348" s="20">
        <v>10176</v>
      </c>
      <c r="D348" s="20" t="e">
        <f>VLOOKUP(C348,[1]CHILDCARE_FACILITIES!AJ:AK,2,0)</f>
        <v>#N/A</v>
      </c>
      <c r="E348" s="20" t="s">
        <v>15134</v>
      </c>
      <c r="F348" s="20" t="s">
        <v>15135</v>
      </c>
      <c r="G348" s="20">
        <v>142204000</v>
      </c>
      <c r="K348" s="20">
        <v>10176</v>
      </c>
    </row>
    <row r="349" spans="1:13" x14ac:dyDescent="0.25">
      <c r="A349" s="20">
        <v>79761</v>
      </c>
      <c r="B349" s="20" t="s">
        <v>15991</v>
      </c>
      <c r="C349" s="20">
        <v>79761</v>
      </c>
      <c r="D349" s="20" t="e">
        <f>VLOOKUP(C349,[1]CHILDCARE_FACILITIES!AJ:AK,2,0)</f>
        <v>#N/A</v>
      </c>
      <c r="E349" s="20" t="s">
        <v>15134</v>
      </c>
      <c r="F349" s="20" t="s">
        <v>15135</v>
      </c>
      <c r="G349" s="20">
        <v>73464000</v>
      </c>
      <c r="H349" s="20" t="s">
        <v>15136</v>
      </c>
      <c r="I349" s="20" t="b">
        <v>1</v>
      </c>
      <c r="J349" s="20" t="s">
        <v>17512</v>
      </c>
      <c r="K349" s="20">
        <v>79761</v>
      </c>
      <c r="L349" s="20" t="s">
        <v>17312</v>
      </c>
      <c r="M349" s="20" t="s">
        <v>17513</v>
      </c>
    </row>
    <row r="350" spans="1:13" x14ac:dyDescent="0.25">
      <c r="A350" s="20">
        <v>79761</v>
      </c>
      <c r="B350" s="20" t="s">
        <v>15991</v>
      </c>
      <c r="C350" s="20">
        <v>79761</v>
      </c>
      <c r="D350" s="20" t="e">
        <f>VLOOKUP(C350,[1]CHILDCARE_FACILITIES!AJ:AK,2,0)</f>
        <v>#N/A</v>
      </c>
      <c r="E350" s="20" t="s">
        <v>15134</v>
      </c>
      <c r="F350" s="20" t="s">
        <v>15135</v>
      </c>
      <c r="G350" s="20">
        <v>73464000</v>
      </c>
      <c r="H350" s="20" t="s">
        <v>15138</v>
      </c>
      <c r="I350" s="20" t="b">
        <v>1</v>
      </c>
      <c r="J350" s="20" t="s">
        <v>17512</v>
      </c>
      <c r="K350" s="20">
        <v>79761</v>
      </c>
      <c r="L350" s="20" t="s">
        <v>17312</v>
      </c>
      <c r="M350" s="20" t="s">
        <v>17513</v>
      </c>
    </row>
    <row r="351" spans="1:13" x14ac:dyDescent="0.25">
      <c r="A351" s="20">
        <v>8986</v>
      </c>
      <c r="B351" s="20" t="s">
        <v>15301</v>
      </c>
      <c r="C351" s="20">
        <v>8986</v>
      </c>
      <c r="D351" s="20" t="e">
        <f>VLOOKUP(C351,[1]CHILDCARE_FACILITIES!AJ:AK,2,0)</f>
        <v>#N/A</v>
      </c>
      <c r="E351" s="20" t="s">
        <v>15134</v>
      </c>
      <c r="F351" s="20" t="s">
        <v>15135</v>
      </c>
      <c r="G351" s="20">
        <v>73006001</v>
      </c>
      <c r="K351" s="20">
        <v>8986</v>
      </c>
    </row>
    <row r="352" spans="1:13" x14ac:dyDescent="0.25">
      <c r="A352" s="20">
        <v>79281</v>
      </c>
      <c r="B352" s="20" t="s">
        <v>15910</v>
      </c>
      <c r="C352" s="20">
        <v>79281</v>
      </c>
      <c r="D352" s="20" t="e">
        <f>VLOOKUP(C352,[1]CHILDCARE_FACILITIES!AJ:AK,2,0)</f>
        <v>#N/A</v>
      </c>
      <c r="E352" s="20" t="s">
        <v>15134</v>
      </c>
      <c r="F352" s="20" t="s">
        <v>15135</v>
      </c>
      <c r="G352" s="20">
        <v>93015001</v>
      </c>
      <c r="H352" s="20" t="s">
        <v>15145</v>
      </c>
      <c r="I352" s="20" t="b">
        <v>0</v>
      </c>
      <c r="J352" s="20" t="s">
        <v>17514</v>
      </c>
      <c r="K352" s="20">
        <v>79281</v>
      </c>
      <c r="L352" s="20" t="s">
        <v>17515</v>
      </c>
      <c r="M352" s="20" t="s">
        <v>17516</v>
      </c>
    </row>
    <row r="353" spans="1:13" x14ac:dyDescent="0.25">
      <c r="A353" s="20">
        <v>79281</v>
      </c>
      <c r="B353" s="20" t="s">
        <v>15910</v>
      </c>
      <c r="C353" s="20">
        <v>79281</v>
      </c>
      <c r="D353" s="20" t="e">
        <f>VLOOKUP(C353,[1]CHILDCARE_FACILITIES!AJ:AK,2,0)</f>
        <v>#N/A</v>
      </c>
      <c r="E353" s="20" t="s">
        <v>15134</v>
      </c>
      <c r="F353" s="20" t="s">
        <v>15135</v>
      </c>
      <c r="G353" s="20">
        <v>93015001</v>
      </c>
      <c r="H353" s="20" t="s">
        <v>15138</v>
      </c>
      <c r="I353" s="20" t="b">
        <v>0</v>
      </c>
      <c r="J353" s="20" t="s">
        <v>17514</v>
      </c>
      <c r="K353" s="20">
        <v>79281</v>
      </c>
      <c r="L353" s="20" t="s">
        <v>17515</v>
      </c>
      <c r="M353" s="20" t="s">
        <v>17516</v>
      </c>
    </row>
    <row r="354" spans="1:13" x14ac:dyDescent="0.25">
      <c r="A354" s="20">
        <v>92383</v>
      </c>
      <c r="B354" s="20" t="s">
        <v>16864</v>
      </c>
      <c r="C354" s="20">
        <v>92383</v>
      </c>
      <c r="D354" s="20" t="e">
        <f>VLOOKUP(C354,[1]CHILDCARE_FACILITIES!AJ:AK,2,0)</f>
        <v>#N/A</v>
      </c>
      <c r="E354" s="20" t="s">
        <v>15134</v>
      </c>
      <c r="F354" s="20" t="s">
        <v>15135</v>
      </c>
      <c r="G354" s="20">
        <v>73308001</v>
      </c>
      <c r="H354" s="20" t="s">
        <v>15138</v>
      </c>
      <c r="I354" s="20" t="b">
        <v>1</v>
      </c>
      <c r="J354" s="20" t="s">
        <v>17517</v>
      </c>
      <c r="K354" s="20">
        <v>92383</v>
      </c>
      <c r="L354" s="20" t="s">
        <v>17213</v>
      </c>
      <c r="M354" s="20" t="s">
        <v>17518</v>
      </c>
    </row>
    <row r="355" spans="1:13" x14ac:dyDescent="0.25">
      <c r="A355" s="20">
        <v>92383</v>
      </c>
      <c r="B355" s="20" t="s">
        <v>16864</v>
      </c>
      <c r="C355" s="20">
        <v>92383</v>
      </c>
      <c r="D355" s="20" t="e">
        <f>VLOOKUP(C355,[1]CHILDCARE_FACILITIES!AJ:AK,2,0)</f>
        <v>#N/A</v>
      </c>
      <c r="E355" s="20" t="s">
        <v>15134</v>
      </c>
      <c r="F355" s="20" t="s">
        <v>15135</v>
      </c>
      <c r="G355" s="20">
        <v>73308001</v>
      </c>
      <c r="H355" s="20" t="s">
        <v>15145</v>
      </c>
      <c r="I355" s="20" t="b">
        <v>1</v>
      </c>
      <c r="J355" s="20" t="s">
        <v>17517</v>
      </c>
      <c r="K355" s="20">
        <v>92383</v>
      </c>
      <c r="L355" s="20" t="s">
        <v>17213</v>
      </c>
      <c r="M355" s="20" t="s">
        <v>17518</v>
      </c>
    </row>
    <row r="356" spans="1:13" x14ac:dyDescent="0.25">
      <c r="A356" s="20">
        <v>9270</v>
      </c>
      <c r="B356" s="20" t="s">
        <v>15440</v>
      </c>
      <c r="C356" s="20">
        <v>9270</v>
      </c>
      <c r="D356" s="20" t="e">
        <f>VLOOKUP(C356,[1]CHILDCARE_FACILITIES!AJ:AK,2,0)</f>
        <v>#N/A</v>
      </c>
      <c r="E356" s="20" t="s">
        <v>15134</v>
      </c>
      <c r="F356" s="20" t="s">
        <v>15135</v>
      </c>
      <c r="G356" s="20">
        <v>73192001</v>
      </c>
      <c r="K356" s="20">
        <v>9270</v>
      </c>
    </row>
    <row r="357" spans="1:13" x14ac:dyDescent="0.25">
      <c r="A357" s="20">
        <v>9513</v>
      </c>
      <c r="B357" s="20" t="s">
        <v>15440</v>
      </c>
      <c r="C357" s="20">
        <v>9513</v>
      </c>
      <c r="D357" s="20" t="e">
        <f>VLOOKUP(C357,[1]CHILDCARE_FACILITIES!AJ:AK,2,0)</f>
        <v>#N/A</v>
      </c>
      <c r="E357" s="20" t="s">
        <v>15134</v>
      </c>
      <c r="F357" s="20" t="s">
        <v>15135</v>
      </c>
      <c r="G357" s="20">
        <v>73283001</v>
      </c>
      <c r="K357" s="20">
        <v>9513</v>
      </c>
    </row>
    <row r="358" spans="1:13" x14ac:dyDescent="0.25">
      <c r="A358" s="20">
        <v>92382</v>
      </c>
      <c r="B358" s="20" t="s">
        <v>16862</v>
      </c>
      <c r="C358" s="20">
        <v>92382</v>
      </c>
      <c r="D358" s="20" t="e">
        <f>VLOOKUP(C358,[1]CHILDCARE_FACILITIES!AJ:AK,2,0)</f>
        <v>#N/A</v>
      </c>
      <c r="E358" s="20" t="s">
        <v>15134</v>
      </c>
      <c r="F358" s="20" t="s">
        <v>15135</v>
      </c>
      <c r="G358" s="20">
        <v>73308000</v>
      </c>
      <c r="H358" s="20" t="s">
        <v>15136</v>
      </c>
      <c r="I358" s="20" t="b">
        <v>1</v>
      </c>
      <c r="J358" s="20" t="s">
        <v>17517</v>
      </c>
      <c r="K358" s="20">
        <v>92382</v>
      </c>
      <c r="L358" s="20" t="s">
        <v>17213</v>
      </c>
      <c r="M358" s="20" t="s">
        <v>17518</v>
      </c>
    </row>
    <row r="359" spans="1:13" x14ac:dyDescent="0.25">
      <c r="A359" s="20">
        <v>92382</v>
      </c>
      <c r="B359" s="20" t="s">
        <v>16862</v>
      </c>
      <c r="C359" s="20">
        <v>92382</v>
      </c>
      <c r="D359" s="20" t="e">
        <f>VLOOKUP(C359,[1]CHILDCARE_FACILITIES!AJ:AK,2,0)</f>
        <v>#N/A</v>
      </c>
      <c r="E359" s="20" t="s">
        <v>15134</v>
      </c>
      <c r="F359" s="20" t="s">
        <v>15135</v>
      </c>
      <c r="G359" s="20">
        <v>73308000</v>
      </c>
      <c r="H359" s="20" t="s">
        <v>15138</v>
      </c>
      <c r="I359" s="20" t="b">
        <v>1</v>
      </c>
      <c r="J359" s="20" t="s">
        <v>17517</v>
      </c>
      <c r="K359" s="20">
        <v>92382</v>
      </c>
      <c r="L359" s="20" t="s">
        <v>17213</v>
      </c>
      <c r="M359" s="20" t="s">
        <v>17518</v>
      </c>
    </row>
    <row r="360" spans="1:13" x14ac:dyDescent="0.25">
      <c r="A360" s="20">
        <v>9740</v>
      </c>
      <c r="B360" s="20" t="s">
        <v>15646</v>
      </c>
      <c r="C360" s="20">
        <v>9740</v>
      </c>
      <c r="D360" s="20" t="str">
        <f>VLOOKUP(C360,[1]CHILDCARE_FACILITIES!AJ:AK,2,0)</f>
        <v>CDC-8494</v>
      </c>
      <c r="E360" s="20" t="s">
        <v>15134</v>
      </c>
      <c r="F360" s="20" t="s">
        <v>15135</v>
      </c>
      <c r="G360" s="20">
        <v>102218001</v>
      </c>
      <c r="H360" s="20" t="s">
        <v>15145</v>
      </c>
      <c r="I360" s="20" t="b">
        <v>1</v>
      </c>
      <c r="J360" s="20" t="s">
        <v>17519</v>
      </c>
      <c r="K360" s="20">
        <v>9740</v>
      </c>
      <c r="L360" s="20" t="s">
        <v>17271</v>
      </c>
      <c r="M360" s="20" t="s">
        <v>17520</v>
      </c>
    </row>
    <row r="361" spans="1:13" x14ac:dyDescent="0.25">
      <c r="A361" s="20">
        <v>9740</v>
      </c>
      <c r="B361" s="20" t="s">
        <v>15646</v>
      </c>
      <c r="C361" s="20">
        <v>9740</v>
      </c>
      <c r="D361" s="20" t="str">
        <f>VLOOKUP(C361,[1]CHILDCARE_FACILITIES!AJ:AK,2,0)</f>
        <v>CDC-8494</v>
      </c>
      <c r="E361" s="20" t="s">
        <v>15134</v>
      </c>
      <c r="F361" s="20" t="s">
        <v>15135</v>
      </c>
      <c r="G361" s="20">
        <v>102218001</v>
      </c>
      <c r="H361" s="20" t="s">
        <v>15138</v>
      </c>
      <c r="I361" s="20" t="b">
        <v>1</v>
      </c>
      <c r="J361" s="20" t="s">
        <v>17519</v>
      </c>
      <c r="K361" s="20">
        <v>9740</v>
      </c>
      <c r="L361" s="20" t="s">
        <v>17271</v>
      </c>
      <c r="M361" s="20" t="s">
        <v>17520</v>
      </c>
    </row>
    <row r="362" spans="1:13" x14ac:dyDescent="0.25">
      <c r="A362" s="20">
        <v>9174</v>
      </c>
      <c r="B362" s="20" t="s">
        <v>15395</v>
      </c>
      <c r="C362" s="20">
        <v>9174</v>
      </c>
      <c r="D362" s="20" t="str">
        <f>VLOOKUP(C362,[1]CHILDCARE_FACILITIES!AJ:AK,2,0)</f>
        <v>CDC-1247</v>
      </c>
      <c r="E362" s="20" t="s">
        <v>15134</v>
      </c>
      <c r="F362" s="20" t="s">
        <v>15135</v>
      </c>
      <c r="G362" s="20">
        <v>73116001</v>
      </c>
      <c r="K362" s="20">
        <v>9174</v>
      </c>
    </row>
    <row r="363" spans="1:13" x14ac:dyDescent="0.25">
      <c r="A363" s="20">
        <v>80965</v>
      </c>
      <c r="B363" s="20" t="s">
        <v>15395</v>
      </c>
      <c r="C363" s="20">
        <v>80965</v>
      </c>
      <c r="D363" s="20" t="e">
        <f>VLOOKUP(C363,[1]CHILDCARE_FACILITIES!AJ:AK,2,0)</f>
        <v>#N/A</v>
      </c>
      <c r="E363" s="20" t="s">
        <v>15134</v>
      </c>
      <c r="F363" s="20" t="s">
        <v>15135</v>
      </c>
      <c r="G363" s="20">
        <v>73001001</v>
      </c>
      <c r="H363" s="20" t="s">
        <v>15138</v>
      </c>
      <c r="I363" s="20" t="b">
        <v>1</v>
      </c>
      <c r="J363" s="20" t="s">
        <v>17521</v>
      </c>
      <c r="K363" s="20">
        <v>80965</v>
      </c>
      <c r="L363" s="20" t="s">
        <v>17213</v>
      </c>
      <c r="M363" s="20" t="s">
        <v>17522</v>
      </c>
    </row>
    <row r="364" spans="1:13" x14ac:dyDescent="0.25">
      <c r="A364" s="20">
        <v>80965</v>
      </c>
      <c r="B364" s="20" t="s">
        <v>15395</v>
      </c>
      <c r="C364" s="20">
        <v>80965</v>
      </c>
      <c r="D364" s="20" t="e">
        <f>VLOOKUP(C364,[1]CHILDCARE_FACILITIES!AJ:AK,2,0)</f>
        <v>#N/A</v>
      </c>
      <c r="E364" s="20" t="s">
        <v>15134</v>
      </c>
      <c r="F364" s="20" t="s">
        <v>15135</v>
      </c>
      <c r="G364" s="20">
        <v>73001001</v>
      </c>
      <c r="H364" s="20" t="s">
        <v>15145</v>
      </c>
      <c r="I364" s="20" t="b">
        <v>1</v>
      </c>
      <c r="J364" s="20" t="s">
        <v>17523</v>
      </c>
      <c r="K364" s="20">
        <v>80965</v>
      </c>
      <c r="L364" s="20" t="s">
        <v>17213</v>
      </c>
      <c r="M364" s="20" t="s">
        <v>17524</v>
      </c>
    </row>
    <row r="365" spans="1:13" x14ac:dyDescent="0.25">
      <c r="A365" s="20">
        <v>80966</v>
      </c>
      <c r="B365" s="20" t="s">
        <v>16253</v>
      </c>
      <c r="C365" s="20">
        <v>80966</v>
      </c>
      <c r="D365" s="20" t="e">
        <f>VLOOKUP(C365,[1]CHILDCARE_FACILITIES!AJ:AK,2,0)</f>
        <v>#N/A</v>
      </c>
      <c r="E365" s="20" t="s">
        <v>15134</v>
      </c>
      <c r="F365" s="20" t="s">
        <v>15135</v>
      </c>
      <c r="G365" s="20">
        <v>73001002</v>
      </c>
      <c r="H365" s="20" t="s">
        <v>15138</v>
      </c>
      <c r="I365" s="20" t="b">
        <v>1</v>
      </c>
      <c r="J365" s="20" t="s">
        <v>17521</v>
      </c>
      <c r="K365" s="20">
        <v>80966</v>
      </c>
      <c r="L365" s="20" t="s">
        <v>17213</v>
      </c>
      <c r="M365" s="20" t="s">
        <v>17522</v>
      </c>
    </row>
    <row r="366" spans="1:13" x14ac:dyDescent="0.25">
      <c r="A366" s="20">
        <v>80966</v>
      </c>
      <c r="B366" s="20" t="s">
        <v>16253</v>
      </c>
      <c r="C366" s="20">
        <v>80966</v>
      </c>
      <c r="D366" s="20" t="e">
        <f>VLOOKUP(C366,[1]CHILDCARE_FACILITIES!AJ:AK,2,0)</f>
        <v>#N/A</v>
      </c>
      <c r="E366" s="20" t="s">
        <v>15134</v>
      </c>
      <c r="F366" s="20" t="s">
        <v>15135</v>
      </c>
      <c r="G366" s="20">
        <v>73001002</v>
      </c>
      <c r="H366" s="20" t="s">
        <v>15145</v>
      </c>
      <c r="I366" s="20" t="b">
        <v>1</v>
      </c>
      <c r="J366" s="20" t="s">
        <v>17525</v>
      </c>
      <c r="K366" s="20">
        <v>80966</v>
      </c>
      <c r="L366" s="20" t="s">
        <v>17213</v>
      </c>
      <c r="M366" s="20" t="s">
        <v>17526</v>
      </c>
    </row>
    <row r="367" spans="1:13" x14ac:dyDescent="0.25">
      <c r="A367" s="20">
        <v>10023</v>
      </c>
      <c r="B367" s="20" t="s">
        <v>15784</v>
      </c>
      <c r="C367" s="20">
        <v>10023</v>
      </c>
      <c r="D367" s="20" t="e">
        <f>VLOOKUP(C367,[1]CHILDCARE_FACILITIES!AJ:AK,2,0)</f>
        <v>#N/A</v>
      </c>
      <c r="E367" s="20" t="s">
        <v>15134</v>
      </c>
      <c r="F367" s="20" t="s">
        <v>15135</v>
      </c>
      <c r="G367" s="20">
        <v>103096001</v>
      </c>
      <c r="K367" s="20">
        <v>10023</v>
      </c>
    </row>
    <row r="368" spans="1:13" x14ac:dyDescent="0.25">
      <c r="A368" s="20">
        <v>9111</v>
      </c>
      <c r="B368" s="20" t="s">
        <v>15365</v>
      </c>
      <c r="C368" s="20">
        <v>9111</v>
      </c>
      <c r="D368" s="20" t="e">
        <f>VLOOKUP(C368,[1]CHILDCARE_FACILITIES!AJ:AK,2,0)</f>
        <v>#N/A</v>
      </c>
      <c r="E368" s="20" t="s">
        <v>15134</v>
      </c>
      <c r="F368" s="20" t="s">
        <v>15135</v>
      </c>
      <c r="G368" s="20">
        <v>73081001</v>
      </c>
      <c r="K368" s="20">
        <v>9111</v>
      </c>
    </row>
    <row r="369" spans="1:13" x14ac:dyDescent="0.25">
      <c r="A369" s="20">
        <v>90079</v>
      </c>
      <c r="B369" s="20" t="s">
        <v>16529</v>
      </c>
      <c r="C369" s="20">
        <v>90079</v>
      </c>
      <c r="D369" s="20" t="str">
        <f>VLOOKUP(C369,[1]CHILDCARE_FACILITIES!AJ:AK,2,0)</f>
        <v>CDC-14124</v>
      </c>
      <c r="E369" s="20" t="s">
        <v>15134</v>
      </c>
      <c r="F369" s="20" t="s">
        <v>15135</v>
      </c>
      <c r="G369" s="20">
        <v>73568001</v>
      </c>
      <c r="H369" s="20" t="s">
        <v>15145</v>
      </c>
      <c r="I369" s="20" t="b">
        <v>1</v>
      </c>
      <c r="J369" s="20" t="s">
        <v>17527</v>
      </c>
      <c r="K369" s="20">
        <v>90079</v>
      </c>
      <c r="L369" s="20" t="s">
        <v>17213</v>
      </c>
      <c r="M369" s="20" t="s">
        <v>17528</v>
      </c>
    </row>
    <row r="370" spans="1:13" x14ac:dyDescent="0.25">
      <c r="A370" s="20">
        <v>90079</v>
      </c>
      <c r="B370" s="20" t="s">
        <v>16529</v>
      </c>
      <c r="C370" s="20">
        <v>90079</v>
      </c>
      <c r="D370" s="20" t="str">
        <f>VLOOKUP(C370,[1]CHILDCARE_FACILITIES!AJ:AK,2,0)</f>
        <v>CDC-14124</v>
      </c>
      <c r="E370" s="20" t="s">
        <v>15134</v>
      </c>
      <c r="F370" s="20" t="s">
        <v>15135</v>
      </c>
      <c r="G370" s="20">
        <v>73568001</v>
      </c>
      <c r="H370" s="20" t="s">
        <v>15138</v>
      </c>
      <c r="I370" s="20" t="b">
        <v>1</v>
      </c>
      <c r="J370" s="20" t="s">
        <v>17527</v>
      </c>
      <c r="K370" s="20">
        <v>90079</v>
      </c>
      <c r="L370" s="20" t="s">
        <v>17213</v>
      </c>
      <c r="M370" s="20" t="s">
        <v>17528</v>
      </c>
    </row>
    <row r="371" spans="1:13" x14ac:dyDescent="0.25">
      <c r="A371" s="20">
        <v>90078</v>
      </c>
      <c r="B371" s="20" t="s">
        <v>16527</v>
      </c>
      <c r="C371" s="20">
        <v>90078</v>
      </c>
      <c r="D371" s="20" t="e">
        <f>VLOOKUP(C371,[1]CHILDCARE_FACILITIES!AJ:AK,2,0)</f>
        <v>#N/A</v>
      </c>
      <c r="E371" s="20" t="s">
        <v>15134</v>
      </c>
      <c r="F371" s="20" t="s">
        <v>15135</v>
      </c>
      <c r="G371" s="20">
        <v>73568000</v>
      </c>
      <c r="H371" s="20" t="s">
        <v>15138</v>
      </c>
      <c r="I371" s="20" t="b">
        <v>1</v>
      </c>
      <c r="J371" s="20" t="s">
        <v>17527</v>
      </c>
      <c r="K371" s="20">
        <v>90078</v>
      </c>
      <c r="L371" s="20" t="s">
        <v>17213</v>
      </c>
      <c r="M371" s="20" t="s">
        <v>17528</v>
      </c>
    </row>
    <row r="372" spans="1:13" x14ac:dyDescent="0.25">
      <c r="A372" s="20">
        <v>90078</v>
      </c>
      <c r="B372" s="20" t="s">
        <v>16527</v>
      </c>
      <c r="C372" s="20">
        <v>90078</v>
      </c>
      <c r="D372" s="20" t="e">
        <f>VLOOKUP(C372,[1]CHILDCARE_FACILITIES!AJ:AK,2,0)</f>
        <v>#N/A</v>
      </c>
      <c r="E372" s="20" t="s">
        <v>15134</v>
      </c>
      <c r="F372" s="20" t="s">
        <v>15135</v>
      </c>
      <c r="G372" s="20">
        <v>73568000</v>
      </c>
      <c r="H372" s="20" t="s">
        <v>15136</v>
      </c>
      <c r="I372" s="20" t="b">
        <v>1</v>
      </c>
      <c r="J372" s="20" t="s">
        <v>17527</v>
      </c>
      <c r="K372" s="20">
        <v>90078</v>
      </c>
      <c r="L372" s="20" t="s">
        <v>17213</v>
      </c>
      <c r="M372" s="20" t="s">
        <v>17528</v>
      </c>
    </row>
    <row r="373" spans="1:13" x14ac:dyDescent="0.25">
      <c r="A373" s="20">
        <v>80839</v>
      </c>
      <c r="B373" s="20" t="s">
        <v>16226</v>
      </c>
      <c r="C373" s="20">
        <v>80839</v>
      </c>
      <c r="D373" s="20" t="e">
        <f>VLOOKUP(C373,[1]CHILDCARE_FACILITIES!AJ:AK,2,0)</f>
        <v>#N/A</v>
      </c>
      <c r="E373" s="20" t="s">
        <v>15134</v>
      </c>
      <c r="F373" s="20" t="s">
        <v>15135</v>
      </c>
      <c r="G373" s="20">
        <v>103120000</v>
      </c>
      <c r="H373" s="20" t="s">
        <v>15136</v>
      </c>
      <c r="I373" s="20" t="b">
        <v>1</v>
      </c>
      <c r="J373" s="20" t="s">
        <v>17529</v>
      </c>
      <c r="K373" s="20">
        <v>80839</v>
      </c>
      <c r="L373" s="20" t="s">
        <v>17271</v>
      </c>
      <c r="M373" s="20" t="s">
        <v>17530</v>
      </c>
    </row>
    <row r="374" spans="1:13" x14ac:dyDescent="0.25">
      <c r="A374" s="20">
        <v>80839</v>
      </c>
      <c r="B374" s="20" t="s">
        <v>16226</v>
      </c>
      <c r="C374" s="20">
        <v>80839</v>
      </c>
      <c r="D374" s="20" t="e">
        <f>VLOOKUP(C374,[1]CHILDCARE_FACILITIES!AJ:AK,2,0)</f>
        <v>#N/A</v>
      </c>
      <c r="E374" s="20" t="s">
        <v>15134</v>
      </c>
      <c r="F374" s="20" t="s">
        <v>15135</v>
      </c>
      <c r="G374" s="20">
        <v>103120000</v>
      </c>
      <c r="H374" s="20" t="s">
        <v>15138</v>
      </c>
      <c r="I374" s="20" t="b">
        <v>1</v>
      </c>
      <c r="J374" s="20" t="s">
        <v>17529</v>
      </c>
      <c r="K374" s="20">
        <v>80839</v>
      </c>
      <c r="L374" s="20" t="s">
        <v>17271</v>
      </c>
      <c r="M374" s="20" t="s">
        <v>17530</v>
      </c>
    </row>
    <row r="375" spans="1:13" x14ac:dyDescent="0.25">
      <c r="A375" s="20">
        <v>8756</v>
      </c>
      <c r="B375" s="20" t="s">
        <v>15252</v>
      </c>
      <c r="C375" s="20">
        <v>8756</v>
      </c>
      <c r="D375" s="20" t="e">
        <f>VLOOKUP(C375,[1]CHILDCARE_FACILITIES!AJ:AK,2,0)</f>
        <v>#N/A</v>
      </c>
      <c r="E375" s="20" t="s">
        <v>15134</v>
      </c>
      <c r="F375" s="20" t="s">
        <v>15135</v>
      </c>
      <c r="G375" s="20">
        <v>72402002</v>
      </c>
      <c r="K375" s="20">
        <v>8756</v>
      </c>
    </row>
    <row r="376" spans="1:13" x14ac:dyDescent="0.25">
      <c r="A376" s="20">
        <v>90145</v>
      </c>
      <c r="B376" s="20" t="s">
        <v>16565</v>
      </c>
      <c r="C376" s="20">
        <v>90145</v>
      </c>
      <c r="D376" s="20" t="e">
        <f>VLOOKUP(C376,[1]CHILDCARE_FACILITIES!AJ:AK,2,0)</f>
        <v>#N/A</v>
      </c>
      <c r="E376" s="20" t="s">
        <v>15134</v>
      </c>
      <c r="F376" s="20" t="s">
        <v>15135</v>
      </c>
      <c r="G376" s="20">
        <v>73576001</v>
      </c>
      <c r="H376" s="20" t="s">
        <v>15145</v>
      </c>
      <c r="I376" s="20" t="b">
        <v>1</v>
      </c>
      <c r="J376" s="20" t="s">
        <v>17531</v>
      </c>
      <c r="K376" s="20">
        <v>90145</v>
      </c>
      <c r="L376" s="20" t="s">
        <v>17216</v>
      </c>
      <c r="M376" s="20" t="s">
        <v>17502</v>
      </c>
    </row>
    <row r="377" spans="1:13" x14ac:dyDescent="0.25">
      <c r="A377" s="20">
        <v>90121</v>
      </c>
      <c r="B377" s="20" t="s">
        <v>16550</v>
      </c>
      <c r="C377" s="20">
        <v>90121</v>
      </c>
      <c r="D377" s="20" t="str">
        <f>VLOOKUP(C377,[1]CHILDCARE_FACILITIES!AJ:AK,2,0)</f>
        <v>CDC-14185</v>
      </c>
      <c r="E377" s="20" t="s">
        <v>15134</v>
      </c>
      <c r="F377" s="20" t="s">
        <v>15135</v>
      </c>
      <c r="G377" s="20">
        <v>73574001</v>
      </c>
      <c r="H377" s="20" t="s">
        <v>15145</v>
      </c>
      <c r="I377" s="20" t="b">
        <v>0</v>
      </c>
      <c r="J377" s="20" t="s">
        <v>17532</v>
      </c>
      <c r="K377" s="20">
        <v>90121</v>
      </c>
      <c r="L377" s="20" t="s">
        <v>17533</v>
      </c>
      <c r="M377" s="20" t="s">
        <v>17534</v>
      </c>
    </row>
    <row r="378" spans="1:13" x14ac:dyDescent="0.25">
      <c r="A378" s="20">
        <v>90102</v>
      </c>
      <c r="B378" s="20" t="s">
        <v>16544</v>
      </c>
      <c r="C378" s="20">
        <v>90102</v>
      </c>
      <c r="D378" s="20" t="str">
        <f>VLOOKUP(C378,[1]CHILDCARE_FACILITIES!AJ:AK,2,0)</f>
        <v>CDC-14193</v>
      </c>
      <c r="E378" s="20" t="s">
        <v>15134</v>
      </c>
      <c r="F378" s="20" t="s">
        <v>15135</v>
      </c>
      <c r="G378" s="20">
        <v>73573001</v>
      </c>
      <c r="H378" s="20" t="s">
        <v>15145</v>
      </c>
      <c r="I378" s="20" t="b">
        <v>1</v>
      </c>
      <c r="J378" s="20" t="s">
        <v>17535</v>
      </c>
      <c r="K378" s="20">
        <v>90102</v>
      </c>
      <c r="L378" s="20" t="s">
        <v>17343</v>
      </c>
      <c r="M378" s="20" t="s">
        <v>17536</v>
      </c>
    </row>
    <row r="379" spans="1:13" x14ac:dyDescent="0.25">
      <c r="A379" s="20">
        <v>9879</v>
      </c>
      <c r="B379" s="20" t="s">
        <v>15712</v>
      </c>
      <c r="C379" s="20">
        <v>9879</v>
      </c>
      <c r="D379" s="20" t="e">
        <f>VLOOKUP(C379,[1]CHILDCARE_FACILITIES!AJ:AK,2,0)</f>
        <v>#N/A</v>
      </c>
      <c r="E379" s="20" t="s">
        <v>15134</v>
      </c>
      <c r="F379" s="20" t="s">
        <v>15135</v>
      </c>
      <c r="G379" s="20">
        <v>103010001</v>
      </c>
      <c r="K379" s="20">
        <v>9879</v>
      </c>
    </row>
    <row r="380" spans="1:13" x14ac:dyDescent="0.25">
      <c r="A380" s="20">
        <v>9953</v>
      </c>
      <c r="B380" s="20" t="s">
        <v>15747</v>
      </c>
      <c r="C380" s="20">
        <v>9953</v>
      </c>
      <c r="D380" s="20" t="e">
        <f>VLOOKUP(C380,[1]CHILDCARE_FACILITIES!AJ:AK,2,0)</f>
        <v>#N/A</v>
      </c>
      <c r="E380" s="20" t="s">
        <v>15134</v>
      </c>
      <c r="F380" s="20" t="s">
        <v>15135</v>
      </c>
      <c r="G380" s="20">
        <v>103068001</v>
      </c>
      <c r="K380" s="20">
        <v>9953</v>
      </c>
    </row>
    <row r="381" spans="1:13" x14ac:dyDescent="0.25">
      <c r="A381" s="20">
        <v>80209</v>
      </c>
      <c r="B381" s="20" t="s">
        <v>16041</v>
      </c>
      <c r="C381" s="20">
        <v>80209</v>
      </c>
      <c r="D381" s="20" t="e">
        <f>VLOOKUP(C381,[1]CHILDCARE_FACILITIES!AJ:AK,2,0)</f>
        <v>#N/A</v>
      </c>
      <c r="E381" s="20" t="s">
        <v>15134</v>
      </c>
      <c r="F381" s="20" t="s">
        <v>15135</v>
      </c>
      <c r="G381" s="20">
        <v>102255001</v>
      </c>
      <c r="K381" s="20">
        <v>80209</v>
      </c>
    </row>
    <row r="382" spans="1:13" x14ac:dyDescent="0.25">
      <c r="A382" s="20">
        <v>80210</v>
      </c>
      <c r="B382" s="20" t="s">
        <v>16042</v>
      </c>
      <c r="C382" s="20">
        <v>80210</v>
      </c>
      <c r="D382" s="20" t="e">
        <f>VLOOKUP(C382,[1]CHILDCARE_FACILITIES!AJ:AK,2,0)</f>
        <v>#N/A</v>
      </c>
      <c r="E382" s="20" t="s">
        <v>15134</v>
      </c>
      <c r="F382" s="20" t="s">
        <v>15135</v>
      </c>
      <c r="G382" s="20">
        <v>102255003</v>
      </c>
      <c r="K382" s="20">
        <v>80210</v>
      </c>
    </row>
    <row r="383" spans="1:13" x14ac:dyDescent="0.25">
      <c r="A383" s="20">
        <v>80211</v>
      </c>
      <c r="B383" s="20" t="s">
        <v>16043</v>
      </c>
      <c r="C383" s="20">
        <v>80211</v>
      </c>
      <c r="D383" s="20" t="e">
        <f>VLOOKUP(C383,[1]CHILDCARE_FACILITIES!AJ:AK,2,0)</f>
        <v>#N/A</v>
      </c>
      <c r="E383" s="20" t="s">
        <v>15134</v>
      </c>
      <c r="F383" s="20" t="s">
        <v>15135</v>
      </c>
      <c r="G383" s="20">
        <v>102255004</v>
      </c>
      <c r="K383" s="20">
        <v>80211</v>
      </c>
    </row>
    <row r="384" spans="1:13" x14ac:dyDescent="0.25">
      <c r="A384" s="20">
        <v>80212</v>
      </c>
      <c r="B384" s="20" t="s">
        <v>16044</v>
      </c>
      <c r="C384" s="20">
        <v>80212</v>
      </c>
      <c r="D384" s="20" t="e">
        <f>VLOOKUP(C384,[1]CHILDCARE_FACILITIES!AJ:AK,2,0)</f>
        <v>#N/A</v>
      </c>
      <c r="E384" s="20" t="s">
        <v>15134</v>
      </c>
      <c r="F384" s="20" t="s">
        <v>15135</v>
      </c>
      <c r="G384" s="20">
        <v>102255006</v>
      </c>
      <c r="K384" s="20">
        <v>80212</v>
      </c>
    </row>
    <row r="385" spans="1:13" x14ac:dyDescent="0.25">
      <c r="A385" s="20">
        <v>91951</v>
      </c>
      <c r="B385" s="20" t="s">
        <v>16835</v>
      </c>
      <c r="C385" s="20">
        <v>91951</v>
      </c>
      <c r="D385" s="20" t="e">
        <f>VLOOKUP(C385,[1]CHILDCARE_FACILITIES!AJ:AK,2,0)</f>
        <v>#N/A</v>
      </c>
      <c r="E385" s="20" t="s">
        <v>15134</v>
      </c>
      <c r="F385" s="20" t="s">
        <v>15135</v>
      </c>
      <c r="G385" s="20">
        <v>102255009</v>
      </c>
      <c r="K385" s="20">
        <v>91951</v>
      </c>
    </row>
    <row r="386" spans="1:13" x14ac:dyDescent="0.25">
      <c r="A386" s="20">
        <v>9234</v>
      </c>
      <c r="B386" s="20" t="s">
        <v>15425</v>
      </c>
      <c r="C386" s="20">
        <v>9234</v>
      </c>
      <c r="D386" s="20" t="e">
        <f>VLOOKUP(C386,[1]CHILDCARE_FACILITIES!AJ:AK,2,0)</f>
        <v>#N/A</v>
      </c>
      <c r="E386" s="20" t="s">
        <v>15134</v>
      </c>
      <c r="F386" s="20" t="s">
        <v>15135</v>
      </c>
      <c r="G386" s="20">
        <v>73167001</v>
      </c>
      <c r="K386" s="20">
        <v>9234</v>
      </c>
    </row>
    <row r="387" spans="1:13" x14ac:dyDescent="0.25">
      <c r="A387" s="20">
        <v>80213</v>
      </c>
      <c r="B387" s="20" t="s">
        <v>16045</v>
      </c>
      <c r="C387" s="20">
        <v>80213</v>
      </c>
      <c r="D387" s="20" t="e">
        <f>VLOOKUP(C387,[1]CHILDCARE_FACILITIES!AJ:AK,2,0)</f>
        <v>#N/A</v>
      </c>
      <c r="E387" s="20" t="s">
        <v>15134</v>
      </c>
      <c r="F387" s="20" t="s">
        <v>15135</v>
      </c>
      <c r="G387" s="20">
        <v>102255007</v>
      </c>
      <c r="K387" s="20">
        <v>80213</v>
      </c>
    </row>
    <row r="388" spans="1:13" x14ac:dyDescent="0.25">
      <c r="A388" s="20">
        <v>84657</v>
      </c>
      <c r="B388" s="20" t="s">
        <v>16290</v>
      </c>
      <c r="C388" s="20">
        <v>84657</v>
      </c>
      <c r="D388" s="20" t="e">
        <f>VLOOKUP(C388,[1]CHILDCARE_FACILITIES!AJ:AK,2,0)</f>
        <v>#N/A</v>
      </c>
      <c r="E388" s="20" t="s">
        <v>15134</v>
      </c>
      <c r="F388" s="20" t="s">
        <v>15135</v>
      </c>
      <c r="G388" s="20">
        <v>102255008</v>
      </c>
      <c r="H388" s="20" t="s">
        <v>15145</v>
      </c>
      <c r="I388" s="20" t="b">
        <v>1</v>
      </c>
      <c r="J388" s="20" t="s">
        <v>17537</v>
      </c>
      <c r="K388" s="20">
        <v>84657</v>
      </c>
      <c r="L388" s="20" t="s">
        <v>17271</v>
      </c>
      <c r="M388" s="20" t="s">
        <v>17538</v>
      </c>
    </row>
    <row r="389" spans="1:13" x14ac:dyDescent="0.25">
      <c r="A389" s="20">
        <v>91852</v>
      </c>
      <c r="B389" s="20" t="s">
        <v>16804</v>
      </c>
      <c r="C389" s="20">
        <v>91852</v>
      </c>
      <c r="D389" s="20" t="e">
        <f>VLOOKUP(C389,[1]CHILDCARE_FACILITIES!AJ:AK,2,0)</f>
        <v>#N/A</v>
      </c>
      <c r="E389" s="20" t="s">
        <v>15134</v>
      </c>
      <c r="F389" s="20" t="s">
        <v>15135</v>
      </c>
      <c r="G389" s="20">
        <v>102255044</v>
      </c>
      <c r="H389" s="20" t="s">
        <v>15145</v>
      </c>
      <c r="I389" s="20" t="b">
        <v>1</v>
      </c>
      <c r="J389" s="20" t="s">
        <v>17539</v>
      </c>
      <c r="K389" s="20">
        <v>91852</v>
      </c>
      <c r="L389" s="20" t="s">
        <v>17271</v>
      </c>
      <c r="M389" s="20" t="s">
        <v>17540</v>
      </c>
    </row>
    <row r="390" spans="1:13" x14ac:dyDescent="0.25">
      <c r="A390" s="20">
        <v>9804</v>
      </c>
      <c r="B390" s="20" t="s">
        <v>15692</v>
      </c>
      <c r="C390" s="20">
        <v>9804</v>
      </c>
      <c r="D390" s="20" t="e">
        <f>VLOOKUP(C390,[1]CHILDCARE_FACILITIES!AJ:AK,2,0)</f>
        <v>#N/A</v>
      </c>
      <c r="E390" s="20" t="s">
        <v>15134</v>
      </c>
      <c r="F390" s="20" t="s">
        <v>15135</v>
      </c>
      <c r="G390" s="20">
        <v>102255043</v>
      </c>
      <c r="H390" s="20" t="s">
        <v>15145</v>
      </c>
      <c r="I390" s="20" t="b">
        <v>0</v>
      </c>
      <c r="J390" s="20" t="s">
        <v>17541</v>
      </c>
      <c r="K390" s="20">
        <v>9804</v>
      </c>
      <c r="L390" s="20" t="s">
        <v>17282</v>
      </c>
      <c r="M390" s="20" t="s">
        <v>17542</v>
      </c>
    </row>
    <row r="391" spans="1:13" x14ac:dyDescent="0.25">
      <c r="A391" s="20">
        <v>92609</v>
      </c>
      <c r="B391" s="20" t="s">
        <v>16870</v>
      </c>
      <c r="C391" s="20">
        <v>92609</v>
      </c>
      <c r="D391" s="20" t="e">
        <f>VLOOKUP(C391,[1]CHILDCARE_FACILITIES!AJ:AK,2,0)</f>
        <v>#N/A</v>
      </c>
      <c r="E391" s="20" t="s">
        <v>15134</v>
      </c>
      <c r="F391" s="20" t="s">
        <v>15135</v>
      </c>
      <c r="G391" s="20">
        <v>102255045</v>
      </c>
      <c r="K391" s="20">
        <v>92609</v>
      </c>
    </row>
    <row r="392" spans="1:13" x14ac:dyDescent="0.25">
      <c r="A392" s="20">
        <v>10025</v>
      </c>
      <c r="B392" s="20" t="s">
        <v>15785</v>
      </c>
      <c r="C392" s="20">
        <v>10025</v>
      </c>
      <c r="D392" s="20" t="e">
        <f>VLOOKUP(C392,[1]CHILDCARE_FACILITIES!AJ:AK,2,0)</f>
        <v>#N/A</v>
      </c>
      <c r="E392" s="20" t="s">
        <v>15134</v>
      </c>
      <c r="F392" s="20" t="s">
        <v>15135</v>
      </c>
      <c r="G392" s="20">
        <v>103097001</v>
      </c>
      <c r="K392" s="20">
        <v>10025</v>
      </c>
    </row>
    <row r="393" spans="1:13" x14ac:dyDescent="0.25">
      <c r="A393" s="20">
        <v>78735</v>
      </c>
      <c r="B393" s="20" t="s">
        <v>15876</v>
      </c>
      <c r="C393" s="20">
        <v>78735</v>
      </c>
      <c r="D393" s="20" t="e">
        <f>VLOOKUP(C393,[1]CHILDCARE_FACILITIES!AJ:AK,2,0)</f>
        <v>#N/A</v>
      </c>
      <c r="E393" s="20" t="s">
        <v>15134</v>
      </c>
      <c r="F393" s="20" t="s">
        <v>15135</v>
      </c>
      <c r="G393" s="20">
        <v>73214003</v>
      </c>
      <c r="K393" s="20">
        <v>78735</v>
      </c>
    </row>
    <row r="394" spans="1:13" x14ac:dyDescent="0.25">
      <c r="A394" s="20">
        <v>9335</v>
      </c>
      <c r="B394" s="20" t="s">
        <v>15477</v>
      </c>
      <c r="C394" s="20">
        <v>9335</v>
      </c>
      <c r="D394" s="20" t="e">
        <f>VLOOKUP(C394,[1]CHILDCARE_FACILITIES!AJ:AK,2,0)</f>
        <v>#N/A</v>
      </c>
      <c r="E394" s="20" t="s">
        <v>15134</v>
      </c>
      <c r="F394" s="20" t="s">
        <v>15135</v>
      </c>
      <c r="G394" s="20">
        <v>73214001</v>
      </c>
      <c r="K394" s="20">
        <v>9335</v>
      </c>
    </row>
    <row r="395" spans="1:13" x14ac:dyDescent="0.25">
      <c r="A395" s="20">
        <v>9336</v>
      </c>
      <c r="B395" s="20" t="s">
        <v>15478</v>
      </c>
      <c r="C395" s="20">
        <v>9336</v>
      </c>
      <c r="D395" s="20" t="e">
        <f>VLOOKUP(C395,[1]CHILDCARE_FACILITIES!AJ:AK,2,0)</f>
        <v>#N/A</v>
      </c>
      <c r="E395" s="20" t="s">
        <v>15134</v>
      </c>
      <c r="F395" s="20" t="s">
        <v>15135</v>
      </c>
      <c r="G395" s="20">
        <v>73214002</v>
      </c>
      <c r="K395" s="20">
        <v>9336</v>
      </c>
    </row>
    <row r="396" spans="1:13" x14ac:dyDescent="0.25">
      <c r="A396" s="20">
        <v>9067</v>
      </c>
      <c r="B396" s="20" t="s">
        <v>15344</v>
      </c>
      <c r="C396" s="20">
        <v>9067</v>
      </c>
      <c r="D396" s="20" t="e">
        <f>VLOOKUP(C396,[1]CHILDCARE_FACILITIES!AJ:AK,2,0)</f>
        <v>#N/A</v>
      </c>
      <c r="E396" s="20" t="s">
        <v>15134</v>
      </c>
      <c r="F396" s="20" t="s">
        <v>15135</v>
      </c>
      <c r="G396" s="20">
        <v>73054001</v>
      </c>
      <c r="K396" s="20">
        <v>9067</v>
      </c>
    </row>
    <row r="397" spans="1:13" x14ac:dyDescent="0.25">
      <c r="A397" s="20">
        <v>9389</v>
      </c>
      <c r="B397" s="20" t="s">
        <v>15504</v>
      </c>
      <c r="C397" s="20">
        <v>9389</v>
      </c>
      <c r="D397" s="20" t="e">
        <f>VLOOKUP(C397,[1]CHILDCARE_FACILITIES!AJ:AK,2,0)</f>
        <v>#N/A</v>
      </c>
      <c r="E397" s="20" t="s">
        <v>15134</v>
      </c>
      <c r="F397" s="20" t="s">
        <v>15135</v>
      </c>
      <c r="G397" s="20">
        <v>73240001</v>
      </c>
      <c r="K397" s="20">
        <v>9389</v>
      </c>
    </row>
    <row r="398" spans="1:13" x14ac:dyDescent="0.25">
      <c r="A398" s="20">
        <v>9055</v>
      </c>
      <c r="B398" s="20" t="s">
        <v>15340</v>
      </c>
      <c r="C398" s="20">
        <v>9055</v>
      </c>
      <c r="D398" s="20" t="e">
        <f>VLOOKUP(C398,[1]CHILDCARE_FACILITIES!AJ:AK,2,0)</f>
        <v>#N/A</v>
      </c>
      <c r="E398" s="20" t="s">
        <v>15134</v>
      </c>
      <c r="F398" s="20" t="s">
        <v>15135</v>
      </c>
      <c r="G398" s="20">
        <v>73047001</v>
      </c>
      <c r="K398" s="20">
        <v>9055</v>
      </c>
    </row>
    <row r="399" spans="1:13" x14ac:dyDescent="0.25">
      <c r="A399" s="20">
        <v>9065</v>
      </c>
      <c r="B399" s="20" t="s">
        <v>15340</v>
      </c>
      <c r="C399" s="20">
        <v>9065</v>
      </c>
      <c r="D399" s="20" t="e">
        <f>VLOOKUP(C399,[1]CHILDCARE_FACILITIES!AJ:AK,2,0)</f>
        <v>#N/A</v>
      </c>
      <c r="E399" s="20" t="s">
        <v>15134</v>
      </c>
      <c r="F399" s="20" t="s">
        <v>15135</v>
      </c>
      <c r="G399" s="20">
        <v>73053001</v>
      </c>
      <c r="K399" s="20">
        <v>9065</v>
      </c>
    </row>
    <row r="400" spans="1:13" x14ac:dyDescent="0.25">
      <c r="A400" s="20">
        <v>9071</v>
      </c>
      <c r="B400" s="20" t="s">
        <v>15340</v>
      </c>
      <c r="C400" s="20">
        <v>9071</v>
      </c>
      <c r="D400" s="20" t="e">
        <f>VLOOKUP(C400,[1]CHILDCARE_FACILITIES!AJ:AK,2,0)</f>
        <v>#N/A</v>
      </c>
      <c r="E400" s="20" t="s">
        <v>15134</v>
      </c>
      <c r="F400" s="20" t="s">
        <v>15135</v>
      </c>
      <c r="G400" s="20">
        <v>73056001</v>
      </c>
      <c r="K400" s="20">
        <v>9071</v>
      </c>
    </row>
    <row r="401" spans="1:13" x14ac:dyDescent="0.25">
      <c r="A401" s="20">
        <v>9073</v>
      </c>
      <c r="B401" s="20" t="s">
        <v>15340</v>
      </c>
      <c r="C401" s="20">
        <v>9073</v>
      </c>
      <c r="D401" s="20" t="e">
        <f>VLOOKUP(C401,[1]CHILDCARE_FACILITIES!AJ:AK,2,0)</f>
        <v>#N/A</v>
      </c>
      <c r="E401" s="20" t="s">
        <v>15134</v>
      </c>
      <c r="F401" s="20" t="s">
        <v>15135</v>
      </c>
      <c r="G401" s="20">
        <v>73058001</v>
      </c>
      <c r="K401" s="20">
        <v>9073</v>
      </c>
    </row>
    <row r="402" spans="1:13" x14ac:dyDescent="0.25">
      <c r="A402" s="20">
        <v>9075</v>
      </c>
      <c r="B402" s="20" t="s">
        <v>15340</v>
      </c>
      <c r="C402" s="20">
        <v>9075</v>
      </c>
      <c r="D402" s="20" t="e">
        <f>VLOOKUP(C402,[1]CHILDCARE_FACILITIES!AJ:AK,2,0)</f>
        <v>#N/A</v>
      </c>
      <c r="E402" s="20" t="s">
        <v>15134</v>
      </c>
      <c r="F402" s="20" t="s">
        <v>15135</v>
      </c>
      <c r="G402" s="20">
        <v>73059001</v>
      </c>
      <c r="K402" s="20">
        <v>9075</v>
      </c>
    </row>
    <row r="403" spans="1:13" x14ac:dyDescent="0.25">
      <c r="A403" s="20">
        <v>9079</v>
      </c>
      <c r="B403" s="20" t="s">
        <v>15340</v>
      </c>
      <c r="C403" s="20">
        <v>9079</v>
      </c>
      <c r="D403" s="20" t="e">
        <f>VLOOKUP(C403,[1]CHILDCARE_FACILITIES!AJ:AK,2,0)</f>
        <v>#N/A</v>
      </c>
      <c r="E403" s="20" t="s">
        <v>15134</v>
      </c>
      <c r="F403" s="20" t="s">
        <v>15135</v>
      </c>
      <c r="G403" s="20">
        <v>73061001</v>
      </c>
      <c r="K403" s="20">
        <v>9079</v>
      </c>
    </row>
    <row r="404" spans="1:13" x14ac:dyDescent="0.25">
      <c r="A404" s="20">
        <v>9387</v>
      </c>
      <c r="B404" s="20" t="s">
        <v>15340</v>
      </c>
      <c r="C404" s="20">
        <v>9387</v>
      </c>
      <c r="D404" s="20" t="e">
        <f>VLOOKUP(C404,[1]CHILDCARE_FACILITIES!AJ:AK,2,0)</f>
        <v>#N/A</v>
      </c>
      <c r="E404" s="20" t="s">
        <v>15134</v>
      </c>
      <c r="F404" s="20" t="s">
        <v>15135</v>
      </c>
      <c r="G404" s="20">
        <v>73239001</v>
      </c>
      <c r="K404" s="20">
        <v>9387</v>
      </c>
    </row>
    <row r="405" spans="1:13" x14ac:dyDescent="0.25">
      <c r="A405" s="20">
        <v>9077</v>
      </c>
      <c r="B405" s="20" t="s">
        <v>15346</v>
      </c>
      <c r="C405" s="20">
        <v>9077</v>
      </c>
      <c r="D405" s="20" t="e">
        <f>VLOOKUP(C405,[1]CHILDCARE_FACILITIES!AJ:AK,2,0)</f>
        <v>#N/A</v>
      </c>
      <c r="E405" s="20" t="s">
        <v>15134</v>
      </c>
      <c r="F405" s="20" t="s">
        <v>15135</v>
      </c>
      <c r="G405" s="20">
        <v>73060001</v>
      </c>
      <c r="K405" s="20">
        <v>9077</v>
      </c>
    </row>
    <row r="406" spans="1:13" x14ac:dyDescent="0.25">
      <c r="A406" s="20">
        <v>9460</v>
      </c>
      <c r="B406" s="20" t="s">
        <v>15536</v>
      </c>
      <c r="C406" s="20">
        <v>9460</v>
      </c>
      <c r="D406" s="20" t="e">
        <f>VLOOKUP(C406,[1]CHILDCARE_FACILITIES!AJ:AK,2,0)</f>
        <v>#N/A</v>
      </c>
      <c r="E406" s="20" t="s">
        <v>15134</v>
      </c>
      <c r="F406" s="20" t="s">
        <v>15135</v>
      </c>
      <c r="G406" s="20">
        <v>73272000</v>
      </c>
      <c r="H406" s="20" t="s">
        <v>15138</v>
      </c>
      <c r="I406" s="20" t="b">
        <v>1</v>
      </c>
      <c r="J406" s="20" t="s">
        <v>17543</v>
      </c>
      <c r="K406" s="20">
        <v>9460</v>
      </c>
      <c r="L406" s="20" t="s">
        <v>17544</v>
      </c>
      <c r="M406" s="20" t="s">
        <v>17545</v>
      </c>
    </row>
    <row r="407" spans="1:13" x14ac:dyDescent="0.25">
      <c r="A407" s="20">
        <v>9460</v>
      </c>
      <c r="B407" s="20" t="s">
        <v>15536</v>
      </c>
      <c r="C407" s="20">
        <v>9460</v>
      </c>
      <c r="D407" s="20" t="e">
        <f>VLOOKUP(C407,[1]CHILDCARE_FACILITIES!AJ:AK,2,0)</f>
        <v>#N/A</v>
      </c>
      <c r="E407" s="20" t="s">
        <v>15134</v>
      </c>
      <c r="F407" s="20" t="s">
        <v>15135</v>
      </c>
      <c r="G407" s="20">
        <v>73272000</v>
      </c>
      <c r="H407" s="20" t="s">
        <v>15136</v>
      </c>
      <c r="I407" s="20" t="b">
        <v>1</v>
      </c>
      <c r="J407" s="20" t="s">
        <v>17546</v>
      </c>
      <c r="K407" s="20">
        <v>9460</v>
      </c>
      <c r="L407" s="20" t="s">
        <v>17544</v>
      </c>
      <c r="M407" s="20" t="s">
        <v>17547</v>
      </c>
    </row>
    <row r="408" spans="1:13" x14ac:dyDescent="0.25">
      <c r="A408" s="20">
        <v>10360</v>
      </c>
      <c r="B408" s="20" t="s">
        <v>15850</v>
      </c>
      <c r="C408" s="20">
        <v>10360</v>
      </c>
      <c r="D408" s="20" t="e">
        <f>VLOOKUP(C408,[1]CHILDCARE_FACILITIES!AJ:AK,2,0)</f>
        <v>#N/A</v>
      </c>
      <c r="E408" s="20" t="s">
        <v>15134</v>
      </c>
      <c r="F408" s="20" t="s">
        <v>15135</v>
      </c>
      <c r="G408" s="20">
        <v>73272017</v>
      </c>
      <c r="K408" s="20">
        <v>10360</v>
      </c>
    </row>
    <row r="409" spans="1:13" x14ac:dyDescent="0.25">
      <c r="A409" s="20">
        <v>9465</v>
      </c>
      <c r="B409" s="20" t="s">
        <v>15544</v>
      </c>
      <c r="C409" s="20">
        <v>9465</v>
      </c>
      <c r="D409" s="20" t="e">
        <f>VLOOKUP(C409,[1]CHILDCARE_FACILITIES!AJ:AK,2,0)</f>
        <v>#N/A</v>
      </c>
      <c r="E409" s="20" t="s">
        <v>15134</v>
      </c>
      <c r="F409" s="20" t="s">
        <v>15135</v>
      </c>
      <c r="G409" s="20">
        <v>73272005</v>
      </c>
      <c r="K409" s="20">
        <v>9465</v>
      </c>
    </row>
    <row r="410" spans="1:13" x14ac:dyDescent="0.25">
      <c r="A410" s="20">
        <v>9466</v>
      </c>
      <c r="B410" s="20" t="s">
        <v>15545</v>
      </c>
      <c r="C410" s="20">
        <v>9466</v>
      </c>
      <c r="D410" s="20" t="e">
        <f>VLOOKUP(C410,[1]CHILDCARE_FACILITIES!AJ:AK,2,0)</f>
        <v>#N/A</v>
      </c>
      <c r="E410" s="20" t="s">
        <v>15134</v>
      </c>
      <c r="F410" s="20" t="s">
        <v>15135</v>
      </c>
      <c r="G410" s="20">
        <v>73272006</v>
      </c>
      <c r="K410" s="20">
        <v>9466</v>
      </c>
    </row>
    <row r="411" spans="1:13" x14ac:dyDescent="0.25">
      <c r="A411" s="20">
        <v>80674</v>
      </c>
      <c r="B411" s="20" t="s">
        <v>16176</v>
      </c>
      <c r="C411" s="20">
        <v>80674</v>
      </c>
      <c r="D411" s="20" t="e">
        <f>VLOOKUP(C411,[1]CHILDCARE_FACILITIES!AJ:AK,2,0)</f>
        <v>#N/A</v>
      </c>
      <c r="E411" s="20" t="s">
        <v>15134</v>
      </c>
      <c r="F411" s="20" t="s">
        <v>15135</v>
      </c>
      <c r="G411" s="20">
        <v>73272022</v>
      </c>
      <c r="H411" s="20" t="s">
        <v>15145</v>
      </c>
      <c r="I411" s="20" t="b">
        <v>1</v>
      </c>
      <c r="J411" s="20" t="s">
        <v>17268</v>
      </c>
      <c r="K411" s="20">
        <v>80674</v>
      </c>
      <c r="L411" s="20" t="s">
        <v>17239</v>
      </c>
      <c r="M411" s="20" t="s">
        <v>17269</v>
      </c>
    </row>
    <row r="412" spans="1:13" x14ac:dyDescent="0.25">
      <c r="A412" s="20">
        <v>80674</v>
      </c>
      <c r="B412" s="20" t="s">
        <v>16176</v>
      </c>
      <c r="C412" s="20">
        <v>80674</v>
      </c>
      <c r="D412" s="20" t="e">
        <f>VLOOKUP(C412,[1]CHILDCARE_FACILITIES!AJ:AK,2,0)</f>
        <v>#N/A</v>
      </c>
      <c r="E412" s="20" t="s">
        <v>15134</v>
      </c>
      <c r="F412" s="20" t="s">
        <v>15135</v>
      </c>
      <c r="G412" s="20">
        <v>73272022</v>
      </c>
      <c r="H412" s="20" t="s">
        <v>15138</v>
      </c>
      <c r="I412" s="20" t="b">
        <v>1</v>
      </c>
      <c r="J412" s="20" t="s">
        <v>17268</v>
      </c>
      <c r="K412" s="20">
        <v>80674</v>
      </c>
      <c r="L412" s="20" t="s">
        <v>17239</v>
      </c>
      <c r="M412" s="20" t="s">
        <v>17269</v>
      </c>
    </row>
    <row r="413" spans="1:13" x14ac:dyDescent="0.25">
      <c r="A413" s="20">
        <v>80686</v>
      </c>
      <c r="B413" s="20" t="s">
        <v>17548</v>
      </c>
      <c r="C413" s="20">
        <v>80686</v>
      </c>
      <c r="D413" s="20" t="str">
        <f>VLOOKUP(C413,[1]CHILDCARE_FACILITIES!AJ:AK,2,0)</f>
        <v>CDC-8443</v>
      </c>
      <c r="E413" s="20" t="s">
        <v>15134</v>
      </c>
      <c r="F413" s="20" t="s">
        <v>15135</v>
      </c>
      <c r="G413" s="20">
        <v>73272023</v>
      </c>
      <c r="H413" s="20" t="s">
        <v>15138</v>
      </c>
      <c r="I413" s="20" t="b">
        <v>1</v>
      </c>
      <c r="J413" s="20" t="s">
        <v>17549</v>
      </c>
      <c r="K413" s="20">
        <v>80686</v>
      </c>
      <c r="L413" s="20" t="s">
        <v>17213</v>
      </c>
      <c r="M413" s="20" t="s">
        <v>17550</v>
      </c>
    </row>
    <row r="414" spans="1:13" x14ac:dyDescent="0.25">
      <c r="A414" s="20">
        <v>80686</v>
      </c>
      <c r="B414" s="20" t="s">
        <v>17548</v>
      </c>
      <c r="C414" s="20">
        <v>80686</v>
      </c>
      <c r="D414" s="20" t="str">
        <f>VLOOKUP(C414,[1]CHILDCARE_FACILITIES!AJ:AK,2,0)</f>
        <v>CDC-8443</v>
      </c>
      <c r="E414" s="20" t="s">
        <v>15134</v>
      </c>
      <c r="F414" s="20" t="s">
        <v>15135</v>
      </c>
      <c r="G414" s="20">
        <v>73272023</v>
      </c>
      <c r="H414" s="20" t="s">
        <v>15145</v>
      </c>
      <c r="I414" s="20" t="b">
        <v>1</v>
      </c>
      <c r="J414" s="20" t="s">
        <v>17549</v>
      </c>
      <c r="K414" s="20">
        <v>80686</v>
      </c>
      <c r="L414" s="20" t="s">
        <v>17213</v>
      </c>
      <c r="M414" s="20" t="s">
        <v>17550</v>
      </c>
    </row>
    <row r="415" spans="1:13" x14ac:dyDescent="0.25">
      <c r="A415" s="20">
        <v>9461</v>
      </c>
      <c r="B415" s="20" t="s">
        <v>17551</v>
      </c>
      <c r="C415" s="20">
        <v>9461</v>
      </c>
      <c r="D415" s="20" t="str">
        <f>VLOOKUP(C415,[1]CHILDCARE_FACILITIES!AJ:AK,2,0)</f>
        <v>CDC-0590</v>
      </c>
      <c r="E415" s="20" t="s">
        <v>15134</v>
      </c>
      <c r="F415" s="20" t="s">
        <v>15135</v>
      </c>
      <c r="G415" s="20">
        <v>73272001</v>
      </c>
      <c r="H415" s="20" t="s">
        <v>15138</v>
      </c>
      <c r="I415" s="20" t="b">
        <v>1</v>
      </c>
      <c r="J415" s="20" t="s">
        <v>17552</v>
      </c>
      <c r="K415" s="20">
        <v>9461</v>
      </c>
      <c r="L415" s="20" t="s">
        <v>17213</v>
      </c>
      <c r="M415" s="20" t="s">
        <v>17553</v>
      </c>
    </row>
    <row r="416" spans="1:13" x14ac:dyDescent="0.25">
      <c r="A416" s="20">
        <v>9461</v>
      </c>
      <c r="B416" s="20" t="s">
        <v>17551</v>
      </c>
      <c r="C416" s="20">
        <v>9461</v>
      </c>
      <c r="D416" s="20" t="str">
        <f>VLOOKUP(C416,[1]CHILDCARE_FACILITIES!AJ:AK,2,0)</f>
        <v>CDC-0590</v>
      </c>
      <c r="E416" s="20" t="s">
        <v>15134</v>
      </c>
      <c r="F416" s="20" t="s">
        <v>15135</v>
      </c>
      <c r="G416" s="20">
        <v>73272001</v>
      </c>
      <c r="H416" s="20" t="s">
        <v>15136</v>
      </c>
      <c r="I416" s="20" t="b">
        <v>1</v>
      </c>
      <c r="J416" s="20" t="s">
        <v>17552</v>
      </c>
      <c r="K416" s="20">
        <v>9461</v>
      </c>
      <c r="L416" s="20" t="s">
        <v>17213</v>
      </c>
      <c r="M416" s="20" t="s">
        <v>17553</v>
      </c>
    </row>
    <row r="417" spans="1:13" x14ac:dyDescent="0.25">
      <c r="A417" s="20">
        <v>80673</v>
      </c>
      <c r="B417" s="20" t="s">
        <v>16174</v>
      </c>
      <c r="C417" s="20">
        <v>80673</v>
      </c>
      <c r="D417" s="20" t="e">
        <f>VLOOKUP(C417,[1]CHILDCARE_FACILITIES!AJ:AK,2,0)</f>
        <v>#N/A</v>
      </c>
      <c r="E417" s="20" t="s">
        <v>15134</v>
      </c>
      <c r="F417" s="20" t="s">
        <v>15135</v>
      </c>
      <c r="G417" s="20">
        <v>73272014</v>
      </c>
      <c r="H417" s="20" t="s">
        <v>15145</v>
      </c>
      <c r="I417" s="20" t="b">
        <v>1</v>
      </c>
      <c r="J417" s="20" t="s">
        <v>17554</v>
      </c>
      <c r="K417" s="20">
        <v>80673</v>
      </c>
      <c r="L417" s="20" t="s">
        <v>17367</v>
      </c>
      <c r="M417" s="20" t="s">
        <v>17555</v>
      </c>
    </row>
    <row r="418" spans="1:13" x14ac:dyDescent="0.25">
      <c r="A418" s="20">
        <v>80673</v>
      </c>
      <c r="B418" s="20" t="s">
        <v>16174</v>
      </c>
      <c r="C418" s="20">
        <v>80673</v>
      </c>
      <c r="D418" s="20" t="e">
        <f>VLOOKUP(C418,[1]CHILDCARE_FACILITIES!AJ:AK,2,0)</f>
        <v>#N/A</v>
      </c>
      <c r="E418" s="20" t="s">
        <v>15134</v>
      </c>
      <c r="F418" s="20" t="s">
        <v>15135</v>
      </c>
      <c r="G418" s="20">
        <v>73272014</v>
      </c>
      <c r="H418" s="20" t="s">
        <v>15138</v>
      </c>
      <c r="I418" s="20" t="b">
        <v>1</v>
      </c>
      <c r="J418" s="20" t="s">
        <v>17554</v>
      </c>
      <c r="K418" s="20">
        <v>80673</v>
      </c>
      <c r="L418" s="20" t="s">
        <v>17367</v>
      </c>
      <c r="M418" s="20" t="s">
        <v>17555</v>
      </c>
    </row>
    <row r="419" spans="1:13" x14ac:dyDescent="0.25">
      <c r="A419" s="20">
        <v>9473</v>
      </c>
      <c r="B419" s="20" t="s">
        <v>17556</v>
      </c>
      <c r="C419" s="20">
        <v>9473</v>
      </c>
      <c r="D419" s="20" t="str">
        <f>VLOOKUP(C419,[1]CHILDCARE_FACILITIES!AJ:AK,2,0)</f>
        <v>CDC-1627</v>
      </c>
      <c r="E419" s="20" t="s">
        <v>15134</v>
      </c>
      <c r="F419" s="20" t="s">
        <v>15135</v>
      </c>
      <c r="G419" s="20">
        <v>73272016</v>
      </c>
      <c r="K419" s="20">
        <v>9473</v>
      </c>
    </row>
    <row r="420" spans="1:13" x14ac:dyDescent="0.25">
      <c r="A420" s="20">
        <v>89716</v>
      </c>
      <c r="B420" s="20" t="s">
        <v>17557</v>
      </c>
      <c r="C420" s="20">
        <v>89716</v>
      </c>
      <c r="D420" s="20" t="str">
        <f>VLOOKUP(C420,[1]CHILDCARE_FACILITIES!AJ:AK,2,0)</f>
        <v>CDC-1220</v>
      </c>
      <c r="E420" s="20" t="s">
        <v>15134</v>
      </c>
      <c r="F420" s="20" t="s">
        <v>15135</v>
      </c>
      <c r="G420" s="20">
        <v>73272027</v>
      </c>
      <c r="H420" s="20" t="s">
        <v>15138</v>
      </c>
      <c r="I420" s="20" t="b">
        <v>1</v>
      </c>
      <c r="J420" s="20" t="s">
        <v>17558</v>
      </c>
      <c r="K420" s="20">
        <v>89716</v>
      </c>
      <c r="L420" s="20" t="s">
        <v>17213</v>
      </c>
      <c r="M420" s="20" t="s">
        <v>17559</v>
      </c>
    </row>
    <row r="421" spans="1:13" x14ac:dyDescent="0.25">
      <c r="A421" s="20">
        <v>89716</v>
      </c>
      <c r="B421" s="20" t="s">
        <v>17557</v>
      </c>
      <c r="C421" s="20">
        <v>89716</v>
      </c>
      <c r="D421" s="20" t="str">
        <f>VLOOKUP(C421,[1]CHILDCARE_FACILITIES!AJ:AK,2,0)</f>
        <v>CDC-1220</v>
      </c>
      <c r="E421" s="20" t="s">
        <v>15134</v>
      </c>
      <c r="F421" s="20" t="s">
        <v>15135</v>
      </c>
      <c r="G421" s="20">
        <v>73272027</v>
      </c>
      <c r="H421" s="20" t="s">
        <v>15145</v>
      </c>
      <c r="I421" s="20" t="b">
        <v>1</v>
      </c>
      <c r="J421" s="20" t="s">
        <v>17558</v>
      </c>
      <c r="K421" s="20">
        <v>89716</v>
      </c>
      <c r="L421" s="20" t="s">
        <v>17213</v>
      </c>
      <c r="M421" s="20" t="s">
        <v>17559</v>
      </c>
    </row>
    <row r="422" spans="1:13" x14ac:dyDescent="0.25">
      <c r="A422" s="20">
        <v>9463</v>
      </c>
      <c r="B422" s="20" t="s">
        <v>15542</v>
      </c>
      <c r="C422" s="20">
        <v>9463</v>
      </c>
      <c r="D422" s="20" t="e">
        <f>VLOOKUP(C422,[1]CHILDCARE_FACILITIES!AJ:AK,2,0)</f>
        <v>#N/A</v>
      </c>
      <c r="E422" s="20" t="s">
        <v>15134</v>
      </c>
      <c r="F422" s="20" t="s">
        <v>15135</v>
      </c>
      <c r="G422" s="20">
        <v>73272003</v>
      </c>
      <c r="K422" s="20">
        <v>9463</v>
      </c>
    </row>
    <row r="423" spans="1:13" x14ac:dyDescent="0.25">
      <c r="A423" s="20">
        <v>9464</v>
      </c>
      <c r="B423" s="20" t="s">
        <v>15543</v>
      </c>
      <c r="C423" s="20">
        <v>9464</v>
      </c>
      <c r="D423" s="20" t="e">
        <f>VLOOKUP(C423,[1]CHILDCARE_FACILITIES!AJ:AK,2,0)</f>
        <v>#N/A</v>
      </c>
      <c r="E423" s="20" t="s">
        <v>15134</v>
      </c>
      <c r="F423" s="20" t="s">
        <v>15135</v>
      </c>
      <c r="G423" s="20">
        <v>73272004</v>
      </c>
      <c r="K423" s="20">
        <v>9464</v>
      </c>
    </row>
    <row r="424" spans="1:13" x14ac:dyDescent="0.25">
      <c r="A424" s="20">
        <v>9471</v>
      </c>
      <c r="B424" s="20" t="s">
        <v>15551</v>
      </c>
      <c r="C424" s="20">
        <v>9471</v>
      </c>
      <c r="D424" s="20" t="e">
        <f>VLOOKUP(C424,[1]CHILDCARE_FACILITIES!AJ:AK,2,0)</f>
        <v>#N/A</v>
      </c>
      <c r="E424" s="20" t="s">
        <v>15134</v>
      </c>
      <c r="F424" s="20" t="s">
        <v>15135</v>
      </c>
      <c r="G424" s="20">
        <v>73272011</v>
      </c>
      <c r="K424" s="20">
        <v>9471</v>
      </c>
    </row>
    <row r="425" spans="1:13" x14ac:dyDescent="0.25">
      <c r="A425" s="20">
        <v>80747</v>
      </c>
      <c r="B425" s="20" t="s">
        <v>16208</v>
      </c>
      <c r="C425" s="20">
        <v>80747</v>
      </c>
      <c r="D425" s="20" t="e">
        <f>VLOOKUP(C425,[1]CHILDCARE_FACILITIES!AJ:AK,2,0)</f>
        <v>#N/A</v>
      </c>
      <c r="E425" s="20" t="s">
        <v>15134</v>
      </c>
      <c r="F425" s="20" t="s">
        <v>15135</v>
      </c>
      <c r="G425" s="20">
        <v>73272026</v>
      </c>
      <c r="H425" s="20" t="s">
        <v>15145</v>
      </c>
      <c r="I425" s="20" t="b">
        <v>0</v>
      </c>
      <c r="J425" s="20" t="s">
        <v>17560</v>
      </c>
      <c r="K425" s="20">
        <v>80747</v>
      </c>
      <c r="L425" s="20" t="s">
        <v>17561</v>
      </c>
      <c r="M425" s="20" t="s">
        <v>17562</v>
      </c>
    </row>
    <row r="426" spans="1:13" x14ac:dyDescent="0.25">
      <c r="A426" s="20">
        <v>78738</v>
      </c>
      <c r="B426" s="20" t="s">
        <v>17563</v>
      </c>
      <c r="C426" s="20">
        <v>78738</v>
      </c>
      <c r="D426" s="20" t="str">
        <f>VLOOKUP(C426,[1]CHILDCARE_FACILITIES!AJ:AK,2,0)</f>
        <v>CDC-1720</v>
      </c>
      <c r="E426" s="20" t="s">
        <v>15134</v>
      </c>
      <c r="F426" s="20" t="s">
        <v>15135</v>
      </c>
      <c r="G426" s="20">
        <v>73272021</v>
      </c>
      <c r="K426" s="20">
        <v>78738</v>
      </c>
    </row>
    <row r="427" spans="1:13" x14ac:dyDescent="0.25">
      <c r="A427" s="20">
        <v>9467</v>
      </c>
      <c r="B427" s="20" t="s">
        <v>15546</v>
      </c>
      <c r="C427" s="20">
        <v>9467</v>
      </c>
      <c r="D427" s="20" t="e">
        <f>VLOOKUP(C427,[1]CHILDCARE_FACILITIES!AJ:AK,2,0)</f>
        <v>#N/A</v>
      </c>
      <c r="E427" s="20" t="s">
        <v>15134</v>
      </c>
      <c r="F427" s="20" t="s">
        <v>15135</v>
      </c>
      <c r="G427" s="20">
        <v>73272007</v>
      </c>
      <c r="K427" s="20">
        <v>9467</v>
      </c>
    </row>
    <row r="428" spans="1:13" x14ac:dyDescent="0.25">
      <c r="A428" s="20">
        <v>9462</v>
      </c>
      <c r="B428" s="20" t="s">
        <v>15541</v>
      </c>
      <c r="C428" s="20">
        <v>9462</v>
      </c>
      <c r="D428" s="20" t="e">
        <f>VLOOKUP(C428,[1]CHILDCARE_FACILITIES!AJ:AK,2,0)</f>
        <v>#N/A</v>
      </c>
      <c r="E428" s="20" t="s">
        <v>15134</v>
      </c>
      <c r="F428" s="20" t="s">
        <v>15135</v>
      </c>
      <c r="G428" s="20">
        <v>73272002</v>
      </c>
      <c r="K428" s="20">
        <v>9462</v>
      </c>
    </row>
    <row r="429" spans="1:13" x14ac:dyDescent="0.25">
      <c r="A429" s="20">
        <v>9476</v>
      </c>
      <c r="B429" s="20" t="s">
        <v>15559</v>
      </c>
      <c r="C429" s="20">
        <v>9476</v>
      </c>
      <c r="D429" s="20" t="e">
        <f>VLOOKUP(C429,[1]CHILDCARE_FACILITIES!AJ:AK,2,0)</f>
        <v>#N/A</v>
      </c>
      <c r="E429" s="20" t="s">
        <v>15134</v>
      </c>
      <c r="F429" s="20" t="s">
        <v>15135</v>
      </c>
      <c r="G429" s="20">
        <v>73272020</v>
      </c>
      <c r="K429" s="20">
        <v>9476</v>
      </c>
    </row>
    <row r="430" spans="1:13" x14ac:dyDescent="0.25">
      <c r="A430" s="20">
        <v>9469</v>
      </c>
      <c r="B430" s="20" t="s">
        <v>17564</v>
      </c>
      <c r="C430" s="20">
        <v>9469</v>
      </c>
      <c r="D430" s="20" t="str">
        <f>VLOOKUP(C430,[1]CHILDCARE_FACILITIES!AJ:AK,2,0)</f>
        <v>CDC-1106</v>
      </c>
      <c r="E430" s="20" t="s">
        <v>15134</v>
      </c>
      <c r="F430" s="20" t="s">
        <v>15135</v>
      </c>
      <c r="G430" s="20">
        <v>73272009</v>
      </c>
      <c r="K430" s="20">
        <v>9469</v>
      </c>
    </row>
    <row r="431" spans="1:13" x14ac:dyDescent="0.25">
      <c r="A431" s="20">
        <v>80687</v>
      </c>
      <c r="B431" s="20" t="s">
        <v>16187</v>
      </c>
      <c r="C431" s="20">
        <v>80687</v>
      </c>
      <c r="D431" s="20" t="e">
        <f>VLOOKUP(C431,[1]CHILDCARE_FACILITIES!AJ:AK,2,0)</f>
        <v>#N/A</v>
      </c>
      <c r="E431" s="20" t="s">
        <v>15134</v>
      </c>
      <c r="F431" s="20" t="s">
        <v>15135</v>
      </c>
      <c r="G431" s="20">
        <v>73272024</v>
      </c>
      <c r="H431" s="20" t="s">
        <v>15138</v>
      </c>
      <c r="I431" s="20" t="b">
        <v>1</v>
      </c>
      <c r="J431" s="20" t="s">
        <v>17565</v>
      </c>
      <c r="K431" s="20">
        <v>80687</v>
      </c>
      <c r="L431" s="20" t="s">
        <v>17236</v>
      </c>
      <c r="M431" s="20" t="s">
        <v>17566</v>
      </c>
    </row>
    <row r="432" spans="1:13" x14ac:dyDescent="0.25">
      <c r="A432" s="20">
        <v>80687</v>
      </c>
      <c r="B432" s="20" t="s">
        <v>16187</v>
      </c>
      <c r="C432" s="20">
        <v>80687</v>
      </c>
      <c r="D432" s="20" t="e">
        <f>VLOOKUP(C432,[1]CHILDCARE_FACILITIES!AJ:AK,2,0)</f>
        <v>#N/A</v>
      </c>
      <c r="E432" s="20" t="s">
        <v>15134</v>
      </c>
      <c r="F432" s="20" t="s">
        <v>15135</v>
      </c>
      <c r="G432" s="20">
        <v>73272024</v>
      </c>
      <c r="H432" s="20" t="s">
        <v>15145</v>
      </c>
      <c r="I432" s="20" t="b">
        <v>1</v>
      </c>
      <c r="J432" s="20" t="s">
        <v>17565</v>
      </c>
      <c r="K432" s="20">
        <v>80687</v>
      </c>
      <c r="L432" s="20" t="s">
        <v>17236</v>
      </c>
      <c r="M432" s="20" t="s">
        <v>17566</v>
      </c>
    </row>
    <row r="433" spans="1:13" x14ac:dyDescent="0.25">
      <c r="A433" s="20">
        <v>9472</v>
      </c>
      <c r="B433" s="20" t="s">
        <v>15552</v>
      </c>
      <c r="C433" s="20">
        <v>9472</v>
      </c>
      <c r="D433" s="20" t="e">
        <f>VLOOKUP(C433,[1]CHILDCARE_FACILITIES!AJ:AK,2,0)</f>
        <v>#N/A</v>
      </c>
      <c r="E433" s="20" t="s">
        <v>15134</v>
      </c>
      <c r="F433" s="20" t="s">
        <v>15135</v>
      </c>
      <c r="G433" s="20">
        <v>73272015</v>
      </c>
      <c r="K433" s="20">
        <v>9472</v>
      </c>
    </row>
    <row r="434" spans="1:13" x14ac:dyDescent="0.25">
      <c r="A434" s="20">
        <v>9474</v>
      </c>
      <c r="B434" s="20" t="s">
        <v>17567</v>
      </c>
      <c r="C434" s="20">
        <v>9474</v>
      </c>
      <c r="D434" s="20" t="e">
        <f>VLOOKUP(C434,[1]CHILDCARE_FACILITIES!AJ:AK,2,0)</f>
        <v>#N/A</v>
      </c>
      <c r="E434" s="20" t="s">
        <v>15134</v>
      </c>
      <c r="F434" s="20" t="s">
        <v>15135</v>
      </c>
      <c r="G434" s="20">
        <v>73272018</v>
      </c>
      <c r="K434" s="20">
        <v>9474</v>
      </c>
    </row>
    <row r="435" spans="1:13" x14ac:dyDescent="0.25">
      <c r="A435" s="20">
        <v>9468</v>
      </c>
      <c r="B435" s="20" t="s">
        <v>17568</v>
      </c>
      <c r="C435" s="20">
        <v>9468</v>
      </c>
      <c r="D435" s="20" t="e">
        <f>VLOOKUP(C435,[1]CHILDCARE_FACILITIES!AJ:AK,2,0)</f>
        <v>#N/A</v>
      </c>
      <c r="E435" s="20" t="s">
        <v>15134</v>
      </c>
      <c r="F435" s="20" t="s">
        <v>15135</v>
      </c>
      <c r="G435" s="20">
        <v>73272008</v>
      </c>
      <c r="K435" s="20">
        <v>9468</v>
      </c>
    </row>
    <row r="436" spans="1:13" x14ac:dyDescent="0.25">
      <c r="A436" s="20">
        <v>80688</v>
      </c>
      <c r="B436" s="20" t="s">
        <v>16189</v>
      </c>
      <c r="C436" s="20">
        <v>80688</v>
      </c>
      <c r="D436" s="20" t="e">
        <f>VLOOKUP(C436,[1]CHILDCARE_FACILITIES!AJ:AK,2,0)</f>
        <v>#N/A</v>
      </c>
      <c r="E436" s="20" t="s">
        <v>15134</v>
      </c>
      <c r="F436" s="20" t="s">
        <v>15135</v>
      </c>
      <c r="G436" s="20">
        <v>73272025</v>
      </c>
      <c r="H436" s="20" t="s">
        <v>15145</v>
      </c>
      <c r="I436" s="20" t="b">
        <v>1</v>
      </c>
      <c r="J436" s="20" t="s">
        <v>17569</v>
      </c>
      <c r="K436" s="20">
        <v>80688</v>
      </c>
      <c r="L436" s="20" t="s">
        <v>17236</v>
      </c>
      <c r="M436" s="20" t="s">
        <v>17570</v>
      </c>
    </row>
    <row r="437" spans="1:13" x14ac:dyDescent="0.25">
      <c r="A437" s="20">
        <v>80688</v>
      </c>
      <c r="B437" s="20" t="s">
        <v>16189</v>
      </c>
      <c r="C437" s="20">
        <v>80688</v>
      </c>
      <c r="D437" s="20" t="e">
        <f>VLOOKUP(C437,[1]CHILDCARE_FACILITIES!AJ:AK,2,0)</f>
        <v>#N/A</v>
      </c>
      <c r="E437" s="20" t="s">
        <v>15134</v>
      </c>
      <c r="F437" s="20" t="s">
        <v>15135</v>
      </c>
      <c r="G437" s="20">
        <v>73272025</v>
      </c>
      <c r="H437" s="20" t="s">
        <v>15138</v>
      </c>
      <c r="I437" s="20" t="b">
        <v>1</v>
      </c>
      <c r="J437" s="20" t="s">
        <v>17569</v>
      </c>
      <c r="K437" s="20">
        <v>80688</v>
      </c>
      <c r="L437" s="20" t="s">
        <v>17236</v>
      </c>
      <c r="M437" s="20" t="s">
        <v>17570</v>
      </c>
    </row>
    <row r="438" spans="1:13" x14ac:dyDescent="0.25">
      <c r="A438" s="20">
        <v>80672</v>
      </c>
      <c r="B438" s="20" t="s">
        <v>17571</v>
      </c>
      <c r="C438" s="20">
        <v>80672</v>
      </c>
      <c r="D438" s="20" t="e">
        <f>VLOOKUP(C438,[1]CHILDCARE_FACILITIES!AJ:AK,2,0)</f>
        <v>#N/A</v>
      </c>
      <c r="E438" s="20" t="s">
        <v>15134</v>
      </c>
      <c r="F438" s="20" t="s">
        <v>15135</v>
      </c>
      <c r="G438" s="20">
        <v>73272013</v>
      </c>
      <c r="H438" s="20" t="s">
        <v>15145</v>
      </c>
      <c r="I438" s="20" t="b">
        <v>1</v>
      </c>
      <c r="J438" s="20" t="s">
        <v>17572</v>
      </c>
      <c r="K438" s="20">
        <v>80672</v>
      </c>
      <c r="L438" s="20" t="s">
        <v>17223</v>
      </c>
      <c r="M438" s="20" t="s">
        <v>17573</v>
      </c>
    </row>
    <row r="439" spans="1:13" x14ac:dyDescent="0.25">
      <c r="A439" s="20">
        <v>80672</v>
      </c>
      <c r="B439" s="20" t="s">
        <v>17571</v>
      </c>
      <c r="C439" s="20">
        <v>80672</v>
      </c>
      <c r="D439" s="20" t="e">
        <f>VLOOKUP(C439,[1]CHILDCARE_FACILITIES!AJ:AK,2,0)</f>
        <v>#N/A</v>
      </c>
      <c r="E439" s="20" t="s">
        <v>15134</v>
      </c>
      <c r="F439" s="20" t="s">
        <v>15135</v>
      </c>
      <c r="G439" s="20">
        <v>73272013</v>
      </c>
      <c r="H439" s="20" t="s">
        <v>15138</v>
      </c>
      <c r="I439" s="20" t="b">
        <v>1</v>
      </c>
      <c r="J439" s="20" t="s">
        <v>17572</v>
      </c>
      <c r="K439" s="20">
        <v>80672</v>
      </c>
      <c r="L439" s="20" t="s">
        <v>17223</v>
      </c>
      <c r="M439" s="20" t="s">
        <v>17573</v>
      </c>
    </row>
    <row r="440" spans="1:13" x14ac:dyDescent="0.25">
      <c r="A440" s="20">
        <v>80671</v>
      </c>
      <c r="B440" s="20" t="s">
        <v>17574</v>
      </c>
      <c r="C440" s="20">
        <v>80671</v>
      </c>
      <c r="D440" s="20" t="str">
        <f>VLOOKUP(C440,[1]CHILDCARE_FACILITIES!AJ:AK,2,0)</f>
        <v>CDC-7014</v>
      </c>
      <c r="E440" s="20" t="s">
        <v>15134</v>
      </c>
      <c r="F440" s="20" t="s">
        <v>15135</v>
      </c>
      <c r="G440" s="20">
        <v>73272012</v>
      </c>
      <c r="H440" s="20" t="s">
        <v>15145</v>
      </c>
      <c r="I440" s="20" t="b">
        <v>1</v>
      </c>
      <c r="J440" s="20" t="s">
        <v>17575</v>
      </c>
      <c r="K440" s="20">
        <v>80671</v>
      </c>
      <c r="L440" s="20" t="s">
        <v>17271</v>
      </c>
      <c r="M440" s="20" t="s">
        <v>17576</v>
      </c>
    </row>
    <row r="441" spans="1:13" x14ac:dyDescent="0.25">
      <c r="A441" s="20">
        <v>80671</v>
      </c>
      <c r="B441" s="20" t="s">
        <v>17574</v>
      </c>
      <c r="C441" s="20">
        <v>80671</v>
      </c>
      <c r="D441" s="20" t="str">
        <f>VLOOKUP(C441,[1]CHILDCARE_FACILITIES!AJ:AK,2,0)</f>
        <v>CDC-7014</v>
      </c>
      <c r="E441" s="20" t="s">
        <v>15134</v>
      </c>
      <c r="F441" s="20" t="s">
        <v>15135</v>
      </c>
      <c r="G441" s="20">
        <v>73272012</v>
      </c>
      <c r="H441" s="20" t="s">
        <v>15138</v>
      </c>
      <c r="I441" s="20" t="b">
        <v>1</v>
      </c>
      <c r="J441" s="20" t="s">
        <v>17575</v>
      </c>
      <c r="K441" s="20">
        <v>80671</v>
      </c>
      <c r="L441" s="20" t="s">
        <v>17271</v>
      </c>
      <c r="M441" s="20" t="s">
        <v>17576</v>
      </c>
    </row>
    <row r="442" spans="1:13" x14ac:dyDescent="0.25">
      <c r="A442" s="20">
        <v>9475</v>
      </c>
      <c r="B442" s="20" t="s">
        <v>17577</v>
      </c>
      <c r="C442" s="20">
        <v>9475</v>
      </c>
      <c r="D442" s="20" t="str">
        <f>VLOOKUP(C442,[1]CHILDCARE_FACILITIES!AJ:AK,2,0)</f>
        <v>CDC-6624</v>
      </c>
      <c r="E442" s="20" t="s">
        <v>15134</v>
      </c>
      <c r="F442" s="20" t="s">
        <v>15135</v>
      </c>
      <c r="G442" s="20">
        <v>73272019</v>
      </c>
      <c r="K442" s="20">
        <v>9475</v>
      </c>
    </row>
    <row r="443" spans="1:13" x14ac:dyDescent="0.25">
      <c r="A443" s="20">
        <v>365051</v>
      </c>
      <c r="B443" s="20" t="s">
        <v>16991</v>
      </c>
      <c r="C443" s="20">
        <v>365051</v>
      </c>
      <c r="D443" s="20" t="e">
        <f>VLOOKUP(C443,[1]CHILDCARE_FACILITIES!AJ:AK,2,0)</f>
        <v>#N/A</v>
      </c>
      <c r="E443" s="20" t="s">
        <v>15134</v>
      </c>
      <c r="F443" s="20" t="s">
        <v>15135</v>
      </c>
      <c r="G443" s="20">
        <v>72454000</v>
      </c>
      <c r="H443" s="20" t="s">
        <v>15136</v>
      </c>
      <c r="I443" s="20" t="b">
        <v>1</v>
      </c>
      <c r="J443" s="20" t="s">
        <v>17387</v>
      </c>
      <c r="K443" s="20">
        <v>365051</v>
      </c>
      <c r="L443" s="20" t="s">
        <v>17213</v>
      </c>
      <c r="M443" s="20" t="s">
        <v>17388</v>
      </c>
    </row>
    <row r="444" spans="1:13" x14ac:dyDescent="0.25">
      <c r="A444" s="20">
        <v>79337</v>
      </c>
      <c r="B444" s="20" t="s">
        <v>15933</v>
      </c>
      <c r="C444" s="20">
        <v>79337</v>
      </c>
      <c r="D444" s="20" t="e">
        <f>VLOOKUP(C444,[1]CHILDCARE_FACILITIES!AJ:AK,2,0)</f>
        <v>#N/A</v>
      </c>
      <c r="E444" s="20" t="s">
        <v>15134</v>
      </c>
      <c r="F444" s="20" t="s">
        <v>15135</v>
      </c>
      <c r="G444" s="20">
        <v>72425007</v>
      </c>
      <c r="H444" s="20" t="s">
        <v>15138</v>
      </c>
      <c r="I444" s="20" t="b">
        <v>0</v>
      </c>
      <c r="J444" s="20" t="s">
        <v>17578</v>
      </c>
      <c r="K444" s="20">
        <v>79337</v>
      </c>
      <c r="L444" s="20" t="s">
        <v>17228</v>
      </c>
      <c r="M444" s="20" t="s">
        <v>17579</v>
      </c>
    </row>
    <row r="445" spans="1:13" x14ac:dyDescent="0.25">
      <c r="A445" s="20">
        <v>79337</v>
      </c>
      <c r="B445" s="20" t="s">
        <v>15933</v>
      </c>
      <c r="C445" s="20">
        <v>79337</v>
      </c>
      <c r="D445" s="20" t="e">
        <f>VLOOKUP(C445,[1]CHILDCARE_FACILITIES!AJ:AK,2,0)</f>
        <v>#N/A</v>
      </c>
      <c r="E445" s="20" t="s">
        <v>15134</v>
      </c>
      <c r="F445" s="20" t="s">
        <v>15135</v>
      </c>
      <c r="G445" s="20">
        <v>72425007</v>
      </c>
      <c r="H445" s="20" t="s">
        <v>15145</v>
      </c>
      <c r="I445" s="20" t="b">
        <v>1</v>
      </c>
      <c r="J445" s="20" t="s">
        <v>17580</v>
      </c>
      <c r="K445" s="20">
        <v>79337</v>
      </c>
      <c r="L445" s="20" t="s">
        <v>17213</v>
      </c>
      <c r="M445" s="20" t="s">
        <v>17581</v>
      </c>
    </row>
    <row r="446" spans="1:13" x14ac:dyDescent="0.25">
      <c r="A446" s="20">
        <v>8727</v>
      </c>
      <c r="B446" s="20" t="s">
        <v>15228</v>
      </c>
      <c r="C446" s="20">
        <v>8727</v>
      </c>
      <c r="D446" s="20" t="e">
        <f>VLOOKUP(C446,[1]CHILDCARE_FACILITIES!AJ:AK,2,0)</f>
        <v>#N/A</v>
      </c>
      <c r="E446" s="20" t="s">
        <v>15134</v>
      </c>
      <c r="F446" s="20" t="s">
        <v>15135</v>
      </c>
      <c r="G446" s="20">
        <v>72289001</v>
      </c>
      <c r="K446" s="20">
        <v>8727</v>
      </c>
    </row>
    <row r="447" spans="1:13" x14ac:dyDescent="0.25">
      <c r="A447" s="20">
        <v>90369</v>
      </c>
      <c r="B447" s="20" t="s">
        <v>16591</v>
      </c>
      <c r="C447" s="20">
        <v>90369</v>
      </c>
      <c r="D447" s="20" t="e">
        <f>VLOOKUP(C447,[1]CHILDCARE_FACILITIES!AJ:AK,2,0)</f>
        <v>#N/A</v>
      </c>
      <c r="E447" s="20" t="s">
        <v>15134</v>
      </c>
      <c r="F447" s="20" t="s">
        <v>15135</v>
      </c>
      <c r="G447" s="20">
        <v>72441000</v>
      </c>
      <c r="H447" s="20" t="s">
        <v>15145</v>
      </c>
      <c r="I447" s="20" t="b">
        <v>1</v>
      </c>
      <c r="J447" s="20" t="s">
        <v>17582</v>
      </c>
      <c r="K447" s="20">
        <v>90369</v>
      </c>
      <c r="L447" s="20" t="s">
        <v>17213</v>
      </c>
      <c r="M447" s="20" t="s">
        <v>17256</v>
      </c>
    </row>
    <row r="448" spans="1:13" x14ac:dyDescent="0.25">
      <c r="A448" s="20">
        <v>9660</v>
      </c>
      <c r="B448" s="20" t="s">
        <v>15623</v>
      </c>
      <c r="C448" s="20">
        <v>9660</v>
      </c>
      <c r="D448" s="20" t="e">
        <f>VLOOKUP(C448,[1]CHILDCARE_FACILITIES!AJ:AK,2,0)</f>
        <v>#N/A</v>
      </c>
      <c r="E448" s="20" t="s">
        <v>15134</v>
      </c>
      <c r="F448" s="20" t="s">
        <v>15135</v>
      </c>
      <c r="G448" s="20">
        <v>92204000</v>
      </c>
      <c r="K448" s="20">
        <v>9660</v>
      </c>
    </row>
    <row r="449" spans="1:13" x14ac:dyDescent="0.25">
      <c r="A449" s="20">
        <v>90144</v>
      </c>
      <c r="B449" s="20" t="s">
        <v>16564</v>
      </c>
      <c r="C449" s="20">
        <v>90144</v>
      </c>
      <c r="D449" s="20" t="e">
        <f>VLOOKUP(C449,[1]CHILDCARE_FACILITIES!AJ:AK,2,0)</f>
        <v>#N/A</v>
      </c>
      <c r="E449" s="20" t="s">
        <v>15134</v>
      </c>
      <c r="F449" s="20" t="s">
        <v>15135</v>
      </c>
      <c r="G449" s="20">
        <v>73576000</v>
      </c>
      <c r="H449" s="20" t="s">
        <v>15138</v>
      </c>
      <c r="I449" s="20" t="b">
        <v>1</v>
      </c>
      <c r="J449" s="20" t="s">
        <v>17583</v>
      </c>
      <c r="K449" s="20">
        <v>90144</v>
      </c>
      <c r="L449" s="20" t="s">
        <v>17367</v>
      </c>
      <c r="M449" s="20" t="s">
        <v>17584</v>
      </c>
    </row>
    <row r="450" spans="1:13" x14ac:dyDescent="0.25">
      <c r="A450" s="20">
        <v>90144</v>
      </c>
      <c r="B450" s="20" t="s">
        <v>16564</v>
      </c>
      <c r="C450" s="20">
        <v>90144</v>
      </c>
      <c r="D450" s="20" t="e">
        <f>VLOOKUP(C450,[1]CHILDCARE_FACILITIES!AJ:AK,2,0)</f>
        <v>#N/A</v>
      </c>
      <c r="E450" s="20" t="s">
        <v>15134</v>
      </c>
      <c r="F450" s="20" t="s">
        <v>15135</v>
      </c>
      <c r="G450" s="20">
        <v>73576000</v>
      </c>
      <c r="H450" s="20" t="s">
        <v>15136</v>
      </c>
      <c r="I450" s="20" t="b">
        <v>1</v>
      </c>
      <c r="J450" s="20" t="s">
        <v>17583</v>
      </c>
      <c r="K450" s="20">
        <v>90144</v>
      </c>
      <c r="L450" s="20" t="s">
        <v>17367</v>
      </c>
      <c r="M450" s="20" t="s">
        <v>17584</v>
      </c>
    </row>
    <row r="451" spans="1:13" x14ac:dyDescent="0.25">
      <c r="A451" s="20">
        <v>90120</v>
      </c>
      <c r="B451" s="20" t="s">
        <v>16549</v>
      </c>
      <c r="C451" s="20">
        <v>90120</v>
      </c>
      <c r="D451" s="20" t="e">
        <f>VLOOKUP(C451,[1]CHILDCARE_FACILITIES!AJ:AK,2,0)</f>
        <v>#N/A</v>
      </c>
      <c r="E451" s="20" t="s">
        <v>15134</v>
      </c>
      <c r="F451" s="20" t="s">
        <v>15135</v>
      </c>
      <c r="G451" s="20">
        <v>73574000</v>
      </c>
      <c r="H451" s="20" t="s">
        <v>15138</v>
      </c>
      <c r="I451" s="20" t="b">
        <v>1</v>
      </c>
      <c r="J451" s="20" t="s">
        <v>17583</v>
      </c>
      <c r="K451" s="20">
        <v>90120</v>
      </c>
      <c r="L451" s="20" t="s">
        <v>17367</v>
      </c>
      <c r="M451" s="20" t="s">
        <v>17584</v>
      </c>
    </row>
    <row r="452" spans="1:13" x14ac:dyDescent="0.25">
      <c r="A452" s="20">
        <v>90120</v>
      </c>
      <c r="B452" s="20" t="s">
        <v>16549</v>
      </c>
      <c r="C452" s="20">
        <v>90120</v>
      </c>
      <c r="D452" s="20" t="e">
        <f>VLOOKUP(C452,[1]CHILDCARE_FACILITIES!AJ:AK,2,0)</f>
        <v>#N/A</v>
      </c>
      <c r="E452" s="20" t="s">
        <v>15134</v>
      </c>
      <c r="F452" s="20" t="s">
        <v>15135</v>
      </c>
      <c r="G452" s="20">
        <v>73574000</v>
      </c>
      <c r="H452" s="20" t="s">
        <v>15136</v>
      </c>
      <c r="I452" s="20" t="b">
        <v>1</v>
      </c>
      <c r="J452" s="20" t="s">
        <v>17583</v>
      </c>
      <c r="K452" s="20">
        <v>90120</v>
      </c>
      <c r="L452" s="20" t="s">
        <v>17367</v>
      </c>
      <c r="M452" s="20" t="s">
        <v>17584</v>
      </c>
    </row>
    <row r="453" spans="1:13" x14ac:dyDescent="0.25">
      <c r="A453" s="20">
        <v>90101</v>
      </c>
      <c r="B453" s="20" t="s">
        <v>16542</v>
      </c>
      <c r="C453" s="20">
        <v>90101</v>
      </c>
      <c r="D453" s="20" t="e">
        <f>VLOOKUP(C453,[1]CHILDCARE_FACILITIES!AJ:AK,2,0)</f>
        <v>#N/A</v>
      </c>
      <c r="E453" s="20" t="s">
        <v>15134</v>
      </c>
      <c r="F453" s="20" t="s">
        <v>15135</v>
      </c>
      <c r="G453" s="20">
        <v>73573000</v>
      </c>
      <c r="H453" s="20" t="s">
        <v>15136</v>
      </c>
      <c r="I453" s="20" t="b">
        <v>1</v>
      </c>
      <c r="J453" s="20" t="s">
        <v>17583</v>
      </c>
      <c r="K453" s="20">
        <v>90101</v>
      </c>
      <c r="L453" s="20" t="s">
        <v>17367</v>
      </c>
      <c r="M453" s="20" t="s">
        <v>17584</v>
      </c>
    </row>
    <row r="454" spans="1:13" x14ac:dyDescent="0.25">
      <c r="A454" s="20">
        <v>90101</v>
      </c>
      <c r="B454" s="20" t="s">
        <v>16542</v>
      </c>
      <c r="C454" s="20">
        <v>90101</v>
      </c>
      <c r="D454" s="20" t="e">
        <f>VLOOKUP(C454,[1]CHILDCARE_FACILITIES!AJ:AK,2,0)</f>
        <v>#N/A</v>
      </c>
      <c r="E454" s="20" t="s">
        <v>15134</v>
      </c>
      <c r="F454" s="20" t="s">
        <v>15135</v>
      </c>
      <c r="G454" s="20">
        <v>73573000</v>
      </c>
      <c r="H454" s="20" t="s">
        <v>15138</v>
      </c>
      <c r="I454" s="20" t="b">
        <v>1</v>
      </c>
      <c r="J454" s="20" t="s">
        <v>17583</v>
      </c>
      <c r="K454" s="20">
        <v>90101</v>
      </c>
      <c r="L454" s="20" t="s">
        <v>17367</v>
      </c>
      <c r="M454" s="20" t="s">
        <v>17584</v>
      </c>
    </row>
    <row r="455" spans="1:13" x14ac:dyDescent="0.25">
      <c r="A455" s="20">
        <v>9776</v>
      </c>
      <c r="B455" s="20" t="s">
        <v>15669</v>
      </c>
      <c r="C455" s="20">
        <v>9776</v>
      </c>
      <c r="D455" s="20" t="e">
        <f>VLOOKUP(C455,[1]CHILDCARE_FACILITIES!AJ:AK,2,0)</f>
        <v>#N/A</v>
      </c>
      <c r="E455" s="20" t="s">
        <v>15134</v>
      </c>
      <c r="F455" s="20" t="s">
        <v>15135</v>
      </c>
      <c r="G455" s="20">
        <v>102247000</v>
      </c>
      <c r="K455" s="20">
        <v>9776</v>
      </c>
    </row>
    <row r="456" spans="1:13" x14ac:dyDescent="0.25">
      <c r="A456" s="20">
        <v>90394</v>
      </c>
      <c r="B456" s="20" t="s">
        <v>16605</v>
      </c>
      <c r="C456" s="20">
        <v>90394</v>
      </c>
      <c r="D456" s="20" t="e">
        <f>VLOOKUP(C456,[1]CHILDCARE_FACILITIES!AJ:AK,2,0)</f>
        <v>#N/A</v>
      </c>
      <c r="E456" s="20" t="s">
        <v>15134</v>
      </c>
      <c r="F456" s="20" t="s">
        <v>15135</v>
      </c>
      <c r="G456" s="20">
        <v>72401011</v>
      </c>
      <c r="H456" s="20" t="s">
        <v>15138</v>
      </c>
      <c r="I456" s="20" t="b">
        <v>1</v>
      </c>
      <c r="J456" s="20" t="s">
        <v>17585</v>
      </c>
      <c r="K456" s="20">
        <v>90394</v>
      </c>
      <c r="L456" s="20" t="s">
        <v>17213</v>
      </c>
      <c r="M456" s="20" t="s">
        <v>17586</v>
      </c>
    </row>
    <row r="457" spans="1:13" x14ac:dyDescent="0.25">
      <c r="A457" s="20">
        <v>90394</v>
      </c>
      <c r="B457" s="20" t="s">
        <v>16605</v>
      </c>
      <c r="C457" s="20">
        <v>90394</v>
      </c>
      <c r="D457" s="20" t="e">
        <f>VLOOKUP(C457,[1]CHILDCARE_FACILITIES!AJ:AK,2,0)</f>
        <v>#N/A</v>
      </c>
      <c r="E457" s="20" t="s">
        <v>15134</v>
      </c>
      <c r="F457" s="20" t="s">
        <v>15135</v>
      </c>
      <c r="G457" s="20">
        <v>72401011</v>
      </c>
      <c r="H457" s="20" t="s">
        <v>15136</v>
      </c>
      <c r="I457" s="20" t="b">
        <v>1</v>
      </c>
      <c r="J457" s="20" t="s">
        <v>17426</v>
      </c>
      <c r="K457" s="20">
        <v>90394</v>
      </c>
      <c r="L457" s="20" t="s">
        <v>17213</v>
      </c>
      <c r="M457" s="20" t="s">
        <v>17427</v>
      </c>
    </row>
    <row r="458" spans="1:13" x14ac:dyDescent="0.25">
      <c r="A458" s="20">
        <v>90394</v>
      </c>
      <c r="B458" s="20" t="s">
        <v>16605</v>
      </c>
      <c r="C458" s="20">
        <v>90394</v>
      </c>
      <c r="D458" s="20" t="e">
        <f>VLOOKUP(C458,[1]CHILDCARE_FACILITIES!AJ:AK,2,0)</f>
        <v>#N/A</v>
      </c>
      <c r="E458" s="20" t="s">
        <v>15134</v>
      </c>
      <c r="F458" s="20" t="s">
        <v>15135</v>
      </c>
      <c r="G458" s="20">
        <v>72401011</v>
      </c>
      <c r="H458" s="20" t="s">
        <v>15145</v>
      </c>
      <c r="I458" s="20" t="b">
        <v>1</v>
      </c>
      <c r="J458" s="20" t="s">
        <v>17585</v>
      </c>
      <c r="K458" s="20">
        <v>90394</v>
      </c>
      <c r="L458" s="20" t="s">
        <v>17213</v>
      </c>
      <c r="M458" s="20" t="s">
        <v>17586</v>
      </c>
    </row>
    <row r="459" spans="1:13" x14ac:dyDescent="0.25">
      <c r="A459" s="20">
        <v>10185</v>
      </c>
      <c r="B459" s="20" t="s">
        <v>15834</v>
      </c>
      <c r="C459" s="20">
        <v>10185</v>
      </c>
      <c r="D459" s="20" t="e">
        <f>VLOOKUP(C459,[1]CHILDCARE_FACILITIES!AJ:AK,2,0)</f>
        <v>#N/A</v>
      </c>
      <c r="E459" s="20" t="s">
        <v>15134</v>
      </c>
      <c r="F459" s="20" t="s">
        <v>15135</v>
      </c>
      <c r="G459" s="20">
        <v>142503000</v>
      </c>
      <c r="H459" s="20" t="s">
        <v>15138</v>
      </c>
      <c r="I459" s="20" t="b">
        <v>0</v>
      </c>
      <c r="J459" s="20" t="s">
        <v>17587</v>
      </c>
      <c r="K459" s="20">
        <v>10185</v>
      </c>
      <c r="L459" s="20" t="s">
        <v>17372</v>
      </c>
      <c r="M459" s="20" t="s">
        <v>17373</v>
      </c>
    </row>
    <row r="460" spans="1:13" x14ac:dyDescent="0.25">
      <c r="A460" s="20">
        <v>10185</v>
      </c>
      <c r="B460" s="20" t="s">
        <v>15834</v>
      </c>
      <c r="C460" s="20">
        <v>10185</v>
      </c>
      <c r="D460" s="20" t="e">
        <f>VLOOKUP(C460,[1]CHILDCARE_FACILITIES!AJ:AK,2,0)</f>
        <v>#N/A</v>
      </c>
      <c r="E460" s="20" t="s">
        <v>15134</v>
      </c>
      <c r="F460" s="20" t="s">
        <v>15135</v>
      </c>
      <c r="G460" s="20">
        <v>142503000</v>
      </c>
      <c r="H460" s="20" t="s">
        <v>15145</v>
      </c>
      <c r="I460" s="20" t="b">
        <v>0</v>
      </c>
      <c r="J460" s="20" t="s">
        <v>17588</v>
      </c>
      <c r="K460" s="20">
        <v>10185</v>
      </c>
      <c r="L460" s="20" t="s">
        <v>17372</v>
      </c>
      <c r="M460" s="20" t="s">
        <v>17373</v>
      </c>
    </row>
    <row r="461" spans="1:13" x14ac:dyDescent="0.25">
      <c r="A461" s="20">
        <v>84328</v>
      </c>
      <c r="B461" s="20" t="s">
        <v>16288</v>
      </c>
      <c r="C461" s="20">
        <v>84328</v>
      </c>
      <c r="D461" s="20" t="e">
        <f>VLOOKUP(C461,[1]CHILDCARE_FACILITIES!AJ:AK,2,0)</f>
        <v>#N/A</v>
      </c>
      <c r="E461" s="20" t="s">
        <v>15134</v>
      </c>
      <c r="F461" s="20" t="s">
        <v>15135</v>
      </c>
      <c r="G461" s="20">
        <v>112501000</v>
      </c>
      <c r="H461" s="20" t="s">
        <v>15138</v>
      </c>
      <c r="I461" s="20" t="b">
        <v>0</v>
      </c>
      <c r="J461" s="20" t="s">
        <v>17589</v>
      </c>
      <c r="K461" s="20">
        <v>84328</v>
      </c>
      <c r="L461" s="20" t="s">
        <v>17430</v>
      </c>
      <c r="M461" s="20" t="s">
        <v>17590</v>
      </c>
    </row>
    <row r="462" spans="1:13" x14ac:dyDescent="0.25">
      <c r="A462" s="20">
        <v>9777</v>
      </c>
      <c r="B462" s="20" t="s">
        <v>15670</v>
      </c>
      <c r="C462" s="20">
        <v>9777</v>
      </c>
      <c r="D462" s="20" t="e">
        <f>VLOOKUP(C462,[1]CHILDCARE_FACILITIES!AJ:AK,2,0)</f>
        <v>#N/A</v>
      </c>
      <c r="E462" s="20" t="s">
        <v>15134</v>
      </c>
      <c r="F462" s="20" t="s">
        <v>15135</v>
      </c>
      <c r="G462" s="20">
        <v>102247001</v>
      </c>
      <c r="K462" s="20">
        <v>9777</v>
      </c>
    </row>
    <row r="463" spans="1:13" x14ac:dyDescent="0.25">
      <c r="A463" s="20">
        <v>9663</v>
      </c>
      <c r="B463" s="20" t="s">
        <v>15626</v>
      </c>
      <c r="C463" s="20">
        <v>9663</v>
      </c>
      <c r="D463" s="20" t="e">
        <f>VLOOKUP(C463,[1]CHILDCARE_FACILITIES!AJ:AK,2,0)</f>
        <v>#N/A</v>
      </c>
      <c r="E463" s="20" t="s">
        <v>15134</v>
      </c>
      <c r="F463" s="20" t="s">
        <v>15135</v>
      </c>
      <c r="G463" s="20">
        <v>92227001</v>
      </c>
      <c r="K463" s="20">
        <v>9663</v>
      </c>
    </row>
    <row r="464" spans="1:13" x14ac:dyDescent="0.25">
      <c r="A464" s="20">
        <v>9783</v>
      </c>
      <c r="B464" s="20" t="s">
        <v>15675</v>
      </c>
      <c r="C464" s="20">
        <v>9783</v>
      </c>
      <c r="D464" s="20" t="e">
        <f>VLOOKUP(C464,[1]CHILDCARE_FACILITIES!AJ:AK,2,0)</f>
        <v>#N/A</v>
      </c>
      <c r="E464" s="20" t="s">
        <v>15134</v>
      </c>
      <c r="F464" s="20" t="s">
        <v>15135</v>
      </c>
      <c r="G464" s="20">
        <v>102250001</v>
      </c>
      <c r="K464" s="20">
        <v>9783</v>
      </c>
    </row>
    <row r="465" spans="1:13" x14ac:dyDescent="0.25">
      <c r="A465" s="20">
        <v>1000092</v>
      </c>
      <c r="B465" s="20" t="s">
        <v>17074</v>
      </c>
      <c r="C465" s="20">
        <v>1000092</v>
      </c>
      <c r="D465" s="20" t="e">
        <f>VLOOKUP(C465,[1]CHILDCARE_FACILITIES!AJ:AK,2,0)</f>
        <v>#N/A</v>
      </c>
      <c r="E465" s="20" t="s">
        <v>15134</v>
      </c>
      <c r="F465" s="20" t="s">
        <v>15135</v>
      </c>
      <c r="G465" s="20">
        <v>72468003</v>
      </c>
      <c r="H465" s="20" t="s">
        <v>15138</v>
      </c>
      <c r="I465" s="20" t="b">
        <v>1</v>
      </c>
      <c r="J465" s="20" t="s">
        <v>17591</v>
      </c>
      <c r="K465" s="20">
        <v>1000092</v>
      </c>
      <c r="L465" s="20" t="s">
        <v>17228</v>
      </c>
      <c r="M465" s="20" t="s">
        <v>17592</v>
      </c>
    </row>
    <row r="466" spans="1:13" x14ac:dyDescent="0.25">
      <c r="A466" s="20">
        <v>1000092</v>
      </c>
      <c r="B466" s="20" t="s">
        <v>17074</v>
      </c>
      <c r="C466" s="20">
        <v>1000092</v>
      </c>
      <c r="D466" s="20" t="e">
        <f>VLOOKUP(C466,[1]CHILDCARE_FACILITIES!AJ:AK,2,0)</f>
        <v>#N/A</v>
      </c>
      <c r="E466" s="20" t="s">
        <v>15134</v>
      </c>
      <c r="F466" s="20" t="s">
        <v>15135</v>
      </c>
      <c r="G466" s="20">
        <v>72468003</v>
      </c>
      <c r="H466" s="20" t="s">
        <v>15136</v>
      </c>
      <c r="I466" s="20" t="b">
        <v>1</v>
      </c>
      <c r="J466" s="20" t="s">
        <v>17302</v>
      </c>
      <c r="K466" s="20">
        <v>1000092</v>
      </c>
      <c r="L466" s="20" t="s">
        <v>17228</v>
      </c>
      <c r="M466" s="20" t="s">
        <v>17303</v>
      </c>
    </row>
    <row r="467" spans="1:13" x14ac:dyDescent="0.25">
      <c r="A467" s="20">
        <v>80551</v>
      </c>
      <c r="B467" s="20" t="s">
        <v>16121</v>
      </c>
      <c r="C467" s="20">
        <v>80551</v>
      </c>
      <c r="D467" s="20" t="str">
        <f>VLOOKUP(C467,[1]CHILDCARE_FACILITIES!AJ:AK,2,0)</f>
        <v>CDC-9714</v>
      </c>
      <c r="E467" s="20" t="s">
        <v>15134</v>
      </c>
      <c r="F467" s="20" t="s">
        <v>15135</v>
      </c>
      <c r="G467" s="20">
        <v>102601038</v>
      </c>
      <c r="H467" s="20" t="s">
        <v>15138</v>
      </c>
      <c r="I467" s="20" t="b">
        <v>1</v>
      </c>
      <c r="J467" s="20" t="s">
        <v>17593</v>
      </c>
      <c r="K467" s="20">
        <v>80551</v>
      </c>
      <c r="L467" s="20" t="s">
        <v>17594</v>
      </c>
      <c r="M467" s="20" t="s">
        <v>17595</v>
      </c>
    </row>
    <row r="468" spans="1:13" x14ac:dyDescent="0.25">
      <c r="A468" s="20">
        <v>80551</v>
      </c>
      <c r="B468" s="20" t="s">
        <v>16121</v>
      </c>
      <c r="C468" s="20">
        <v>80551</v>
      </c>
      <c r="D468" s="20" t="str">
        <f>VLOOKUP(C468,[1]CHILDCARE_FACILITIES!AJ:AK,2,0)</f>
        <v>CDC-9714</v>
      </c>
      <c r="E468" s="20" t="s">
        <v>15134</v>
      </c>
      <c r="F468" s="20" t="s">
        <v>15135</v>
      </c>
      <c r="G468" s="20">
        <v>102601038</v>
      </c>
      <c r="H468" s="20" t="s">
        <v>15136</v>
      </c>
      <c r="I468" s="20" t="b">
        <v>1</v>
      </c>
      <c r="J468" s="20" t="s">
        <v>17593</v>
      </c>
      <c r="K468" s="20">
        <v>80551</v>
      </c>
      <c r="L468" s="20" t="s">
        <v>17594</v>
      </c>
      <c r="M468" s="20" t="s">
        <v>17595</v>
      </c>
    </row>
    <row r="469" spans="1:13" x14ac:dyDescent="0.25">
      <c r="A469" s="20">
        <v>9784</v>
      </c>
      <c r="B469" s="20" t="s">
        <v>15676</v>
      </c>
      <c r="C469" s="20">
        <v>9784</v>
      </c>
      <c r="D469" s="20" t="e">
        <f>VLOOKUP(C469,[1]CHILDCARE_FACILITIES!AJ:AK,2,0)</f>
        <v>#N/A</v>
      </c>
      <c r="E469" s="20" t="s">
        <v>15134</v>
      </c>
      <c r="F469" s="20" t="s">
        <v>15135</v>
      </c>
      <c r="G469" s="20">
        <v>102250002</v>
      </c>
      <c r="K469" s="20">
        <v>9784</v>
      </c>
    </row>
    <row r="470" spans="1:13" x14ac:dyDescent="0.25">
      <c r="A470" s="20">
        <v>91297</v>
      </c>
      <c r="B470" s="20" t="s">
        <v>16762</v>
      </c>
      <c r="C470" s="20">
        <v>91297</v>
      </c>
      <c r="D470" s="20" t="e">
        <f>VLOOKUP(C470,[1]CHILDCARE_FACILITIES!AJ:AK,2,0)</f>
        <v>#N/A</v>
      </c>
      <c r="E470" s="20" t="s">
        <v>15134</v>
      </c>
      <c r="F470" s="20" t="s">
        <v>15135</v>
      </c>
      <c r="G470" s="20">
        <v>103225000</v>
      </c>
      <c r="H470" s="20" t="s">
        <v>15136</v>
      </c>
      <c r="I470" s="20" t="b">
        <v>1</v>
      </c>
      <c r="J470" s="20" t="s">
        <v>17596</v>
      </c>
      <c r="K470" s="20">
        <v>91297</v>
      </c>
      <c r="L470" s="20" t="s">
        <v>17271</v>
      </c>
      <c r="M470" s="20" t="s">
        <v>17597</v>
      </c>
    </row>
    <row r="471" spans="1:13" x14ac:dyDescent="0.25">
      <c r="A471" s="20">
        <v>91297</v>
      </c>
      <c r="B471" s="20" t="s">
        <v>16762</v>
      </c>
      <c r="C471" s="20">
        <v>91297</v>
      </c>
      <c r="D471" s="20" t="e">
        <f>VLOOKUP(C471,[1]CHILDCARE_FACILITIES!AJ:AK,2,0)</f>
        <v>#N/A</v>
      </c>
      <c r="E471" s="20" t="s">
        <v>15134</v>
      </c>
      <c r="F471" s="20" t="s">
        <v>15135</v>
      </c>
      <c r="G471" s="20">
        <v>103225000</v>
      </c>
      <c r="H471" s="20" t="s">
        <v>15138</v>
      </c>
      <c r="I471" s="20" t="b">
        <v>1</v>
      </c>
      <c r="J471" s="20" t="s">
        <v>17596</v>
      </c>
      <c r="K471" s="20">
        <v>91297</v>
      </c>
      <c r="L471" s="20" t="s">
        <v>17271</v>
      </c>
      <c r="M471" s="20" t="s">
        <v>17597</v>
      </c>
    </row>
    <row r="472" spans="1:13" x14ac:dyDescent="0.25">
      <c r="A472" s="20">
        <v>88348</v>
      </c>
      <c r="B472" s="20" t="s">
        <v>16366</v>
      </c>
      <c r="C472" s="20">
        <v>88348</v>
      </c>
      <c r="D472" s="20" t="e">
        <f>VLOOKUP(C472,[1]CHILDCARE_FACILITIES!AJ:AK,2,0)</f>
        <v>#N/A</v>
      </c>
      <c r="E472" s="20" t="s">
        <v>15134</v>
      </c>
      <c r="F472" s="20" t="s">
        <v>15135</v>
      </c>
      <c r="G472" s="20">
        <v>12211001</v>
      </c>
      <c r="H472" s="20" t="s">
        <v>15145</v>
      </c>
      <c r="I472" s="20" t="b">
        <v>0</v>
      </c>
      <c r="J472" s="20" t="s">
        <v>17598</v>
      </c>
      <c r="K472" s="20">
        <v>88348</v>
      </c>
      <c r="L472" s="20" t="s">
        <v>17599</v>
      </c>
      <c r="M472" s="20" t="s">
        <v>17600</v>
      </c>
    </row>
    <row r="473" spans="1:13" x14ac:dyDescent="0.25">
      <c r="A473" s="20">
        <v>88348</v>
      </c>
      <c r="B473" s="20" t="s">
        <v>16366</v>
      </c>
      <c r="C473" s="20">
        <v>88348</v>
      </c>
      <c r="D473" s="20" t="e">
        <f>VLOOKUP(C473,[1]CHILDCARE_FACILITIES!AJ:AK,2,0)</f>
        <v>#N/A</v>
      </c>
      <c r="E473" s="20" t="s">
        <v>15134</v>
      </c>
      <c r="F473" s="20" t="s">
        <v>15135</v>
      </c>
      <c r="G473" s="20">
        <v>12211001</v>
      </c>
      <c r="H473" s="20" t="s">
        <v>15138</v>
      </c>
      <c r="I473" s="20" t="b">
        <v>0</v>
      </c>
      <c r="J473" s="20" t="s">
        <v>17601</v>
      </c>
      <c r="K473" s="20">
        <v>88348</v>
      </c>
      <c r="L473" s="20" t="s">
        <v>17599</v>
      </c>
      <c r="M473" s="20" t="s">
        <v>17600</v>
      </c>
    </row>
    <row r="474" spans="1:13" x14ac:dyDescent="0.25">
      <c r="A474" s="20">
        <v>87163</v>
      </c>
      <c r="B474" s="20" t="s">
        <v>16336</v>
      </c>
      <c r="C474" s="20">
        <v>87163</v>
      </c>
      <c r="D474" s="20" t="e">
        <f>VLOOKUP(C474,[1]CHILDCARE_FACILITIES!AJ:AK,2,0)</f>
        <v>#N/A</v>
      </c>
      <c r="E474" s="20" t="s">
        <v>15134</v>
      </c>
      <c r="F474" s="20" t="s">
        <v>15135</v>
      </c>
      <c r="G474" s="20">
        <v>103126001</v>
      </c>
      <c r="H474" s="20" t="s">
        <v>15138</v>
      </c>
      <c r="I474" s="20" t="b">
        <v>1</v>
      </c>
      <c r="J474" s="20" t="s">
        <v>17602</v>
      </c>
      <c r="K474" s="20">
        <v>87163</v>
      </c>
      <c r="L474" s="20" t="s">
        <v>17271</v>
      </c>
      <c r="M474" s="20" t="s">
        <v>17603</v>
      </c>
    </row>
    <row r="475" spans="1:13" x14ac:dyDescent="0.25">
      <c r="A475" s="20">
        <v>87163</v>
      </c>
      <c r="B475" s="20" t="s">
        <v>16336</v>
      </c>
      <c r="C475" s="20">
        <v>87163</v>
      </c>
      <c r="D475" s="20" t="e">
        <f>VLOOKUP(C475,[1]CHILDCARE_FACILITIES!AJ:AK,2,0)</f>
        <v>#N/A</v>
      </c>
      <c r="E475" s="20" t="s">
        <v>15134</v>
      </c>
      <c r="F475" s="20" t="s">
        <v>15135</v>
      </c>
      <c r="G475" s="20">
        <v>103126001</v>
      </c>
      <c r="H475" s="20" t="s">
        <v>15145</v>
      </c>
      <c r="I475" s="20" t="b">
        <v>1</v>
      </c>
      <c r="J475" s="20" t="s">
        <v>17604</v>
      </c>
      <c r="K475" s="20">
        <v>87163</v>
      </c>
      <c r="L475" s="20" t="s">
        <v>17271</v>
      </c>
      <c r="M475" s="20" t="s">
        <v>17603</v>
      </c>
    </row>
    <row r="476" spans="1:13" x14ac:dyDescent="0.25">
      <c r="A476" s="20">
        <v>9626</v>
      </c>
      <c r="B476" s="20" t="s">
        <v>15612</v>
      </c>
      <c r="C476" s="20">
        <v>9626</v>
      </c>
      <c r="D476" s="20" t="e">
        <f>VLOOKUP(C476,[1]CHILDCARE_FACILITIES!AJ:AK,2,0)</f>
        <v>#N/A</v>
      </c>
      <c r="E476" s="20" t="s">
        <v>15134</v>
      </c>
      <c r="F476" s="20" t="s">
        <v>15135</v>
      </c>
      <c r="G476" s="20">
        <v>83004001</v>
      </c>
      <c r="K476" s="20">
        <v>9626</v>
      </c>
    </row>
    <row r="477" spans="1:13" x14ac:dyDescent="0.25">
      <c r="A477" s="20">
        <v>8702</v>
      </c>
      <c r="B477" s="20" t="s">
        <v>15212</v>
      </c>
      <c r="C477" s="20">
        <v>8702</v>
      </c>
      <c r="D477" s="20" t="e">
        <f>VLOOKUP(C477,[1]CHILDCARE_FACILITIES!AJ:AK,2,0)</f>
        <v>#N/A</v>
      </c>
      <c r="E477" s="20" t="s">
        <v>15134</v>
      </c>
      <c r="F477" s="20" t="s">
        <v>15135</v>
      </c>
      <c r="G477" s="20">
        <v>72265000</v>
      </c>
      <c r="K477" s="20">
        <v>8702</v>
      </c>
    </row>
    <row r="478" spans="1:13" x14ac:dyDescent="0.25">
      <c r="A478" s="20">
        <v>8703</v>
      </c>
      <c r="B478" s="20" t="s">
        <v>15212</v>
      </c>
      <c r="C478" s="20">
        <v>8703</v>
      </c>
      <c r="D478" s="20" t="e">
        <f>VLOOKUP(C478,[1]CHILDCARE_FACILITIES!AJ:AK,2,0)</f>
        <v>#N/A</v>
      </c>
      <c r="E478" s="20" t="s">
        <v>15134</v>
      </c>
      <c r="F478" s="20" t="s">
        <v>15135</v>
      </c>
      <c r="G478" s="20">
        <v>72265001</v>
      </c>
      <c r="K478" s="20">
        <v>8703</v>
      </c>
    </row>
    <row r="479" spans="1:13" x14ac:dyDescent="0.25">
      <c r="A479" s="20">
        <v>9970</v>
      </c>
      <c r="B479" s="20" t="s">
        <v>15756</v>
      </c>
      <c r="C479" s="20">
        <v>9970</v>
      </c>
      <c r="D479" s="20" t="e">
        <f>VLOOKUP(C479,[1]CHILDCARE_FACILITIES!AJ:AK,2,0)</f>
        <v>#N/A</v>
      </c>
      <c r="E479" s="20" t="s">
        <v>15134</v>
      </c>
      <c r="F479" s="20" t="s">
        <v>15135</v>
      </c>
      <c r="G479" s="20">
        <v>103077000</v>
      </c>
      <c r="H479" s="20" t="s">
        <v>15136</v>
      </c>
      <c r="I479" s="20" t="b">
        <v>1</v>
      </c>
      <c r="J479" s="20" t="s">
        <v>17605</v>
      </c>
      <c r="K479" s="20">
        <v>9970</v>
      </c>
      <c r="L479" s="20" t="s">
        <v>17271</v>
      </c>
      <c r="M479" s="20" t="s">
        <v>17606</v>
      </c>
    </row>
    <row r="480" spans="1:13" x14ac:dyDescent="0.25">
      <c r="A480" s="20">
        <v>9970</v>
      </c>
      <c r="B480" s="20" t="s">
        <v>15756</v>
      </c>
      <c r="C480" s="20">
        <v>9970</v>
      </c>
      <c r="D480" s="20" t="e">
        <f>VLOOKUP(C480,[1]CHILDCARE_FACILITIES!AJ:AK,2,0)</f>
        <v>#N/A</v>
      </c>
      <c r="E480" s="20" t="s">
        <v>15134</v>
      </c>
      <c r="F480" s="20" t="s">
        <v>15135</v>
      </c>
      <c r="G480" s="20">
        <v>103077000</v>
      </c>
      <c r="H480" s="20" t="s">
        <v>15138</v>
      </c>
      <c r="I480" s="20" t="b">
        <v>1</v>
      </c>
      <c r="J480" s="20" t="s">
        <v>17607</v>
      </c>
      <c r="K480" s="20">
        <v>9970</v>
      </c>
      <c r="L480" s="20" t="s">
        <v>17271</v>
      </c>
      <c r="M480" s="20" t="s">
        <v>17608</v>
      </c>
    </row>
    <row r="481" spans="1:13" x14ac:dyDescent="0.25">
      <c r="A481" s="20">
        <v>9971</v>
      </c>
      <c r="B481" s="20" t="s">
        <v>15756</v>
      </c>
      <c r="C481" s="20">
        <v>9971</v>
      </c>
      <c r="D481" s="20" t="str">
        <f>VLOOKUP(C481,[1]CHILDCARE_FACILITIES!AJ:AK,2,0)</f>
        <v>CDC-5460</v>
      </c>
      <c r="E481" s="20" t="s">
        <v>15134</v>
      </c>
      <c r="F481" s="20" t="s">
        <v>15135</v>
      </c>
      <c r="G481" s="20">
        <v>103077001</v>
      </c>
      <c r="K481" s="20">
        <v>9971</v>
      </c>
    </row>
    <row r="482" spans="1:13" x14ac:dyDescent="0.25">
      <c r="A482" s="20">
        <v>80954</v>
      </c>
      <c r="B482" s="20" t="s">
        <v>16251</v>
      </c>
      <c r="C482" s="20">
        <v>80954</v>
      </c>
      <c r="D482" s="20" t="e">
        <f>VLOOKUP(C482,[1]CHILDCARE_FACILITIES!AJ:AK,2,0)</f>
        <v>#N/A</v>
      </c>
      <c r="E482" s="20" t="s">
        <v>15134</v>
      </c>
      <c r="F482" s="20" t="s">
        <v>15135</v>
      </c>
      <c r="G482" s="20">
        <v>82212000</v>
      </c>
      <c r="H482" s="20" t="s">
        <v>15145</v>
      </c>
      <c r="I482" s="20" t="b">
        <v>0</v>
      </c>
      <c r="J482" s="20" t="s">
        <v>17609</v>
      </c>
      <c r="K482" s="20">
        <v>80954</v>
      </c>
      <c r="L482" s="20" t="s">
        <v>17610</v>
      </c>
      <c r="M482" s="20" t="s">
        <v>17611</v>
      </c>
    </row>
    <row r="483" spans="1:13" x14ac:dyDescent="0.25">
      <c r="A483" s="20">
        <v>80955</v>
      </c>
      <c r="B483" s="20" t="s">
        <v>16251</v>
      </c>
      <c r="C483" s="20">
        <v>80955</v>
      </c>
      <c r="D483" s="20" t="e">
        <f>VLOOKUP(C483,[1]CHILDCARE_FACILITIES!AJ:AK,2,0)</f>
        <v>#N/A</v>
      </c>
      <c r="E483" s="20" t="s">
        <v>15134</v>
      </c>
      <c r="F483" s="20" t="s">
        <v>15135</v>
      </c>
      <c r="G483" s="20">
        <v>82212001</v>
      </c>
      <c r="H483" s="20" t="s">
        <v>15145</v>
      </c>
      <c r="I483" s="20" t="b">
        <v>0</v>
      </c>
      <c r="J483" s="20" t="s">
        <v>17609</v>
      </c>
      <c r="K483" s="20">
        <v>80955</v>
      </c>
      <c r="L483" s="20" t="s">
        <v>17610</v>
      </c>
      <c r="M483" s="20" t="s">
        <v>17611</v>
      </c>
    </row>
    <row r="484" spans="1:13" x14ac:dyDescent="0.25">
      <c r="A484" s="20">
        <v>80548</v>
      </c>
      <c r="B484" s="20" t="s">
        <v>16117</v>
      </c>
      <c r="C484" s="20">
        <v>80548</v>
      </c>
      <c r="D484" s="20" t="str">
        <f>VLOOKUP(C484,[1]CHILDCARE_FACILITIES!AJ:AK,2,0)</f>
        <v>CDC-8379</v>
      </c>
      <c r="E484" s="20" t="s">
        <v>15134</v>
      </c>
      <c r="F484" s="20" t="s">
        <v>15135</v>
      </c>
      <c r="G484" s="20">
        <v>103101004</v>
      </c>
      <c r="H484" s="20" t="s">
        <v>15138</v>
      </c>
      <c r="I484" s="20" t="b">
        <v>1</v>
      </c>
      <c r="J484" s="20" t="s">
        <v>17612</v>
      </c>
      <c r="K484" s="20">
        <v>80548</v>
      </c>
      <c r="L484" s="20" t="s">
        <v>17271</v>
      </c>
      <c r="M484" s="20" t="s">
        <v>17606</v>
      </c>
    </row>
    <row r="485" spans="1:13" x14ac:dyDescent="0.25">
      <c r="A485" s="20">
        <v>80548</v>
      </c>
      <c r="B485" s="20" t="s">
        <v>16117</v>
      </c>
      <c r="C485" s="20">
        <v>80548</v>
      </c>
      <c r="D485" s="20" t="str">
        <f>VLOOKUP(C485,[1]CHILDCARE_FACILITIES!AJ:AK,2,0)</f>
        <v>CDC-8379</v>
      </c>
      <c r="E485" s="20" t="s">
        <v>15134</v>
      </c>
      <c r="F485" s="20" t="s">
        <v>15135</v>
      </c>
      <c r="G485" s="20">
        <v>103101004</v>
      </c>
      <c r="H485" s="20" t="s">
        <v>15145</v>
      </c>
      <c r="I485" s="20" t="b">
        <v>1</v>
      </c>
      <c r="J485" s="20" t="s">
        <v>17613</v>
      </c>
      <c r="K485" s="20">
        <v>80548</v>
      </c>
      <c r="L485" s="20" t="s">
        <v>17271</v>
      </c>
      <c r="M485" s="20" t="s">
        <v>17614</v>
      </c>
    </row>
    <row r="486" spans="1:13" x14ac:dyDescent="0.25">
      <c r="A486" s="20">
        <v>9523</v>
      </c>
      <c r="B486" s="20" t="s">
        <v>15579</v>
      </c>
      <c r="C486" s="20">
        <v>9523</v>
      </c>
      <c r="D486" s="20" t="str">
        <f>VLOOKUP(C486,[1]CHILDCARE_FACILITIES!AJ:AK,2,0)</f>
        <v>CDC-13636</v>
      </c>
      <c r="E486" s="20" t="s">
        <v>15134</v>
      </c>
      <c r="F486" s="20" t="s">
        <v>15135</v>
      </c>
      <c r="G486" s="20">
        <v>73287001</v>
      </c>
      <c r="K486" s="20">
        <v>9523</v>
      </c>
    </row>
    <row r="487" spans="1:13" x14ac:dyDescent="0.25">
      <c r="A487" s="20">
        <v>9522</v>
      </c>
      <c r="B487" s="20" t="s">
        <v>15577</v>
      </c>
      <c r="C487" s="20">
        <v>9522</v>
      </c>
      <c r="D487" s="20" t="e">
        <f>VLOOKUP(C487,[1]CHILDCARE_FACILITIES!AJ:AK,2,0)</f>
        <v>#N/A</v>
      </c>
      <c r="E487" s="20" t="s">
        <v>15134</v>
      </c>
      <c r="F487" s="20" t="s">
        <v>15135</v>
      </c>
      <c r="G487" s="20">
        <v>73287000</v>
      </c>
      <c r="H487" s="20" t="s">
        <v>15138</v>
      </c>
      <c r="I487" s="20" t="b">
        <v>0</v>
      </c>
      <c r="J487" s="20" t="s">
        <v>17615</v>
      </c>
      <c r="K487" s="20">
        <v>9522</v>
      </c>
      <c r="L487" s="20" t="s">
        <v>17228</v>
      </c>
      <c r="M487" s="20" t="s">
        <v>17616</v>
      </c>
    </row>
    <row r="488" spans="1:13" x14ac:dyDescent="0.25">
      <c r="A488" s="20">
        <v>9522</v>
      </c>
      <c r="B488" s="20" t="s">
        <v>15577</v>
      </c>
      <c r="C488" s="20">
        <v>9522</v>
      </c>
      <c r="D488" s="20" t="e">
        <f>VLOOKUP(C488,[1]CHILDCARE_FACILITIES!AJ:AK,2,0)</f>
        <v>#N/A</v>
      </c>
      <c r="E488" s="20" t="s">
        <v>15134</v>
      </c>
      <c r="F488" s="20" t="s">
        <v>15135</v>
      </c>
      <c r="G488" s="20">
        <v>73287000</v>
      </c>
      <c r="H488" s="20" t="s">
        <v>15136</v>
      </c>
      <c r="I488" s="20" t="b">
        <v>0</v>
      </c>
      <c r="J488" s="20" t="s">
        <v>17615</v>
      </c>
      <c r="K488" s="20">
        <v>9522</v>
      </c>
      <c r="L488" s="20" t="s">
        <v>17228</v>
      </c>
      <c r="M488" s="20" t="s">
        <v>17616</v>
      </c>
    </row>
    <row r="489" spans="1:13" x14ac:dyDescent="0.25">
      <c r="A489" s="20">
        <v>1000405</v>
      </c>
      <c r="B489" s="20" t="s">
        <v>17166</v>
      </c>
      <c r="C489" s="20">
        <v>1000405</v>
      </c>
      <c r="D489" s="20" t="e">
        <f>VLOOKUP(C489,[1]CHILDCARE_FACILITIES!AJ:AK,2,0)</f>
        <v>#N/A</v>
      </c>
      <c r="E489" s="20" t="s">
        <v>15134</v>
      </c>
      <c r="F489" s="20" t="s">
        <v>15135</v>
      </c>
      <c r="G489" s="20">
        <v>73366001</v>
      </c>
      <c r="H489" s="20" t="s">
        <v>15138</v>
      </c>
      <c r="I489" s="20" t="b">
        <v>1</v>
      </c>
      <c r="J489" s="20" t="s">
        <v>17501</v>
      </c>
      <c r="K489" s="20">
        <v>1000405</v>
      </c>
      <c r="L489" s="20" t="s">
        <v>17216</v>
      </c>
      <c r="M489" s="20" t="s">
        <v>17502</v>
      </c>
    </row>
    <row r="490" spans="1:13" x14ac:dyDescent="0.25">
      <c r="A490" s="20">
        <v>1000405</v>
      </c>
      <c r="B490" s="20" t="s">
        <v>17166</v>
      </c>
      <c r="C490" s="20">
        <v>1000405</v>
      </c>
      <c r="D490" s="20" t="e">
        <f>VLOOKUP(C490,[1]CHILDCARE_FACILITIES!AJ:AK,2,0)</f>
        <v>#N/A</v>
      </c>
      <c r="E490" s="20" t="s">
        <v>15134</v>
      </c>
      <c r="F490" s="20" t="s">
        <v>15135</v>
      </c>
      <c r="G490" s="20">
        <v>73366001</v>
      </c>
      <c r="H490" s="20" t="s">
        <v>15136</v>
      </c>
      <c r="I490" s="20" t="b">
        <v>1</v>
      </c>
      <c r="J490" s="20" t="s">
        <v>17501</v>
      </c>
      <c r="K490" s="20">
        <v>1000405</v>
      </c>
      <c r="L490" s="20" t="s">
        <v>17216</v>
      </c>
      <c r="M490" s="20" t="s">
        <v>17502</v>
      </c>
    </row>
    <row r="491" spans="1:13" x14ac:dyDescent="0.25">
      <c r="A491" s="20">
        <v>9519</v>
      </c>
      <c r="B491" s="20" t="s">
        <v>15575</v>
      </c>
      <c r="C491" s="20">
        <v>9519</v>
      </c>
      <c r="D491" s="20" t="e">
        <f>VLOOKUP(C491,[1]CHILDCARE_FACILITIES!AJ:AK,2,0)</f>
        <v>#N/A</v>
      </c>
      <c r="E491" s="20" t="s">
        <v>15134</v>
      </c>
      <c r="F491" s="20" t="s">
        <v>15135</v>
      </c>
      <c r="G491" s="20">
        <v>73285001</v>
      </c>
      <c r="K491" s="20">
        <v>9519</v>
      </c>
    </row>
    <row r="492" spans="1:13" x14ac:dyDescent="0.25">
      <c r="A492" s="20">
        <v>9158</v>
      </c>
      <c r="B492" s="20" t="s">
        <v>15384</v>
      </c>
      <c r="C492" s="20">
        <v>9158</v>
      </c>
      <c r="D492" s="20" t="e">
        <f>VLOOKUP(C492,[1]CHILDCARE_FACILITIES!AJ:AK,2,0)</f>
        <v>#N/A</v>
      </c>
      <c r="E492" s="20" t="s">
        <v>15134</v>
      </c>
      <c r="F492" s="20" t="s">
        <v>15135</v>
      </c>
      <c r="G492" s="20">
        <v>73106001</v>
      </c>
      <c r="K492" s="20">
        <v>9158</v>
      </c>
    </row>
    <row r="493" spans="1:13" x14ac:dyDescent="0.25">
      <c r="A493" s="20">
        <v>9642</v>
      </c>
      <c r="B493" s="20" t="s">
        <v>15620</v>
      </c>
      <c r="C493" s="20">
        <v>9642</v>
      </c>
      <c r="D493" s="20" t="e">
        <f>VLOOKUP(C493,[1]CHILDCARE_FACILITIES!AJ:AK,2,0)</f>
        <v>#N/A</v>
      </c>
      <c r="E493" s="20" t="s">
        <v>15134</v>
      </c>
      <c r="F493" s="20" t="s">
        <v>15135</v>
      </c>
      <c r="G493" s="20">
        <v>83010001</v>
      </c>
      <c r="K493" s="20">
        <v>9642</v>
      </c>
    </row>
    <row r="494" spans="1:13" x14ac:dyDescent="0.25">
      <c r="A494" s="20">
        <v>9458</v>
      </c>
      <c r="B494" s="20" t="s">
        <v>15534</v>
      </c>
      <c r="C494" s="20">
        <v>9458</v>
      </c>
      <c r="D494" s="20" t="e">
        <f>VLOOKUP(C494,[1]CHILDCARE_FACILITIES!AJ:AK,2,0)</f>
        <v>#N/A</v>
      </c>
      <c r="E494" s="20" t="s">
        <v>15134</v>
      </c>
      <c r="F494" s="20" t="s">
        <v>15135</v>
      </c>
      <c r="G494" s="20">
        <v>73271007</v>
      </c>
      <c r="K494" s="20">
        <v>9458</v>
      </c>
    </row>
    <row r="495" spans="1:13" x14ac:dyDescent="0.25">
      <c r="A495" s="20">
        <v>9459</v>
      </c>
      <c r="B495" s="20" t="s">
        <v>15535</v>
      </c>
      <c r="C495" s="20">
        <v>9459</v>
      </c>
      <c r="D495" s="20" t="e">
        <f>VLOOKUP(C495,[1]CHILDCARE_FACILITIES!AJ:AK,2,0)</f>
        <v>#N/A</v>
      </c>
      <c r="E495" s="20" t="s">
        <v>15134</v>
      </c>
      <c r="F495" s="20" t="s">
        <v>15135</v>
      </c>
      <c r="G495" s="20">
        <v>73271008</v>
      </c>
      <c r="K495" s="20">
        <v>9459</v>
      </c>
    </row>
    <row r="496" spans="1:13" x14ac:dyDescent="0.25">
      <c r="A496" s="20">
        <v>10028</v>
      </c>
      <c r="B496" s="20" t="s">
        <v>15787</v>
      </c>
      <c r="C496" s="20">
        <v>10028</v>
      </c>
      <c r="D496" s="20" t="e">
        <f>VLOOKUP(C496,[1]CHILDCARE_FACILITIES!AJ:AK,2,0)</f>
        <v>#N/A</v>
      </c>
      <c r="E496" s="20" t="s">
        <v>15134</v>
      </c>
      <c r="F496" s="20" t="s">
        <v>15135</v>
      </c>
      <c r="G496" s="20">
        <v>103101000</v>
      </c>
      <c r="H496" s="20" t="s">
        <v>15136</v>
      </c>
      <c r="I496" s="20" t="b">
        <v>1</v>
      </c>
      <c r="J496" s="20" t="s">
        <v>17617</v>
      </c>
      <c r="K496" s="20">
        <v>10028</v>
      </c>
      <c r="L496" s="20" t="s">
        <v>17271</v>
      </c>
      <c r="M496" s="20" t="s">
        <v>17606</v>
      </c>
    </row>
    <row r="497" spans="1:13" x14ac:dyDescent="0.25">
      <c r="A497" s="20">
        <v>10028</v>
      </c>
      <c r="B497" s="20" t="s">
        <v>15787</v>
      </c>
      <c r="C497" s="20">
        <v>10028</v>
      </c>
      <c r="D497" s="20" t="e">
        <f>VLOOKUP(C497,[1]CHILDCARE_FACILITIES!AJ:AK,2,0)</f>
        <v>#N/A</v>
      </c>
      <c r="E497" s="20" t="s">
        <v>15134</v>
      </c>
      <c r="F497" s="20" t="s">
        <v>15135</v>
      </c>
      <c r="G497" s="20">
        <v>103101000</v>
      </c>
      <c r="H497" s="20" t="s">
        <v>15138</v>
      </c>
      <c r="I497" s="20" t="b">
        <v>1</v>
      </c>
      <c r="J497" s="20" t="s">
        <v>17617</v>
      </c>
      <c r="K497" s="20">
        <v>10028</v>
      </c>
      <c r="L497" s="20" t="s">
        <v>17271</v>
      </c>
      <c r="M497" s="20" t="s">
        <v>17606</v>
      </c>
    </row>
    <row r="498" spans="1:13" x14ac:dyDescent="0.25">
      <c r="A498" s="20">
        <v>10212</v>
      </c>
      <c r="B498" s="20" t="s">
        <v>15845</v>
      </c>
      <c r="C498" s="20">
        <v>10212</v>
      </c>
      <c r="D498" s="20" t="e">
        <f>VLOOKUP(C498,[1]CHILDCARE_FACILITIES!AJ:AK,2,0)</f>
        <v>#N/A</v>
      </c>
      <c r="E498" s="20" t="s">
        <v>15134</v>
      </c>
      <c r="F498" s="20" t="s">
        <v>15135</v>
      </c>
      <c r="G498" s="20">
        <v>143011001</v>
      </c>
      <c r="K498" s="20">
        <v>10212</v>
      </c>
    </row>
    <row r="499" spans="1:13" x14ac:dyDescent="0.25">
      <c r="A499" s="20">
        <v>92651</v>
      </c>
      <c r="B499" s="20" t="s">
        <v>16880</v>
      </c>
      <c r="C499" s="20">
        <v>92651</v>
      </c>
      <c r="D499" s="20" t="e">
        <f>VLOOKUP(C499,[1]CHILDCARE_FACILITIES!AJ:AK,2,0)</f>
        <v>#N/A</v>
      </c>
      <c r="E499" s="20" t="s">
        <v>15134</v>
      </c>
      <c r="F499" s="20" t="s">
        <v>15135</v>
      </c>
      <c r="G499" s="20">
        <v>23016000</v>
      </c>
      <c r="H499" s="20" t="s">
        <v>15136</v>
      </c>
      <c r="I499" s="20" t="b">
        <v>1</v>
      </c>
      <c r="J499" s="20" t="s">
        <v>17618</v>
      </c>
      <c r="K499" s="20">
        <v>92651</v>
      </c>
      <c r="L499" s="20" t="s">
        <v>17619</v>
      </c>
      <c r="M499" s="20" t="s">
        <v>17620</v>
      </c>
    </row>
    <row r="500" spans="1:13" x14ac:dyDescent="0.25">
      <c r="A500" s="20">
        <v>92651</v>
      </c>
      <c r="B500" s="20" t="s">
        <v>16880</v>
      </c>
      <c r="C500" s="20">
        <v>92651</v>
      </c>
      <c r="D500" s="20" t="e">
        <f>VLOOKUP(C500,[1]CHILDCARE_FACILITIES!AJ:AK,2,0)</f>
        <v>#N/A</v>
      </c>
      <c r="E500" s="20" t="s">
        <v>15134</v>
      </c>
      <c r="F500" s="20" t="s">
        <v>15135</v>
      </c>
      <c r="G500" s="20">
        <v>23016000</v>
      </c>
      <c r="H500" s="20" t="s">
        <v>15138</v>
      </c>
      <c r="I500" s="20" t="b">
        <v>1</v>
      </c>
      <c r="J500" s="20" t="s">
        <v>17618</v>
      </c>
      <c r="K500" s="20">
        <v>92651</v>
      </c>
      <c r="L500" s="20" t="s">
        <v>17619</v>
      </c>
      <c r="M500" s="20" t="s">
        <v>17620</v>
      </c>
    </row>
    <row r="501" spans="1:13" x14ac:dyDescent="0.25">
      <c r="A501" s="20">
        <v>84662</v>
      </c>
      <c r="B501" s="20" t="s">
        <v>16292</v>
      </c>
      <c r="C501" s="20">
        <v>84662</v>
      </c>
      <c r="D501" s="20" t="e">
        <f>VLOOKUP(C501,[1]CHILDCARE_FACILITIES!AJ:AK,2,0)</f>
        <v>#N/A</v>
      </c>
      <c r="E501" s="20" t="s">
        <v>15134</v>
      </c>
      <c r="F501" s="20" t="s">
        <v>15135</v>
      </c>
      <c r="G501" s="20">
        <v>103466004</v>
      </c>
      <c r="H501" s="20" t="s">
        <v>15138</v>
      </c>
      <c r="I501" s="20" t="b">
        <v>1</v>
      </c>
      <c r="J501" s="20" t="s">
        <v>17621</v>
      </c>
      <c r="K501" s="20">
        <v>84662</v>
      </c>
      <c r="L501" s="20" t="s">
        <v>17271</v>
      </c>
      <c r="M501" s="20" t="s">
        <v>17622</v>
      </c>
    </row>
    <row r="502" spans="1:13" x14ac:dyDescent="0.25">
      <c r="A502" s="20">
        <v>84662</v>
      </c>
      <c r="B502" s="20" t="s">
        <v>16292</v>
      </c>
      <c r="C502" s="20">
        <v>84662</v>
      </c>
      <c r="D502" s="20" t="e">
        <f>VLOOKUP(C502,[1]CHILDCARE_FACILITIES!AJ:AK,2,0)</f>
        <v>#N/A</v>
      </c>
      <c r="E502" s="20" t="s">
        <v>15134</v>
      </c>
      <c r="F502" s="20" t="s">
        <v>15135</v>
      </c>
      <c r="G502" s="20">
        <v>103466004</v>
      </c>
      <c r="H502" s="20" t="s">
        <v>15145</v>
      </c>
      <c r="I502" s="20" t="b">
        <v>1</v>
      </c>
      <c r="J502" s="20" t="s">
        <v>17621</v>
      </c>
      <c r="K502" s="20">
        <v>84662</v>
      </c>
      <c r="L502" s="20" t="s">
        <v>17271</v>
      </c>
      <c r="M502" s="20" t="s">
        <v>17622</v>
      </c>
    </row>
    <row r="503" spans="1:13" x14ac:dyDescent="0.25">
      <c r="A503" s="20">
        <v>87065</v>
      </c>
      <c r="B503" s="20" t="s">
        <v>16329</v>
      </c>
      <c r="C503" s="20">
        <v>87065</v>
      </c>
      <c r="D503" s="20" t="str">
        <f>VLOOKUP(C503,[1]CHILDCARE_FACILITIES!AJ:AK,2,0)</f>
        <v>CDC-13970</v>
      </c>
      <c r="E503" s="20" t="s">
        <v>15134</v>
      </c>
      <c r="F503" s="20" t="s">
        <v>15135</v>
      </c>
      <c r="G503" s="20">
        <v>102264001</v>
      </c>
      <c r="H503" s="20" t="s">
        <v>15138</v>
      </c>
      <c r="I503" s="20" t="b">
        <v>1</v>
      </c>
      <c r="J503" s="20" t="s">
        <v>17623</v>
      </c>
      <c r="K503" s="20">
        <v>87065</v>
      </c>
      <c r="L503" s="20" t="s">
        <v>17271</v>
      </c>
      <c r="M503" s="20" t="s">
        <v>17624</v>
      </c>
    </row>
    <row r="504" spans="1:13" x14ac:dyDescent="0.25">
      <c r="A504" s="20">
        <v>87065</v>
      </c>
      <c r="B504" s="20" t="s">
        <v>16329</v>
      </c>
      <c r="C504" s="20">
        <v>87065</v>
      </c>
      <c r="D504" s="20" t="str">
        <f>VLOOKUP(C504,[1]CHILDCARE_FACILITIES!AJ:AK,2,0)</f>
        <v>CDC-13970</v>
      </c>
      <c r="E504" s="20" t="s">
        <v>15134</v>
      </c>
      <c r="F504" s="20" t="s">
        <v>15135</v>
      </c>
      <c r="G504" s="20">
        <v>102264001</v>
      </c>
      <c r="H504" s="20" t="s">
        <v>15145</v>
      </c>
      <c r="I504" s="20" t="b">
        <v>1</v>
      </c>
      <c r="J504" s="20" t="s">
        <v>17623</v>
      </c>
      <c r="K504" s="20">
        <v>87065</v>
      </c>
      <c r="L504" s="20" t="s">
        <v>17271</v>
      </c>
      <c r="M504" s="20" t="s">
        <v>17624</v>
      </c>
    </row>
    <row r="505" spans="1:13" x14ac:dyDescent="0.25">
      <c r="A505" s="20">
        <v>9638</v>
      </c>
      <c r="B505" s="20" t="s">
        <v>15618</v>
      </c>
      <c r="C505" s="20">
        <v>9638</v>
      </c>
      <c r="D505" s="20" t="e">
        <f>VLOOKUP(C505,[1]CHILDCARE_FACILITIES!AJ:AK,2,0)</f>
        <v>#N/A</v>
      </c>
      <c r="E505" s="20" t="s">
        <v>15134</v>
      </c>
      <c r="F505" s="20" t="s">
        <v>15135</v>
      </c>
      <c r="G505" s="20">
        <v>83008001</v>
      </c>
      <c r="K505" s="20">
        <v>9638</v>
      </c>
    </row>
    <row r="506" spans="1:13" x14ac:dyDescent="0.25">
      <c r="A506" s="20">
        <v>9760</v>
      </c>
      <c r="B506" s="20" t="s">
        <v>15654</v>
      </c>
      <c r="C506" s="20">
        <v>9760</v>
      </c>
      <c r="D506" s="20" t="e">
        <f>VLOOKUP(C506,[1]CHILDCARE_FACILITIES!AJ:AK,2,0)</f>
        <v>#N/A</v>
      </c>
      <c r="E506" s="20" t="s">
        <v>15134</v>
      </c>
      <c r="F506" s="20" t="s">
        <v>15135</v>
      </c>
      <c r="G506" s="20">
        <v>102241000</v>
      </c>
      <c r="K506" s="20">
        <v>9760</v>
      </c>
    </row>
    <row r="507" spans="1:13" x14ac:dyDescent="0.25">
      <c r="A507" s="20">
        <v>9761</v>
      </c>
      <c r="B507" s="20" t="s">
        <v>15655</v>
      </c>
      <c r="C507" s="20">
        <v>9761</v>
      </c>
      <c r="D507" s="20" t="e">
        <f>VLOOKUP(C507,[1]CHILDCARE_FACILITIES!AJ:AK,2,0)</f>
        <v>#N/A</v>
      </c>
      <c r="E507" s="20" t="s">
        <v>15134</v>
      </c>
      <c r="F507" s="20" t="s">
        <v>15135</v>
      </c>
      <c r="G507" s="20">
        <v>102241001</v>
      </c>
      <c r="K507" s="20">
        <v>9761</v>
      </c>
    </row>
    <row r="508" spans="1:13" x14ac:dyDescent="0.25">
      <c r="A508" s="20">
        <v>8601</v>
      </c>
      <c r="B508" s="20" t="s">
        <v>15170</v>
      </c>
      <c r="C508" s="20">
        <v>8601</v>
      </c>
      <c r="D508" s="20" t="e">
        <f>VLOOKUP(C508,[1]CHILDCARE_FACILITIES!AJ:AK,2,0)</f>
        <v>#N/A</v>
      </c>
      <c r="E508" s="20" t="s">
        <v>15134</v>
      </c>
      <c r="F508" s="20" t="s">
        <v>15135</v>
      </c>
      <c r="G508" s="20">
        <v>53001001</v>
      </c>
      <c r="K508" s="20">
        <v>8601</v>
      </c>
    </row>
    <row r="509" spans="1:13" x14ac:dyDescent="0.25">
      <c r="A509" s="20">
        <v>79669</v>
      </c>
      <c r="B509" s="20" t="s">
        <v>15985</v>
      </c>
      <c r="C509" s="20">
        <v>79669</v>
      </c>
      <c r="D509" s="20" t="e">
        <f>VLOOKUP(C509,[1]CHILDCARE_FACILITIES!AJ:AK,2,0)</f>
        <v>#N/A</v>
      </c>
      <c r="E509" s="20" t="s">
        <v>15134</v>
      </c>
      <c r="F509" s="20" t="s">
        <v>15135</v>
      </c>
      <c r="G509" s="20">
        <v>142206002</v>
      </c>
      <c r="H509" s="20" t="s">
        <v>15145</v>
      </c>
      <c r="I509" s="20" t="b">
        <v>1</v>
      </c>
      <c r="J509" s="20" t="s">
        <v>17625</v>
      </c>
      <c r="K509" s="20">
        <v>79669</v>
      </c>
      <c r="L509" s="20" t="s">
        <v>17335</v>
      </c>
      <c r="M509" s="20" t="s">
        <v>17626</v>
      </c>
    </row>
    <row r="510" spans="1:13" x14ac:dyDescent="0.25">
      <c r="A510" s="20">
        <v>79669</v>
      </c>
      <c r="B510" s="20" t="s">
        <v>15985</v>
      </c>
      <c r="C510" s="20">
        <v>79669</v>
      </c>
      <c r="D510" s="20" t="e">
        <f>VLOOKUP(C510,[1]CHILDCARE_FACILITIES!AJ:AK,2,0)</f>
        <v>#N/A</v>
      </c>
      <c r="E510" s="20" t="s">
        <v>15134</v>
      </c>
      <c r="F510" s="20" t="s">
        <v>15135</v>
      </c>
      <c r="G510" s="20">
        <v>142206002</v>
      </c>
      <c r="H510" s="20" t="s">
        <v>15138</v>
      </c>
      <c r="I510" s="20" t="b">
        <v>1</v>
      </c>
      <c r="J510" s="20" t="s">
        <v>17627</v>
      </c>
      <c r="K510" s="20">
        <v>79669</v>
      </c>
      <c r="L510" s="20" t="s">
        <v>17335</v>
      </c>
      <c r="M510" s="20" t="s">
        <v>17498</v>
      </c>
    </row>
    <row r="511" spans="1:13" x14ac:dyDescent="0.25">
      <c r="A511" s="20">
        <v>92623</v>
      </c>
      <c r="B511" s="20" t="s">
        <v>16873</v>
      </c>
      <c r="C511" s="20">
        <v>92623</v>
      </c>
      <c r="D511" s="20" t="str">
        <f>VLOOKUP(C511,[1]CHILDCARE_FACILITIES!AJ:AK,2,0)</f>
        <v>CDC-16800</v>
      </c>
      <c r="E511" s="20" t="s">
        <v>15134</v>
      </c>
      <c r="F511" s="20" t="s">
        <v>15135</v>
      </c>
      <c r="G511" s="20">
        <v>103150001</v>
      </c>
      <c r="K511" s="20">
        <v>92623</v>
      </c>
    </row>
    <row r="512" spans="1:13" x14ac:dyDescent="0.25">
      <c r="A512" s="20">
        <v>92622</v>
      </c>
      <c r="B512" s="20" t="s">
        <v>16871</v>
      </c>
      <c r="C512" s="20">
        <v>92622</v>
      </c>
      <c r="D512" s="20" t="e">
        <f>VLOOKUP(C512,[1]CHILDCARE_FACILITIES!AJ:AK,2,0)</f>
        <v>#N/A</v>
      </c>
      <c r="E512" s="20" t="s">
        <v>15134</v>
      </c>
      <c r="F512" s="20" t="s">
        <v>15135</v>
      </c>
      <c r="G512" s="20">
        <v>103150000</v>
      </c>
      <c r="H512" s="20" t="s">
        <v>15136</v>
      </c>
      <c r="I512" s="20" t="b">
        <v>1</v>
      </c>
      <c r="J512" s="20" t="s">
        <v>17628</v>
      </c>
      <c r="K512" s="20">
        <v>92622</v>
      </c>
      <c r="L512" s="20" t="s">
        <v>17271</v>
      </c>
      <c r="M512" s="20" t="s">
        <v>17629</v>
      </c>
    </row>
    <row r="513" spans="1:13" x14ac:dyDescent="0.25">
      <c r="A513" s="20">
        <v>92622</v>
      </c>
      <c r="B513" s="20" t="s">
        <v>16871</v>
      </c>
      <c r="C513" s="20">
        <v>92622</v>
      </c>
      <c r="D513" s="20" t="e">
        <f>VLOOKUP(C513,[1]CHILDCARE_FACILITIES!AJ:AK,2,0)</f>
        <v>#N/A</v>
      </c>
      <c r="E513" s="20" t="s">
        <v>15134</v>
      </c>
      <c r="F513" s="20" t="s">
        <v>15135</v>
      </c>
      <c r="G513" s="20">
        <v>103150000</v>
      </c>
      <c r="H513" s="20" t="s">
        <v>15138</v>
      </c>
      <c r="I513" s="20" t="b">
        <v>1</v>
      </c>
      <c r="J513" s="20" t="s">
        <v>17628</v>
      </c>
      <c r="K513" s="20">
        <v>92622</v>
      </c>
      <c r="L513" s="20" t="s">
        <v>17271</v>
      </c>
      <c r="M513" s="20" t="s">
        <v>17629</v>
      </c>
    </row>
    <row r="514" spans="1:13" x14ac:dyDescent="0.25">
      <c r="A514" s="20">
        <v>89734</v>
      </c>
      <c r="B514" s="20" t="s">
        <v>16444</v>
      </c>
      <c r="C514" s="20">
        <v>89734</v>
      </c>
      <c r="D514" s="20" t="str">
        <f>VLOOKUP(C514,[1]CHILDCARE_FACILITIES!AJ:AK,2,0)</f>
        <v>CDC-13057</v>
      </c>
      <c r="E514" s="20" t="s">
        <v>15134</v>
      </c>
      <c r="F514" s="20" t="s">
        <v>15135</v>
      </c>
      <c r="G514" s="20">
        <v>132207001</v>
      </c>
      <c r="H514" s="20" t="s">
        <v>15145</v>
      </c>
      <c r="I514" s="20" t="b">
        <v>1</v>
      </c>
      <c r="J514" s="20" t="s">
        <v>17630</v>
      </c>
      <c r="K514" s="20">
        <v>89734</v>
      </c>
      <c r="L514" s="20" t="s">
        <v>17631</v>
      </c>
      <c r="M514" s="20" t="s">
        <v>17632</v>
      </c>
    </row>
    <row r="515" spans="1:13" x14ac:dyDescent="0.25">
      <c r="A515" s="20">
        <v>89734</v>
      </c>
      <c r="B515" s="20" t="s">
        <v>16444</v>
      </c>
      <c r="C515" s="20">
        <v>89734</v>
      </c>
      <c r="D515" s="20" t="str">
        <f>VLOOKUP(C515,[1]CHILDCARE_FACILITIES!AJ:AK,2,0)</f>
        <v>CDC-13057</v>
      </c>
      <c r="E515" s="20" t="s">
        <v>15134</v>
      </c>
      <c r="F515" s="20" t="s">
        <v>15135</v>
      </c>
      <c r="G515" s="20">
        <v>132207001</v>
      </c>
      <c r="H515" s="20" t="s">
        <v>15138</v>
      </c>
      <c r="I515" s="20" t="b">
        <v>1</v>
      </c>
      <c r="J515" s="20" t="s">
        <v>17630</v>
      </c>
      <c r="K515" s="20">
        <v>89734</v>
      </c>
      <c r="L515" s="20" t="s">
        <v>17631</v>
      </c>
      <c r="M515" s="20" t="s">
        <v>17632</v>
      </c>
    </row>
    <row r="516" spans="1:13" x14ac:dyDescent="0.25">
      <c r="A516" s="20">
        <v>80645</v>
      </c>
      <c r="B516" s="20" t="s">
        <v>16154</v>
      </c>
      <c r="C516" s="20">
        <v>80645</v>
      </c>
      <c r="D516" s="20" t="e">
        <f>VLOOKUP(C516,[1]CHILDCARE_FACILITIES!AJ:AK,2,0)</f>
        <v>#N/A</v>
      </c>
      <c r="E516" s="20" t="s">
        <v>15134</v>
      </c>
      <c r="F516" s="20" t="s">
        <v>15135</v>
      </c>
      <c r="G516" s="20">
        <v>73439000</v>
      </c>
      <c r="H516" s="20" t="s">
        <v>15138</v>
      </c>
      <c r="I516" s="20" t="b">
        <v>1</v>
      </c>
      <c r="J516" s="20" t="s">
        <v>17633</v>
      </c>
      <c r="K516" s="20">
        <v>80645</v>
      </c>
      <c r="L516" s="20" t="s">
        <v>17213</v>
      </c>
      <c r="M516" s="20" t="s">
        <v>17634</v>
      </c>
    </row>
    <row r="517" spans="1:13" x14ac:dyDescent="0.25">
      <c r="A517" s="20">
        <v>80645</v>
      </c>
      <c r="B517" s="20" t="s">
        <v>16154</v>
      </c>
      <c r="C517" s="20">
        <v>80645</v>
      </c>
      <c r="D517" s="20" t="e">
        <f>VLOOKUP(C517,[1]CHILDCARE_FACILITIES!AJ:AK,2,0)</f>
        <v>#N/A</v>
      </c>
      <c r="E517" s="20" t="s">
        <v>15134</v>
      </c>
      <c r="F517" s="20" t="s">
        <v>15135</v>
      </c>
      <c r="G517" s="20">
        <v>73439000</v>
      </c>
      <c r="H517" s="20" t="s">
        <v>15136</v>
      </c>
      <c r="I517" s="20" t="b">
        <v>1</v>
      </c>
      <c r="J517" s="20" t="s">
        <v>17521</v>
      </c>
      <c r="K517" s="20">
        <v>80645</v>
      </c>
      <c r="L517" s="20" t="s">
        <v>17213</v>
      </c>
      <c r="M517" s="20" t="s">
        <v>17522</v>
      </c>
    </row>
    <row r="518" spans="1:13" x14ac:dyDescent="0.25">
      <c r="A518" s="20">
        <v>9794</v>
      </c>
      <c r="B518" s="20" t="s">
        <v>15686</v>
      </c>
      <c r="C518" s="20">
        <v>9794</v>
      </c>
      <c r="D518" s="20" t="e">
        <f>VLOOKUP(C518,[1]CHILDCARE_FACILITIES!AJ:AK,2,0)</f>
        <v>#N/A</v>
      </c>
      <c r="E518" s="20" t="s">
        <v>15134</v>
      </c>
      <c r="F518" s="20" t="s">
        <v>15135</v>
      </c>
      <c r="G518" s="20">
        <v>102252000</v>
      </c>
      <c r="K518" s="20">
        <v>9794</v>
      </c>
    </row>
    <row r="519" spans="1:13" x14ac:dyDescent="0.25">
      <c r="A519" s="20">
        <v>1000317</v>
      </c>
      <c r="B519" s="20" t="s">
        <v>17132</v>
      </c>
      <c r="C519" s="20">
        <v>1000317</v>
      </c>
      <c r="D519" s="20" t="e">
        <f>VLOOKUP(C519,[1]CHILDCARE_FACILITIES!AJ:AK,2,0)</f>
        <v>#N/A</v>
      </c>
      <c r="E519" s="20" t="s">
        <v>15134</v>
      </c>
      <c r="F519" s="20" t="s">
        <v>15135</v>
      </c>
      <c r="G519" s="20">
        <v>73358001</v>
      </c>
      <c r="H519" s="20" t="s">
        <v>15136</v>
      </c>
      <c r="I519" s="20" t="b">
        <v>1</v>
      </c>
      <c r="J519" s="20" t="s">
        <v>17635</v>
      </c>
      <c r="K519" s="20">
        <v>1000317</v>
      </c>
      <c r="L519" s="20" t="s">
        <v>17213</v>
      </c>
      <c r="M519" s="20" t="s">
        <v>17315</v>
      </c>
    </row>
    <row r="520" spans="1:13" x14ac:dyDescent="0.25">
      <c r="A520" s="20">
        <v>1000317</v>
      </c>
      <c r="B520" s="20" t="s">
        <v>17132</v>
      </c>
      <c r="C520" s="20">
        <v>1000317</v>
      </c>
      <c r="D520" s="20" t="e">
        <f>VLOOKUP(C520,[1]CHILDCARE_FACILITIES!AJ:AK,2,0)</f>
        <v>#N/A</v>
      </c>
      <c r="E520" s="20" t="s">
        <v>15134</v>
      </c>
      <c r="F520" s="20" t="s">
        <v>15135</v>
      </c>
      <c r="G520" s="20">
        <v>73358001</v>
      </c>
      <c r="H520" s="20" t="s">
        <v>15138</v>
      </c>
      <c r="I520" s="20" t="b">
        <v>1</v>
      </c>
      <c r="J520" s="20" t="s">
        <v>17635</v>
      </c>
      <c r="K520" s="20">
        <v>1000317</v>
      </c>
      <c r="L520" s="20" t="s">
        <v>17213</v>
      </c>
      <c r="M520" s="20" t="s">
        <v>17315</v>
      </c>
    </row>
    <row r="521" spans="1:13" x14ac:dyDescent="0.25">
      <c r="A521" s="20">
        <v>78753</v>
      </c>
      <c r="B521" s="20" t="s">
        <v>15883</v>
      </c>
      <c r="C521" s="20">
        <v>78753</v>
      </c>
      <c r="D521" s="20" t="e">
        <f>VLOOKUP(C521,[1]CHILDCARE_FACILITIES!AJ:AK,2,0)</f>
        <v>#N/A</v>
      </c>
      <c r="E521" s="20" t="s">
        <v>15134</v>
      </c>
      <c r="F521" s="20" t="s">
        <v>15135</v>
      </c>
      <c r="G521" s="20">
        <v>73431001</v>
      </c>
      <c r="K521" s="20">
        <v>78753</v>
      </c>
    </row>
    <row r="522" spans="1:13" x14ac:dyDescent="0.25">
      <c r="A522" s="20">
        <v>89711</v>
      </c>
      <c r="B522" s="20" t="s">
        <v>16431</v>
      </c>
      <c r="C522" s="20">
        <v>89711</v>
      </c>
      <c r="D522" s="20" t="e">
        <f>VLOOKUP(C522,[1]CHILDCARE_FACILITIES!AJ:AK,2,0)</f>
        <v>#N/A</v>
      </c>
      <c r="E522" s="20" t="s">
        <v>15134</v>
      </c>
      <c r="F522" s="20" t="s">
        <v>15135</v>
      </c>
      <c r="G522" s="20">
        <v>73558001</v>
      </c>
      <c r="H522" s="20" t="s">
        <v>15145</v>
      </c>
      <c r="I522" s="20" t="b">
        <v>1</v>
      </c>
      <c r="J522" s="20" t="s">
        <v>17636</v>
      </c>
      <c r="K522" s="20">
        <v>89711</v>
      </c>
      <c r="L522" s="20" t="s">
        <v>17367</v>
      </c>
      <c r="M522" s="20" t="s">
        <v>17637</v>
      </c>
    </row>
    <row r="523" spans="1:13" x14ac:dyDescent="0.25">
      <c r="A523" s="20">
        <v>78752</v>
      </c>
      <c r="B523" s="20" t="s">
        <v>15880</v>
      </c>
      <c r="C523" s="20">
        <v>78752</v>
      </c>
      <c r="D523" s="20" t="e">
        <f>VLOOKUP(C523,[1]CHILDCARE_FACILITIES!AJ:AK,2,0)</f>
        <v>#N/A</v>
      </c>
      <c r="E523" s="20" t="s">
        <v>15134</v>
      </c>
      <c r="F523" s="20" t="s">
        <v>15135</v>
      </c>
      <c r="G523" s="20">
        <v>73431000</v>
      </c>
      <c r="H523" s="20" t="s">
        <v>15138</v>
      </c>
      <c r="I523" s="20" t="b">
        <v>1</v>
      </c>
      <c r="J523" s="20" t="s">
        <v>17638</v>
      </c>
      <c r="K523" s="20">
        <v>78752</v>
      </c>
      <c r="L523" s="20" t="s">
        <v>17639</v>
      </c>
      <c r="M523" s="20" t="s">
        <v>17640</v>
      </c>
    </row>
    <row r="524" spans="1:13" x14ac:dyDescent="0.25">
      <c r="A524" s="20">
        <v>78752</v>
      </c>
      <c r="B524" s="20" t="s">
        <v>15880</v>
      </c>
      <c r="C524" s="20">
        <v>78752</v>
      </c>
      <c r="D524" s="20" t="e">
        <f>VLOOKUP(C524,[1]CHILDCARE_FACILITIES!AJ:AK,2,0)</f>
        <v>#N/A</v>
      </c>
      <c r="E524" s="20" t="s">
        <v>15134</v>
      </c>
      <c r="F524" s="20" t="s">
        <v>15135</v>
      </c>
      <c r="G524" s="20">
        <v>73431000</v>
      </c>
      <c r="H524" s="20" t="s">
        <v>15136</v>
      </c>
      <c r="I524" s="20" t="b">
        <v>1</v>
      </c>
      <c r="J524" s="20" t="s">
        <v>17641</v>
      </c>
      <c r="K524" s="20">
        <v>78752</v>
      </c>
      <c r="L524" s="20" t="s">
        <v>17233</v>
      </c>
      <c r="M524" s="20" t="s">
        <v>17642</v>
      </c>
    </row>
    <row r="525" spans="1:13" x14ac:dyDescent="0.25">
      <c r="A525" s="20">
        <v>91245</v>
      </c>
      <c r="B525" s="20" t="s">
        <v>16760</v>
      </c>
      <c r="C525" s="20">
        <v>91245</v>
      </c>
      <c r="D525" s="20" t="e">
        <f>VLOOKUP(C525,[1]CHILDCARE_FACILITIES!AJ:AK,2,0)</f>
        <v>#N/A</v>
      </c>
      <c r="E525" s="20" t="s">
        <v>15134</v>
      </c>
      <c r="F525" s="20" t="s">
        <v>15135</v>
      </c>
      <c r="G525" s="20">
        <v>73057001</v>
      </c>
      <c r="K525" s="20">
        <v>91245</v>
      </c>
    </row>
    <row r="526" spans="1:13" x14ac:dyDescent="0.25">
      <c r="A526" s="20">
        <v>9961</v>
      </c>
      <c r="B526" s="20" t="s">
        <v>15751</v>
      </c>
      <c r="C526" s="20">
        <v>9961</v>
      </c>
      <c r="D526" s="20" t="e">
        <f>VLOOKUP(C526,[1]CHILDCARE_FACILITIES!AJ:AK,2,0)</f>
        <v>#N/A</v>
      </c>
      <c r="E526" s="20" t="s">
        <v>15134</v>
      </c>
      <c r="F526" s="20" t="s">
        <v>15135</v>
      </c>
      <c r="G526" s="20">
        <v>103072001</v>
      </c>
      <c r="K526" s="20">
        <v>9961</v>
      </c>
    </row>
    <row r="527" spans="1:13" x14ac:dyDescent="0.25">
      <c r="A527" s="20">
        <v>80549</v>
      </c>
      <c r="B527" s="20" t="s">
        <v>15751</v>
      </c>
      <c r="C527" s="20">
        <v>80549</v>
      </c>
      <c r="D527" s="20" t="str">
        <f>VLOOKUP(C527,[1]CHILDCARE_FACILITIES!AJ:AK,2,0)</f>
        <v>CDC-9483</v>
      </c>
      <c r="E527" s="20" t="s">
        <v>15134</v>
      </c>
      <c r="F527" s="20" t="s">
        <v>15135</v>
      </c>
      <c r="G527" s="20">
        <v>103101005</v>
      </c>
      <c r="H527" s="20" t="s">
        <v>15138</v>
      </c>
      <c r="I527" s="20" t="b">
        <v>1</v>
      </c>
      <c r="J527" s="20" t="s">
        <v>17612</v>
      </c>
      <c r="K527" s="20">
        <v>80549</v>
      </c>
      <c r="L527" s="20" t="s">
        <v>17271</v>
      </c>
      <c r="M527" s="20" t="s">
        <v>17606</v>
      </c>
    </row>
    <row r="528" spans="1:13" x14ac:dyDescent="0.25">
      <c r="A528" s="20">
        <v>80549</v>
      </c>
      <c r="B528" s="20" t="s">
        <v>15751</v>
      </c>
      <c r="C528" s="20">
        <v>80549</v>
      </c>
      <c r="D528" s="20" t="str">
        <f>VLOOKUP(C528,[1]CHILDCARE_FACILITIES!AJ:AK,2,0)</f>
        <v>CDC-9483</v>
      </c>
      <c r="E528" s="20" t="s">
        <v>15134</v>
      </c>
      <c r="F528" s="20" t="s">
        <v>15135</v>
      </c>
      <c r="G528" s="20">
        <v>103101005</v>
      </c>
      <c r="H528" s="20" t="s">
        <v>15145</v>
      </c>
      <c r="I528" s="20" t="b">
        <v>1</v>
      </c>
      <c r="J528" s="20" t="s">
        <v>17643</v>
      </c>
      <c r="K528" s="20">
        <v>80549</v>
      </c>
      <c r="L528" s="20" t="s">
        <v>17271</v>
      </c>
      <c r="M528" s="20" t="s">
        <v>17644</v>
      </c>
    </row>
    <row r="529" spans="1:13" x14ac:dyDescent="0.25">
      <c r="A529" s="20">
        <v>79797</v>
      </c>
      <c r="B529" s="20" t="s">
        <v>16007</v>
      </c>
      <c r="C529" s="20">
        <v>79797</v>
      </c>
      <c r="D529" s="20" t="e">
        <f>VLOOKUP(C529,[1]CHILDCARE_FACILITIES!AJ:AK,2,0)</f>
        <v>#N/A</v>
      </c>
      <c r="E529" s="20" t="s">
        <v>15134</v>
      </c>
      <c r="F529" s="20" t="s">
        <v>15135</v>
      </c>
      <c r="G529" s="20">
        <v>72430000</v>
      </c>
      <c r="H529" s="20" t="s">
        <v>15145</v>
      </c>
      <c r="I529" s="20" t="b">
        <v>0</v>
      </c>
      <c r="J529" s="20" t="s">
        <v>17645</v>
      </c>
      <c r="K529" s="20">
        <v>79797</v>
      </c>
      <c r="L529" s="20" t="s">
        <v>17228</v>
      </c>
      <c r="M529" s="20" t="s">
        <v>17646</v>
      </c>
    </row>
    <row r="530" spans="1:13" x14ac:dyDescent="0.25">
      <c r="A530" s="20">
        <v>79798</v>
      </c>
      <c r="B530" s="20" t="s">
        <v>16007</v>
      </c>
      <c r="C530" s="20">
        <v>79798</v>
      </c>
      <c r="D530" s="20" t="e">
        <f>VLOOKUP(C530,[1]CHILDCARE_FACILITIES!AJ:AK,2,0)</f>
        <v>#N/A</v>
      </c>
      <c r="E530" s="20" t="s">
        <v>15134</v>
      </c>
      <c r="F530" s="20" t="s">
        <v>15135</v>
      </c>
      <c r="G530" s="20">
        <v>72430001</v>
      </c>
      <c r="H530" s="20" t="s">
        <v>15145</v>
      </c>
      <c r="I530" s="20" t="b">
        <v>0</v>
      </c>
      <c r="J530" s="20" t="s">
        <v>17647</v>
      </c>
      <c r="K530" s="20">
        <v>79798</v>
      </c>
      <c r="L530" s="20" t="s">
        <v>17228</v>
      </c>
      <c r="M530" s="20" t="s">
        <v>17646</v>
      </c>
    </row>
    <row r="531" spans="1:13" x14ac:dyDescent="0.25">
      <c r="A531" s="20">
        <v>89490</v>
      </c>
      <c r="B531" s="20" t="s">
        <v>16402</v>
      </c>
      <c r="C531" s="20">
        <v>89490</v>
      </c>
      <c r="D531" s="20" t="e">
        <f>VLOOKUP(C531,[1]CHILDCARE_FACILITIES!AJ:AK,2,0)</f>
        <v>#N/A</v>
      </c>
      <c r="E531" s="20" t="s">
        <v>15134</v>
      </c>
      <c r="F531" s="20" t="s">
        <v>15135</v>
      </c>
      <c r="G531" s="20">
        <v>102268000</v>
      </c>
      <c r="H531" s="20" t="s">
        <v>15145</v>
      </c>
      <c r="I531" s="20" t="b">
        <v>1</v>
      </c>
      <c r="J531" s="20" t="s">
        <v>17648</v>
      </c>
      <c r="K531" s="20">
        <v>89490</v>
      </c>
      <c r="L531" s="20" t="s">
        <v>17271</v>
      </c>
      <c r="M531" s="20" t="s">
        <v>17649</v>
      </c>
    </row>
    <row r="532" spans="1:13" x14ac:dyDescent="0.25">
      <c r="A532" s="20">
        <v>89490</v>
      </c>
      <c r="B532" s="20" t="s">
        <v>16402</v>
      </c>
      <c r="C532" s="20">
        <v>89490</v>
      </c>
      <c r="D532" s="20" t="e">
        <f>VLOOKUP(C532,[1]CHILDCARE_FACILITIES!AJ:AK,2,0)</f>
        <v>#N/A</v>
      </c>
      <c r="E532" s="20" t="s">
        <v>15134</v>
      </c>
      <c r="F532" s="20" t="s">
        <v>15135</v>
      </c>
      <c r="G532" s="20">
        <v>102268000</v>
      </c>
      <c r="H532" s="20" t="s">
        <v>15138</v>
      </c>
      <c r="I532" s="20" t="b">
        <v>1</v>
      </c>
      <c r="J532" s="20" t="s">
        <v>17648</v>
      </c>
      <c r="K532" s="20">
        <v>89490</v>
      </c>
      <c r="L532" s="20" t="s">
        <v>17271</v>
      </c>
      <c r="M532" s="20" t="s">
        <v>17649</v>
      </c>
    </row>
    <row r="533" spans="1:13" x14ac:dyDescent="0.25">
      <c r="A533" s="20">
        <v>89491</v>
      </c>
      <c r="B533" s="20" t="s">
        <v>16402</v>
      </c>
      <c r="C533" s="20">
        <v>89491</v>
      </c>
      <c r="D533" s="20" t="e">
        <f>VLOOKUP(C533,[1]CHILDCARE_FACILITIES!AJ:AK,2,0)</f>
        <v>#N/A</v>
      </c>
      <c r="E533" s="20" t="s">
        <v>15134</v>
      </c>
      <c r="F533" s="20" t="s">
        <v>15135</v>
      </c>
      <c r="G533" s="20">
        <v>102268001</v>
      </c>
      <c r="H533" s="20" t="s">
        <v>15145</v>
      </c>
      <c r="I533" s="20" t="b">
        <v>0</v>
      </c>
      <c r="J533" s="20" t="s">
        <v>17650</v>
      </c>
      <c r="K533" s="20">
        <v>89491</v>
      </c>
      <c r="L533" s="20" t="s">
        <v>17282</v>
      </c>
      <c r="M533" s="20" t="s">
        <v>17651</v>
      </c>
    </row>
    <row r="534" spans="1:13" x14ac:dyDescent="0.25">
      <c r="A534" s="20">
        <v>10208</v>
      </c>
      <c r="B534" s="20" t="s">
        <v>15842</v>
      </c>
      <c r="C534" s="20">
        <v>10208</v>
      </c>
      <c r="D534" s="20" t="str">
        <f>VLOOKUP(C534,[1]CHILDCARE_FACILITIES!AJ:AK,2,0)</f>
        <v>CDC-3186</v>
      </c>
      <c r="E534" s="20" t="s">
        <v>15134</v>
      </c>
      <c r="F534" s="20" t="s">
        <v>15135</v>
      </c>
      <c r="G534" s="20">
        <v>143009001</v>
      </c>
      <c r="H534" s="20" t="s">
        <v>15138</v>
      </c>
      <c r="I534" s="20" t="b">
        <v>1</v>
      </c>
      <c r="J534" s="20" t="s">
        <v>17652</v>
      </c>
      <c r="K534" s="20">
        <v>10208</v>
      </c>
      <c r="L534" s="20" t="s">
        <v>17335</v>
      </c>
      <c r="M534" s="20" t="s">
        <v>17653</v>
      </c>
    </row>
    <row r="535" spans="1:13" x14ac:dyDescent="0.25">
      <c r="A535" s="20">
        <v>10208</v>
      </c>
      <c r="B535" s="20" t="s">
        <v>15842</v>
      </c>
      <c r="C535" s="20">
        <v>10208</v>
      </c>
      <c r="D535" s="20" t="str">
        <f>VLOOKUP(C535,[1]CHILDCARE_FACILITIES!AJ:AK,2,0)</f>
        <v>CDC-3186</v>
      </c>
      <c r="E535" s="20" t="s">
        <v>15134</v>
      </c>
      <c r="F535" s="20" t="s">
        <v>15135</v>
      </c>
      <c r="G535" s="20">
        <v>143009001</v>
      </c>
      <c r="H535" s="20" t="s">
        <v>15145</v>
      </c>
      <c r="I535" s="20" t="b">
        <v>1</v>
      </c>
      <c r="J535" s="20" t="s">
        <v>17652</v>
      </c>
      <c r="K535" s="20">
        <v>10208</v>
      </c>
      <c r="L535" s="20" t="s">
        <v>17335</v>
      </c>
      <c r="M535" s="20" t="s">
        <v>17653</v>
      </c>
    </row>
    <row r="536" spans="1:13" x14ac:dyDescent="0.25">
      <c r="A536" s="20">
        <v>9779</v>
      </c>
      <c r="B536" s="20" t="s">
        <v>15672</v>
      </c>
      <c r="C536" s="20">
        <v>9779</v>
      </c>
      <c r="D536" s="20" t="e">
        <f>VLOOKUP(C536,[1]CHILDCARE_FACILITIES!AJ:AK,2,0)</f>
        <v>#N/A</v>
      </c>
      <c r="E536" s="20" t="s">
        <v>15134</v>
      </c>
      <c r="F536" s="20" t="s">
        <v>15135</v>
      </c>
      <c r="G536" s="20">
        <v>102248001</v>
      </c>
      <c r="K536" s="20">
        <v>9779</v>
      </c>
    </row>
    <row r="537" spans="1:13" x14ac:dyDescent="0.25">
      <c r="A537" s="20">
        <v>9778</v>
      </c>
      <c r="B537" s="20" t="s">
        <v>15671</v>
      </c>
      <c r="C537" s="20">
        <v>9778</v>
      </c>
      <c r="D537" s="20" t="e">
        <f>VLOOKUP(C537,[1]CHILDCARE_FACILITIES!AJ:AK,2,0)</f>
        <v>#N/A</v>
      </c>
      <c r="E537" s="20" t="s">
        <v>15134</v>
      </c>
      <c r="F537" s="20" t="s">
        <v>15135</v>
      </c>
      <c r="G537" s="20">
        <v>102248000</v>
      </c>
      <c r="K537" s="20">
        <v>9778</v>
      </c>
    </row>
    <row r="538" spans="1:13" x14ac:dyDescent="0.25">
      <c r="A538" s="20">
        <v>8752</v>
      </c>
      <c r="B538" s="20" t="s">
        <v>15247</v>
      </c>
      <c r="C538" s="20">
        <v>8752</v>
      </c>
      <c r="D538" s="20" t="e">
        <f>VLOOKUP(C538,[1]CHILDCARE_FACILITIES!AJ:AK,2,0)</f>
        <v>#N/A</v>
      </c>
      <c r="E538" s="20" t="s">
        <v>15134</v>
      </c>
      <c r="F538" s="20" t="s">
        <v>15135</v>
      </c>
      <c r="G538" s="20">
        <v>72401003</v>
      </c>
      <c r="H538" s="20" t="s">
        <v>15136</v>
      </c>
      <c r="I538" s="20" t="b">
        <v>1</v>
      </c>
      <c r="J538" s="20" t="s">
        <v>17426</v>
      </c>
      <c r="K538" s="20">
        <v>8752</v>
      </c>
      <c r="L538" s="20" t="s">
        <v>17213</v>
      </c>
      <c r="M538" s="20" t="s">
        <v>17427</v>
      </c>
    </row>
    <row r="539" spans="1:13" x14ac:dyDescent="0.25">
      <c r="A539" s="20">
        <v>8752</v>
      </c>
      <c r="B539" s="20" t="s">
        <v>15247</v>
      </c>
      <c r="C539" s="20">
        <v>8752</v>
      </c>
      <c r="D539" s="20" t="e">
        <f>VLOOKUP(C539,[1]CHILDCARE_FACILITIES!AJ:AK,2,0)</f>
        <v>#N/A</v>
      </c>
      <c r="E539" s="20" t="s">
        <v>15134</v>
      </c>
      <c r="F539" s="20" t="s">
        <v>15135</v>
      </c>
      <c r="G539" s="20">
        <v>72401003</v>
      </c>
      <c r="H539" s="20" t="s">
        <v>15138</v>
      </c>
      <c r="I539" s="20" t="b">
        <v>1</v>
      </c>
      <c r="J539" s="20" t="s">
        <v>17654</v>
      </c>
      <c r="K539" s="20">
        <v>8752</v>
      </c>
      <c r="L539" s="20" t="s">
        <v>17213</v>
      </c>
      <c r="M539" s="20" t="s">
        <v>17655</v>
      </c>
    </row>
    <row r="540" spans="1:13" x14ac:dyDescent="0.25">
      <c r="A540" s="20">
        <v>10017</v>
      </c>
      <c r="B540" s="20" t="s">
        <v>15782</v>
      </c>
      <c r="C540" s="20">
        <v>10017</v>
      </c>
      <c r="D540" s="20" t="e">
        <f>VLOOKUP(C540,[1]CHILDCARE_FACILITIES!AJ:AK,2,0)</f>
        <v>#N/A</v>
      </c>
      <c r="E540" s="20" t="s">
        <v>15134</v>
      </c>
      <c r="F540" s="20" t="s">
        <v>15135</v>
      </c>
      <c r="G540" s="20">
        <v>103093001</v>
      </c>
      <c r="K540" s="20">
        <v>10017</v>
      </c>
    </row>
    <row r="541" spans="1:13" x14ac:dyDescent="0.25">
      <c r="A541" s="20">
        <v>9089</v>
      </c>
      <c r="B541" s="20" t="s">
        <v>15351</v>
      </c>
      <c r="C541" s="20">
        <v>9089</v>
      </c>
      <c r="D541" s="20" t="e">
        <f>VLOOKUP(C541,[1]CHILDCARE_FACILITIES!AJ:AK,2,0)</f>
        <v>#N/A</v>
      </c>
      <c r="E541" s="20" t="s">
        <v>15134</v>
      </c>
      <c r="F541" s="20" t="s">
        <v>15135</v>
      </c>
      <c r="G541" s="20">
        <v>73066001</v>
      </c>
      <c r="K541" s="20">
        <v>9089</v>
      </c>
    </row>
    <row r="542" spans="1:13" x14ac:dyDescent="0.25">
      <c r="A542" s="20">
        <v>9057</v>
      </c>
      <c r="B542" s="20" t="s">
        <v>15341</v>
      </c>
      <c r="C542" s="20">
        <v>9057</v>
      </c>
      <c r="D542" s="20" t="e">
        <f>VLOOKUP(C542,[1]CHILDCARE_FACILITIES!AJ:AK,2,0)</f>
        <v>#N/A</v>
      </c>
      <c r="E542" s="20" t="s">
        <v>15134</v>
      </c>
      <c r="F542" s="20" t="s">
        <v>15135</v>
      </c>
      <c r="G542" s="20">
        <v>73048001</v>
      </c>
      <c r="K542" s="20">
        <v>9057</v>
      </c>
    </row>
    <row r="543" spans="1:13" x14ac:dyDescent="0.25">
      <c r="A543" s="20">
        <v>9948</v>
      </c>
      <c r="B543" s="20" t="s">
        <v>15744</v>
      </c>
      <c r="C543" s="20">
        <v>9948</v>
      </c>
      <c r="D543" s="20" t="e">
        <f>VLOOKUP(C543,[1]CHILDCARE_FACILITIES!AJ:AK,2,0)</f>
        <v>#N/A</v>
      </c>
      <c r="E543" s="20" t="s">
        <v>15134</v>
      </c>
      <c r="F543" s="20" t="s">
        <v>15135</v>
      </c>
      <c r="G543" s="20">
        <v>103066000</v>
      </c>
      <c r="H543" s="20" t="s">
        <v>15136</v>
      </c>
      <c r="I543" s="20" t="b">
        <v>1</v>
      </c>
      <c r="J543" s="20" t="s">
        <v>17656</v>
      </c>
      <c r="K543" s="20">
        <v>9948</v>
      </c>
      <c r="L543" s="20" t="s">
        <v>17271</v>
      </c>
      <c r="M543" s="20" t="s">
        <v>17657</v>
      </c>
    </row>
    <row r="544" spans="1:13" x14ac:dyDescent="0.25">
      <c r="A544" s="20">
        <v>9948</v>
      </c>
      <c r="B544" s="20" t="s">
        <v>15744</v>
      </c>
      <c r="C544" s="20">
        <v>9948</v>
      </c>
      <c r="D544" s="20" t="e">
        <f>VLOOKUP(C544,[1]CHILDCARE_FACILITIES!AJ:AK,2,0)</f>
        <v>#N/A</v>
      </c>
      <c r="E544" s="20" t="s">
        <v>15134</v>
      </c>
      <c r="F544" s="20" t="s">
        <v>15135</v>
      </c>
      <c r="G544" s="20">
        <v>103066000</v>
      </c>
      <c r="H544" s="20" t="s">
        <v>15138</v>
      </c>
      <c r="I544" s="20" t="b">
        <v>1</v>
      </c>
      <c r="J544" s="20" t="s">
        <v>17656</v>
      </c>
      <c r="K544" s="20">
        <v>9948</v>
      </c>
      <c r="L544" s="20" t="s">
        <v>17271</v>
      </c>
      <c r="M544" s="20" t="s">
        <v>17657</v>
      </c>
    </row>
    <row r="545" spans="1:13" x14ac:dyDescent="0.25">
      <c r="A545" s="20">
        <v>9949</v>
      </c>
      <c r="B545" s="20" t="s">
        <v>15744</v>
      </c>
      <c r="C545" s="20">
        <v>9949</v>
      </c>
      <c r="D545" s="20" t="str">
        <f>VLOOKUP(C545,[1]CHILDCARE_FACILITIES!AJ:AK,2,0)</f>
        <v>CDC-0238</v>
      </c>
      <c r="E545" s="20" t="s">
        <v>15134</v>
      </c>
      <c r="F545" s="20" t="s">
        <v>15135</v>
      </c>
      <c r="G545" s="20">
        <v>103066001</v>
      </c>
      <c r="K545" s="20">
        <v>9949</v>
      </c>
    </row>
    <row r="546" spans="1:13" x14ac:dyDescent="0.25">
      <c r="A546" s="20">
        <v>9044</v>
      </c>
      <c r="B546" s="20" t="s">
        <v>15334</v>
      </c>
      <c r="C546" s="20">
        <v>9044</v>
      </c>
      <c r="D546" s="20" t="e">
        <f>VLOOKUP(C546,[1]CHILDCARE_FACILITIES!AJ:AK,2,0)</f>
        <v>#N/A</v>
      </c>
      <c r="E546" s="20" t="s">
        <v>15134</v>
      </c>
      <c r="F546" s="20" t="s">
        <v>15135</v>
      </c>
      <c r="G546" s="20">
        <v>73040000</v>
      </c>
      <c r="H546" s="20" t="s">
        <v>15136</v>
      </c>
      <c r="I546" s="20" t="b">
        <v>1</v>
      </c>
      <c r="J546" s="20" t="s">
        <v>17658</v>
      </c>
      <c r="K546" s="20">
        <v>9044</v>
      </c>
      <c r="L546" s="20" t="s">
        <v>17312</v>
      </c>
      <c r="M546" s="20" t="s">
        <v>17659</v>
      </c>
    </row>
    <row r="547" spans="1:13" x14ac:dyDescent="0.25">
      <c r="A547" s="20">
        <v>9044</v>
      </c>
      <c r="B547" s="20" t="s">
        <v>15334</v>
      </c>
      <c r="C547" s="20">
        <v>9044</v>
      </c>
      <c r="D547" s="20" t="e">
        <f>VLOOKUP(C547,[1]CHILDCARE_FACILITIES!AJ:AK,2,0)</f>
        <v>#N/A</v>
      </c>
      <c r="E547" s="20" t="s">
        <v>15134</v>
      </c>
      <c r="F547" s="20" t="s">
        <v>15135</v>
      </c>
      <c r="G547" s="20">
        <v>73040000</v>
      </c>
      <c r="H547" s="20" t="s">
        <v>15138</v>
      </c>
      <c r="I547" s="20" t="b">
        <v>1</v>
      </c>
      <c r="J547" s="20" t="s">
        <v>17658</v>
      </c>
      <c r="K547" s="20">
        <v>9044</v>
      </c>
      <c r="L547" s="20" t="s">
        <v>17312</v>
      </c>
      <c r="M547" s="20" t="s">
        <v>17659</v>
      </c>
    </row>
    <row r="548" spans="1:13" x14ac:dyDescent="0.25">
      <c r="A548" s="20">
        <v>9045</v>
      </c>
      <c r="B548" s="20" t="s">
        <v>15336</v>
      </c>
      <c r="C548" s="20">
        <v>9045</v>
      </c>
      <c r="D548" s="20" t="str">
        <f>VLOOKUP(C548,[1]CHILDCARE_FACILITIES!AJ:AK,2,0)</f>
        <v>CDC-3410</v>
      </c>
      <c r="E548" s="20" t="s">
        <v>15134</v>
      </c>
      <c r="F548" s="20" t="s">
        <v>15135</v>
      </c>
      <c r="G548" s="20">
        <v>73040001</v>
      </c>
      <c r="K548" s="20">
        <v>9045</v>
      </c>
    </row>
    <row r="549" spans="1:13" x14ac:dyDescent="0.25">
      <c r="A549" s="20">
        <v>1000309</v>
      </c>
      <c r="B549" s="20" t="s">
        <v>17129</v>
      </c>
      <c r="C549" s="20">
        <v>1000309</v>
      </c>
      <c r="D549" s="20" t="e">
        <f>VLOOKUP(C549,[1]CHILDCARE_FACILITIES!AJ:AK,2,0)</f>
        <v>#N/A</v>
      </c>
      <c r="E549" s="20" t="s">
        <v>15134</v>
      </c>
      <c r="F549" s="20" t="s">
        <v>15135</v>
      </c>
      <c r="G549" s="20">
        <v>73357001</v>
      </c>
      <c r="H549" s="20" t="s">
        <v>15136</v>
      </c>
      <c r="I549" s="20" t="b">
        <v>1</v>
      </c>
      <c r="J549" s="20" t="s">
        <v>17369</v>
      </c>
      <c r="K549" s="20">
        <v>1000309</v>
      </c>
      <c r="L549" s="20" t="s">
        <v>17213</v>
      </c>
      <c r="M549" s="20" t="s">
        <v>17370</v>
      </c>
    </row>
    <row r="550" spans="1:13" x14ac:dyDescent="0.25">
      <c r="A550" s="20">
        <v>1000309</v>
      </c>
      <c r="B550" s="20" t="s">
        <v>17129</v>
      </c>
      <c r="C550" s="20">
        <v>1000309</v>
      </c>
      <c r="D550" s="20" t="e">
        <f>VLOOKUP(C550,[1]CHILDCARE_FACILITIES!AJ:AK,2,0)</f>
        <v>#N/A</v>
      </c>
      <c r="E550" s="20" t="s">
        <v>15134</v>
      </c>
      <c r="F550" s="20" t="s">
        <v>15135</v>
      </c>
      <c r="G550" s="20">
        <v>73357001</v>
      </c>
      <c r="H550" s="20" t="s">
        <v>15138</v>
      </c>
      <c r="I550" s="20" t="b">
        <v>1</v>
      </c>
      <c r="J550" s="20" t="s">
        <v>17369</v>
      </c>
      <c r="K550" s="20">
        <v>1000309</v>
      </c>
      <c r="L550" s="20" t="s">
        <v>17213</v>
      </c>
      <c r="M550" s="20" t="s">
        <v>17370</v>
      </c>
    </row>
    <row r="551" spans="1:13" x14ac:dyDescent="0.25">
      <c r="A551" s="20">
        <v>9785</v>
      </c>
      <c r="B551" s="20" t="s">
        <v>15677</v>
      </c>
      <c r="C551" s="20">
        <v>9785</v>
      </c>
      <c r="D551" s="20" t="e">
        <f>VLOOKUP(C551,[1]CHILDCARE_FACILITIES!AJ:AK,2,0)</f>
        <v>#N/A</v>
      </c>
      <c r="E551" s="20" t="s">
        <v>15134</v>
      </c>
      <c r="F551" s="20" t="s">
        <v>15135</v>
      </c>
      <c r="G551" s="20">
        <v>102250003</v>
      </c>
      <c r="K551" s="20">
        <v>9785</v>
      </c>
    </row>
    <row r="552" spans="1:13" x14ac:dyDescent="0.25">
      <c r="A552" s="20">
        <v>1000074</v>
      </c>
      <c r="B552" s="20" t="s">
        <v>17051</v>
      </c>
      <c r="C552" s="20">
        <v>1000074</v>
      </c>
      <c r="D552" s="20" t="e">
        <f>VLOOKUP(C552,[1]CHILDCARE_FACILITIES!AJ:AK,2,0)</f>
        <v>#N/A</v>
      </c>
      <c r="E552" s="20" t="s">
        <v>15134</v>
      </c>
      <c r="F552" s="20" t="s">
        <v>15135</v>
      </c>
      <c r="G552" s="20">
        <v>73348000</v>
      </c>
      <c r="H552" s="20" t="s">
        <v>15136</v>
      </c>
      <c r="I552" s="20" t="b">
        <v>1</v>
      </c>
      <c r="J552" s="20" t="s">
        <v>17660</v>
      </c>
      <c r="K552" s="20">
        <v>1000074</v>
      </c>
      <c r="L552" s="20" t="s">
        <v>17228</v>
      </c>
      <c r="M552" s="20" t="s">
        <v>17661</v>
      </c>
    </row>
    <row r="553" spans="1:13" x14ac:dyDescent="0.25">
      <c r="A553" s="20">
        <v>1000074</v>
      </c>
      <c r="B553" s="20" t="s">
        <v>17051</v>
      </c>
      <c r="C553" s="20">
        <v>1000074</v>
      </c>
      <c r="D553" s="20" t="e">
        <f>VLOOKUP(C553,[1]CHILDCARE_FACILITIES!AJ:AK,2,0)</f>
        <v>#N/A</v>
      </c>
      <c r="E553" s="20" t="s">
        <v>15134</v>
      </c>
      <c r="F553" s="20" t="s">
        <v>15135</v>
      </c>
      <c r="G553" s="20">
        <v>73348000</v>
      </c>
      <c r="H553" s="20" t="s">
        <v>15138</v>
      </c>
      <c r="I553" s="20" t="b">
        <v>1</v>
      </c>
      <c r="J553" s="20" t="s">
        <v>17660</v>
      </c>
      <c r="K553" s="20">
        <v>1000074</v>
      </c>
      <c r="L553" s="20" t="s">
        <v>17228</v>
      </c>
      <c r="M553" s="20" t="s">
        <v>17661</v>
      </c>
    </row>
    <row r="554" spans="1:13" x14ac:dyDescent="0.25">
      <c r="A554" s="20">
        <v>921719</v>
      </c>
      <c r="B554" s="20" t="s">
        <v>17029</v>
      </c>
      <c r="C554" s="20">
        <v>921719</v>
      </c>
      <c r="D554" s="20" t="e">
        <f>VLOOKUP(C554,[1]CHILDCARE_FACILITIES!AJ:AK,2,0)</f>
        <v>#N/A</v>
      </c>
      <c r="E554" s="20" t="s">
        <v>15134</v>
      </c>
      <c r="F554" s="20" t="s">
        <v>15135</v>
      </c>
      <c r="G554" s="20">
        <v>73336000</v>
      </c>
      <c r="H554" s="20" t="s">
        <v>15136</v>
      </c>
      <c r="I554" s="20" t="b">
        <v>1</v>
      </c>
      <c r="J554" s="20" t="s">
        <v>17662</v>
      </c>
      <c r="K554" s="20">
        <v>921719</v>
      </c>
      <c r="L554" s="20" t="s">
        <v>17216</v>
      </c>
      <c r="M554" s="20" t="s">
        <v>17663</v>
      </c>
    </row>
    <row r="555" spans="1:13" x14ac:dyDescent="0.25">
      <c r="A555" s="20">
        <v>921719</v>
      </c>
      <c r="B555" s="20" t="s">
        <v>17029</v>
      </c>
      <c r="C555" s="20">
        <v>921719</v>
      </c>
      <c r="D555" s="20" t="e">
        <f>VLOOKUP(C555,[1]CHILDCARE_FACILITIES!AJ:AK,2,0)</f>
        <v>#N/A</v>
      </c>
      <c r="E555" s="20" t="s">
        <v>15134</v>
      </c>
      <c r="F555" s="20" t="s">
        <v>15135</v>
      </c>
      <c r="G555" s="20">
        <v>73336000</v>
      </c>
      <c r="H555" s="20" t="s">
        <v>15138</v>
      </c>
      <c r="I555" s="20" t="b">
        <v>0</v>
      </c>
      <c r="J555" s="20" t="s">
        <v>17664</v>
      </c>
      <c r="K555" s="20">
        <v>921719</v>
      </c>
      <c r="L555" s="20" t="s">
        <v>17433</v>
      </c>
      <c r="M555" s="20" t="s">
        <v>17665</v>
      </c>
    </row>
    <row r="556" spans="1:13" x14ac:dyDescent="0.25">
      <c r="A556" s="20">
        <v>8984</v>
      </c>
      <c r="B556" s="20" t="s">
        <v>15300</v>
      </c>
      <c r="C556" s="20">
        <v>8984</v>
      </c>
      <c r="D556" s="20" t="e">
        <f>VLOOKUP(C556,[1]CHILDCARE_FACILITIES!AJ:AK,2,0)</f>
        <v>#N/A</v>
      </c>
      <c r="E556" s="20" t="s">
        <v>15134</v>
      </c>
      <c r="F556" s="20" t="s">
        <v>15135</v>
      </c>
      <c r="G556" s="20">
        <v>73005001</v>
      </c>
      <c r="K556" s="20">
        <v>8984</v>
      </c>
    </row>
    <row r="557" spans="1:13" x14ac:dyDescent="0.25">
      <c r="A557" s="20">
        <v>9353</v>
      </c>
      <c r="B557" s="20" t="s">
        <v>15300</v>
      </c>
      <c r="C557" s="20">
        <v>9353</v>
      </c>
      <c r="D557" s="20" t="e">
        <f>VLOOKUP(C557,[1]CHILDCARE_FACILITIES!AJ:AK,2,0)</f>
        <v>#N/A</v>
      </c>
      <c r="E557" s="20" t="s">
        <v>15134</v>
      </c>
      <c r="F557" s="20" t="s">
        <v>15135</v>
      </c>
      <c r="G557" s="20">
        <v>73222001</v>
      </c>
      <c r="K557" s="20">
        <v>9353</v>
      </c>
    </row>
    <row r="558" spans="1:13" x14ac:dyDescent="0.25">
      <c r="A558" s="20">
        <v>9285</v>
      </c>
      <c r="B558" s="20" t="s">
        <v>15449</v>
      </c>
      <c r="C558" s="20">
        <v>9285</v>
      </c>
      <c r="D558" s="20" t="e">
        <f>VLOOKUP(C558,[1]CHILDCARE_FACILITIES!AJ:AK,2,0)</f>
        <v>#N/A</v>
      </c>
      <c r="E558" s="20" t="s">
        <v>15134</v>
      </c>
      <c r="F558" s="20" t="s">
        <v>15135</v>
      </c>
      <c r="G558" s="20">
        <v>73198001</v>
      </c>
      <c r="K558" s="20">
        <v>9285</v>
      </c>
    </row>
    <row r="559" spans="1:13" x14ac:dyDescent="0.25">
      <c r="A559" s="20">
        <v>9286</v>
      </c>
      <c r="B559" s="20" t="s">
        <v>15450</v>
      </c>
      <c r="C559" s="20">
        <v>9286</v>
      </c>
      <c r="D559" s="20" t="e">
        <f>VLOOKUP(C559,[1]CHILDCARE_FACILITIES!AJ:AK,2,0)</f>
        <v>#N/A</v>
      </c>
      <c r="E559" s="20" t="s">
        <v>15134</v>
      </c>
      <c r="F559" s="20" t="s">
        <v>15135</v>
      </c>
      <c r="G559" s="20">
        <v>73198002</v>
      </c>
      <c r="K559" s="20">
        <v>9286</v>
      </c>
    </row>
    <row r="560" spans="1:13" x14ac:dyDescent="0.25">
      <c r="A560" s="20">
        <v>80483</v>
      </c>
      <c r="B560" s="20" t="s">
        <v>16055</v>
      </c>
      <c r="C560" s="20">
        <v>80483</v>
      </c>
      <c r="D560" s="20" t="str">
        <f>VLOOKUP(C560,[1]CHILDCARE_FACILITIES!AJ:AK,2,0)</f>
        <v>CDC-8341</v>
      </c>
      <c r="E560" s="20" t="s">
        <v>15134</v>
      </c>
      <c r="F560" s="20" t="s">
        <v>15135</v>
      </c>
      <c r="G560" s="20">
        <v>73406002</v>
      </c>
      <c r="H560" s="20" t="s">
        <v>15138</v>
      </c>
      <c r="I560" s="20" t="b">
        <v>1</v>
      </c>
      <c r="J560" s="20" t="s">
        <v>17666</v>
      </c>
      <c r="K560" s="20">
        <v>80483</v>
      </c>
      <c r="L560" s="20" t="s">
        <v>17239</v>
      </c>
      <c r="M560" s="20" t="s">
        <v>17667</v>
      </c>
    </row>
    <row r="561" spans="1:13" x14ac:dyDescent="0.25">
      <c r="A561" s="20">
        <v>80483</v>
      </c>
      <c r="B561" s="20" t="s">
        <v>16055</v>
      </c>
      <c r="C561" s="20">
        <v>80483</v>
      </c>
      <c r="D561" s="20" t="str">
        <f>VLOOKUP(C561,[1]CHILDCARE_FACILITIES!AJ:AK,2,0)</f>
        <v>CDC-8341</v>
      </c>
      <c r="E561" s="20" t="s">
        <v>15134</v>
      </c>
      <c r="F561" s="20" t="s">
        <v>15135</v>
      </c>
      <c r="G561" s="20">
        <v>73406002</v>
      </c>
      <c r="H561" s="20" t="s">
        <v>15145</v>
      </c>
      <c r="I561" s="20" t="b">
        <v>1</v>
      </c>
      <c r="J561" s="20" t="s">
        <v>17666</v>
      </c>
      <c r="K561" s="20">
        <v>80483</v>
      </c>
      <c r="L561" s="20" t="s">
        <v>17239</v>
      </c>
      <c r="M561" s="20" t="s">
        <v>17667</v>
      </c>
    </row>
    <row r="562" spans="1:13" x14ac:dyDescent="0.25">
      <c r="A562" s="20">
        <v>80481</v>
      </c>
      <c r="B562" s="20" t="s">
        <v>17668</v>
      </c>
      <c r="C562" s="20">
        <v>80481</v>
      </c>
      <c r="D562" s="20" t="e">
        <f>VLOOKUP(C562,[1]CHILDCARE_FACILITIES!AJ:AK,2,0)</f>
        <v>#N/A</v>
      </c>
      <c r="E562" s="20" t="s">
        <v>15134</v>
      </c>
      <c r="F562" s="20" t="s">
        <v>15135</v>
      </c>
      <c r="G562" s="20">
        <v>73406000</v>
      </c>
      <c r="H562" s="20" t="s">
        <v>15138</v>
      </c>
      <c r="I562" s="20" t="b">
        <v>1</v>
      </c>
      <c r="J562" s="20" t="s">
        <v>17669</v>
      </c>
      <c r="K562" s="20">
        <v>80481</v>
      </c>
      <c r="L562" s="20" t="s">
        <v>17213</v>
      </c>
      <c r="M562" s="20" t="s">
        <v>17670</v>
      </c>
    </row>
    <row r="563" spans="1:13" x14ac:dyDescent="0.25">
      <c r="A563" s="20">
        <v>80481</v>
      </c>
      <c r="B563" s="20" t="s">
        <v>17668</v>
      </c>
      <c r="C563" s="20">
        <v>80481</v>
      </c>
      <c r="D563" s="20" t="e">
        <f>VLOOKUP(C563,[1]CHILDCARE_FACILITIES!AJ:AK,2,0)</f>
        <v>#N/A</v>
      </c>
      <c r="E563" s="20" t="s">
        <v>15134</v>
      </c>
      <c r="F563" s="20" t="s">
        <v>15135</v>
      </c>
      <c r="G563" s="20">
        <v>73406000</v>
      </c>
      <c r="H563" s="20" t="s">
        <v>15136</v>
      </c>
      <c r="I563" s="20" t="b">
        <v>1</v>
      </c>
      <c r="J563" s="20" t="s">
        <v>17669</v>
      </c>
      <c r="K563" s="20">
        <v>80481</v>
      </c>
      <c r="L563" s="20" t="s">
        <v>17213</v>
      </c>
      <c r="M563" s="20" t="s">
        <v>17670</v>
      </c>
    </row>
    <row r="564" spans="1:13" x14ac:dyDescent="0.25">
      <c r="A564" s="20">
        <v>91210</v>
      </c>
      <c r="B564" s="20" t="s">
        <v>16750</v>
      </c>
      <c r="C564" s="20">
        <v>91210</v>
      </c>
      <c r="D564" s="20" t="e">
        <f>VLOOKUP(C564,[1]CHILDCARE_FACILITIES!AJ:AK,2,0)</f>
        <v>#N/A</v>
      </c>
      <c r="E564" s="20" t="s">
        <v>15134</v>
      </c>
      <c r="F564" s="20" t="s">
        <v>15135</v>
      </c>
      <c r="G564" s="20">
        <v>73017000</v>
      </c>
      <c r="H564" s="20" t="s">
        <v>15138</v>
      </c>
      <c r="I564" s="20" t="b">
        <v>1</v>
      </c>
      <c r="J564" s="20" t="s">
        <v>17671</v>
      </c>
      <c r="K564" s="20">
        <v>91210</v>
      </c>
      <c r="L564" s="20" t="s">
        <v>17239</v>
      </c>
      <c r="M564" s="20" t="s">
        <v>17672</v>
      </c>
    </row>
    <row r="565" spans="1:13" x14ac:dyDescent="0.25">
      <c r="A565" s="20">
        <v>91210</v>
      </c>
      <c r="B565" s="20" t="s">
        <v>16750</v>
      </c>
      <c r="C565" s="20">
        <v>91210</v>
      </c>
      <c r="D565" s="20" t="e">
        <f>VLOOKUP(C565,[1]CHILDCARE_FACILITIES!AJ:AK,2,0)</f>
        <v>#N/A</v>
      </c>
      <c r="E565" s="20" t="s">
        <v>15134</v>
      </c>
      <c r="F565" s="20" t="s">
        <v>15135</v>
      </c>
      <c r="G565" s="20">
        <v>73017000</v>
      </c>
      <c r="H565" s="20" t="s">
        <v>15145</v>
      </c>
      <c r="I565" s="20" t="b">
        <v>1</v>
      </c>
      <c r="J565" s="20" t="s">
        <v>17671</v>
      </c>
      <c r="K565" s="20">
        <v>91210</v>
      </c>
      <c r="L565" s="20" t="s">
        <v>17239</v>
      </c>
      <c r="M565" s="20" t="s">
        <v>17672</v>
      </c>
    </row>
    <row r="566" spans="1:13" x14ac:dyDescent="0.25">
      <c r="A566" s="20">
        <v>91211</v>
      </c>
      <c r="B566" s="20" t="s">
        <v>16750</v>
      </c>
      <c r="C566" s="20">
        <v>91211</v>
      </c>
      <c r="D566" s="20" t="e">
        <f>VLOOKUP(C566,[1]CHILDCARE_FACILITIES!AJ:AK,2,0)</f>
        <v>#N/A</v>
      </c>
      <c r="E566" s="20" t="s">
        <v>15134</v>
      </c>
      <c r="F566" s="20" t="s">
        <v>15135</v>
      </c>
      <c r="G566" s="20">
        <v>73017001</v>
      </c>
      <c r="H566" s="20" t="s">
        <v>15138</v>
      </c>
      <c r="I566" s="20" t="b">
        <v>1</v>
      </c>
      <c r="J566" s="20" t="s">
        <v>17671</v>
      </c>
      <c r="K566" s="20">
        <v>91211</v>
      </c>
      <c r="L566" s="20" t="s">
        <v>17239</v>
      </c>
      <c r="M566" s="20" t="s">
        <v>17672</v>
      </c>
    </row>
    <row r="567" spans="1:13" x14ac:dyDescent="0.25">
      <c r="A567" s="20">
        <v>91211</v>
      </c>
      <c r="B567" s="20" t="s">
        <v>16750</v>
      </c>
      <c r="C567" s="20">
        <v>91211</v>
      </c>
      <c r="D567" s="20" t="e">
        <f>VLOOKUP(C567,[1]CHILDCARE_FACILITIES!AJ:AK,2,0)</f>
        <v>#N/A</v>
      </c>
      <c r="E567" s="20" t="s">
        <v>15134</v>
      </c>
      <c r="F567" s="20" t="s">
        <v>15135</v>
      </c>
      <c r="G567" s="20">
        <v>73017001</v>
      </c>
      <c r="H567" s="20" t="s">
        <v>15145</v>
      </c>
      <c r="I567" s="20" t="b">
        <v>1</v>
      </c>
      <c r="J567" s="20" t="s">
        <v>17671</v>
      </c>
      <c r="K567" s="20">
        <v>91211</v>
      </c>
      <c r="L567" s="20" t="s">
        <v>17239</v>
      </c>
      <c r="M567" s="20" t="s">
        <v>17672</v>
      </c>
    </row>
    <row r="568" spans="1:13" x14ac:dyDescent="0.25">
      <c r="A568" s="20">
        <v>9739</v>
      </c>
      <c r="B568" s="20" t="s">
        <v>15644</v>
      </c>
      <c r="C568" s="20">
        <v>9739</v>
      </c>
      <c r="D568" s="20" t="e">
        <f>VLOOKUP(C568,[1]CHILDCARE_FACILITIES!AJ:AK,2,0)</f>
        <v>#N/A</v>
      </c>
      <c r="E568" s="20" t="s">
        <v>15134</v>
      </c>
      <c r="F568" s="20" t="s">
        <v>15135</v>
      </c>
      <c r="G568" s="20">
        <v>102218000</v>
      </c>
      <c r="H568" s="20" t="s">
        <v>15138</v>
      </c>
      <c r="I568" s="20" t="b">
        <v>1</v>
      </c>
      <c r="J568" s="20" t="s">
        <v>17519</v>
      </c>
      <c r="K568" s="20">
        <v>9739</v>
      </c>
      <c r="L568" s="20" t="s">
        <v>17271</v>
      </c>
      <c r="M568" s="20" t="s">
        <v>17520</v>
      </c>
    </row>
    <row r="569" spans="1:13" x14ac:dyDescent="0.25">
      <c r="A569" s="20">
        <v>9739</v>
      </c>
      <c r="B569" s="20" t="s">
        <v>15644</v>
      </c>
      <c r="C569" s="20">
        <v>9739</v>
      </c>
      <c r="D569" s="20" t="e">
        <f>VLOOKUP(C569,[1]CHILDCARE_FACILITIES!AJ:AK,2,0)</f>
        <v>#N/A</v>
      </c>
      <c r="E569" s="20" t="s">
        <v>15134</v>
      </c>
      <c r="F569" s="20" t="s">
        <v>15135</v>
      </c>
      <c r="G569" s="20">
        <v>102218000</v>
      </c>
      <c r="H569" s="20" t="s">
        <v>15145</v>
      </c>
      <c r="I569" s="20" t="b">
        <v>1</v>
      </c>
      <c r="J569" s="20" t="s">
        <v>17519</v>
      </c>
      <c r="K569" s="20">
        <v>9739</v>
      </c>
      <c r="L569" s="20" t="s">
        <v>17271</v>
      </c>
      <c r="M569" s="20" t="s">
        <v>17520</v>
      </c>
    </row>
    <row r="570" spans="1:13" x14ac:dyDescent="0.25">
      <c r="A570" s="20">
        <v>8706</v>
      </c>
      <c r="B570" s="20" t="s">
        <v>15213</v>
      </c>
      <c r="C570" s="20">
        <v>8706</v>
      </c>
      <c r="D570" s="20" t="e">
        <f>VLOOKUP(C570,[1]CHILDCARE_FACILITIES!AJ:AK,2,0)</f>
        <v>#N/A</v>
      </c>
      <c r="E570" s="20" t="s">
        <v>15134</v>
      </c>
      <c r="F570" s="20" t="s">
        <v>15135</v>
      </c>
      <c r="G570" s="20">
        <v>72274000</v>
      </c>
      <c r="K570" s="20">
        <v>8706</v>
      </c>
    </row>
    <row r="571" spans="1:13" x14ac:dyDescent="0.25">
      <c r="A571" s="20">
        <v>1000397</v>
      </c>
      <c r="B571" s="20" t="s">
        <v>17160</v>
      </c>
      <c r="C571" s="20">
        <v>1000397</v>
      </c>
      <c r="D571" s="20" t="e">
        <f>VLOOKUP(C571,[1]CHILDCARE_FACILITIES!AJ:AK,2,0)</f>
        <v>#N/A</v>
      </c>
      <c r="E571" s="20" t="s">
        <v>15134</v>
      </c>
      <c r="F571" s="20" t="s">
        <v>15135</v>
      </c>
      <c r="G571" s="20">
        <v>73365000</v>
      </c>
      <c r="H571" s="20" t="s">
        <v>15136</v>
      </c>
      <c r="I571" s="20" t="b">
        <v>1</v>
      </c>
      <c r="J571" s="20" t="s">
        <v>17673</v>
      </c>
      <c r="K571" s="20">
        <v>1000397</v>
      </c>
      <c r="L571" s="20" t="s">
        <v>17213</v>
      </c>
      <c r="M571" s="20" t="s">
        <v>17674</v>
      </c>
    </row>
    <row r="572" spans="1:13" x14ac:dyDescent="0.25">
      <c r="A572" s="20">
        <v>1000397</v>
      </c>
      <c r="B572" s="20" t="s">
        <v>17160</v>
      </c>
      <c r="C572" s="20">
        <v>1000397</v>
      </c>
      <c r="D572" s="20" t="e">
        <f>VLOOKUP(C572,[1]CHILDCARE_FACILITIES!AJ:AK,2,0)</f>
        <v>#N/A</v>
      </c>
      <c r="E572" s="20" t="s">
        <v>15134</v>
      </c>
      <c r="F572" s="20" t="s">
        <v>15135</v>
      </c>
      <c r="G572" s="20">
        <v>73365000</v>
      </c>
      <c r="H572" s="20" t="s">
        <v>15138</v>
      </c>
      <c r="I572" s="20" t="b">
        <v>1</v>
      </c>
      <c r="J572" s="20" t="s">
        <v>17673</v>
      </c>
      <c r="K572" s="20">
        <v>1000397</v>
      </c>
      <c r="L572" s="20" t="s">
        <v>17213</v>
      </c>
      <c r="M572" s="20" t="s">
        <v>17674</v>
      </c>
    </row>
    <row r="573" spans="1:13" x14ac:dyDescent="0.25">
      <c r="A573" s="20">
        <v>1000396</v>
      </c>
      <c r="B573" s="20" t="s">
        <v>17158</v>
      </c>
      <c r="C573" s="20">
        <v>1000396</v>
      </c>
      <c r="D573" s="20" t="e">
        <f>VLOOKUP(C573,[1]CHILDCARE_FACILITIES!AJ:AK,2,0)</f>
        <v>#N/A</v>
      </c>
      <c r="E573" s="20" t="s">
        <v>15134</v>
      </c>
      <c r="F573" s="20" t="s">
        <v>15135</v>
      </c>
      <c r="G573" s="20">
        <v>73364000</v>
      </c>
      <c r="H573" s="20" t="s">
        <v>15136</v>
      </c>
      <c r="I573" s="20" t="b">
        <v>1</v>
      </c>
      <c r="J573" s="20" t="s">
        <v>17675</v>
      </c>
      <c r="K573" s="20">
        <v>1000396</v>
      </c>
      <c r="L573" s="20" t="s">
        <v>17236</v>
      </c>
      <c r="M573" s="20" t="s">
        <v>17676</v>
      </c>
    </row>
    <row r="574" spans="1:13" x14ac:dyDescent="0.25">
      <c r="A574" s="20">
        <v>1000396</v>
      </c>
      <c r="B574" s="20" t="s">
        <v>17158</v>
      </c>
      <c r="C574" s="20">
        <v>1000396</v>
      </c>
      <c r="D574" s="20" t="e">
        <f>VLOOKUP(C574,[1]CHILDCARE_FACILITIES!AJ:AK,2,0)</f>
        <v>#N/A</v>
      </c>
      <c r="E574" s="20" t="s">
        <v>15134</v>
      </c>
      <c r="F574" s="20" t="s">
        <v>15135</v>
      </c>
      <c r="G574" s="20">
        <v>73364000</v>
      </c>
      <c r="H574" s="20" t="s">
        <v>15138</v>
      </c>
      <c r="I574" s="20" t="b">
        <v>1</v>
      </c>
      <c r="J574" s="20" t="s">
        <v>17675</v>
      </c>
      <c r="K574" s="20">
        <v>1000396</v>
      </c>
      <c r="L574" s="20" t="s">
        <v>17236</v>
      </c>
      <c r="M574" s="20" t="s">
        <v>17676</v>
      </c>
    </row>
    <row r="575" spans="1:13" x14ac:dyDescent="0.25">
      <c r="A575" s="20">
        <v>1000356</v>
      </c>
      <c r="B575" s="20" t="s">
        <v>17147</v>
      </c>
      <c r="C575" s="20">
        <v>1000356</v>
      </c>
      <c r="D575" s="20" t="e">
        <f>VLOOKUP(C575,[1]CHILDCARE_FACILITIES!AJ:AK,2,0)</f>
        <v>#N/A</v>
      </c>
      <c r="E575" s="20" t="s">
        <v>15134</v>
      </c>
      <c r="F575" s="20" t="s">
        <v>15135</v>
      </c>
      <c r="G575" s="20">
        <v>73363000</v>
      </c>
      <c r="H575" s="20" t="s">
        <v>15136</v>
      </c>
      <c r="I575" s="20" t="b">
        <v>1</v>
      </c>
      <c r="J575" s="20" t="s">
        <v>17677</v>
      </c>
      <c r="K575" s="20">
        <v>1000356</v>
      </c>
      <c r="L575" s="20" t="s">
        <v>17213</v>
      </c>
      <c r="M575" s="20" t="s">
        <v>17678</v>
      </c>
    </row>
    <row r="576" spans="1:13" x14ac:dyDescent="0.25">
      <c r="A576" s="20">
        <v>1000356</v>
      </c>
      <c r="B576" s="20" t="s">
        <v>17147</v>
      </c>
      <c r="C576" s="20">
        <v>1000356</v>
      </c>
      <c r="D576" s="20" t="e">
        <f>VLOOKUP(C576,[1]CHILDCARE_FACILITIES!AJ:AK,2,0)</f>
        <v>#N/A</v>
      </c>
      <c r="E576" s="20" t="s">
        <v>15134</v>
      </c>
      <c r="F576" s="20" t="s">
        <v>15135</v>
      </c>
      <c r="G576" s="20">
        <v>73363000</v>
      </c>
      <c r="H576" s="20" t="s">
        <v>15138</v>
      </c>
      <c r="I576" s="20" t="b">
        <v>1</v>
      </c>
      <c r="J576" s="20" t="s">
        <v>17677</v>
      </c>
      <c r="K576" s="20">
        <v>1000356</v>
      </c>
      <c r="L576" s="20" t="s">
        <v>17213</v>
      </c>
      <c r="M576" s="20" t="s">
        <v>17678</v>
      </c>
    </row>
    <row r="577" spans="1:13" x14ac:dyDescent="0.25">
      <c r="A577" s="20">
        <v>1000361</v>
      </c>
      <c r="B577" s="20" t="s">
        <v>17151</v>
      </c>
      <c r="C577" s="20">
        <v>1000361</v>
      </c>
      <c r="D577" s="20" t="e">
        <f>VLOOKUP(C577,[1]CHILDCARE_FACILITIES!AJ:AK,2,0)</f>
        <v>#N/A</v>
      </c>
      <c r="E577" s="20" t="s">
        <v>15134</v>
      </c>
      <c r="F577" s="20" t="s">
        <v>15135</v>
      </c>
      <c r="G577" s="20">
        <v>73363001</v>
      </c>
      <c r="H577" s="20" t="s">
        <v>15136</v>
      </c>
      <c r="I577" s="20" t="b">
        <v>1</v>
      </c>
      <c r="J577" s="20" t="s">
        <v>17677</v>
      </c>
      <c r="K577" s="20">
        <v>1000361</v>
      </c>
      <c r="L577" s="20" t="s">
        <v>17213</v>
      </c>
      <c r="M577" s="20" t="s">
        <v>17678</v>
      </c>
    </row>
    <row r="578" spans="1:13" x14ac:dyDescent="0.25">
      <c r="A578" s="20">
        <v>1000361</v>
      </c>
      <c r="B578" s="20" t="s">
        <v>17151</v>
      </c>
      <c r="C578" s="20">
        <v>1000361</v>
      </c>
      <c r="D578" s="20" t="e">
        <f>VLOOKUP(C578,[1]CHILDCARE_FACILITIES!AJ:AK,2,0)</f>
        <v>#N/A</v>
      </c>
      <c r="E578" s="20" t="s">
        <v>15134</v>
      </c>
      <c r="F578" s="20" t="s">
        <v>15135</v>
      </c>
      <c r="G578" s="20">
        <v>73363001</v>
      </c>
      <c r="H578" s="20" t="s">
        <v>15138</v>
      </c>
      <c r="I578" s="20" t="b">
        <v>1</v>
      </c>
      <c r="J578" s="20" t="s">
        <v>17677</v>
      </c>
      <c r="K578" s="20">
        <v>1000361</v>
      </c>
      <c r="L578" s="20" t="s">
        <v>17213</v>
      </c>
      <c r="M578" s="20" t="s">
        <v>17678</v>
      </c>
    </row>
    <row r="579" spans="1:13" x14ac:dyDescent="0.25">
      <c r="A579" s="20">
        <v>740776</v>
      </c>
      <c r="B579" s="20" t="s">
        <v>17021</v>
      </c>
      <c r="C579" s="20">
        <v>740776</v>
      </c>
      <c r="D579" s="20" t="str">
        <f>VLOOKUP(C579,[1]CHILDCARE_FACILITIES!AJ:AK,2,0)</f>
        <v>CDC-17634</v>
      </c>
      <c r="E579" s="20" t="s">
        <v>15134</v>
      </c>
      <c r="F579" s="20" t="s">
        <v>15135</v>
      </c>
      <c r="G579" s="20">
        <v>103207005</v>
      </c>
      <c r="K579" s="20">
        <v>740776</v>
      </c>
    </row>
    <row r="580" spans="1:13" x14ac:dyDescent="0.25">
      <c r="A580" s="20">
        <v>9945</v>
      </c>
      <c r="B580" s="20" t="s">
        <v>15742</v>
      </c>
      <c r="C580" s="20">
        <v>9945</v>
      </c>
      <c r="D580" s="20" t="e">
        <f>VLOOKUP(C580,[1]CHILDCARE_FACILITIES!AJ:AK,2,0)</f>
        <v>#N/A</v>
      </c>
      <c r="E580" s="20" t="s">
        <v>15134</v>
      </c>
      <c r="F580" s="20" t="s">
        <v>15135</v>
      </c>
      <c r="G580" s="20">
        <v>103064001</v>
      </c>
      <c r="K580" s="20">
        <v>9945</v>
      </c>
    </row>
    <row r="581" spans="1:13" x14ac:dyDescent="0.25">
      <c r="A581" s="20">
        <v>9757</v>
      </c>
      <c r="B581" s="20" t="s">
        <v>15652</v>
      </c>
      <c r="C581" s="20">
        <v>9757</v>
      </c>
      <c r="D581" s="20" t="str">
        <f>VLOOKUP(C581,[1]CHILDCARE_FACILITIES!AJ:AK,2,0)</f>
        <v>CDC-0636</v>
      </c>
      <c r="E581" s="20" t="s">
        <v>15134</v>
      </c>
      <c r="F581" s="20" t="s">
        <v>15135</v>
      </c>
      <c r="G581" s="20">
        <v>102231001</v>
      </c>
      <c r="K581" s="20">
        <v>9757</v>
      </c>
    </row>
    <row r="582" spans="1:13" x14ac:dyDescent="0.25">
      <c r="A582" s="20">
        <v>90370</v>
      </c>
      <c r="B582" s="20" t="s">
        <v>16593</v>
      </c>
      <c r="C582" s="20">
        <v>90370</v>
      </c>
      <c r="D582" s="20" t="e">
        <f>VLOOKUP(C582,[1]CHILDCARE_FACILITIES!AJ:AK,2,0)</f>
        <v>#N/A</v>
      </c>
      <c r="E582" s="20" t="s">
        <v>15134</v>
      </c>
      <c r="F582" s="20" t="s">
        <v>15135</v>
      </c>
      <c r="G582" s="20">
        <v>72441001</v>
      </c>
      <c r="H582" s="20" t="s">
        <v>15145</v>
      </c>
      <c r="I582" s="20" t="b">
        <v>1</v>
      </c>
      <c r="J582" s="20" t="s">
        <v>17582</v>
      </c>
      <c r="K582" s="20">
        <v>90370</v>
      </c>
      <c r="L582" s="20" t="s">
        <v>17213</v>
      </c>
      <c r="M582" s="20" t="s">
        <v>17256</v>
      </c>
    </row>
    <row r="583" spans="1:13" x14ac:dyDescent="0.25">
      <c r="A583" s="20">
        <v>90761</v>
      </c>
      <c r="B583" s="20" t="s">
        <v>16674</v>
      </c>
      <c r="C583" s="20">
        <v>90761</v>
      </c>
      <c r="D583" s="20" t="e">
        <f>VLOOKUP(C583,[1]CHILDCARE_FACILITIES!AJ:AK,2,0)</f>
        <v>#N/A</v>
      </c>
      <c r="E583" s="20" t="s">
        <v>15134</v>
      </c>
      <c r="F583" s="20" t="s">
        <v>15135</v>
      </c>
      <c r="G583" s="20">
        <v>133026000</v>
      </c>
      <c r="H583" s="20" t="s">
        <v>15138</v>
      </c>
      <c r="I583" s="20" t="b">
        <v>1</v>
      </c>
      <c r="J583" s="20" t="s">
        <v>17679</v>
      </c>
      <c r="K583" s="20">
        <v>90761</v>
      </c>
      <c r="L583" s="20" t="s">
        <v>17320</v>
      </c>
      <c r="M583" s="20" t="s">
        <v>17680</v>
      </c>
    </row>
    <row r="584" spans="1:13" x14ac:dyDescent="0.25">
      <c r="A584" s="20">
        <v>90761</v>
      </c>
      <c r="B584" s="20" t="s">
        <v>16674</v>
      </c>
      <c r="C584" s="20">
        <v>90761</v>
      </c>
      <c r="D584" s="20" t="e">
        <f>VLOOKUP(C584,[1]CHILDCARE_FACILITIES!AJ:AK,2,0)</f>
        <v>#N/A</v>
      </c>
      <c r="E584" s="20" t="s">
        <v>15134</v>
      </c>
      <c r="F584" s="20" t="s">
        <v>15135</v>
      </c>
      <c r="G584" s="20">
        <v>133026000</v>
      </c>
      <c r="H584" s="20" t="s">
        <v>15136</v>
      </c>
      <c r="I584" s="20" t="b">
        <v>1</v>
      </c>
      <c r="J584" s="20" t="s">
        <v>17681</v>
      </c>
      <c r="K584" s="20">
        <v>90761</v>
      </c>
      <c r="L584" s="20" t="s">
        <v>17682</v>
      </c>
      <c r="M584" s="20" t="s">
        <v>17680</v>
      </c>
    </row>
    <row r="585" spans="1:13" x14ac:dyDescent="0.25">
      <c r="A585" s="20">
        <v>1000315</v>
      </c>
      <c r="B585" s="20" t="s">
        <v>17130</v>
      </c>
      <c r="C585" s="20">
        <v>1000315</v>
      </c>
      <c r="D585" s="20" t="e">
        <f>VLOOKUP(C585,[1]CHILDCARE_FACILITIES!AJ:AK,2,0)</f>
        <v>#N/A</v>
      </c>
      <c r="E585" s="20" t="s">
        <v>15134</v>
      </c>
      <c r="F585" s="20" t="s">
        <v>15135</v>
      </c>
      <c r="G585" s="20">
        <v>73358000</v>
      </c>
      <c r="H585" s="20" t="s">
        <v>15138</v>
      </c>
      <c r="I585" s="20" t="b">
        <v>1</v>
      </c>
      <c r="J585" s="20" t="s">
        <v>17635</v>
      </c>
      <c r="K585" s="20">
        <v>1000315</v>
      </c>
      <c r="L585" s="20" t="s">
        <v>17213</v>
      </c>
      <c r="M585" s="20" t="s">
        <v>17315</v>
      </c>
    </row>
    <row r="586" spans="1:13" x14ac:dyDescent="0.25">
      <c r="A586" s="20">
        <v>1000315</v>
      </c>
      <c r="B586" s="20" t="s">
        <v>17130</v>
      </c>
      <c r="C586" s="20">
        <v>1000315</v>
      </c>
      <c r="D586" s="20" t="e">
        <f>VLOOKUP(C586,[1]CHILDCARE_FACILITIES!AJ:AK,2,0)</f>
        <v>#N/A</v>
      </c>
      <c r="E586" s="20" t="s">
        <v>15134</v>
      </c>
      <c r="F586" s="20" t="s">
        <v>15135</v>
      </c>
      <c r="G586" s="20">
        <v>73358000</v>
      </c>
      <c r="H586" s="20" t="s">
        <v>15136</v>
      </c>
      <c r="I586" s="20" t="b">
        <v>1</v>
      </c>
      <c r="J586" s="20" t="s">
        <v>17635</v>
      </c>
      <c r="K586" s="20">
        <v>1000315</v>
      </c>
      <c r="L586" s="20" t="s">
        <v>17213</v>
      </c>
      <c r="M586" s="20" t="s">
        <v>17315</v>
      </c>
    </row>
    <row r="587" spans="1:13" x14ac:dyDescent="0.25">
      <c r="A587" s="20">
        <v>92799</v>
      </c>
      <c r="B587" s="20" t="s">
        <v>16925</v>
      </c>
      <c r="C587" s="20">
        <v>92799</v>
      </c>
      <c r="D587" s="20" t="e">
        <f>VLOOKUP(C587,[1]CHILDCARE_FACILITIES!AJ:AK,2,0)</f>
        <v>#N/A</v>
      </c>
      <c r="E587" s="20" t="s">
        <v>15134</v>
      </c>
      <c r="F587" s="20" t="s">
        <v>15135</v>
      </c>
      <c r="G587" s="20">
        <v>142209000</v>
      </c>
      <c r="H587" s="20" t="s">
        <v>15136</v>
      </c>
      <c r="I587" s="20" t="b">
        <v>0</v>
      </c>
      <c r="J587" s="20" t="s">
        <v>17683</v>
      </c>
      <c r="K587" s="20">
        <v>92799</v>
      </c>
      <c r="L587" s="20" t="s">
        <v>17372</v>
      </c>
      <c r="M587" s="20" t="s">
        <v>17373</v>
      </c>
    </row>
    <row r="588" spans="1:13" x14ac:dyDescent="0.25">
      <c r="A588" s="20">
        <v>92799</v>
      </c>
      <c r="B588" s="20" t="s">
        <v>16925</v>
      </c>
      <c r="C588" s="20">
        <v>92799</v>
      </c>
      <c r="D588" s="20" t="e">
        <f>VLOOKUP(C588,[1]CHILDCARE_FACILITIES!AJ:AK,2,0)</f>
        <v>#N/A</v>
      </c>
      <c r="E588" s="20" t="s">
        <v>15134</v>
      </c>
      <c r="F588" s="20" t="s">
        <v>15135</v>
      </c>
      <c r="G588" s="20">
        <v>142209000</v>
      </c>
      <c r="H588" s="20" t="s">
        <v>15138</v>
      </c>
      <c r="I588" s="20" t="b">
        <v>0</v>
      </c>
      <c r="J588" s="20" t="s">
        <v>17683</v>
      </c>
      <c r="K588" s="20">
        <v>92799</v>
      </c>
      <c r="L588" s="20" t="s">
        <v>17372</v>
      </c>
      <c r="M588" s="20" t="s">
        <v>17373</v>
      </c>
    </row>
    <row r="589" spans="1:13" x14ac:dyDescent="0.25">
      <c r="A589" s="20">
        <v>92800</v>
      </c>
      <c r="B589" s="20" t="s">
        <v>16925</v>
      </c>
      <c r="C589" s="20">
        <v>92800</v>
      </c>
      <c r="D589" s="20" t="str">
        <f>VLOOKUP(C589,[1]CHILDCARE_FACILITIES!AJ:AK,2,0)</f>
        <v>CDC-18883</v>
      </c>
      <c r="E589" s="20" t="s">
        <v>15134</v>
      </c>
      <c r="F589" s="20" t="s">
        <v>15135</v>
      </c>
      <c r="G589" s="20">
        <v>142209001</v>
      </c>
      <c r="H589" s="20" t="s">
        <v>15136</v>
      </c>
      <c r="I589" s="20" t="b">
        <v>0</v>
      </c>
      <c r="J589" s="20" t="s">
        <v>17683</v>
      </c>
      <c r="K589" s="20">
        <v>92800</v>
      </c>
      <c r="L589" s="20" t="s">
        <v>17372</v>
      </c>
      <c r="M589" s="20" t="s">
        <v>17373</v>
      </c>
    </row>
    <row r="590" spans="1:13" x14ac:dyDescent="0.25">
      <c r="A590" s="20">
        <v>92800</v>
      </c>
      <c r="B590" s="20" t="s">
        <v>16925</v>
      </c>
      <c r="C590" s="20">
        <v>92800</v>
      </c>
      <c r="D590" s="20" t="str">
        <f>VLOOKUP(C590,[1]CHILDCARE_FACILITIES!AJ:AK,2,0)</f>
        <v>CDC-18883</v>
      </c>
      <c r="E590" s="20" t="s">
        <v>15134</v>
      </c>
      <c r="F590" s="20" t="s">
        <v>15135</v>
      </c>
      <c r="G590" s="20">
        <v>142209001</v>
      </c>
      <c r="H590" s="20" t="s">
        <v>15138</v>
      </c>
      <c r="I590" s="20" t="b">
        <v>0</v>
      </c>
      <c r="J590" s="20" t="s">
        <v>17683</v>
      </c>
      <c r="K590" s="20">
        <v>92800</v>
      </c>
      <c r="L590" s="20" t="s">
        <v>17372</v>
      </c>
      <c r="M590" s="20" t="s">
        <v>17373</v>
      </c>
    </row>
    <row r="591" spans="1:13" x14ac:dyDescent="0.25">
      <c r="A591" s="20">
        <v>78722</v>
      </c>
      <c r="B591" s="20" t="s">
        <v>15874</v>
      </c>
      <c r="C591" s="20">
        <v>78722</v>
      </c>
      <c r="D591" s="20" t="e">
        <f>VLOOKUP(C591,[1]CHILDCARE_FACILITIES!AJ:AK,2,0)</f>
        <v>#N/A</v>
      </c>
      <c r="E591" s="20" t="s">
        <v>15134</v>
      </c>
      <c r="F591" s="20" t="s">
        <v>15135</v>
      </c>
      <c r="G591" s="20">
        <v>72417001</v>
      </c>
      <c r="K591" s="20">
        <v>78722</v>
      </c>
    </row>
    <row r="592" spans="1:13" x14ac:dyDescent="0.25">
      <c r="A592" s="20">
        <v>8767</v>
      </c>
      <c r="B592" s="20" t="s">
        <v>15261</v>
      </c>
      <c r="C592" s="20">
        <v>8767</v>
      </c>
      <c r="D592" s="20" t="e">
        <f>VLOOKUP(C592,[1]CHILDCARE_FACILITIES!AJ:AK,2,0)</f>
        <v>#N/A</v>
      </c>
      <c r="E592" s="20" t="s">
        <v>15134</v>
      </c>
      <c r="F592" s="20" t="s">
        <v>15135</v>
      </c>
      <c r="G592" s="20">
        <v>72405000</v>
      </c>
      <c r="K592" s="20">
        <v>8767</v>
      </c>
    </row>
    <row r="593" spans="1:14" x14ac:dyDescent="0.25">
      <c r="A593" s="20">
        <v>8692</v>
      </c>
      <c r="B593" s="20" t="s">
        <v>15203</v>
      </c>
      <c r="C593" s="20">
        <v>8692</v>
      </c>
      <c r="D593" s="20" t="e">
        <f>VLOOKUP(C593,[1]CHILDCARE_FACILITIES!AJ:AK,2,0)</f>
        <v>#N/A</v>
      </c>
      <c r="E593" s="20" t="s">
        <v>15134</v>
      </c>
      <c r="F593" s="20" t="s">
        <v>15135</v>
      </c>
      <c r="G593" s="20">
        <v>72225000</v>
      </c>
      <c r="K593" s="20">
        <v>8692</v>
      </c>
    </row>
    <row r="594" spans="1:14" x14ac:dyDescent="0.25">
      <c r="A594" s="20">
        <v>8690</v>
      </c>
      <c r="B594" s="20" t="s">
        <v>15201</v>
      </c>
      <c r="C594" s="20">
        <v>8690</v>
      </c>
      <c r="D594" s="20" t="e">
        <f>VLOOKUP(C594,[1]CHILDCARE_FACILITIES!AJ:AK,2,0)</f>
        <v>#N/A</v>
      </c>
      <c r="E594" s="20" t="s">
        <v>15134</v>
      </c>
      <c r="F594" s="20" t="s">
        <v>15135</v>
      </c>
      <c r="G594" s="20">
        <v>72224000</v>
      </c>
      <c r="K594" s="20">
        <v>8690</v>
      </c>
    </row>
    <row r="595" spans="1:14" x14ac:dyDescent="0.25">
      <c r="A595" s="20">
        <v>9796</v>
      </c>
      <c r="B595" s="20" t="s">
        <v>15688</v>
      </c>
      <c r="C595" s="20">
        <v>9796</v>
      </c>
      <c r="D595" s="20" t="e">
        <f>VLOOKUP(C595,[1]CHILDCARE_FACILITIES!AJ:AK,2,0)</f>
        <v>#N/A</v>
      </c>
      <c r="E595" s="20" t="s">
        <v>15134</v>
      </c>
      <c r="F595" s="20" t="s">
        <v>15135</v>
      </c>
      <c r="G595" s="20">
        <v>102253000</v>
      </c>
      <c r="K595" s="20">
        <v>9796</v>
      </c>
    </row>
    <row r="596" spans="1:14" x14ac:dyDescent="0.25">
      <c r="A596" s="20">
        <v>8779</v>
      </c>
      <c r="B596" s="20" t="s">
        <v>15271</v>
      </c>
      <c r="C596" s="20">
        <v>8779</v>
      </c>
      <c r="D596" s="20" t="e">
        <f>VLOOKUP(C596,[1]CHILDCARE_FACILITIES!AJ:AK,2,0)</f>
        <v>#N/A</v>
      </c>
      <c r="E596" s="20" t="s">
        <v>15134</v>
      </c>
      <c r="F596" s="20" t="s">
        <v>15135</v>
      </c>
      <c r="G596" s="20">
        <v>72408001</v>
      </c>
      <c r="H596" s="20" t="s">
        <v>15145</v>
      </c>
      <c r="I596" s="20" t="b">
        <v>1</v>
      </c>
      <c r="J596" s="20" t="s">
        <v>17510</v>
      </c>
      <c r="K596" s="20">
        <v>8779</v>
      </c>
      <c r="L596" s="20" t="s">
        <v>17213</v>
      </c>
      <c r="M596" s="20" t="s">
        <v>17511</v>
      </c>
    </row>
    <row r="597" spans="1:14" x14ac:dyDescent="0.25">
      <c r="A597" s="20">
        <v>8779</v>
      </c>
      <c r="B597" s="20" t="s">
        <v>15271</v>
      </c>
      <c r="C597" s="20">
        <v>8779</v>
      </c>
      <c r="D597" s="20" t="e">
        <f>VLOOKUP(C597,[1]CHILDCARE_FACILITIES!AJ:AK,2,0)</f>
        <v>#N/A</v>
      </c>
      <c r="E597" s="20" t="s">
        <v>15134</v>
      </c>
      <c r="F597" s="20" t="s">
        <v>15135</v>
      </c>
      <c r="G597" s="20">
        <v>72408001</v>
      </c>
      <c r="H597" s="20" t="s">
        <v>15138</v>
      </c>
      <c r="I597" s="20" t="b">
        <v>1</v>
      </c>
      <c r="J597" s="20" t="s">
        <v>17510</v>
      </c>
      <c r="K597" s="20">
        <v>8779</v>
      </c>
      <c r="L597" s="20" t="s">
        <v>17213</v>
      </c>
      <c r="M597" s="20" t="s">
        <v>17511</v>
      </c>
    </row>
    <row r="598" spans="1:14" x14ac:dyDescent="0.25">
      <c r="A598" s="20">
        <v>91235</v>
      </c>
      <c r="B598" s="20" t="s">
        <v>16755</v>
      </c>
      <c r="C598" s="20">
        <v>91235</v>
      </c>
      <c r="D598" s="20" t="e">
        <f>VLOOKUP(C598,[1]CHILDCARE_FACILITIES!AJ:AK,2,0)</f>
        <v>#N/A</v>
      </c>
      <c r="E598" s="20" t="s">
        <v>15134</v>
      </c>
      <c r="F598" s="20" t="s">
        <v>15135</v>
      </c>
      <c r="G598" s="20">
        <v>72445000</v>
      </c>
      <c r="H598" s="20" t="s">
        <v>15145</v>
      </c>
      <c r="I598" s="20" t="b">
        <v>1</v>
      </c>
      <c r="J598" s="20" t="s">
        <v>17684</v>
      </c>
      <c r="K598" s="20">
        <v>91235</v>
      </c>
      <c r="L598" s="20" t="s">
        <v>17239</v>
      </c>
      <c r="M598" s="20" t="s">
        <v>17685</v>
      </c>
    </row>
    <row r="599" spans="1:14" x14ac:dyDescent="0.25">
      <c r="A599" s="20">
        <v>42450</v>
      </c>
      <c r="B599" s="20" t="s">
        <v>15868</v>
      </c>
      <c r="C599" s="20">
        <v>42450</v>
      </c>
      <c r="D599" s="20" t="e">
        <f>VLOOKUP(C599,[1]CHILDCARE_FACILITIES!AJ:AK,2,0)</f>
        <v>#N/A</v>
      </c>
      <c r="E599" s="20" t="s">
        <v>15134</v>
      </c>
      <c r="F599" s="20" t="s">
        <v>15135</v>
      </c>
      <c r="G599" s="20">
        <v>143031000</v>
      </c>
      <c r="H599" s="20" t="s">
        <v>15136</v>
      </c>
      <c r="I599" s="20" t="b">
        <v>0</v>
      </c>
      <c r="J599" s="20" t="s">
        <v>17686</v>
      </c>
      <c r="K599" s="20">
        <v>42450</v>
      </c>
      <c r="L599" s="20" t="s">
        <v>17372</v>
      </c>
      <c r="M599" s="20" t="s">
        <v>17373</v>
      </c>
    </row>
    <row r="600" spans="1:14" x14ac:dyDescent="0.25">
      <c r="A600" s="20">
        <v>42450</v>
      </c>
      <c r="B600" s="20" t="s">
        <v>15868</v>
      </c>
      <c r="C600" s="20">
        <v>42450</v>
      </c>
      <c r="D600" s="20" t="e">
        <f>VLOOKUP(C600,[1]CHILDCARE_FACILITIES!AJ:AK,2,0)</f>
        <v>#N/A</v>
      </c>
      <c r="E600" s="20" t="s">
        <v>15134</v>
      </c>
      <c r="F600" s="20" t="s">
        <v>15135</v>
      </c>
      <c r="G600" s="20">
        <v>143031000</v>
      </c>
      <c r="H600" s="20" t="s">
        <v>15138</v>
      </c>
      <c r="I600" s="20" t="b">
        <v>0</v>
      </c>
      <c r="J600" s="20" t="s">
        <v>17686</v>
      </c>
      <c r="K600" s="20">
        <v>42450</v>
      </c>
      <c r="L600" s="20" t="s">
        <v>17372</v>
      </c>
      <c r="M600" s="20" t="s">
        <v>17373</v>
      </c>
    </row>
    <row r="601" spans="1:14" x14ac:dyDescent="0.25">
      <c r="A601" s="20">
        <v>9821</v>
      </c>
      <c r="B601" s="20" t="s">
        <v>15699</v>
      </c>
      <c r="C601" s="20">
        <v>9821</v>
      </c>
      <c r="D601" s="20" t="e">
        <f>VLOOKUP(C601,[1]CHILDCARE_FACILITIES!AJ:AK,2,0)</f>
        <v>#N/A</v>
      </c>
      <c r="E601" s="20" t="s">
        <v>15134</v>
      </c>
      <c r="F601" s="20" t="s">
        <v>15135</v>
      </c>
      <c r="G601" s="20">
        <v>102502000</v>
      </c>
      <c r="H601" s="20" t="s">
        <v>15138</v>
      </c>
      <c r="I601" s="20" t="b">
        <v>0</v>
      </c>
      <c r="J601" s="20" t="s">
        <v>17687</v>
      </c>
      <c r="K601" s="20">
        <v>9821</v>
      </c>
      <c r="L601" s="20" t="s">
        <v>17688</v>
      </c>
      <c r="M601" s="20" t="s">
        <v>17282</v>
      </c>
      <c r="N601" s="20" t="s">
        <v>17689</v>
      </c>
    </row>
    <row r="602" spans="1:14" x14ac:dyDescent="0.25">
      <c r="A602" s="20">
        <v>9821</v>
      </c>
      <c r="B602" s="20" t="s">
        <v>15699</v>
      </c>
      <c r="C602" s="20">
        <v>9821</v>
      </c>
      <c r="D602" s="20" t="e">
        <f>VLOOKUP(C602,[1]CHILDCARE_FACILITIES!AJ:AK,2,0)</f>
        <v>#N/A</v>
      </c>
      <c r="E602" s="20" t="s">
        <v>15134</v>
      </c>
      <c r="F602" s="20" t="s">
        <v>15135</v>
      </c>
      <c r="G602" s="20">
        <v>102502000</v>
      </c>
      <c r="H602" s="20" t="s">
        <v>15136</v>
      </c>
      <c r="I602" s="20" t="b">
        <v>0</v>
      </c>
      <c r="J602" s="20" t="s">
        <v>17690</v>
      </c>
      <c r="K602" s="20">
        <v>9821</v>
      </c>
      <c r="L602" s="20" t="s">
        <v>17282</v>
      </c>
      <c r="M602" s="20" t="s">
        <v>17689</v>
      </c>
    </row>
    <row r="603" spans="1:14" x14ac:dyDescent="0.25">
      <c r="A603" s="20">
        <v>8742</v>
      </c>
      <c r="B603" s="20" t="s">
        <v>15238</v>
      </c>
      <c r="C603" s="20">
        <v>8742</v>
      </c>
      <c r="D603" s="20" t="e">
        <f>VLOOKUP(C603,[1]CHILDCARE_FACILITIES!AJ:AK,2,0)</f>
        <v>#N/A</v>
      </c>
      <c r="E603" s="20" t="s">
        <v>15134</v>
      </c>
      <c r="F603" s="20" t="s">
        <v>15135</v>
      </c>
      <c r="G603" s="20">
        <v>72297000</v>
      </c>
      <c r="K603" s="20">
        <v>8742</v>
      </c>
    </row>
    <row r="604" spans="1:14" x14ac:dyDescent="0.25">
      <c r="A604" s="20">
        <v>84668</v>
      </c>
      <c r="B604" s="20" t="s">
        <v>16296</v>
      </c>
      <c r="C604" s="20">
        <v>84668</v>
      </c>
      <c r="D604" s="20" t="e">
        <f>VLOOKUP(C604,[1]CHILDCARE_FACILITIES!AJ:AK,2,0)</f>
        <v>#N/A</v>
      </c>
      <c r="E604" s="20" t="s">
        <v>15134</v>
      </c>
      <c r="F604" s="20" t="s">
        <v>15135</v>
      </c>
      <c r="G604" s="20">
        <v>102241003</v>
      </c>
      <c r="H604" s="20" t="s">
        <v>15145</v>
      </c>
      <c r="I604" s="20" t="b">
        <v>1</v>
      </c>
      <c r="J604" s="20" t="s">
        <v>17691</v>
      </c>
      <c r="K604" s="20">
        <v>84668</v>
      </c>
      <c r="L604" s="20" t="s">
        <v>17692</v>
      </c>
      <c r="M604" s="20" t="s">
        <v>17693</v>
      </c>
    </row>
    <row r="605" spans="1:14" x14ac:dyDescent="0.25">
      <c r="A605" s="20">
        <v>84668</v>
      </c>
      <c r="B605" s="20" t="s">
        <v>16296</v>
      </c>
      <c r="C605" s="20">
        <v>84668</v>
      </c>
      <c r="D605" s="20" t="e">
        <f>VLOOKUP(C605,[1]CHILDCARE_FACILITIES!AJ:AK,2,0)</f>
        <v>#N/A</v>
      </c>
      <c r="E605" s="20" t="s">
        <v>15134</v>
      </c>
      <c r="F605" s="20" t="s">
        <v>15135</v>
      </c>
      <c r="G605" s="20">
        <v>102241003</v>
      </c>
      <c r="H605" s="20" t="s">
        <v>15138</v>
      </c>
      <c r="I605" s="20" t="b">
        <v>1</v>
      </c>
      <c r="J605" s="20" t="s">
        <v>17691</v>
      </c>
      <c r="K605" s="20">
        <v>84668</v>
      </c>
      <c r="L605" s="20" t="s">
        <v>17271</v>
      </c>
      <c r="M605" s="20" t="s">
        <v>17693</v>
      </c>
    </row>
    <row r="606" spans="1:14" x14ac:dyDescent="0.25">
      <c r="A606" s="20">
        <v>86679</v>
      </c>
      <c r="B606" s="20" t="s">
        <v>16325</v>
      </c>
      <c r="C606" s="20">
        <v>86679</v>
      </c>
      <c r="D606" s="20" t="e">
        <f>VLOOKUP(C606,[1]CHILDCARE_FACILITIES!AJ:AK,2,0)</f>
        <v>#N/A</v>
      </c>
      <c r="E606" s="20" t="s">
        <v>15134</v>
      </c>
      <c r="F606" s="20" t="s">
        <v>15135</v>
      </c>
      <c r="G606" s="20">
        <v>73519001</v>
      </c>
      <c r="H606" s="20" t="s">
        <v>15145</v>
      </c>
      <c r="I606" s="20" t="b">
        <v>1</v>
      </c>
      <c r="J606" s="20" t="s">
        <v>17694</v>
      </c>
      <c r="K606" s="20">
        <v>86679</v>
      </c>
      <c r="L606" s="20" t="s">
        <v>17367</v>
      </c>
      <c r="M606" s="20" t="s">
        <v>17695</v>
      </c>
    </row>
    <row r="607" spans="1:14" x14ac:dyDescent="0.25">
      <c r="A607" s="20">
        <v>86679</v>
      </c>
      <c r="B607" s="20" t="s">
        <v>16325</v>
      </c>
      <c r="C607" s="20">
        <v>86679</v>
      </c>
      <c r="D607" s="20" t="e">
        <f>VLOOKUP(C607,[1]CHILDCARE_FACILITIES!AJ:AK,2,0)</f>
        <v>#N/A</v>
      </c>
      <c r="E607" s="20" t="s">
        <v>15134</v>
      </c>
      <c r="F607" s="20" t="s">
        <v>15135</v>
      </c>
      <c r="G607" s="20">
        <v>73519001</v>
      </c>
      <c r="H607" s="20" t="s">
        <v>15138</v>
      </c>
      <c r="I607" s="20" t="b">
        <v>1</v>
      </c>
      <c r="J607" s="20" t="s">
        <v>17694</v>
      </c>
      <c r="K607" s="20">
        <v>86679</v>
      </c>
      <c r="L607" s="20" t="s">
        <v>17367</v>
      </c>
      <c r="M607" s="20" t="s">
        <v>17695</v>
      </c>
    </row>
    <row r="608" spans="1:14" x14ac:dyDescent="0.25">
      <c r="A608" s="20">
        <v>91298</v>
      </c>
      <c r="B608" s="20" t="s">
        <v>16764</v>
      </c>
      <c r="C608" s="20">
        <v>91298</v>
      </c>
      <c r="D608" s="20" t="str">
        <f>VLOOKUP(C608,[1]CHILDCARE_FACILITIES!AJ:AK,2,0)</f>
        <v>CDC-15578</v>
      </c>
      <c r="E608" s="20" t="s">
        <v>15134</v>
      </c>
      <c r="F608" s="20" t="s">
        <v>15135</v>
      </c>
      <c r="G608" s="20">
        <v>103225001</v>
      </c>
      <c r="H608" s="20" t="s">
        <v>15145</v>
      </c>
      <c r="I608" s="20" t="b">
        <v>1</v>
      </c>
      <c r="J608" s="20" t="s">
        <v>17696</v>
      </c>
      <c r="K608" s="20">
        <v>91298</v>
      </c>
      <c r="L608" s="20" t="s">
        <v>17271</v>
      </c>
      <c r="M608" s="20" t="s">
        <v>17597</v>
      </c>
    </row>
    <row r="609" spans="1:13" x14ac:dyDescent="0.25">
      <c r="A609" s="20">
        <v>89504</v>
      </c>
      <c r="B609" s="20" t="s">
        <v>16407</v>
      </c>
      <c r="C609" s="20">
        <v>89504</v>
      </c>
      <c r="D609" s="20" t="e">
        <f>VLOOKUP(C609,[1]CHILDCARE_FACILITIES!AJ:AK,2,0)</f>
        <v>#N/A</v>
      </c>
      <c r="E609" s="20" t="s">
        <v>15134</v>
      </c>
      <c r="F609" s="20" t="s">
        <v>15135</v>
      </c>
      <c r="G609" s="20">
        <v>72227000</v>
      </c>
      <c r="H609" s="20" t="s">
        <v>15145</v>
      </c>
      <c r="I609" s="20" t="b">
        <v>1</v>
      </c>
      <c r="J609" s="20" t="s">
        <v>17697</v>
      </c>
      <c r="K609" s="20">
        <v>89504</v>
      </c>
      <c r="L609" s="20" t="s">
        <v>17216</v>
      </c>
      <c r="M609" s="20" t="s">
        <v>17698</v>
      </c>
    </row>
    <row r="610" spans="1:13" x14ac:dyDescent="0.25">
      <c r="A610" s="20">
        <v>89504</v>
      </c>
      <c r="B610" s="20" t="s">
        <v>16407</v>
      </c>
      <c r="C610" s="20">
        <v>89504</v>
      </c>
      <c r="D610" s="20" t="e">
        <f>VLOOKUP(C610,[1]CHILDCARE_FACILITIES!AJ:AK,2,0)</f>
        <v>#N/A</v>
      </c>
      <c r="E610" s="20" t="s">
        <v>15134</v>
      </c>
      <c r="F610" s="20" t="s">
        <v>15135</v>
      </c>
      <c r="G610" s="20">
        <v>72227000</v>
      </c>
      <c r="H610" s="20" t="s">
        <v>15138</v>
      </c>
      <c r="I610" s="20" t="b">
        <v>1</v>
      </c>
      <c r="J610" s="20" t="s">
        <v>17697</v>
      </c>
      <c r="K610" s="20">
        <v>89504</v>
      </c>
      <c r="L610" s="20" t="s">
        <v>17216</v>
      </c>
      <c r="M610" s="20" t="s">
        <v>17698</v>
      </c>
    </row>
    <row r="611" spans="1:13" x14ac:dyDescent="0.25">
      <c r="A611" s="20">
        <v>89505</v>
      </c>
      <c r="B611" s="20" t="s">
        <v>16409</v>
      </c>
      <c r="C611" s="20">
        <v>89505</v>
      </c>
      <c r="D611" s="20" t="e">
        <f>VLOOKUP(C611,[1]CHILDCARE_FACILITIES!AJ:AK,2,0)</f>
        <v>#N/A</v>
      </c>
      <c r="E611" s="20" t="s">
        <v>15134</v>
      </c>
      <c r="F611" s="20" t="s">
        <v>15135</v>
      </c>
      <c r="G611" s="20">
        <v>72227001</v>
      </c>
      <c r="H611" s="20" t="s">
        <v>15145</v>
      </c>
      <c r="I611" s="20" t="b">
        <v>1</v>
      </c>
      <c r="J611" s="20" t="s">
        <v>17697</v>
      </c>
      <c r="K611" s="20">
        <v>89505</v>
      </c>
      <c r="L611" s="20" t="s">
        <v>17216</v>
      </c>
      <c r="M611" s="20" t="s">
        <v>17698</v>
      </c>
    </row>
    <row r="612" spans="1:13" x14ac:dyDescent="0.25">
      <c r="A612" s="20">
        <v>89505</v>
      </c>
      <c r="B612" s="20" t="s">
        <v>16409</v>
      </c>
      <c r="C612" s="20">
        <v>89505</v>
      </c>
      <c r="D612" s="20" t="e">
        <f>VLOOKUP(C612,[1]CHILDCARE_FACILITIES!AJ:AK,2,0)</f>
        <v>#N/A</v>
      </c>
      <c r="E612" s="20" t="s">
        <v>15134</v>
      </c>
      <c r="F612" s="20" t="s">
        <v>15135</v>
      </c>
      <c r="G612" s="20">
        <v>72227001</v>
      </c>
      <c r="H612" s="20" t="s">
        <v>15138</v>
      </c>
      <c r="I612" s="20" t="b">
        <v>1</v>
      </c>
      <c r="J612" s="20" t="s">
        <v>17697</v>
      </c>
      <c r="K612" s="20">
        <v>89505</v>
      </c>
      <c r="L612" s="20" t="s">
        <v>17216</v>
      </c>
      <c r="M612" s="20" t="s">
        <v>17698</v>
      </c>
    </row>
    <row r="613" spans="1:13" x14ac:dyDescent="0.25">
      <c r="A613" s="20">
        <v>80659</v>
      </c>
      <c r="B613" s="20" t="s">
        <v>16163</v>
      </c>
      <c r="C613" s="20">
        <v>80659</v>
      </c>
      <c r="D613" s="20" t="e">
        <f>VLOOKUP(C613,[1]CHILDCARE_FACILITIES!AJ:AK,2,0)</f>
        <v>#N/A</v>
      </c>
      <c r="E613" s="20" t="s">
        <v>15134</v>
      </c>
      <c r="F613" s="20" t="s">
        <v>15135</v>
      </c>
      <c r="G613" s="20">
        <v>73254004</v>
      </c>
      <c r="H613" s="20" t="s">
        <v>15138</v>
      </c>
      <c r="I613" s="20" t="b">
        <v>0</v>
      </c>
      <c r="J613" s="20" t="s">
        <v>17699</v>
      </c>
      <c r="K613" s="20">
        <v>80659</v>
      </c>
      <c r="L613" s="20" t="s">
        <v>17700</v>
      </c>
      <c r="M613" s="20" t="s">
        <v>17701</v>
      </c>
    </row>
    <row r="614" spans="1:13" x14ac:dyDescent="0.25">
      <c r="A614" s="20">
        <v>80659</v>
      </c>
      <c r="B614" s="20" t="s">
        <v>16163</v>
      </c>
      <c r="C614" s="20">
        <v>80659</v>
      </c>
      <c r="D614" s="20" t="e">
        <f>VLOOKUP(C614,[1]CHILDCARE_FACILITIES!AJ:AK,2,0)</f>
        <v>#N/A</v>
      </c>
      <c r="E614" s="20" t="s">
        <v>15134</v>
      </c>
      <c r="F614" s="20" t="s">
        <v>15135</v>
      </c>
      <c r="G614" s="20">
        <v>73254004</v>
      </c>
      <c r="H614" s="20" t="s">
        <v>15145</v>
      </c>
      <c r="I614" s="20" t="b">
        <v>1</v>
      </c>
      <c r="J614" s="20" t="s">
        <v>17702</v>
      </c>
      <c r="K614" s="20">
        <v>80659</v>
      </c>
      <c r="L614" s="20" t="s">
        <v>17703</v>
      </c>
      <c r="M614" s="20" t="s">
        <v>17704</v>
      </c>
    </row>
    <row r="615" spans="1:13" x14ac:dyDescent="0.25">
      <c r="A615" s="20">
        <v>89661</v>
      </c>
      <c r="B615" s="20" t="s">
        <v>16422</v>
      </c>
      <c r="C615" s="20">
        <v>89661</v>
      </c>
      <c r="D615" s="20" t="str">
        <f>VLOOKUP(C615,[1]CHILDCARE_FACILITIES!AJ:AK,2,0)</f>
        <v>CDC-13756</v>
      </c>
      <c r="E615" s="20" t="s">
        <v>15134</v>
      </c>
      <c r="F615" s="20" t="s">
        <v>15135</v>
      </c>
      <c r="G615" s="20">
        <v>133021003</v>
      </c>
      <c r="H615" s="20" t="s">
        <v>15145</v>
      </c>
      <c r="I615" s="20" t="b">
        <v>1</v>
      </c>
      <c r="J615" s="20" t="s">
        <v>17705</v>
      </c>
      <c r="K615" s="20">
        <v>89661</v>
      </c>
      <c r="L615" s="20" t="s">
        <v>17706</v>
      </c>
      <c r="M615" s="20" t="s">
        <v>17707</v>
      </c>
    </row>
    <row r="616" spans="1:13" x14ac:dyDescent="0.25">
      <c r="A616" s="20">
        <v>9423</v>
      </c>
      <c r="B616" s="20" t="s">
        <v>15521</v>
      </c>
      <c r="C616" s="20">
        <v>9423</v>
      </c>
      <c r="D616" s="20" t="e">
        <f>VLOOKUP(C616,[1]CHILDCARE_FACILITIES!AJ:AK,2,0)</f>
        <v>#N/A</v>
      </c>
      <c r="E616" s="20" t="s">
        <v>15134</v>
      </c>
      <c r="F616" s="20" t="s">
        <v>15135</v>
      </c>
      <c r="G616" s="20">
        <v>73257001</v>
      </c>
      <c r="K616" s="20">
        <v>9423</v>
      </c>
    </row>
    <row r="617" spans="1:13" x14ac:dyDescent="0.25">
      <c r="A617" s="20">
        <v>80658</v>
      </c>
      <c r="B617" s="20" t="s">
        <v>16161</v>
      </c>
      <c r="C617" s="20">
        <v>80658</v>
      </c>
      <c r="D617" s="20" t="e">
        <f>VLOOKUP(C617,[1]CHILDCARE_FACILITIES!AJ:AK,2,0)</f>
        <v>#N/A</v>
      </c>
      <c r="E617" s="20" t="s">
        <v>15134</v>
      </c>
      <c r="F617" s="20" t="s">
        <v>15135</v>
      </c>
      <c r="G617" s="20">
        <v>73254003</v>
      </c>
      <c r="H617" s="20" t="s">
        <v>15138</v>
      </c>
      <c r="I617" s="20" t="b">
        <v>0</v>
      </c>
      <c r="J617" s="20" t="s">
        <v>17699</v>
      </c>
      <c r="K617" s="20">
        <v>80658</v>
      </c>
      <c r="L617" s="20" t="s">
        <v>17700</v>
      </c>
      <c r="M617" s="20" t="s">
        <v>17701</v>
      </c>
    </row>
    <row r="618" spans="1:13" x14ac:dyDescent="0.25">
      <c r="A618" s="20">
        <v>80658</v>
      </c>
      <c r="B618" s="20" t="s">
        <v>16161</v>
      </c>
      <c r="C618" s="20">
        <v>80658</v>
      </c>
      <c r="D618" s="20" t="e">
        <f>VLOOKUP(C618,[1]CHILDCARE_FACILITIES!AJ:AK,2,0)</f>
        <v>#N/A</v>
      </c>
      <c r="E618" s="20" t="s">
        <v>15134</v>
      </c>
      <c r="F618" s="20" t="s">
        <v>15135</v>
      </c>
      <c r="G618" s="20">
        <v>73254003</v>
      </c>
      <c r="H618" s="20" t="s">
        <v>15145</v>
      </c>
      <c r="I618" s="20" t="b">
        <v>1</v>
      </c>
      <c r="J618" s="20" t="s">
        <v>17708</v>
      </c>
      <c r="K618" s="20">
        <v>80658</v>
      </c>
      <c r="L618" s="20" t="s">
        <v>17703</v>
      </c>
      <c r="M618" s="20" t="s">
        <v>17709</v>
      </c>
    </row>
    <row r="619" spans="1:13" x14ac:dyDescent="0.25">
      <c r="A619" s="20">
        <v>91143</v>
      </c>
      <c r="B619" s="20" t="s">
        <v>16746</v>
      </c>
      <c r="C619" s="20">
        <v>91143</v>
      </c>
      <c r="D619" s="20" t="str">
        <f>VLOOKUP(C619,[1]CHILDCARE_FACILITIES!AJ:AK,2,0)</f>
        <v>CDC-12941</v>
      </c>
      <c r="E619" s="20" t="s">
        <v>15134</v>
      </c>
      <c r="F619" s="20" t="s">
        <v>15135</v>
      </c>
      <c r="G619" s="20">
        <v>73519002</v>
      </c>
      <c r="H619" s="20" t="s">
        <v>15145</v>
      </c>
      <c r="I619" s="20" t="b">
        <v>1</v>
      </c>
      <c r="J619" s="20" t="s">
        <v>17636</v>
      </c>
      <c r="K619" s="20">
        <v>91143</v>
      </c>
      <c r="L619" s="20" t="s">
        <v>17367</v>
      </c>
      <c r="M619" s="20" t="s">
        <v>17637</v>
      </c>
    </row>
    <row r="620" spans="1:13" x14ac:dyDescent="0.25">
      <c r="A620" s="20">
        <v>79355</v>
      </c>
      <c r="B620" s="20" t="s">
        <v>15953</v>
      </c>
      <c r="C620" s="20">
        <v>79355</v>
      </c>
      <c r="D620" s="20" t="e">
        <f>VLOOKUP(C620,[1]CHILDCARE_FACILITIES!AJ:AK,2,0)</f>
        <v>#N/A</v>
      </c>
      <c r="E620" s="20" t="s">
        <v>15134</v>
      </c>
      <c r="F620" s="20" t="s">
        <v>15135</v>
      </c>
      <c r="G620" s="20">
        <v>133021000</v>
      </c>
      <c r="H620" s="20" t="s">
        <v>15136</v>
      </c>
      <c r="I620" s="20" t="b">
        <v>1</v>
      </c>
      <c r="J620" s="20" t="s">
        <v>17710</v>
      </c>
      <c r="K620" s="20">
        <v>79355</v>
      </c>
      <c r="L620" s="20" t="s">
        <v>17706</v>
      </c>
      <c r="M620" s="20" t="s">
        <v>17711</v>
      </c>
    </row>
    <row r="621" spans="1:13" x14ac:dyDescent="0.25">
      <c r="A621" s="20">
        <v>79355</v>
      </c>
      <c r="B621" s="20" t="s">
        <v>15953</v>
      </c>
      <c r="C621" s="20">
        <v>79355</v>
      </c>
      <c r="D621" s="20" t="e">
        <f>VLOOKUP(C621,[1]CHILDCARE_FACILITIES!AJ:AK,2,0)</f>
        <v>#N/A</v>
      </c>
      <c r="E621" s="20" t="s">
        <v>15134</v>
      </c>
      <c r="F621" s="20" t="s">
        <v>15135</v>
      </c>
      <c r="G621" s="20">
        <v>133021000</v>
      </c>
      <c r="H621" s="20" t="s">
        <v>15138</v>
      </c>
      <c r="I621" s="20" t="b">
        <v>1</v>
      </c>
      <c r="J621" s="20" t="s">
        <v>17712</v>
      </c>
      <c r="K621" s="20">
        <v>79355</v>
      </c>
      <c r="L621" s="20" t="s">
        <v>17706</v>
      </c>
      <c r="M621" s="20" t="s">
        <v>17713</v>
      </c>
    </row>
    <row r="622" spans="1:13" x14ac:dyDescent="0.25">
      <c r="A622" s="20">
        <v>8598</v>
      </c>
      <c r="B622" s="20" t="s">
        <v>15169</v>
      </c>
      <c r="C622" s="20">
        <v>8598</v>
      </c>
      <c r="D622" s="20" t="e">
        <f>VLOOKUP(C622,[1]CHILDCARE_FACILITIES!AJ:AK,2,0)</f>
        <v>#N/A</v>
      </c>
      <c r="E622" s="20" t="s">
        <v>15134</v>
      </c>
      <c r="F622" s="20" t="s">
        <v>15135</v>
      </c>
      <c r="G622" s="20">
        <v>52201000</v>
      </c>
      <c r="K622" s="20">
        <v>8598</v>
      </c>
    </row>
    <row r="623" spans="1:13" x14ac:dyDescent="0.25">
      <c r="A623" s="20">
        <v>8599</v>
      </c>
      <c r="B623" s="20" t="s">
        <v>15169</v>
      </c>
      <c r="C623" s="20">
        <v>8599</v>
      </c>
      <c r="D623" s="20" t="e">
        <f>VLOOKUP(C623,[1]CHILDCARE_FACILITIES!AJ:AK,2,0)</f>
        <v>#N/A</v>
      </c>
      <c r="E623" s="20" t="s">
        <v>15134</v>
      </c>
      <c r="F623" s="20" t="s">
        <v>15135</v>
      </c>
      <c r="G623" s="20">
        <v>52201001</v>
      </c>
      <c r="K623" s="20">
        <v>8599</v>
      </c>
    </row>
    <row r="624" spans="1:13" x14ac:dyDescent="0.25">
      <c r="A624" s="20">
        <v>639792</v>
      </c>
      <c r="B624" s="20" t="s">
        <v>17015</v>
      </c>
      <c r="C624" s="20">
        <v>639792</v>
      </c>
      <c r="D624" s="20" t="e">
        <f>VLOOKUP(C624,[1]CHILDCARE_FACILITIES!AJ:AK,2,0)</f>
        <v>#N/A</v>
      </c>
      <c r="E624" s="20" t="s">
        <v>15134</v>
      </c>
      <c r="F624" s="20" t="s">
        <v>15135</v>
      </c>
      <c r="G624" s="20">
        <v>32213000</v>
      </c>
      <c r="H624" s="20" t="s">
        <v>15138</v>
      </c>
      <c r="I624" s="20" t="b">
        <v>1</v>
      </c>
      <c r="J624" s="20" t="s">
        <v>17714</v>
      </c>
      <c r="K624" s="20">
        <v>639792</v>
      </c>
      <c r="L624" s="20" t="s">
        <v>17715</v>
      </c>
      <c r="M624" s="20" t="s">
        <v>17716</v>
      </c>
    </row>
    <row r="625" spans="1:13" x14ac:dyDescent="0.25">
      <c r="A625" s="20">
        <v>639792</v>
      </c>
      <c r="B625" s="20" t="s">
        <v>17015</v>
      </c>
      <c r="C625" s="20">
        <v>639792</v>
      </c>
      <c r="D625" s="20" t="e">
        <f>VLOOKUP(C625,[1]CHILDCARE_FACILITIES!AJ:AK,2,0)</f>
        <v>#N/A</v>
      </c>
      <c r="E625" s="20" t="s">
        <v>15134</v>
      </c>
      <c r="F625" s="20" t="s">
        <v>15135</v>
      </c>
      <c r="G625" s="20">
        <v>32213000</v>
      </c>
      <c r="H625" s="20" t="s">
        <v>15136</v>
      </c>
      <c r="I625" s="20" t="b">
        <v>1</v>
      </c>
      <c r="J625" s="20" t="s">
        <v>17717</v>
      </c>
      <c r="K625" s="20">
        <v>639792</v>
      </c>
      <c r="L625" s="20" t="s">
        <v>17715</v>
      </c>
      <c r="M625" s="20" t="s">
        <v>17718</v>
      </c>
    </row>
    <row r="626" spans="1:13" x14ac:dyDescent="0.25">
      <c r="A626" s="20">
        <v>79358</v>
      </c>
      <c r="B626" s="20" t="s">
        <v>15959</v>
      </c>
      <c r="C626" s="20">
        <v>79358</v>
      </c>
      <c r="D626" s="20" t="e">
        <f>VLOOKUP(C626,[1]CHILDCARE_FACILITIES!AJ:AK,2,0)</f>
        <v>#N/A</v>
      </c>
      <c r="E626" s="20" t="s">
        <v>15134</v>
      </c>
      <c r="F626" s="20" t="s">
        <v>15135</v>
      </c>
      <c r="G626" s="20">
        <v>32210000</v>
      </c>
      <c r="H626" s="20" t="s">
        <v>15145</v>
      </c>
      <c r="I626" s="20" t="b">
        <v>1</v>
      </c>
      <c r="J626" s="20" t="s">
        <v>17719</v>
      </c>
      <c r="K626" s="20">
        <v>79358</v>
      </c>
      <c r="L626" s="20" t="s">
        <v>17715</v>
      </c>
      <c r="M626" s="20" t="s">
        <v>17720</v>
      </c>
    </row>
    <row r="627" spans="1:13" x14ac:dyDescent="0.25">
      <c r="A627" s="20">
        <v>79358</v>
      </c>
      <c r="B627" s="20" t="s">
        <v>15959</v>
      </c>
      <c r="C627" s="20">
        <v>79358</v>
      </c>
      <c r="D627" s="20" t="e">
        <f>VLOOKUP(C627,[1]CHILDCARE_FACILITIES!AJ:AK,2,0)</f>
        <v>#N/A</v>
      </c>
      <c r="E627" s="20" t="s">
        <v>15134</v>
      </c>
      <c r="F627" s="20" t="s">
        <v>15135</v>
      </c>
      <c r="G627" s="20">
        <v>32210000</v>
      </c>
      <c r="H627" s="20" t="s">
        <v>15138</v>
      </c>
      <c r="I627" s="20" t="b">
        <v>1</v>
      </c>
      <c r="J627" s="20" t="s">
        <v>17719</v>
      </c>
      <c r="K627" s="20">
        <v>79358</v>
      </c>
      <c r="L627" s="20" t="s">
        <v>17715</v>
      </c>
      <c r="M627" s="20" t="s">
        <v>17720</v>
      </c>
    </row>
    <row r="628" spans="1:13" x14ac:dyDescent="0.25">
      <c r="A628" s="20">
        <v>8733</v>
      </c>
      <c r="B628" s="20" t="s">
        <v>15234</v>
      </c>
      <c r="C628" s="20">
        <v>8733</v>
      </c>
      <c r="D628" s="20" t="e">
        <f>VLOOKUP(C628,[1]CHILDCARE_FACILITIES!AJ:AK,2,0)</f>
        <v>#N/A</v>
      </c>
      <c r="E628" s="20" t="s">
        <v>15134</v>
      </c>
      <c r="F628" s="20" t="s">
        <v>15135</v>
      </c>
      <c r="G628" s="20">
        <v>72292001</v>
      </c>
      <c r="K628" s="20">
        <v>8733</v>
      </c>
    </row>
    <row r="629" spans="1:13" x14ac:dyDescent="0.25">
      <c r="A629" s="20">
        <v>8732</v>
      </c>
      <c r="B629" s="20" t="s">
        <v>15233</v>
      </c>
      <c r="C629" s="20">
        <v>8732</v>
      </c>
      <c r="D629" s="20" t="e">
        <f>VLOOKUP(C629,[1]CHILDCARE_FACILITIES!AJ:AK,2,0)</f>
        <v>#N/A</v>
      </c>
      <c r="E629" s="20" t="s">
        <v>15134</v>
      </c>
      <c r="F629" s="20" t="s">
        <v>15135</v>
      </c>
      <c r="G629" s="20">
        <v>72292000</v>
      </c>
      <c r="K629" s="20">
        <v>8732</v>
      </c>
    </row>
    <row r="630" spans="1:13" x14ac:dyDescent="0.25">
      <c r="A630" s="20">
        <v>9173</v>
      </c>
      <c r="B630" s="20" t="s">
        <v>15392</v>
      </c>
      <c r="C630" s="20">
        <v>9173</v>
      </c>
      <c r="D630" s="20" t="e">
        <f>VLOOKUP(C630,[1]CHILDCARE_FACILITIES!AJ:AK,2,0)</f>
        <v>#N/A</v>
      </c>
      <c r="E630" s="20" t="s">
        <v>15134</v>
      </c>
      <c r="F630" s="20" t="s">
        <v>15135</v>
      </c>
      <c r="G630" s="20">
        <v>73116000</v>
      </c>
      <c r="H630" s="20" t="s">
        <v>15136</v>
      </c>
      <c r="I630" s="20" t="b">
        <v>0</v>
      </c>
      <c r="J630" s="20" t="s">
        <v>17721</v>
      </c>
      <c r="K630" s="20">
        <v>9173</v>
      </c>
      <c r="L630" s="20" t="s">
        <v>17228</v>
      </c>
      <c r="M630" s="20" t="s">
        <v>17722</v>
      </c>
    </row>
    <row r="631" spans="1:13" x14ac:dyDescent="0.25">
      <c r="A631" s="20">
        <v>9173</v>
      </c>
      <c r="B631" s="20" t="s">
        <v>15392</v>
      </c>
      <c r="C631" s="20">
        <v>9173</v>
      </c>
      <c r="D631" s="20" t="e">
        <f>VLOOKUP(C631,[1]CHILDCARE_FACILITIES!AJ:AK,2,0)</f>
        <v>#N/A</v>
      </c>
      <c r="E631" s="20" t="s">
        <v>15134</v>
      </c>
      <c r="F631" s="20" t="s">
        <v>15135</v>
      </c>
      <c r="G631" s="20">
        <v>73116000</v>
      </c>
      <c r="H631" s="20" t="s">
        <v>15138</v>
      </c>
      <c r="I631" s="20" t="b">
        <v>1</v>
      </c>
      <c r="J631" s="20" t="s">
        <v>17523</v>
      </c>
      <c r="K631" s="20">
        <v>9173</v>
      </c>
      <c r="L631" s="20" t="s">
        <v>17213</v>
      </c>
      <c r="M631" s="20" t="s">
        <v>17524</v>
      </c>
    </row>
    <row r="632" spans="1:13" x14ac:dyDescent="0.25">
      <c r="A632" s="20">
        <v>8495</v>
      </c>
      <c r="B632" s="20" t="s">
        <v>15151</v>
      </c>
      <c r="C632" s="20">
        <v>8495</v>
      </c>
      <c r="D632" s="20" t="e">
        <f>VLOOKUP(C632,[1]CHILDCARE_FACILITIES!AJ:AK,2,0)</f>
        <v>#N/A</v>
      </c>
      <c r="E632" s="20" t="s">
        <v>15134</v>
      </c>
      <c r="F632" s="20" t="s">
        <v>15135</v>
      </c>
      <c r="G632" s="20">
        <v>22501000</v>
      </c>
      <c r="H632" s="20" t="s">
        <v>15136</v>
      </c>
      <c r="I632" s="20" t="b">
        <v>0</v>
      </c>
      <c r="J632" s="20" t="s">
        <v>17723</v>
      </c>
      <c r="K632" s="20">
        <v>8495</v>
      </c>
      <c r="L632" s="20" t="s">
        <v>17724</v>
      </c>
      <c r="M632" s="20" t="s">
        <v>17725</v>
      </c>
    </row>
    <row r="633" spans="1:13" x14ac:dyDescent="0.25">
      <c r="A633" s="20">
        <v>8495</v>
      </c>
      <c r="B633" s="20" t="s">
        <v>15151</v>
      </c>
      <c r="C633" s="20">
        <v>8495</v>
      </c>
      <c r="D633" s="20" t="e">
        <f>VLOOKUP(C633,[1]CHILDCARE_FACILITIES!AJ:AK,2,0)</f>
        <v>#N/A</v>
      </c>
      <c r="E633" s="20" t="s">
        <v>15134</v>
      </c>
      <c r="F633" s="20" t="s">
        <v>15135</v>
      </c>
      <c r="G633" s="20">
        <v>22501000</v>
      </c>
      <c r="H633" s="20" t="s">
        <v>15138</v>
      </c>
      <c r="I633" s="20" t="b">
        <v>0</v>
      </c>
      <c r="J633" s="20" t="s">
        <v>17723</v>
      </c>
      <c r="K633" s="20">
        <v>8495</v>
      </c>
      <c r="L633" s="20" t="s">
        <v>17724</v>
      </c>
      <c r="M633" s="20" t="s">
        <v>17725</v>
      </c>
    </row>
    <row r="634" spans="1:13" x14ac:dyDescent="0.25">
      <c r="A634" s="20">
        <v>8685</v>
      </c>
      <c r="B634" s="20" t="s">
        <v>15197</v>
      </c>
      <c r="C634" s="20">
        <v>8685</v>
      </c>
      <c r="D634" s="20" t="e">
        <f>VLOOKUP(C634,[1]CHILDCARE_FACILITIES!AJ:AK,2,0)</f>
        <v>#N/A</v>
      </c>
      <c r="E634" s="20" t="s">
        <v>15134</v>
      </c>
      <c r="F634" s="20" t="s">
        <v>15135</v>
      </c>
      <c r="G634" s="20">
        <v>72222000</v>
      </c>
      <c r="K634" s="20">
        <v>8685</v>
      </c>
    </row>
    <row r="635" spans="1:13" x14ac:dyDescent="0.25">
      <c r="A635" s="20">
        <v>79182</v>
      </c>
      <c r="B635" s="20" t="s">
        <v>15902</v>
      </c>
      <c r="C635" s="20">
        <v>79182</v>
      </c>
      <c r="D635" s="20" t="e">
        <f>VLOOKUP(C635,[1]CHILDCARE_FACILITIES!AJ:AK,2,0)</f>
        <v>#N/A</v>
      </c>
      <c r="E635" s="20" t="s">
        <v>15134</v>
      </c>
      <c r="F635" s="20" t="s">
        <v>15135</v>
      </c>
      <c r="G635" s="20">
        <v>82208000</v>
      </c>
      <c r="H635" s="20" t="s">
        <v>15138</v>
      </c>
      <c r="I635" s="20" t="b">
        <v>1</v>
      </c>
      <c r="J635" s="20" t="s">
        <v>17419</v>
      </c>
      <c r="K635" s="20">
        <v>79182</v>
      </c>
      <c r="L635" s="20" t="s">
        <v>17417</v>
      </c>
      <c r="M635" s="20" t="s">
        <v>17420</v>
      </c>
    </row>
    <row r="636" spans="1:13" x14ac:dyDescent="0.25">
      <c r="A636" s="20">
        <v>79182</v>
      </c>
      <c r="B636" s="20" t="s">
        <v>15902</v>
      </c>
      <c r="C636" s="20">
        <v>79182</v>
      </c>
      <c r="D636" s="20" t="e">
        <f>VLOOKUP(C636,[1]CHILDCARE_FACILITIES!AJ:AK,2,0)</f>
        <v>#N/A</v>
      </c>
      <c r="E636" s="20" t="s">
        <v>15134</v>
      </c>
      <c r="F636" s="20" t="s">
        <v>15135</v>
      </c>
      <c r="G636" s="20">
        <v>82208000</v>
      </c>
      <c r="H636" s="20" t="s">
        <v>15136</v>
      </c>
      <c r="I636" s="20" t="b">
        <v>1</v>
      </c>
      <c r="J636" s="20" t="s">
        <v>17416</v>
      </c>
      <c r="K636" s="20">
        <v>79182</v>
      </c>
      <c r="L636" s="20" t="s">
        <v>17417</v>
      </c>
      <c r="M636" s="20" t="s">
        <v>17418</v>
      </c>
    </row>
    <row r="637" spans="1:13" x14ac:dyDescent="0.25">
      <c r="A637" s="20">
        <v>9883</v>
      </c>
      <c r="B637" s="20" t="s">
        <v>15714</v>
      </c>
      <c r="C637" s="20">
        <v>9883</v>
      </c>
      <c r="D637" s="20" t="e">
        <f>VLOOKUP(C637,[1]CHILDCARE_FACILITIES!AJ:AK,2,0)</f>
        <v>#N/A</v>
      </c>
      <c r="E637" s="20" t="s">
        <v>15134</v>
      </c>
      <c r="F637" s="20" t="s">
        <v>15135</v>
      </c>
      <c r="G637" s="20">
        <v>103022001</v>
      </c>
      <c r="K637" s="20">
        <v>9883</v>
      </c>
    </row>
    <row r="638" spans="1:13" x14ac:dyDescent="0.25">
      <c r="A638" s="20">
        <v>8677</v>
      </c>
      <c r="B638" s="20" t="s">
        <v>15189</v>
      </c>
      <c r="C638" s="20">
        <v>8677</v>
      </c>
      <c r="D638" s="20" t="e">
        <f>VLOOKUP(C638,[1]CHILDCARE_FACILITIES!AJ:AK,2,0)</f>
        <v>#N/A</v>
      </c>
      <c r="E638" s="20" t="s">
        <v>15134</v>
      </c>
      <c r="F638" s="20" t="s">
        <v>15135</v>
      </c>
      <c r="G638" s="20">
        <v>72213000</v>
      </c>
      <c r="K638" s="20">
        <v>8677</v>
      </c>
    </row>
    <row r="639" spans="1:13" x14ac:dyDescent="0.25">
      <c r="A639" s="20">
        <v>8660</v>
      </c>
      <c r="B639" s="20" t="s">
        <v>15178</v>
      </c>
      <c r="C639" s="20">
        <v>8660</v>
      </c>
      <c r="D639" s="20" t="e">
        <f>VLOOKUP(C639,[1]CHILDCARE_FACILITIES!AJ:AK,2,0)</f>
        <v>#N/A</v>
      </c>
      <c r="E639" s="20" t="s">
        <v>15134</v>
      </c>
      <c r="F639" s="20" t="s">
        <v>15135</v>
      </c>
      <c r="G639" s="20">
        <v>72204000</v>
      </c>
      <c r="K639" s="20">
        <v>8660</v>
      </c>
    </row>
    <row r="640" spans="1:13" x14ac:dyDescent="0.25">
      <c r="A640" s="20">
        <v>1000334</v>
      </c>
      <c r="B640" s="20" t="s">
        <v>17144</v>
      </c>
      <c r="C640" s="20">
        <v>1000334</v>
      </c>
      <c r="D640" s="20" t="str">
        <f>VLOOKUP(C640,[1]CHILDCARE_FACILITIES!AJ:AK,2,0)</f>
        <v>CDC-17400</v>
      </c>
      <c r="E640" s="20" t="s">
        <v>15134</v>
      </c>
      <c r="F640" s="20" t="s">
        <v>15135</v>
      </c>
      <c r="G640" s="20">
        <v>73362001</v>
      </c>
      <c r="H640" s="20" t="s">
        <v>15136</v>
      </c>
      <c r="I640" s="20" t="b">
        <v>1</v>
      </c>
      <c r="J640" s="20" t="s">
        <v>17726</v>
      </c>
      <c r="K640" s="20">
        <v>1000334</v>
      </c>
      <c r="L640" s="20" t="s">
        <v>17216</v>
      </c>
      <c r="M640" s="20" t="s">
        <v>17727</v>
      </c>
    </row>
    <row r="641" spans="1:14" x14ac:dyDescent="0.25">
      <c r="A641" s="20">
        <v>1000334</v>
      </c>
      <c r="B641" s="20" t="s">
        <v>17144</v>
      </c>
      <c r="C641" s="20">
        <v>1000334</v>
      </c>
      <c r="D641" s="20" t="str">
        <f>VLOOKUP(C641,[1]CHILDCARE_FACILITIES!AJ:AK,2,0)</f>
        <v>CDC-17400</v>
      </c>
      <c r="E641" s="20" t="s">
        <v>15134</v>
      </c>
      <c r="F641" s="20" t="s">
        <v>15135</v>
      </c>
      <c r="G641" s="20">
        <v>73362001</v>
      </c>
      <c r="H641" s="20" t="s">
        <v>15138</v>
      </c>
      <c r="I641" s="20" t="b">
        <v>1</v>
      </c>
      <c r="J641" s="20" t="s">
        <v>17726</v>
      </c>
      <c r="K641" s="20">
        <v>1000334</v>
      </c>
      <c r="L641" s="20" t="s">
        <v>17216</v>
      </c>
      <c r="M641" s="20" t="s">
        <v>17727</v>
      </c>
    </row>
    <row r="642" spans="1:14" x14ac:dyDescent="0.25">
      <c r="A642" s="20">
        <v>1000333</v>
      </c>
      <c r="B642" s="20" t="s">
        <v>17142</v>
      </c>
      <c r="C642" s="20">
        <v>1000333</v>
      </c>
      <c r="D642" s="20" t="e">
        <f>VLOOKUP(C642,[1]CHILDCARE_FACILITIES!AJ:AK,2,0)</f>
        <v>#N/A</v>
      </c>
      <c r="E642" s="20" t="s">
        <v>15134</v>
      </c>
      <c r="F642" s="20" t="s">
        <v>15135</v>
      </c>
      <c r="G642" s="20">
        <v>73362000</v>
      </c>
      <c r="H642" s="20" t="s">
        <v>15136</v>
      </c>
      <c r="I642" s="20" t="b">
        <v>1</v>
      </c>
      <c r="J642" s="20" t="s">
        <v>17726</v>
      </c>
      <c r="K642" s="20">
        <v>1000333</v>
      </c>
      <c r="L642" s="20" t="s">
        <v>17216</v>
      </c>
      <c r="M642" s="20" t="s">
        <v>17727</v>
      </c>
    </row>
    <row r="643" spans="1:14" x14ac:dyDescent="0.25">
      <c r="A643" s="20">
        <v>1000333</v>
      </c>
      <c r="B643" s="20" t="s">
        <v>17142</v>
      </c>
      <c r="C643" s="20">
        <v>1000333</v>
      </c>
      <c r="D643" s="20" t="e">
        <f>VLOOKUP(C643,[1]CHILDCARE_FACILITIES!AJ:AK,2,0)</f>
        <v>#N/A</v>
      </c>
      <c r="E643" s="20" t="s">
        <v>15134</v>
      </c>
      <c r="F643" s="20" t="s">
        <v>15135</v>
      </c>
      <c r="G643" s="20">
        <v>73362000</v>
      </c>
      <c r="H643" s="20" t="s">
        <v>15138</v>
      </c>
      <c r="I643" s="20" t="b">
        <v>1</v>
      </c>
      <c r="J643" s="20" t="s">
        <v>17726</v>
      </c>
      <c r="K643" s="20">
        <v>1000333</v>
      </c>
      <c r="L643" s="20" t="s">
        <v>17216</v>
      </c>
      <c r="M643" s="20" t="s">
        <v>17727</v>
      </c>
    </row>
    <row r="644" spans="1:14" x14ac:dyDescent="0.25">
      <c r="A644" s="20">
        <v>79147</v>
      </c>
      <c r="B644" s="20" t="s">
        <v>15899</v>
      </c>
      <c r="C644" s="20">
        <v>79147</v>
      </c>
      <c r="D644" s="20" t="e">
        <f>VLOOKUP(C644,[1]CHILDCARE_FACILITIES!AJ:AK,2,0)</f>
        <v>#N/A</v>
      </c>
      <c r="E644" s="20" t="s">
        <v>15134</v>
      </c>
      <c r="F644" s="20" t="s">
        <v>15135</v>
      </c>
      <c r="G644" s="20">
        <v>22204000</v>
      </c>
      <c r="H644" s="20" t="s">
        <v>15145</v>
      </c>
      <c r="I644" s="20" t="b">
        <v>0</v>
      </c>
      <c r="J644" s="20" t="s">
        <v>17728</v>
      </c>
      <c r="K644" s="20">
        <v>79147</v>
      </c>
      <c r="L644" s="20" t="s">
        <v>17729</v>
      </c>
      <c r="M644" s="20" t="s">
        <v>17725</v>
      </c>
    </row>
    <row r="645" spans="1:14" x14ac:dyDescent="0.25">
      <c r="A645" s="20">
        <v>8686</v>
      </c>
      <c r="B645" s="20" t="s">
        <v>15198</v>
      </c>
      <c r="C645" s="20">
        <v>8686</v>
      </c>
      <c r="D645" s="20" t="e">
        <f>VLOOKUP(C645,[1]CHILDCARE_FACILITIES!AJ:AK,2,0)</f>
        <v>#N/A</v>
      </c>
      <c r="E645" s="20" t="s">
        <v>15134</v>
      </c>
      <c r="F645" s="20" t="s">
        <v>15135</v>
      </c>
      <c r="G645" s="20">
        <v>72222001</v>
      </c>
      <c r="K645" s="20">
        <v>8686</v>
      </c>
    </row>
    <row r="646" spans="1:14" x14ac:dyDescent="0.25">
      <c r="A646" s="20">
        <v>1000210</v>
      </c>
      <c r="B646" s="20" t="s">
        <v>17119</v>
      </c>
      <c r="C646" s="20">
        <v>1000210</v>
      </c>
      <c r="D646" s="20" t="e">
        <f>VLOOKUP(C646,[1]CHILDCARE_FACILITIES!AJ:AK,2,0)</f>
        <v>#N/A</v>
      </c>
      <c r="E646" s="20" t="s">
        <v>15134</v>
      </c>
      <c r="F646" s="20" t="s">
        <v>15135</v>
      </c>
      <c r="G646" s="20">
        <v>73354001</v>
      </c>
      <c r="H646" s="20" t="s">
        <v>15136</v>
      </c>
      <c r="I646" s="20" t="b">
        <v>1</v>
      </c>
      <c r="J646" s="20" t="s">
        <v>17730</v>
      </c>
      <c r="K646" s="20">
        <v>1000210</v>
      </c>
      <c r="L646" s="20" t="s">
        <v>17213</v>
      </c>
      <c r="M646" s="20" t="s">
        <v>17731</v>
      </c>
    </row>
    <row r="647" spans="1:14" x14ac:dyDescent="0.25">
      <c r="A647" s="20">
        <v>1000210</v>
      </c>
      <c r="B647" s="20" t="s">
        <v>17119</v>
      </c>
      <c r="C647" s="20">
        <v>1000210</v>
      </c>
      <c r="D647" s="20" t="e">
        <f>VLOOKUP(C647,[1]CHILDCARE_FACILITIES!AJ:AK,2,0)</f>
        <v>#N/A</v>
      </c>
      <c r="E647" s="20" t="s">
        <v>15134</v>
      </c>
      <c r="F647" s="20" t="s">
        <v>15135</v>
      </c>
      <c r="G647" s="20">
        <v>73354001</v>
      </c>
      <c r="H647" s="20" t="s">
        <v>15138</v>
      </c>
      <c r="I647" s="20" t="b">
        <v>1</v>
      </c>
      <c r="J647" s="20" t="s">
        <v>17730</v>
      </c>
      <c r="K647" s="20">
        <v>1000210</v>
      </c>
      <c r="L647" s="20" t="s">
        <v>17213</v>
      </c>
      <c r="M647" s="20" t="s">
        <v>17731</v>
      </c>
    </row>
    <row r="648" spans="1:14" x14ac:dyDescent="0.25">
      <c r="A648" s="20">
        <v>1000194</v>
      </c>
      <c r="B648" s="20" t="s">
        <v>17111</v>
      </c>
      <c r="C648" s="20">
        <v>1000194</v>
      </c>
      <c r="D648" s="20" t="e">
        <f>VLOOKUP(C648,[1]CHILDCARE_FACILITIES!AJ:AK,2,0)</f>
        <v>#N/A</v>
      </c>
      <c r="E648" s="20" t="s">
        <v>15134</v>
      </c>
      <c r="F648" s="20" t="s">
        <v>15135</v>
      </c>
      <c r="G648" s="20">
        <v>73354000</v>
      </c>
      <c r="H648" s="20" t="s">
        <v>15136</v>
      </c>
      <c r="I648" s="20" t="b">
        <v>1</v>
      </c>
      <c r="J648" s="20" t="s">
        <v>17730</v>
      </c>
      <c r="K648" s="20">
        <v>1000194</v>
      </c>
      <c r="L648" s="20" t="s">
        <v>17213</v>
      </c>
      <c r="M648" s="20" t="s">
        <v>17731</v>
      </c>
    </row>
    <row r="649" spans="1:14" x14ac:dyDescent="0.25">
      <c r="A649" s="20">
        <v>1000194</v>
      </c>
      <c r="B649" s="20" t="s">
        <v>17111</v>
      </c>
      <c r="C649" s="20">
        <v>1000194</v>
      </c>
      <c r="D649" s="20" t="e">
        <f>VLOOKUP(C649,[1]CHILDCARE_FACILITIES!AJ:AK,2,0)</f>
        <v>#N/A</v>
      </c>
      <c r="E649" s="20" t="s">
        <v>15134</v>
      </c>
      <c r="F649" s="20" t="s">
        <v>15135</v>
      </c>
      <c r="G649" s="20">
        <v>73354000</v>
      </c>
      <c r="H649" s="20" t="s">
        <v>15138</v>
      </c>
      <c r="I649" s="20" t="b">
        <v>1</v>
      </c>
      <c r="J649" s="20" t="s">
        <v>17730</v>
      </c>
      <c r="K649" s="20">
        <v>1000194</v>
      </c>
      <c r="L649" s="20" t="s">
        <v>17213</v>
      </c>
      <c r="M649" s="20" t="s">
        <v>17731</v>
      </c>
    </row>
    <row r="650" spans="1:14" x14ac:dyDescent="0.25">
      <c r="A650" s="20">
        <v>92723</v>
      </c>
      <c r="B650" s="20" t="s">
        <v>16915</v>
      </c>
      <c r="C650" s="20">
        <v>92723</v>
      </c>
      <c r="D650" s="20" t="e">
        <f>VLOOKUP(C650,[1]CHILDCARE_FACILITIES!AJ:AK,2,0)</f>
        <v>#N/A</v>
      </c>
      <c r="E650" s="20" t="s">
        <v>15134</v>
      </c>
      <c r="F650" s="20" t="s">
        <v>15135</v>
      </c>
      <c r="G650" s="20">
        <v>73318000</v>
      </c>
      <c r="H650" s="20" t="s">
        <v>15138</v>
      </c>
      <c r="I650" s="20" t="b">
        <v>1</v>
      </c>
      <c r="J650" s="20" t="s">
        <v>17732</v>
      </c>
      <c r="K650" s="20">
        <v>92723</v>
      </c>
      <c r="L650" s="20" t="s">
        <v>17213</v>
      </c>
      <c r="M650" s="20" t="s">
        <v>17443</v>
      </c>
    </row>
    <row r="651" spans="1:14" x14ac:dyDescent="0.25">
      <c r="A651" s="20">
        <v>92723</v>
      </c>
      <c r="B651" s="20" t="s">
        <v>16915</v>
      </c>
      <c r="C651" s="20">
        <v>92723</v>
      </c>
      <c r="D651" s="20" t="e">
        <f>VLOOKUP(C651,[1]CHILDCARE_FACILITIES!AJ:AK,2,0)</f>
        <v>#N/A</v>
      </c>
      <c r="E651" s="20" t="s">
        <v>15134</v>
      </c>
      <c r="F651" s="20" t="s">
        <v>15135</v>
      </c>
      <c r="G651" s="20">
        <v>73318000</v>
      </c>
      <c r="H651" s="20" t="s">
        <v>15136</v>
      </c>
      <c r="I651" s="20" t="b">
        <v>1</v>
      </c>
      <c r="J651" s="20" t="s">
        <v>17732</v>
      </c>
      <c r="K651" s="20">
        <v>92723</v>
      </c>
      <c r="L651" s="20" t="s">
        <v>17213</v>
      </c>
      <c r="M651" s="20" t="s">
        <v>17443</v>
      </c>
    </row>
    <row r="652" spans="1:14" x14ac:dyDescent="0.25">
      <c r="A652" s="20">
        <v>1000087</v>
      </c>
      <c r="B652" s="20" t="s">
        <v>17066</v>
      </c>
      <c r="C652" s="20">
        <v>1000087</v>
      </c>
      <c r="D652" s="20" t="e">
        <f>VLOOKUP(C652,[1]CHILDCARE_FACILITIES!AJ:AK,2,0)</f>
        <v>#N/A</v>
      </c>
      <c r="E652" s="20" t="s">
        <v>15134</v>
      </c>
      <c r="F652" s="20" t="s">
        <v>15135</v>
      </c>
      <c r="G652" s="20">
        <v>103157001</v>
      </c>
      <c r="H652" s="20" t="s">
        <v>15138</v>
      </c>
      <c r="I652" s="20" t="b">
        <v>0</v>
      </c>
      <c r="J652" s="20" t="s">
        <v>17733</v>
      </c>
      <c r="K652" s="20">
        <v>1000087</v>
      </c>
      <c r="L652" s="20" t="s">
        <v>17282</v>
      </c>
      <c r="M652" s="20" t="s">
        <v>17482</v>
      </c>
    </row>
    <row r="653" spans="1:14" x14ac:dyDescent="0.25">
      <c r="A653" s="20">
        <v>1000087</v>
      </c>
      <c r="B653" s="20" t="s">
        <v>17066</v>
      </c>
      <c r="C653" s="20">
        <v>1000087</v>
      </c>
      <c r="D653" s="20" t="e">
        <f>VLOOKUP(C653,[1]CHILDCARE_FACILITIES!AJ:AK,2,0)</f>
        <v>#N/A</v>
      </c>
      <c r="E653" s="20" t="s">
        <v>15134</v>
      </c>
      <c r="F653" s="20" t="s">
        <v>15135</v>
      </c>
      <c r="G653" s="20">
        <v>103157001</v>
      </c>
      <c r="H653" s="20" t="s">
        <v>15136</v>
      </c>
      <c r="I653" s="20" t="b">
        <v>0</v>
      </c>
      <c r="J653" s="20" t="s">
        <v>17734</v>
      </c>
      <c r="K653" s="20">
        <v>1000087</v>
      </c>
      <c r="L653" s="20" t="s">
        <v>17735</v>
      </c>
      <c r="M653" s="20" t="s">
        <v>17282</v>
      </c>
      <c r="N653" s="20" t="s">
        <v>17736</v>
      </c>
    </row>
    <row r="654" spans="1:14" x14ac:dyDescent="0.25">
      <c r="A654" s="20">
        <v>1000086</v>
      </c>
      <c r="B654" s="20" t="s">
        <v>17063</v>
      </c>
      <c r="C654" s="20">
        <v>1000086</v>
      </c>
      <c r="D654" s="20" t="e">
        <f>VLOOKUP(C654,[1]CHILDCARE_FACILITIES!AJ:AK,2,0)</f>
        <v>#N/A</v>
      </c>
      <c r="E654" s="20" t="s">
        <v>15134</v>
      </c>
      <c r="F654" s="20" t="s">
        <v>15135</v>
      </c>
      <c r="G654" s="20">
        <v>103157000</v>
      </c>
      <c r="H654" s="20" t="s">
        <v>15138</v>
      </c>
      <c r="I654" s="20" t="b">
        <v>1</v>
      </c>
      <c r="J654" s="20" t="s">
        <v>17737</v>
      </c>
      <c r="K654" s="20">
        <v>1000086</v>
      </c>
      <c r="L654" s="20" t="s">
        <v>17282</v>
      </c>
      <c r="M654" s="20" t="s">
        <v>17738</v>
      </c>
    </row>
    <row r="655" spans="1:14" x14ac:dyDescent="0.25">
      <c r="A655" s="20">
        <v>1000086</v>
      </c>
      <c r="B655" s="20" t="s">
        <v>17063</v>
      </c>
      <c r="C655" s="20">
        <v>1000086</v>
      </c>
      <c r="D655" s="20" t="e">
        <f>VLOOKUP(C655,[1]CHILDCARE_FACILITIES!AJ:AK,2,0)</f>
        <v>#N/A</v>
      </c>
      <c r="E655" s="20" t="s">
        <v>15134</v>
      </c>
      <c r="F655" s="20" t="s">
        <v>15135</v>
      </c>
      <c r="G655" s="20">
        <v>103157000</v>
      </c>
      <c r="H655" s="20" t="s">
        <v>15136</v>
      </c>
      <c r="I655" s="20" t="b">
        <v>0</v>
      </c>
      <c r="J655" s="20" t="s">
        <v>17734</v>
      </c>
      <c r="K655" s="20">
        <v>1000086</v>
      </c>
      <c r="L655" s="20" t="s">
        <v>17735</v>
      </c>
      <c r="M655" s="20" t="s">
        <v>17282</v>
      </c>
      <c r="N655" s="20" t="s">
        <v>17736</v>
      </c>
    </row>
    <row r="656" spans="1:14" x14ac:dyDescent="0.25">
      <c r="A656" s="20">
        <v>8750</v>
      </c>
      <c r="B656" s="20" t="s">
        <v>15243</v>
      </c>
      <c r="C656" s="20">
        <v>8750</v>
      </c>
      <c r="D656" s="20" t="e">
        <f>VLOOKUP(C656,[1]CHILDCARE_FACILITIES!AJ:AK,2,0)</f>
        <v>#N/A</v>
      </c>
      <c r="E656" s="20" t="s">
        <v>15134</v>
      </c>
      <c r="F656" s="20" t="s">
        <v>15135</v>
      </c>
      <c r="G656" s="20">
        <v>72401001</v>
      </c>
      <c r="H656" s="20" t="s">
        <v>15138</v>
      </c>
      <c r="I656" s="20" t="b">
        <v>1</v>
      </c>
      <c r="J656" s="20" t="s">
        <v>17739</v>
      </c>
      <c r="K656" s="20">
        <v>8750</v>
      </c>
      <c r="L656" s="20" t="s">
        <v>17213</v>
      </c>
      <c r="M656" s="20" t="s">
        <v>17740</v>
      </c>
    </row>
    <row r="657" spans="1:13" x14ac:dyDescent="0.25">
      <c r="A657" s="20">
        <v>8750</v>
      </c>
      <c r="B657" s="20" t="s">
        <v>15243</v>
      </c>
      <c r="C657" s="20">
        <v>8750</v>
      </c>
      <c r="D657" s="20" t="e">
        <f>VLOOKUP(C657,[1]CHILDCARE_FACILITIES!AJ:AK,2,0)</f>
        <v>#N/A</v>
      </c>
      <c r="E657" s="20" t="s">
        <v>15134</v>
      </c>
      <c r="F657" s="20" t="s">
        <v>15135</v>
      </c>
      <c r="G657" s="20">
        <v>72401001</v>
      </c>
      <c r="H657" s="20" t="s">
        <v>15136</v>
      </c>
      <c r="I657" s="20" t="b">
        <v>1</v>
      </c>
      <c r="J657" s="20" t="s">
        <v>17426</v>
      </c>
      <c r="K657" s="20">
        <v>8750</v>
      </c>
      <c r="L657" s="20" t="s">
        <v>17213</v>
      </c>
      <c r="M657" s="20" t="s">
        <v>17427</v>
      </c>
    </row>
    <row r="658" spans="1:13" x14ac:dyDescent="0.25">
      <c r="A658" s="20">
        <v>91893</v>
      </c>
      <c r="B658" s="20" t="s">
        <v>16820</v>
      </c>
      <c r="C658" s="20">
        <v>91893</v>
      </c>
      <c r="D658" s="20" t="str">
        <f>VLOOKUP(C658,[1]CHILDCARE_FACILITIES!AJ:AK,2,0)</f>
        <v>CDC-16208</v>
      </c>
      <c r="E658" s="20" t="s">
        <v>15134</v>
      </c>
      <c r="F658" s="20" t="s">
        <v>15135</v>
      </c>
      <c r="G658" s="20">
        <v>73303001</v>
      </c>
      <c r="H658" s="20" t="s">
        <v>15145</v>
      </c>
      <c r="I658" s="20" t="b">
        <v>1</v>
      </c>
      <c r="J658" s="20" t="s">
        <v>17708</v>
      </c>
      <c r="K658" s="20">
        <v>91893</v>
      </c>
      <c r="L658" s="20" t="s">
        <v>17703</v>
      </c>
      <c r="M658" s="20" t="s">
        <v>17709</v>
      </c>
    </row>
    <row r="659" spans="1:13" x14ac:dyDescent="0.25">
      <c r="A659" s="20">
        <v>90114</v>
      </c>
      <c r="B659" s="20" t="s">
        <v>16546</v>
      </c>
      <c r="C659" s="20">
        <v>90114</v>
      </c>
      <c r="D659" s="20" t="e">
        <f>VLOOKUP(C659,[1]CHILDCARE_FACILITIES!AJ:AK,2,0)</f>
        <v>#N/A</v>
      </c>
      <c r="E659" s="20" t="s">
        <v>15134</v>
      </c>
      <c r="F659" s="20" t="s">
        <v>15135</v>
      </c>
      <c r="G659" s="20">
        <v>72439000</v>
      </c>
      <c r="H659" s="20" t="s">
        <v>15138</v>
      </c>
      <c r="I659" s="20" t="b">
        <v>1</v>
      </c>
      <c r="J659" s="20" t="s">
        <v>17741</v>
      </c>
      <c r="K659" s="20">
        <v>90114</v>
      </c>
      <c r="L659" s="20" t="s">
        <v>17216</v>
      </c>
      <c r="M659" s="20" t="s">
        <v>17742</v>
      </c>
    </row>
    <row r="660" spans="1:13" x14ac:dyDescent="0.25">
      <c r="A660" s="20">
        <v>90114</v>
      </c>
      <c r="B660" s="20" t="s">
        <v>16546</v>
      </c>
      <c r="C660" s="20">
        <v>90114</v>
      </c>
      <c r="D660" s="20" t="e">
        <f>VLOOKUP(C660,[1]CHILDCARE_FACILITIES!AJ:AK,2,0)</f>
        <v>#N/A</v>
      </c>
      <c r="E660" s="20" t="s">
        <v>15134</v>
      </c>
      <c r="F660" s="20" t="s">
        <v>15135</v>
      </c>
      <c r="G660" s="20">
        <v>72439000</v>
      </c>
      <c r="H660" s="20" t="s">
        <v>15145</v>
      </c>
      <c r="I660" s="20" t="b">
        <v>1</v>
      </c>
      <c r="J660" s="20" t="s">
        <v>17741</v>
      </c>
      <c r="K660" s="20">
        <v>90114</v>
      </c>
      <c r="L660" s="20" t="s">
        <v>17216</v>
      </c>
      <c r="M660" s="20" t="s">
        <v>17742</v>
      </c>
    </row>
    <row r="661" spans="1:13" x14ac:dyDescent="0.25">
      <c r="A661" s="20">
        <v>9154</v>
      </c>
      <c r="B661" s="20" t="s">
        <v>15382</v>
      </c>
      <c r="C661" s="20">
        <v>9154</v>
      </c>
      <c r="D661" s="20" t="e">
        <f>VLOOKUP(C661,[1]CHILDCARE_FACILITIES!AJ:AK,2,0)</f>
        <v>#N/A</v>
      </c>
      <c r="E661" s="20" t="s">
        <v>15134</v>
      </c>
      <c r="F661" s="20" t="s">
        <v>15135</v>
      </c>
      <c r="G661" s="20">
        <v>73102001</v>
      </c>
      <c r="K661" s="20">
        <v>9154</v>
      </c>
    </row>
    <row r="662" spans="1:13" x14ac:dyDescent="0.25">
      <c r="A662" s="20">
        <v>10228</v>
      </c>
      <c r="B662" s="20" t="s">
        <v>15847</v>
      </c>
      <c r="C662" s="20">
        <v>10228</v>
      </c>
      <c r="D662" s="20" t="e">
        <f>VLOOKUP(C662,[1]CHILDCARE_FACILITIES!AJ:AK,2,0)</f>
        <v>#N/A</v>
      </c>
      <c r="E662" s="20" t="s">
        <v>15134</v>
      </c>
      <c r="F662" s="20" t="s">
        <v>15135</v>
      </c>
      <c r="G662" s="20">
        <v>153001001</v>
      </c>
      <c r="K662" s="20">
        <v>10228</v>
      </c>
    </row>
    <row r="663" spans="1:13" x14ac:dyDescent="0.25">
      <c r="A663" s="20">
        <v>9218</v>
      </c>
      <c r="B663" s="20" t="s">
        <v>15418</v>
      </c>
      <c r="C663" s="20">
        <v>9218</v>
      </c>
      <c r="D663" s="20" t="e">
        <f>VLOOKUP(C663,[1]CHILDCARE_FACILITIES!AJ:AK,2,0)</f>
        <v>#N/A</v>
      </c>
      <c r="E663" s="20" t="s">
        <v>15134</v>
      </c>
      <c r="F663" s="20" t="s">
        <v>15135</v>
      </c>
      <c r="G663" s="20">
        <v>73153001</v>
      </c>
      <c r="K663" s="20">
        <v>9218</v>
      </c>
    </row>
    <row r="664" spans="1:13" x14ac:dyDescent="0.25">
      <c r="A664" s="20">
        <v>9220</v>
      </c>
      <c r="B664" s="20" t="s">
        <v>15419</v>
      </c>
      <c r="C664" s="20">
        <v>9220</v>
      </c>
      <c r="D664" s="20" t="e">
        <f>VLOOKUP(C664,[1]CHILDCARE_FACILITIES!AJ:AK,2,0)</f>
        <v>#N/A</v>
      </c>
      <c r="E664" s="20" t="s">
        <v>15134</v>
      </c>
      <c r="F664" s="20" t="s">
        <v>15135</v>
      </c>
      <c r="G664" s="20">
        <v>73154001</v>
      </c>
      <c r="K664" s="20">
        <v>9220</v>
      </c>
    </row>
    <row r="665" spans="1:13" x14ac:dyDescent="0.25">
      <c r="A665" s="20">
        <v>8987</v>
      </c>
      <c r="B665" s="20" t="s">
        <v>15302</v>
      </c>
      <c r="C665" s="20">
        <v>8987</v>
      </c>
      <c r="D665" s="20" t="e">
        <f>VLOOKUP(C665,[1]CHILDCARE_FACILITIES!AJ:AK,2,0)</f>
        <v>#N/A</v>
      </c>
      <c r="E665" s="20" t="s">
        <v>15134</v>
      </c>
      <c r="F665" s="20" t="s">
        <v>15135</v>
      </c>
      <c r="G665" s="20">
        <v>73006002</v>
      </c>
      <c r="K665" s="20">
        <v>8987</v>
      </c>
    </row>
    <row r="666" spans="1:13" x14ac:dyDescent="0.25">
      <c r="A666" s="20">
        <v>8734</v>
      </c>
      <c r="B666" s="20" t="s">
        <v>15235</v>
      </c>
      <c r="C666" s="20">
        <v>8734</v>
      </c>
      <c r="D666" s="20" t="e">
        <f>VLOOKUP(C666,[1]CHILDCARE_FACILITIES!AJ:AK,2,0)</f>
        <v>#N/A</v>
      </c>
      <c r="E666" s="20" t="s">
        <v>15134</v>
      </c>
      <c r="F666" s="20" t="s">
        <v>15135</v>
      </c>
      <c r="G666" s="20">
        <v>72293000</v>
      </c>
      <c r="K666" s="20">
        <v>8734</v>
      </c>
    </row>
    <row r="667" spans="1:13" x14ac:dyDescent="0.25">
      <c r="A667" s="20">
        <v>8735</v>
      </c>
      <c r="B667" s="20" t="s">
        <v>15235</v>
      </c>
      <c r="C667" s="20">
        <v>8735</v>
      </c>
      <c r="D667" s="20" t="e">
        <f>VLOOKUP(C667,[1]CHILDCARE_FACILITIES!AJ:AK,2,0)</f>
        <v>#N/A</v>
      </c>
      <c r="E667" s="20" t="s">
        <v>15134</v>
      </c>
      <c r="F667" s="20" t="s">
        <v>15135</v>
      </c>
      <c r="G667" s="20">
        <v>72293001</v>
      </c>
      <c r="K667" s="20">
        <v>8735</v>
      </c>
    </row>
    <row r="668" spans="1:13" x14ac:dyDescent="0.25">
      <c r="A668" s="20">
        <v>92719</v>
      </c>
      <c r="B668" s="20" t="s">
        <v>16912</v>
      </c>
      <c r="C668" s="20">
        <v>92719</v>
      </c>
      <c r="D668" s="20" t="e">
        <f>VLOOKUP(C668,[1]CHILDCARE_FACILITIES!AJ:AK,2,0)</f>
        <v>#N/A</v>
      </c>
      <c r="E668" s="20" t="s">
        <v>15134</v>
      </c>
      <c r="F668" s="20" t="s">
        <v>15135</v>
      </c>
      <c r="G668" s="20">
        <v>73317000</v>
      </c>
      <c r="H668" s="20" t="s">
        <v>15136</v>
      </c>
      <c r="I668" s="20" t="b">
        <v>1</v>
      </c>
      <c r="J668" s="20" t="s">
        <v>17743</v>
      </c>
      <c r="K668" s="20">
        <v>92719</v>
      </c>
      <c r="L668" s="20" t="s">
        <v>17213</v>
      </c>
      <c r="M668" s="20" t="s">
        <v>17744</v>
      </c>
    </row>
    <row r="669" spans="1:13" x14ac:dyDescent="0.25">
      <c r="A669" s="20">
        <v>92719</v>
      </c>
      <c r="B669" s="20" t="s">
        <v>16912</v>
      </c>
      <c r="C669" s="20">
        <v>92719</v>
      </c>
      <c r="D669" s="20" t="e">
        <f>VLOOKUP(C669,[1]CHILDCARE_FACILITIES!AJ:AK,2,0)</f>
        <v>#N/A</v>
      </c>
      <c r="E669" s="20" t="s">
        <v>15134</v>
      </c>
      <c r="F669" s="20" t="s">
        <v>15135</v>
      </c>
      <c r="G669" s="20">
        <v>73317000</v>
      </c>
      <c r="H669" s="20" t="s">
        <v>15138</v>
      </c>
      <c r="I669" s="20" t="b">
        <v>1</v>
      </c>
      <c r="J669" s="20" t="s">
        <v>17743</v>
      </c>
      <c r="K669" s="20">
        <v>92719</v>
      </c>
      <c r="L669" s="20" t="s">
        <v>17213</v>
      </c>
      <c r="M669" s="20" t="s">
        <v>17744</v>
      </c>
    </row>
    <row r="670" spans="1:13" x14ac:dyDescent="0.25">
      <c r="A670" s="20">
        <v>10133</v>
      </c>
      <c r="B670" s="20" t="s">
        <v>15817</v>
      </c>
      <c r="C670" s="20">
        <v>10133</v>
      </c>
      <c r="D670" s="20" t="str">
        <f>VLOOKUP(C670,[1]CHILDCARE_FACILITIES!AJ:AK,2,0)</f>
        <v>CDC-2073</v>
      </c>
      <c r="E670" s="20" t="s">
        <v>15134</v>
      </c>
      <c r="F670" s="20" t="s">
        <v>15135</v>
      </c>
      <c r="G670" s="20">
        <v>132202001</v>
      </c>
      <c r="H670" s="20" t="s">
        <v>15138</v>
      </c>
      <c r="I670" s="20" t="b">
        <v>1</v>
      </c>
      <c r="J670" s="20" t="s">
        <v>17745</v>
      </c>
      <c r="K670" s="20">
        <v>10133</v>
      </c>
      <c r="L670" s="20" t="s">
        <v>17320</v>
      </c>
      <c r="M670" s="20" t="s">
        <v>17746</v>
      </c>
    </row>
    <row r="671" spans="1:13" x14ac:dyDescent="0.25">
      <c r="A671" s="20">
        <v>10133</v>
      </c>
      <c r="B671" s="20" t="s">
        <v>15817</v>
      </c>
      <c r="C671" s="20">
        <v>10133</v>
      </c>
      <c r="D671" s="20" t="str">
        <f>VLOOKUP(C671,[1]CHILDCARE_FACILITIES!AJ:AK,2,0)</f>
        <v>CDC-2073</v>
      </c>
      <c r="E671" s="20" t="s">
        <v>15134</v>
      </c>
      <c r="F671" s="20" t="s">
        <v>15135</v>
      </c>
      <c r="G671" s="20">
        <v>132202001</v>
      </c>
      <c r="H671" s="20" t="s">
        <v>15145</v>
      </c>
      <c r="I671" s="20" t="b">
        <v>1</v>
      </c>
      <c r="J671" s="20" t="s">
        <v>17745</v>
      </c>
      <c r="K671" s="20">
        <v>10133</v>
      </c>
      <c r="L671" s="20" t="s">
        <v>17320</v>
      </c>
      <c r="M671" s="20" t="s">
        <v>17746</v>
      </c>
    </row>
    <row r="672" spans="1:13" x14ac:dyDescent="0.25">
      <c r="A672" s="20">
        <v>1001187</v>
      </c>
      <c r="B672" s="20" t="s">
        <v>17185</v>
      </c>
      <c r="C672" s="20">
        <v>1001187</v>
      </c>
      <c r="D672" s="20" t="e">
        <f>VLOOKUP(C672,[1]CHILDCARE_FACILITIES!AJ:AK,2,0)</f>
        <v>#N/A</v>
      </c>
      <c r="E672" s="20" t="s">
        <v>15134</v>
      </c>
      <c r="F672" s="20" t="s">
        <v>15135</v>
      </c>
      <c r="G672" s="20">
        <v>73370001</v>
      </c>
      <c r="H672" s="20" t="s">
        <v>15136</v>
      </c>
      <c r="I672" s="20" t="b">
        <v>1</v>
      </c>
      <c r="J672" s="20" t="s">
        <v>17747</v>
      </c>
      <c r="K672" s="20">
        <v>1001187</v>
      </c>
      <c r="L672" s="20" t="s">
        <v>17213</v>
      </c>
      <c r="M672" s="20" t="s">
        <v>17507</v>
      </c>
    </row>
    <row r="673" spans="1:13" x14ac:dyDescent="0.25">
      <c r="A673" s="20">
        <v>1001187</v>
      </c>
      <c r="B673" s="20" t="s">
        <v>17185</v>
      </c>
      <c r="C673" s="20">
        <v>1001187</v>
      </c>
      <c r="D673" s="20" t="e">
        <f>VLOOKUP(C673,[1]CHILDCARE_FACILITIES!AJ:AK,2,0)</f>
        <v>#N/A</v>
      </c>
      <c r="E673" s="20" t="s">
        <v>15134</v>
      </c>
      <c r="F673" s="20" t="s">
        <v>15135</v>
      </c>
      <c r="G673" s="20">
        <v>73370001</v>
      </c>
      <c r="H673" s="20" t="s">
        <v>15138</v>
      </c>
      <c r="I673" s="20" t="b">
        <v>1</v>
      </c>
      <c r="J673" s="20" t="s">
        <v>17748</v>
      </c>
      <c r="K673" s="20">
        <v>1001187</v>
      </c>
      <c r="L673" s="20" t="s">
        <v>17213</v>
      </c>
      <c r="M673" s="20" t="s">
        <v>17749</v>
      </c>
    </row>
    <row r="674" spans="1:13" x14ac:dyDescent="0.25">
      <c r="A674" s="20">
        <v>79347</v>
      </c>
      <c r="B674" s="20" t="s">
        <v>15946</v>
      </c>
      <c r="C674" s="20">
        <v>79347</v>
      </c>
      <c r="D674" s="20" t="e">
        <f>VLOOKUP(C674,[1]CHILDCARE_FACILITIES!AJ:AK,2,0)</f>
        <v>#N/A</v>
      </c>
      <c r="E674" s="20" t="s">
        <v>15134</v>
      </c>
      <c r="F674" s="20" t="s">
        <v>15135</v>
      </c>
      <c r="G674" s="20">
        <v>72425008</v>
      </c>
      <c r="H674" s="20" t="s">
        <v>15138</v>
      </c>
      <c r="I674" s="20" t="b">
        <v>1</v>
      </c>
      <c r="J674" s="20" t="s">
        <v>17750</v>
      </c>
      <c r="K674" s="20">
        <v>79347</v>
      </c>
      <c r="L674" s="20" t="s">
        <v>17213</v>
      </c>
      <c r="M674" s="20" t="s">
        <v>17749</v>
      </c>
    </row>
    <row r="675" spans="1:13" x14ac:dyDescent="0.25">
      <c r="A675" s="20">
        <v>79347</v>
      </c>
      <c r="B675" s="20" t="s">
        <v>15946</v>
      </c>
      <c r="C675" s="20">
        <v>79347</v>
      </c>
      <c r="D675" s="20" t="e">
        <f>VLOOKUP(C675,[1]CHILDCARE_FACILITIES!AJ:AK,2,0)</f>
        <v>#N/A</v>
      </c>
      <c r="E675" s="20" t="s">
        <v>15134</v>
      </c>
      <c r="F675" s="20" t="s">
        <v>15135</v>
      </c>
      <c r="G675" s="20">
        <v>72425008</v>
      </c>
      <c r="H675" s="20" t="s">
        <v>15145</v>
      </c>
      <c r="I675" s="20" t="b">
        <v>1</v>
      </c>
      <c r="J675" s="20" t="s">
        <v>17750</v>
      </c>
      <c r="K675" s="20">
        <v>79347</v>
      </c>
      <c r="L675" s="20" t="s">
        <v>17213</v>
      </c>
      <c r="M675" s="20" t="s">
        <v>17749</v>
      </c>
    </row>
    <row r="676" spans="1:13" x14ac:dyDescent="0.25">
      <c r="A676" s="20">
        <v>9162</v>
      </c>
      <c r="B676" s="20" t="s">
        <v>15386</v>
      </c>
      <c r="C676" s="20">
        <v>9162</v>
      </c>
      <c r="D676" s="20" t="e">
        <f>VLOOKUP(C676,[1]CHILDCARE_FACILITIES!AJ:AK,2,0)</f>
        <v>#N/A</v>
      </c>
      <c r="E676" s="20" t="s">
        <v>15134</v>
      </c>
      <c r="F676" s="20" t="s">
        <v>15135</v>
      </c>
      <c r="G676" s="20">
        <v>73108001</v>
      </c>
      <c r="K676" s="20">
        <v>9162</v>
      </c>
    </row>
    <row r="677" spans="1:13" x14ac:dyDescent="0.25">
      <c r="A677" s="20">
        <v>9258</v>
      </c>
      <c r="B677" s="20" t="s">
        <v>15435</v>
      </c>
      <c r="C677" s="20">
        <v>9258</v>
      </c>
      <c r="D677" s="20" t="e">
        <f>VLOOKUP(C677,[1]CHILDCARE_FACILITIES!AJ:AK,2,0)</f>
        <v>#N/A</v>
      </c>
      <c r="E677" s="20" t="s">
        <v>15134</v>
      </c>
      <c r="F677" s="20" t="s">
        <v>15135</v>
      </c>
      <c r="G677" s="20">
        <v>73186001</v>
      </c>
      <c r="K677" s="20">
        <v>9258</v>
      </c>
    </row>
    <row r="678" spans="1:13" x14ac:dyDescent="0.25">
      <c r="A678" s="20">
        <v>725316</v>
      </c>
      <c r="B678" s="20" t="s">
        <v>17019</v>
      </c>
      <c r="C678" s="20">
        <v>725316</v>
      </c>
      <c r="D678" s="20" t="e">
        <f>VLOOKUP(C678,[1]CHILDCARE_FACILITIES!AJ:AK,2,0)</f>
        <v>#N/A</v>
      </c>
      <c r="E678" s="20" t="s">
        <v>15134</v>
      </c>
      <c r="F678" s="20" t="s">
        <v>15135</v>
      </c>
      <c r="G678" s="20">
        <v>73331000</v>
      </c>
      <c r="H678" s="20" t="s">
        <v>15136</v>
      </c>
      <c r="I678" s="20" t="b">
        <v>1</v>
      </c>
      <c r="J678" s="20" t="s">
        <v>17751</v>
      </c>
      <c r="K678" s="20">
        <v>725316</v>
      </c>
      <c r="L678" s="20" t="s">
        <v>17216</v>
      </c>
      <c r="M678" s="20" t="s">
        <v>17752</v>
      </c>
    </row>
    <row r="679" spans="1:13" x14ac:dyDescent="0.25">
      <c r="A679" s="20">
        <v>1001447</v>
      </c>
      <c r="B679" s="20" t="s">
        <v>17195</v>
      </c>
      <c r="C679" s="20">
        <v>1001447</v>
      </c>
      <c r="D679" s="20" t="e">
        <f>VLOOKUP(C679,[1]CHILDCARE_FACILITIES!AJ:AK,2,0)</f>
        <v>#N/A</v>
      </c>
      <c r="E679" s="20" t="s">
        <v>15134</v>
      </c>
      <c r="F679" s="20" t="s">
        <v>15135</v>
      </c>
      <c r="G679" s="20">
        <v>73726001</v>
      </c>
      <c r="H679" s="20" t="s">
        <v>15138</v>
      </c>
      <c r="I679" s="20" t="b">
        <v>1</v>
      </c>
      <c r="J679" s="20" t="s">
        <v>17753</v>
      </c>
      <c r="K679" s="20">
        <v>1001447</v>
      </c>
      <c r="L679" s="20" t="s">
        <v>17213</v>
      </c>
      <c r="M679" s="20" t="s">
        <v>17754</v>
      </c>
    </row>
    <row r="680" spans="1:13" x14ac:dyDescent="0.25">
      <c r="A680" s="20">
        <v>1001447</v>
      </c>
      <c r="B680" s="20" t="s">
        <v>17195</v>
      </c>
      <c r="C680" s="20">
        <v>1001447</v>
      </c>
      <c r="D680" s="20" t="e">
        <f>VLOOKUP(C680,[1]CHILDCARE_FACILITIES!AJ:AK,2,0)</f>
        <v>#N/A</v>
      </c>
      <c r="E680" s="20" t="s">
        <v>15134</v>
      </c>
      <c r="F680" s="20" t="s">
        <v>15135</v>
      </c>
      <c r="G680" s="20">
        <v>73726001</v>
      </c>
      <c r="H680" s="20" t="s">
        <v>15136</v>
      </c>
      <c r="I680" s="20" t="b">
        <v>1</v>
      </c>
      <c r="J680" s="20" t="s">
        <v>17753</v>
      </c>
      <c r="K680" s="20">
        <v>1001447</v>
      </c>
      <c r="L680" s="20" t="s">
        <v>17213</v>
      </c>
      <c r="M680" s="20" t="s">
        <v>17754</v>
      </c>
    </row>
    <row r="681" spans="1:13" x14ac:dyDescent="0.25">
      <c r="A681" s="20">
        <v>79396</v>
      </c>
      <c r="B681" s="20" t="s">
        <v>15971</v>
      </c>
      <c r="C681" s="20">
        <v>79396</v>
      </c>
      <c r="D681" s="20" t="str">
        <f>VLOOKUP(C681,[1]CHILDCARE_FACILITIES!AJ:AK,2,0)</f>
        <v>CDC-5171</v>
      </c>
      <c r="E681" s="20" t="s">
        <v>15134</v>
      </c>
      <c r="F681" s="20" t="s">
        <v>15135</v>
      </c>
      <c r="G681" s="20">
        <v>82209001</v>
      </c>
      <c r="H681" s="20" t="s">
        <v>15138</v>
      </c>
      <c r="I681" s="20" t="b">
        <v>1</v>
      </c>
      <c r="J681" s="20" t="s">
        <v>17755</v>
      </c>
      <c r="K681" s="20">
        <v>79396</v>
      </c>
      <c r="L681" s="20" t="s">
        <v>17402</v>
      </c>
      <c r="M681" s="20" t="s">
        <v>17756</v>
      </c>
    </row>
    <row r="682" spans="1:13" x14ac:dyDescent="0.25">
      <c r="A682" s="20">
        <v>79396</v>
      </c>
      <c r="B682" s="20" t="s">
        <v>15971</v>
      </c>
      <c r="C682" s="20">
        <v>79396</v>
      </c>
      <c r="D682" s="20" t="str">
        <f>VLOOKUP(C682,[1]CHILDCARE_FACILITIES!AJ:AK,2,0)</f>
        <v>CDC-5171</v>
      </c>
      <c r="E682" s="20" t="s">
        <v>15134</v>
      </c>
      <c r="F682" s="20" t="s">
        <v>15135</v>
      </c>
      <c r="G682" s="20">
        <v>82209001</v>
      </c>
      <c r="H682" s="20" t="s">
        <v>15145</v>
      </c>
      <c r="I682" s="20" t="b">
        <v>1</v>
      </c>
      <c r="J682" s="20" t="s">
        <v>17755</v>
      </c>
      <c r="K682" s="20">
        <v>79396</v>
      </c>
      <c r="L682" s="20" t="s">
        <v>17402</v>
      </c>
      <c r="M682" s="20" t="s">
        <v>17756</v>
      </c>
    </row>
    <row r="683" spans="1:13" x14ac:dyDescent="0.25">
      <c r="A683" s="20">
        <v>8669</v>
      </c>
      <c r="B683" s="20" t="s">
        <v>15182</v>
      </c>
      <c r="C683" s="20">
        <v>8669</v>
      </c>
      <c r="D683" s="20" t="e">
        <f>VLOOKUP(C683,[1]CHILDCARE_FACILITIES!AJ:AK,2,0)</f>
        <v>#N/A</v>
      </c>
      <c r="E683" s="20" t="s">
        <v>15134</v>
      </c>
      <c r="F683" s="20" t="s">
        <v>15135</v>
      </c>
      <c r="G683" s="20">
        <v>72208000</v>
      </c>
      <c r="K683" s="20">
        <v>8669</v>
      </c>
    </row>
    <row r="684" spans="1:13" x14ac:dyDescent="0.25">
      <c r="A684" s="20">
        <v>8670</v>
      </c>
      <c r="B684" s="20" t="s">
        <v>15183</v>
      </c>
      <c r="C684" s="20">
        <v>8670</v>
      </c>
      <c r="D684" s="20" t="e">
        <f>VLOOKUP(C684,[1]CHILDCARE_FACILITIES!AJ:AK,2,0)</f>
        <v>#N/A</v>
      </c>
      <c r="E684" s="20" t="s">
        <v>15134</v>
      </c>
      <c r="F684" s="20" t="s">
        <v>15135</v>
      </c>
      <c r="G684" s="20">
        <v>72208001</v>
      </c>
      <c r="K684" s="20">
        <v>8670</v>
      </c>
    </row>
    <row r="685" spans="1:13" x14ac:dyDescent="0.25">
      <c r="A685" s="20">
        <v>1000093</v>
      </c>
      <c r="B685" s="20" t="s">
        <v>17076</v>
      </c>
      <c r="C685" s="20">
        <v>1000093</v>
      </c>
      <c r="D685" s="20" t="e">
        <f>VLOOKUP(C685,[1]CHILDCARE_FACILITIES!AJ:AK,2,0)</f>
        <v>#N/A</v>
      </c>
      <c r="E685" s="20" t="s">
        <v>15134</v>
      </c>
      <c r="F685" s="20" t="s">
        <v>15135</v>
      </c>
      <c r="G685" s="20">
        <v>72468004</v>
      </c>
      <c r="H685" s="20" t="s">
        <v>15138</v>
      </c>
      <c r="I685" s="20" t="b">
        <v>1</v>
      </c>
      <c r="J685" s="20" t="s">
        <v>1400</v>
      </c>
      <c r="K685" s="20">
        <v>1000093</v>
      </c>
      <c r="L685" s="20" t="s">
        <v>17228</v>
      </c>
      <c r="M685" s="20" t="s">
        <v>17757</v>
      </c>
    </row>
    <row r="686" spans="1:13" x14ac:dyDescent="0.25">
      <c r="A686" s="20">
        <v>1000093</v>
      </c>
      <c r="B686" s="20" t="s">
        <v>17076</v>
      </c>
      <c r="C686" s="20">
        <v>1000093</v>
      </c>
      <c r="D686" s="20" t="e">
        <f>VLOOKUP(C686,[1]CHILDCARE_FACILITIES!AJ:AK,2,0)</f>
        <v>#N/A</v>
      </c>
      <c r="E686" s="20" t="s">
        <v>15134</v>
      </c>
      <c r="F686" s="20" t="s">
        <v>15135</v>
      </c>
      <c r="G686" s="20">
        <v>72468004</v>
      </c>
      <c r="H686" s="20" t="s">
        <v>15136</v>
      </c>
      <c r="I686" s="20" t="b">
        <v>1</v>
      </c>
      <c r="J686" s="20" t="s">
        <v>17302</v>
      </c>
      <c r="K686" s="20">
        <v>1000093</v>
      </c>
      <c r="L686" s="20" t="s">
        <v>17228</v>
      </c>
      <c r="M686" s="20" t="s">
        <v>17303</v>
      </c>
    </row>
    <row r="687" spans="1:13" x14ac:dyDescent="0.25">
      <c r="A687" s="20">
        <v>9429</v>
      </c>
      <c r="B687" s="20" t="s">
        <v>15523</v>
      </c>
      <c r="C687" s="20">
        <v>9429</v>
      </c>
      <c r="D687" s="20" t="e">
        <f>VLOOKUP(C687,[1]CHILDCARE_FACILITIES!AJ:AK,2,0)</f>
        <v>#N/A</v>
      </c>
      <c r="E687" s="20" t="s">
        <v>15134</v>
      </c>
      <c r="F687" s="20" t="s">
        <v>15135</v>
      </c>
      <c r="G687" s="20">
        <v>73260001</v>
      </c>
      <c r="K687" s="20">
        <v>9429</v>
      </c>
    </row>
    <row r="688" spans="1:13" x14ac:dyDescent="0.25">
      <c r="A688" s="20">
        <v>9248</v>
      </c>
      <c r="B688" s="20" t="s">
        <v>15431</v>
      </c>
      <c r="C688" s="20">
        <v>9248</v>
      </c>
      <c r="D688" s="20" t="e">
        <f>VLOOKUP(C688,[1]CHILDCARE_FACILITIES!AJ:AK,2,0)</f>
        <v>#N/A</v>
      </c>
      <c r="E688" s="20" t="s">
        <v>15134</v>
      </c>
      <c r="F688" s="20" t="s">
        <v>15135</v>
      </c>
      <c r="G688" s="20">
        <v>73175001</v>
      </c>
      <c r="K688" s="20">
        <v>9248</v>
      </c>
    </row>
    <row r="689" spans="1:13" x14ac:dyDescent="0.25">
      <c r="A689" s="20">
        <v>90762</v>
      </c>
      <c r="B689" s="20" t="s">
        <v>16677</v>
      </c>
      <c r="C689" s="20">
        <v>90762</v>
      </c>
      <c r="D689" s="20" t="e">
        <f>VLOOKUP(C689,[1]CHILDCARE_FACILITIES!AJ:AK,2,0)</f>
        <v>#N/A</v>
      </c>
      <c r="E689" s="20" t="s">
        <v>15134</v>
      </c>
      <c r="F689" s="20" t="s">
        <v>15135</v>
      </c>
      <c r="G689" s="20">
        <v>133026001</v>
      </c>
      <c r="H689" s="20" t="s">
        <v>15145</v>
      </c>
      <c r="I689" s="20" t="b">
        <v>1</v>
      </c>
      <c r="J689" s="20" t="s">
        <v>17679</v>
      </c>
      <c r="K689" s="20">
        <v>90762</v>
      </c>
      <c r="L689" s="20" t="s">
        <v>17320</v>
      </c>
      <c r="M689" s="20" t="s">
        <v>17680</v>
      </c>
    </row>
    <row r="690" spans="1:13" x14ac:dyDescent="0.25">
      <c r="A690" s="20">
        <v>10151</v>
      </c>
      <c r="B690" s="20" t="s">
        <v>15819</v>
      </c>
      <c r="C690" s="20">
        <v>10151</v>
      </c>
      <c r="D690" s="20" t="e">
        <f>VLOOKUP(C690,[1]CHILDCARE_FACILITIES!AJ:AK,2,0)</f>
        <v>#N/A</v>
      </c>
      <c r="E690" s="20" t="s">
        <v>15134</v>
      </c>
      <c r="F690" s="20" t="s">
        <v>15135</v>
      </c>
      <c r="G690" s="20">
        <v>133016001</v>
      </c>
      <c r="K690" s="20">
        <v>10151</v>
      </c>
    </row>
    <row r="691" spans="1:13" x14ac:dyDescent="0.25">
      <c r="A691" s="20">
        <v>9919</v>
      </c>
      <c r="B691" s="20" t="s">
        <v>15728</v>
      </c>
      <c r="C691" s="20">
        <v>9919</v>
      </c>
      <c r="D691" s="20" t="e">
        <f>VLOOKUP(C691,[1]CHILDCARE_FACILITIES!AJ:AK,2,0)</f>
        <v>#N/A</v>
      </c>
      <c r="E691" s="20" t="s">
        <v>15134</v>
      </c>
      <c r="F691" s="20" t="s">
        <v>15135</v>
      </c>
      <c r="G691" s="20">
        <v>103051001</v>
      </c>
      <c r="K691" s="20">
        <v>9919</v>
      </c>
    </row>
    <row r="692" spans="1:13" x14ac:dyDescent="0.25">
      <c r="A692" s="20">
        <v>9909</v>
      </c>
      <c r="B692" s="20" t="s">
        <v>15724</v>
      </c>
      <c r="C692" s="20">
        <v>9909</v>
      </c>
      <c r="D692" s="20" t="e">
        <f>VLOOKUP(C692,[1]CHILDCARE_FACILITIES!AJ:AK,2,0)</f>
        <v>#N/A</v>
      </c>
      <c r="E692" s="20" t="s">
        <v>15134</v>
      </c>
      <c r="F692" s="20" t="s">
        <v>15135</v>
      </c>
      <c r="G692" s="20">
        <v>103044001</v>
      </c>
      <c r="K692" s="20">
        <v>9909</v>
      </c>
    </row>
    <row r="693" spans="1:13" x14ac:dyDescent="0.25">
      <c r="A693" s="20">
        <v>10039</v>
      </c>
      <c r="B693" s="20" t="s">
        <v>15724</v>
      </c>
      <c r="C693" s="20">
        <v>10039</v>
      </c>
      <c r="D693" s="20" t="e">
        <f>VLOOKUP(C693,[1]CHILDCARE_FACILITIES!AJ:AK,2,0)</f>
        <v>#N/A</v>
      </c>
      <c r="E693" s="20" t="s">
        <v>15134</v>
      </c>
      <c r="F693" s="20" t="s">
        <v>15135</v>
      </c>
      <c r="G693" s="20">
        <v>103104002</v>
      </c>
      <c r="K693" s="20">
        <v>10039</v>
      </c>
    </row>
    <row r="694" spans="1:13" x14ac:dyDescent="0.25">
      <c r="A694" s="20">
        <v>92652</v>
      </c>
      <c r="B694" s="20" t="s">
        <v>16882</v>
      </c>
      <c r="C694" s="20">
        <v>92652</v>
      </c>
      <c r="D694" s="20" t="e">
        <f>VLOOKUP(C694,[1]CHILDCARE_FACILITIES!AJ:AK,2,0)</f>
        <v>#N/A</v>
      </c>
      <c r="E694" s="20" t="s">
        <v>15134</v>
      </c>
      <c r="F694" s="20" t="s">
        <v>15135</v>
      </c>
      <c r="G694" s="20">
        <v>23016001</v>
      </c>
      <c r="H694" s="20" t="s">
        <v>15136</v>
      </c>
      <c r="I694" s="20" t="b">
        <v>1</v>
      </c>
      <c r="J694" s="20" t="s">
        <v>17618</v>
      </c>
      <c r="K694" s="20">
        <v>92652</v>
      </c>
      <c r="L694" s="20" t="s">
        <v>17619</v>
      </c>
      <c r="M694" s="20" t="s">
        <v>17620</v>
      </c>
    </row>
    <row r="695" spans="1:13" x14ac:dyDescent="0.25">
      <c r="A695" s="20">
        <v>92652</v>
      </c>
      <c r="B695" s="20" t="s">
        <v>16882</v>
      </c>
      <c r="C695" s="20">
        <v>92652</v>
      </c>
      <c r="D695" s="20" t="e">
        <f>VLOOKUP(C695,[1]CHILDCARE_FACILITIES!AJ:AK,2,0)</f>
        <v>#N/A</v>
      </c>
      <c r="E695" s="20" t="s">
        <v>15134</v>
      </c>
      <c r="F695" s="20" t="s">
        <v>15135</v>
      </c>
      <c r="G695" s="20">
        <v>23016001</v>
      </c>
      <c r="H695" s="20" t="s">
        <v>15138</v>
      </c>
      <c r="I695" s="20" t="b">
        <v>1</v>
      </c>
      <c r="J695" s="20" t="s">
        <v>17618</v>
      </c>
      <c r="K695" s="20">
        <v>92652</v>
      </c>
      <c r="L695" s="20" t="s">
        <v>17619</v>
      </c>
      <c r="M695" s="20" t="s">
        <v>17620</v>
      </c>
    </row>
    <row r="696" spans="1:13" x14ac:dyDescent="0.25">
      <c r="A696" s="20">
        <v>486975</v>
      </c>
      <c r="B696" s="20" t="s">
        <v>16998</v>
      </c>
      <c r="C696" s="20">
        <v>486975</v>
      </c>
      <c r="D696" s="20" t="str">
        <f>VLOOKUP(C696,[1]CHILDCARE_FACILITIES!AJ:AK,2,0)</f>
        <v>CDC-17223</v>
      </c>
      <c r="E696" s="20" t="s">
        <v>15134</v>
      </c>
      <c r="F696" s="20" t="s">
        <v>15135</v>
      </c>
      <c r="G696" s="20">
        <v>103155001</v>
      </c>
      <c r="H696" s="20" t="s">
        <v>15136</v>
      </c>
      <c r="I696" s="20" t="b">
        <v>1</v>
      </c>
      <c r="J696" s="20" t="s">
        <v>17758</v>
      </c>
      <c r="K696" s="20">
        <v>486975</v>
      </c>
      <c r="L696" s="20" t="s">
        <v>17271</v>
      </c>
      <c r="M696" s="20" t="s">
        <v>17759</v>
      </c>
    </row>
    <row r="697" spans="1:13" x14ac:dyDescent="0.25">
      <c r="A697" s="20">
        <v>92881</v>
      </c>
      <c r="B697" s="20" t="s">
        <v>16943</v>
      </c>
      <c r="C697" s="20">
        <v>92881</v>
      </c>
      <c r="D697" s="20" t="e">
        <f>VLOOKUP(C697,[1]CHILDCARE_FACILITIES!AJ:AK,2,0)</f>
        <v>#N/A</v>
      </c>
      <c r="E697" s="20" t="s">
        <v>15134</v>
      </c>
      <c r="F697" s="20" t="s">
        <v>15135</v>
      </c>
      <c r="G697" s="20">
        <v>102273000</v>
      </c>
      <c r="H697" s="20" t="s">
        <v>15138</v>
      </c>
      <c r="I697" s="20" t="b">
        <v>1</v>
      </c>
      <c r="J697" s="20" t="s">
        <v>17758</v>
      </c>
      <c r="K697" s="20">
        <v>92881</v>
      </c>
      <c r="L697" s="20" t="s">
        <v>17271</v>
      </c>
      <c r="M697" s="20" t="s">
        <v>17759</v>
      </c>
    </row>
    <row r="698" spans="1:13" x14ac:dyDescent="0.25">
      <c r="A698" s="20">
        <v>92881</v>
      </c>
      <c r="B698" s="20" t="s">
        <v>16943</v>
      </c>
      <c r="C698" s="20">
        <v>92881</v>
      </c>
      <c r="D698" s="20" t="e">
        <f>VLOOKUP(C698,[1]CHILDCARE_FACILITIES!AJ:AK,2,0)</f>
        <v>#N/A</v>
      </c>
      <c r="E698" s="20" t="s">
        <v>15134</v>
      </c>
      <c r="F698" s="20" t="s">
        <v>15135</v>
      </c>
      <c r="G698" s="20">
        <v>102273000</v>
      </c>
      <c r="H698" s="20" t="s">
        <v>15136</v>
      </c>
      <c r="I698" s="20" t="b">
        <v>1</v>
      </c>
      <c r="J698" s="20" t="s">
        <v>17758</v>
      </c>
      <c r="K698" s="20">
        <v>92881</v>
      </c>
      <c r="L698" s="20" t="s">
        <v>17271</v>
      </c>
      <c r="M698" s="20" t="s">
        <v>17759</v>
      </c>
    </row>
    <row r="699" spans="1:13" x14ac:dyDescent="0.25">
      <c r="A699" s="20">
        <v>92882</v>
      </c>
      <c r="B699" s="20" t="s">
        <v>16943</v>
      </c>
      <c r="C699" s="20">
        <v>92882</v>
      </c>
      <c r="D699" s="20" t="e">
        <f>VLOOKUP(C699,[1]CHILDCARE_FACILITIES!AJ:AK,2,0)</f>
        <v>#N/A</v>
      </c>
      <c r="E699" s="20" t="s">
        <v>15134</v>
      </c>
      <c r="F699" s="20" t="s">
        <v>15135</v>
      </c>
      <c r="G699" s="20">
        <v>102273001</v>
      </c>
      <c r="H699" s="20" t="s">
        <v>15138</v>
      </c>
      <c r="I699" s="20" t="b">
        <v>1</v>
      </c>
      <c r="J699" s="20" t="s">
        <v>17758</v>
      </c>
      <c r="K699" s="20">
        <v>92882</v>
      </c>
      <c r="L699" s="20" t="s">
        <v>17271</v>
      </c>
      <c r="M699" s="20" t="s">
        <v>17759</v>
      </c>
    </row>
    <row r="700" spans="1:13" x14ac:dyDescent="0.25">
      <c r="A700" s="20">
        <v>92882</v>
      </c>
      <c r="B700" s="20" t="s">
        <v>16943</v>
      </c>
      <c r="C700" s="20">
        <v>92882</v>
      </c>
      <c r="D700" s="20" t="e">
        <f>VLOOKUP(C700,[1]CHILDCARE_FACILITIES!AJ:AK,2,0)</f>
        <v>#N/A</v>
      </c>
      <c r="E700" s="20" t="s">
        <v>15134</v>
      </c>
      <c r="F700" s="20" t="s">
        <v>15135</v>
      </c>
      <c r="G700" s="20">
        <v>102273001</v>
      </c>
      <c r="H700" s="20" t="s">
        <v>15136</v>
      </c>
      <c r="I700" s="20" t="b">
        <v>1</v>
      </c>
      <c r="J700" s="20" t="s">
        <v>17758</v>
      </c>
      <c r="K700" s="20">
        <v>92882</v>
      </c>
      <c r="L700" s="20" t="s">
        <v>17271</v>
      </c>
      <c r="M700" s="20" t="s">
        <v>17759</v>
      </c>
    </row>
    <row r="701" spans="1:13" x14ac:dyDescent="0.25">
      <c r="A701" s="20">
        <v>80728</v>
      </c>
      <c r="B701" s="20" t="s">
        <v>16201</v>
      </c>
      <c r="C701" s="20">
        <v>80728</v>
      </c>
      <c r="D701" s="20" t="e">
        <f>VLOOKUP(C701,[1]CHILDCARE_FACILITIES!AJ:AK,2,0)</f>
        <v>#N/A</v>
      </c>
      <c r="E701" s="20" t="s">
        <v>15134</v>
      </c>
      <c r="F701" s="20" t="s">
        <v>15135</v>
      </c>
      <c r="G701" s="20">
        <v>73485000</v>
      </c>
      <c r="H701" s="20" t="s">
        <v>15136</v>
      </c>
      <c r="I701" s="20" t="b">
        <v>1</v>
      </c>
      <c r="J701" s="20" t="s">
        <v>17760</v>
      </c>
      <c r="K701" s="20">
        <v>80728</v>
      </c>
      <c r="L701" s="20" t="s">
        <v>17213</v>
      </c>
      <c r="M701" s="20" t="s">
        <v>17761</v>
      </c>
    </row>
    <row r="702" spans="1:13" x14ac:dyDescent="0.25">
      <c r="A702" s="20">
        <v>80728</v>
      </c>
      <c r="B702" s="20" t="s">
        <v>16201</v>
      </c>
      <c r="C702" s="20">
        <v>80728</v>
      </c>
      <c r="D702" s="20" t="e">
        <f>VLOOKUP(C702,[1]CHILDCARE_FACILITIES!AJ:AK,2,0)</f>
        <v>#N/A</v>
      </c>
      <c r="E702" s="20" t="s">
        <v>15134</v>
      </c>
      <c r="F702" s="20" t="s">
        <v>15135</v>
      </c>
      <c r="G702" s="20">
        <v>73485000</v>
      </c>
      <c r="H702" s="20" t="s">
        <v>15138</v>
      </c>
      <c r="I702" s="20" t="b">
        <v>1</v>
      </c>
      <c r="J702" s="20" t="s">
        <v>17760</v>
      </c>
      <c r="K702" s="20">
        <v>80728</v>
      </c>
      <c r="L702" s="20" t="s">
        <v>17213</v>
      </c>
      <c r="M702" s="20" t="s">
        <v>17761</v>
      </c>
    </row>
    <row r="703" spans="1:13" x14ac:dyDescent="0.25">
      <c r="A703" s="20">
        <v>80729</v>
      </c>
      <c r="B703" s="20" t="s">
        <v>16201</v>
      </c>
      <c r="C703" s="20">
        <v>80729</v>
      </c>
      <c r="D703" s="20" t="str">
        <f>VLOOKUP(C703,[1]CHILDCARE_FACILITIES!AJ:AK,2,0)</f>
        <v>CDC-6138</v>
      </c>
      <c r="E703" s="20" t="s">
        <v>15134</v>
      </c>
      <c r="F703" s="20" t="s">
        <v>15135</v>
      </c>
      <c r="G703" s="20">
        <v>73485001</v>
      </c>
      <c r="H703" s="20" t="s">
        <v>15145</v>
      </c>
      <c r="I703" s="20" t="b">
        <v>1</v>
      </c>
      <c r="J703" s="20" t="s">
        <v>17762</v>
      </c>
      <c r="K703" s="20">
        <v>80729</v>
      </c>
      <c r="L703" s="20" t="s">
        <v>17213</v>
      </c>
      <c r="M703" s="20" t="s">
        <v>17761</v>
      </c>
    </row>
    <row r="704" spans="1:13" x14ac:dyDescent="0.25">
      <c r="A704" s="20">
        <v>80729</v>
      </c>
      <c r="B704" s="20" t="s">
        <v>16201</v>
      </c>
      <c r="C704" s="20">
        <v>80729</v>
      </c>
      <c r="D704" s="20" t="str">
        <f>VLOOKUP(C704,[1]CHILDCARE_FACILITIES!AJ:AK,2,0)</f>
        <v>CDC-6138</v>
      </c>
      <c r="E704" s="20" t="s">
        <v>15134</v>
      </c>
      <c r="F704" s="20" t="s">
        <v>15135</v>
      </c>
      <c r="G704" s="20">
        <v>73485001</v>
      </c>
      <c r="H704" s="20" t="s">
        <v>15138</v>
      </c>
      <c r="I704" s="20" t="b">
        <v>1</v>
      </c>
      <c r="J704" s="20" t="s">
        <v>17762</v>
      </c>
      <c r="K704" s="20">
        <v>80729</v>
      </c>
      <c r="L704" s="20" t="s">
        <v>17213</v>
      </c>
      <c r="M704" s="20" t="s">
        <v>17761</v>
      </c>
    </row>
    <row r="705" spans="1:13" x14ac:dyDescent="0.25">
      <c r="A705" s="20">
        <v>1001128</v>
      </c>
      <c r="B705" s="20" t="s">
        <v>17174</v>
      </c>
      <c r="C705" s="20">
        <v>1001128</v>
      </c>
      <c r="D705" s="20" t="e">
        <f>VLOOKUP(C705,[1]CHILDCARE_FACILITIES!AJ:AK,2,0)</f>
        <v>#N/A</v>
      </c>
      <c r="E705" s="20" t="s">
        <v>15134</v>
      </c>
      <c r="F705" s="20" t="s">
        <v>15135</v>
      </c>
      <c r="G705" s="20">
        <v>73367000</v>
      </c>
      <c r="H705" s="20" t="s">
        <v>15136</v>
      </c>
      <c r="I705" s="20" t="b">
        <v>1</v>
      </c>
      <c r="J705" s="20" t="s">
        <v>17328</v>
      </c>
      <c r="K705" s="20">
        <v>1001128</v>
      </c>
      <c r="L705" s="20" t="s">
        <v>17236</v>
      </c>
      <c r="M705" s="20" t="s">
        <v>17329</v>
      </c>
    </row>
    <row r="706" spans="1:13" x14ac:dyDescent="0.25">
      <c r="A706" s="20">
        <v>1001128</v>
      </c>
      <c r="B706" s="20" t="s">
        <v>17174</v>
      </c>
      <c r="C706" s="20">
        <v>1001128</v>
      </c>
      <c r="D706" s="20" t="e">
        <f>VLOOKUP(C706,[1]CHILDCARE_FACILITIES!AJ:AK,2,0)</f>
        <v>#N/A</v>
      </c>
      <c r="E706" s="20" t="s">
        <v>15134</v>
      </c>
      <c r="F706" s="20" t="s">
        <v>15135</v>
      </c>
      <c r="G706" s="20">
        <v>73367000</v>
      </c>
      <c r="H706" s="20" t="s">
        <v>15138</v>
      </c>
      <c r="I706" s="20" t="b">
        <v>1</v>
      </c>
      <c r="J706" s="20" t="s">
        <v>17328</v>
      </c>
      <c r="K706" s="20">
        <v>1001128</v>
      </c>
      <c r="L706" s="20" t="s">
        <v>17236</v>
      </c>
      <c r="M706" s="20" t="s">
        <v>17329</v>
      </c>
    </row>
    <row r="707" spans="1:13" x14ac:dyDescent="0.25">
      <c r="A707" s="20">
        <v>9105</v>
      </c>
      <c r="B707" s="20" t="s">
        <v>15362</v>
      </c>
      <c r="C707" s="20">
        <v>9105</v>
      </c>
      <c r="D707" s="20" t="e">
        <f>VLOOKUP(C707,[1]CHILDCARE_FACILITIES!AJ:AK,2,0)</f>
        <v>#N/A</v>
      </c>
      <c r="E707" s="20" t="s">
        <v>15134</v>
      </c>
      <c r="F707" s="20" t="s">
        <v>15135</v>
      </c>
      <c r="G707" s="20">
        <v>73076001</v>
      </c>
      <c r="K707" s="20">
        <v>9105</v>
      </c>
    </row>
    <row r="708" spans="1:13" x14ac:dyDescent="0.25">
      <c r="A708" s="20">
        <v>9967</v>
      </c>
      <c r="B708" s="20" t="s">
        <v>15754</v>
      </c>
      <c r="C708" s="20">
        <v>9967</v>
      </c>
      <c r="D708" s="20" t="e">
        <f>VLOOKUP(C708,[1]CHILDCARE_FACILITIES!AJ:AK,2,0)</f>
        <v>#N/A</v>
      </c>
      <c r="E708" s="20" t="s">
        <v>15134</v>
      </c>
      <c r="F708" s="20" t="s">
        <v>15135</v>
      </c>
      <c r="G708" s="20">
        <v>103075001</v>
      </c>
      <c r="K708" s="20">
        <v>9967</v>
      </c>
    </row>
    <row r="709" spans="1:13" x14ac:dyDescent="0.25">
      <c r="A709" s="20">
        <v>8781</v>
      </c>
      <c r="B709" s="20" t="s">
        <v>15273</v>
      </c>
      <c r="C709" s="20">
        <v>8781</v>
      </c>
      <c r="D709" s="20" t="e">
        <f>VLOOKUP(C709,[1]CHILDCARE_FACILITIES!AJ:AK,2,0)</f>
        <v>#N/A</v>
      </c>
      <c r="E709" s="20" t="s">
        <v>15134</v>
      </c>
      <c r="F709" s="20" t="s">
        <v>15135</v>
      </c>
      <c r="G709" s="20">
        <v>72409001</v>
      </c>
      <c r="K709" s="20">
        <v>8781</v>
      </c>
    </row>
    <row r="710" spans="1:13" x14ac:dyDescent="0.25">
      <c r="A710" s="20">
        <v>10071</v>
      </c>
      <c r="B710" s="20" t="s">
        <v>15800</v>
      </c>
      <c r="C710" s="20">
        <v>10071</v>
      </c>
      <c r="D710" s="20" t="e">
        <f>VLOOKUP(C710,[1]CHILDCARE_FACILITIES!AJ:AK,2,0)</f>
        <v>#N/A</v>
      </c>
      <c r="E710" s="20" t="s">
        <v>15134</v>
      </c>
      <c r="F710" s="20" t="s">
        <v>15135</v>
      </c>
      <c r="G710" s="20">
        <v>109302001</v>
      </c>
      <c r="H710" s="20" t="s">
        <v>15136</v>
      </c>
      <c r="I710" s="20" t="b">
        <v>1</v>
      </c>
      <c r="J710" s="20" t="s">
        <v>17763</v>
      </c>
      <c r="K710" s="20">
        <v>10071</v>
      </c>
      <c r="L710" s="20" t="s">
        <v>17271</v>
      </c>
      <c r="M710" s="20" t="s">
        <v>17764</v>
      </c>
    </row>
    <row r="711" spans="1:13" x14ac:dyDescent="0.25">
      <c r="A711" s="20">
        <v>10071</v>
      </c>
      <c r="B711" s="20" t="s">
        <v>15800</v>
      </c>
      <c r="C711" s="20">
        <v>10071</v>
      </c>
      <c r="D711" s="20" t="e">
        <f>VLOOKUP(C711,[1]CHILDCARE_FACILITIES!AJ:AK,2,0)</f>
        <v>#N/A</v>
      </c>
      <c r="E711" s="20" t="s">
        <v>15134</v>
      </c>
      <c r="F711" s="20" t="s">
        <v>15135</v>
      </c>
      <c r="G711" s="20">
        <v>109302001</v>
      </c>
      <c r="H711" s="20" t="s">
        <v>15138</v>
      </c>
      <c r="I711" s="20" t="b">
        <v>0</v>
      </c>
      <c r="J711" s="20" t="s">
        <v>17765</v>
      </c>
      <c r="K711" s="20">
        <v>10071</v>
      </c>
      <c r="L711" s="20" t="s">
        <v>17282</v>
      </c>
      <c r="M711" s="20" t="s">
        <v>17766</v>
      </c>
    </row>
    <row r="712" spans="1:13" x14ac:dyDescent="0.25">
      <c r="A712" s="20">
        <v>8661</v>
      </c>
      <c r="B712" s="20" t="s">
        <v>15179</v>
      </c>
      <c r="C712" s="20">
        <v>8661</v>
      </c>
      <c r="D712" s="20" t="e">
        <f>VLOOKUP(C712,[1]CHILDCARE_FACILITIES!AJ:AK,2,0)</f>
        <v>#N/A</v>
      </c>
      <c r="E712" s="20" t="s">
        <v>15134</v>
      </c>
      <c r="F712" s="20" t="s">
        <v>15135</v>
      </c>
      <c r="G712" s="20">
        <v>72204001</v>
      </c>
      <c r="K712" s="20">
        <v>8661</v>
      </c>
    </row>
    <row r="713" spans="1:13" x14ac:dyDescent="0.25">
      <c r="A713" s="20">
        <v>92324</v>
      </c>
      <c r="B713" s="20" t="s">
        <v>16853</v>
      </c>
      <c r="C713" s="20">
        <v>92324</v>
      </c>
      <c r="D713" s="20" t="str">
        <f>VLOOKUP(C713,[1]CHILDCARE_FACILITIES!AJ:AK,2,0)</f>
        <v>CDC-16775</v>
      </c>
      <c r="E713" s="20" t="s">
        <v>15134</v>
      </c>
      <c r="F713" s="20" t="s">
        <v>15135</v>
      </c>
      <c r="G713" s="20">
        <v>71973001</v>
      </c>
      <c r="H713" s="20" t="s">
        <v>15136</v>
      </c>
      <c r="I713" s="20" t="b">
        <v>1</v>
      </c>
      <c r="J713" s="20" t="s">
        <v>17767</v>
      </c>
      <c r="K713" s="20">
        <v>92324</v>
      </c>
      <c r="L713" s="20" t="s">
        <v>17213</v>
      </c>
      <c r="M713" s="20" t="s">
        <v>17768</v>
      </c>
    </row>
    <row r="714" spans="1:13" x14ac:dyDescent="0.25">
      <c r="A714" s="20">
        <v>92324</v>
      </c>
      <c r="B714" s="20" t="s">
        <v>16853</v>
      </c>
      <c r="C714" s="20">
        <v>92324</v>
      </c>
      <c r="D714" s="20" t="str">
        <f>VLOOKUP(C714,[1]CHILDCARE_FACILITIES!AJ:AK,2,0)</f>
        <v>CDC-16775</v>
      </c>
      <c r="E714" s="20" t="s">
        <v>15134</v>
      </c>
      <c r="F714" s="20" t="s">
        <v>15135</v>
      </c>
      <c r="G714" s="20">
        <v>71973001</v>
      </c>
      <c r="H714" s="20" t="s">
        <v>15138</v>
      </c>
      <c r="I714" s="20" t="b">
        <v>1</v>
      </c>
      <c r="J714" s="20" t="s">
        <v>17769</v>
      </c>
      <c r="K714" s="20">
        <v>92324</v>
      </c>
      <c r="L714" s="20" t="s">
        <v>17236</v>
      </c>
      <c r="M714" s="20" t="s">
        <v>17770</v>
      </c>
    </row>
    <row r="715" spans="1:13" x14ac:dyDescent="0.25">
      <c r="A715" s="20">
        <v>90853</v>
      </c>
      <c r="B715" s="20" t="s">
        <v>16703</v>
      </c>
      <c r="C715" s="20">
        <v>90853</v>
      </c>
      <c r="D715" s="20" t="str">
        <f>VLOOKUP(C715,[1]CHILDCARE_FACILITIES!AJ:AK,2,0)</f>
        <v>CDC-15544</v>
      </c>
      <c r="E715" s="20" t="s">
        <v>15134</v>
      </c>
      <c r="F715" s="20" t="s">
        <v>15135</v>
      </c>
      <c r="G715" s="20">
        <v>73562002</v>
      </c>
      <c r="H715" s="20" t="s">
        <v>15145</v>
      </c>
      <c r="I715" s="20" t="b">
        <v>1</v>
      </c>
      <c r="J715" s="20" t="s">
        <v>17292</v>
      </c>
      <c r="K715" s="20">
        <v>90853</v>
      </c>
      <c r="L715" s="20" t="s">
        <v>17213</v>
      </c>
      <c r="M715" s="20" t="s">
        <v>17293</v>
      </c>
    </row>
    <row r="716" spans="1:13" x14ac:dyDescent="0.25">
      <c r="A716" s="20">
        <v>89780</v>
      </c>
      <c r="B716" s="20" t="s">
        <v>16457</v>
      </c>
      <c r="C716" s="20">
        <v>89780</v>
      </c>
      <c r="D716" s="20" t="str">
        <f>VLOOKUP(C716,[1]CHILDCARE_FACILITIES!AJ:AK,2,0)</f>
        <v>CDC-13819</v>
      </c>
      <c r="E716" s="20" t="s">
        <v>15134</v>
      </c>
      <c r="F716" s="20" t="s">
        <v>15135</v>
      </c>
      <c r="G716" s="20">
        <v>73562001</v>
      </c>
      <c r="H716" s="20" t="s">
        <v>15145</v>
      </c>
      <c r="I716" s="20" t="b">
        <v>1</v>
      </c>
      <c r="J716" s="20" t="s">
        <v>17771</v>
      </c>
      <c r="K716" s="20">
        <v>89780</v>
      </c>
      <c r="L716" s="20" t="s">
        <v>17213</v>
      </c>
      <c r="M716" s="20" t="s">
        <v>17772</v>
      </c>
    </row>
    <row r="717" spans="1:13" x14ac:dyDescent="0.25">
      <c r="A717" s="20">
        <v>89780</v>
      </c>
      <c r="B717" s="20" t="s">
        <v>16457</v>
      </c>
      <c r="C717" s="20">
        <v>89780</v>
      </c>
      <c r="D717" s="20" t="str">
        <f>VLOOKUP(C717,[1]CHILDCARE_FACILITIES!AJ:AK,2,0)</f>
        <v>CDC-13819</v>
      </c>
      <c r="E717" s="20" t="s">
        <v>15134</v>
      </c>
      <c r="F717" s="20" t="s">
        <v>15135</v>
      </c>
      <c r="G717" s="20">
        <v>73562001</v>
      </c>
      <c r="H717" s="20" t="s">
        <v>15138</v>
      </c>
      <c r="I717" s="20" t="b">
        <v>1</v>
      </c>
      <c r="J717" s="20" t="s">
        <v>17771</v>
      </c>
      <c r="K717" s="20">
        <v>89780</v>
      </c>
      <c r="L717" s="20" t="s">
        <v>17213</v>
      </c>
      <c r="M717" s="20" t="s">
        <v>17772</v>
      </c>
    </row>
    <row r="718" spans="1:13" x14ac:dyDescent="0.25">
      <c r="A718" s="20">
        <v>92785</v>
      </c>
      <c r="B718" s="20" t="s">
        <v>16922</v>
      </c>
      <c r="C718" s="20">
        <v>92785</v>
      </c>
      <c r="D718" s="20" t="str">
        <f>VLOOKUP(C718,[1]CHILDCARE_FACILITIES!AJ:AK,2,0)</f>
        <v>CDC-17004</v>
      </c>
      <c r="E718" s="20" t="s">
        <v>15134</v>
      </c>
      <c r="F718" s="20" t="s">
        <v>15135</v>
      </c>
      <c r="G718" s="20">
        <v>73321001</v>
      </c>
      <c r="H718" s="20" t="s">
        <v>15136</v>
      </c>
      <c r="I718" s="20" t="b">
        <v>1</v>
      </c>
      <c r="J718" s="20" t="s">
        <v>17773</v>
      </c>
      <c r="K718" s="20">
        <v>92785</v>
      </c>
      <c r="L718" s="20" t="s">
        <v>17236</v>
      </c>
      <c r="M718" s="20" t="s">
        <v>17774</v>
      </c>
    </row>
    <row r="719" spans="1:13" x14ac:dyDescent="0.25">
      <c r="A719" s="20">
        <v>784213</v>
      </c>
      <c r="B719" s="20" t="s">
        <v>17024</v>
      </c>
      <c r="C719" s="20">
        <v>784213</v>
      </c>
      <c r="D719" s="20" t="str">
        <f>VLOOKUP(C719,[1]CHILDCARE_FACILITIES!AJ:AK,2,0)</f>
        <v>CDC-17566</v>
      </c>
      <c r="E719" s="20" t="s">
        <v>15134</v>
      </c>
      <c r="F719" s="20" t="s">
        <v>15135</v>
      </c>
      <c r="G719" s="20">
        <v>73321002</v>
      </c>
      <c r="K719" s="20">
        <v>784213</v>
      </c>
    </row>
    <row r="720" spans="1:13" x14ac:dyDescent="0.25">
      <c r="A720" s="20">
        <v>92784</v>
      </c>
      <c r="B720" s="20" t="s">
        <v>16920</v>
      </c>
      <c r="C720" s="20">
        <v>92784</v>
      </c>
      <c r="D720" s="20" t="e">
        <f>VLOOKUP(C720,[1]CHILDCARE_FACILITIES!AJ:AK,2,0)</f>
        <v>#N/A</v>
      </c>
      <c r="E720" s="20" t="s">
        <v>15134</v>
      </c>
      <c r="F720" s="20" t="s">
        <v>15135</v>
      </c>
      <c r="G720" s="20">
        <v>73321000</v>
      </c>
      <c r="H720" s="20" t="s">
        <v>15138</v>
      </c>
      <c r="I720" s="20" t="b">
        <v>1</v>
      </c>
      <c r="J720" s="20" t="s">
        <v>17773</v>
      </c>
      <c r="K720" s="20">
        <v>92784</v>
      </c>
      <c r="L720" s="20" t="s">
        <v>17236</v>
      </c>
      <c r="M720" s="20" t="s">
        <v>17774</v>
      </c>
    </row>
    <row r="721" spans="1:13" x14ac:dyDescent="0.25">
      <c r="A721" s="20">
        <v>92784</v>
      </c>
      <c r="B721" s="20" t="s">
        <v>16920</v>
      </c>
      <c r="C721" s="20">
        <v>92784</v>
      </c>
      <c r="D721" s="20" t="e">
        <f>VLOOKUP(C721,[1]CHILDCARE_FACILITIES!AJ:AK,2,0)</f>
        <v>#N/A</v>
      </c>
      <c r="E721" s="20" t="s">
        <v>15134</v>
      </c>
      <c r="F721" s="20" t="s">
        <v>15135</v>
      </c>
      <c r="G721" s="20">
        <v>73321000</v>
      </c>
      <c r="H721" s="20" t="s">
        <v>15136</v>
      </c>
      <c r="I721" s="20" t="b">
        <v>1</v>
      </c>
      <c r="J721" s="20" t="s">
        <v>17773</v>
      </c>
      <c r="K721" s="20">
        <v>92784</v>
      </c>
      <c r="L721" s="20" t="s">
        <v>17236</v>
      </c>
      <c r="M721" s="20" t="s">
        <v>17774</v>
      </c>
    </row>
    <row r="722" spans="1:13" x14ac:dyDescent="0.25">
      <c r="A722" s="20">
        <v>9644</v>
      </c>
      <c r="B722" s="20" t="s">
        <v>15621</v>
      </c>
      <c r="C722" s="20">
        <v>9644</v>
      </c>
      <c r="D722" s="20" t="e">
        <f>VLOOKUP(C722,[1]CHILDCARE_FACILITIES!AJ:AK,2,0)</f>
        <v>#N/A</v>
      </c>
      <c r="E722" s="20" t="s">
        <v>15134</v>
      </c>
      <c r="F722" s="20" t="s">
        <v>15135</v>
      </c>
      <c r="G722" s="20">
        <v>83011001</v>
      </c>
      <c r="K722" s="20">
        <v>9644</v>
      </c>
    </row>
    <row r="723" spans="1:13" x14ac:dyDescent="0.25">
      <c r="A723" s="20">
        <v>9738</v>
      </c>
      <c r="B723" s="20" t="s">
        <v>15643</v>
      </c>
      <c r="C723" s="20">
        <v>9738</v>
      </c>
      <c r="D723" s="20" t="e">
        <f>VLOOKUP(C723,[1]CHILDCARE_FACILITIES!AJ:AK,2,0)</f>
        <v>#N/A</v>
      </c>
      <c r="E723" s="20" t="s">
        <v>15134</v>
      </c>
      <c r="F723" s="20" t="s">
        <v>15135</v>
      </c>
      <c r="G723" s="20">
        <v>102217001</v>
      </c>
      <c r="K723" s="20">
        <v>9738</v>
      </c>
    </row>
    <row r="724" spans="1:13" x14ac:dyDescent="0.25">
      <c r="A724" s="20">
        <v>9622</v>
      </c>
      <c r="B724" s="20" t="s">
        <v>15611</v>
      </c>
      <c r="C724" s="20">
        <v>9622</v>
      </c>
      <c r="D724" s="20" t="e">
        <f>VLOOKUP(C724,[1]CHILDCARE_FACILITIES!AJ:AK,2,0)</f>
        <v>#N/A</v>
      </c>
      <c r="E724" s="20" t="s">
        <v>15134</v>
      </c>
      <c r="F724" s="20" t="s">
        <v>15135</v>
      </c>
      <c r="G724" s="20">
        <v>83002001</v>
      </c>
      <c r="K724" s="20">
        <v>9622</v>
      </c>
    </row>
    <row r="725" spans="1:13" x14ac:dyDescent="0.25">
      <c r="A725" s="20">
        <v>80531</v>
      </c>
      <c r="B725" s="20" t="s">
        <v>16104</v>
      </c>
      <c r="C725" s="20">
        <v>80531</v>
      </c>
      <c r="D725" s="20" t="str">
        <f>VLOOKUP(C725,[1]CHILDCARE_FACILITIES!AJ:AK,2,0)</f>
        <v>CDC-9645</v>
      </c>
      <c r="E725" s="20" t="s">
        <v>15134</v>
      </c>
      <c r="F725" s="20" t="s">
        <v>15135</v>
      </c>
      <c r="G725" s="20">
        <v>143009002</v>
      </c>
      <c r="H725" s="20" t="s">
        <v>15138</v>
      </c>
      <c r="I725" s="20" t="b">
        <v>1</v>
      </c>
      <c r="J725" s="20" t="s">
        <v>17775</v>
      </c>
      <c r="K725" s="20">
        <v>80531</v>
      </c>
      <c r="L725" s="20" t="s">
        <v>17335</v>
      </c>
      <c r="M725" s="20" t="s">
        <v>17776</v>
      </c>
    </row>
    <row r="726" spans="1:13" x14ac:dyDescent="0.25">
      <c r="A726" s="20">
        <v>80531</v>
      </c>
      <c r="B726" s="20" t="s">
        <v>16104</v>
      </c>
      <c r="C726" s="20">
        <v>80531</v>
      </c>
      <c r="D726" s="20" t="str">
        <f>VLOOKUP(C726,[1]CHILDCARE_FACILITIES!AJ:AK,2,0)</f>
        <v>CDC-9645</v>
      </c>
      <c r="E726" s="20" t="s">
        <v>15134</v>
      </c>
      <c r="F726" s="20" t="s">
        <v>15135</v>
      </c>
      <c r="G726" s="20">
        <v>143009002</v>
      </c>
      <c r="H726" s="20" t="s">
        <v>15145</v>
      </c>
      <c r="I726" s="20" t="b">
        <v>1</v>
      </c>
      <c r="J726" s="20" t="s">
        <v>17775</v>
      </c>
      <c r="K726" s="20">
        <v>80531</v>
      </c>
      <c r="L726" s="20" t="s">
        <v>17335</v>
      </c>
      <c r="M726" s="20" t="s">
        <v>17776</v>
      </c>
    </row>
    <row r="727" spans="1:13" x14ac:dyDescent="0.25">
      <c r="A727" s="20">
        <v>9640</v>
      </c>
      <c r="B727" s="20" t="s">
        <v>15619</v>
      </c>
      <c r="C727" s="20">
        <v>9640</v>
      </c>
      <c r="D727" s="20" t="e">
        <f>VLOOKUP(C727,[1]CHILDCARE_FACILITIES!AJ:AK,2,0)</f>
        <v>#N/A</v>
      </c>
      <c r="E727" s="20" t="s">
        <v>15134</v>
      </c>
      <c r="F727" s="20" t="s">
        <v>15135</v>
      </c>
      <c r="G727" s="20">
        <v>83009001</v>
      </c>
      <c r="K727" s="20">
        <v>9640</v>
      </c>
    </row>
    <row r="728" spans="1:13" x14ac:dyDescent="0.25">
      <c r="A728" s="20">
        <v>10207</v>
      </c>
      <c r="B728" s="20" t="s">
        <v>15839</v>
      </c>
      <c r="C728" s="20">
        <v>10207</v>
      </c>
      <c r="D728" s="20" t="e">
        <f>VLOOKUP(C728,[1]CHILDCARE_FACILITIES!AJ:AK,2,0)</f>
        <v>#N/A</v>
      </c>
      <c r="E728" s="20" t="s">
        <v>15134</v>
      </c>
      <c r="F728" s="20" t="s">
        <v>15135</v>
      </c>
      <c r="G728" s="20">
        <v>143009000</v>
      </c>
      <c r="H728" s="20" t="s">
        <v>15138</v>
      </c>
      <c r="I728" s="20" t="b">
        <v>1</v>
      </c>
      <c r="J728" s="20" t="s">
        <v>17777</v>
      </c>
      <c r="K728" s="20">
        <v>10207</v>
      </c>
      <c r="L728" s="20" t="s">
        <v>17335</v>
      </c>
      <c r="M728" s="20" t="s">
        <v>17653</v>
      </c>
    </row>
    <row r="729" spans="1:13" x14ac:dyDescent="0.25">
      <c r="A729" s="20">
        <v>10207</v>
      </c>
      <c r="B729" s="20" t="s">
        <v>15839</v>
      </c>
      <c r="C729" s="20">
        <v>10207</v>
      </c>
      <c r="D729" s="20" t="e">
        <f>VLOOKUP(C729,[1]CHILDCARE_FACILITIES!AJ:AK,2,0)</f>
        <v>#N/A</v>
      </c>
      <c r="E729" s="20" t="s">
        <v>15134</v>
      </c>
      <c r="F729" s="20" t="s">
        <v>15135</v>
      </c>
      <c r="G729" s="20">
        <v>143009000</v>
      </c>
      <c r="H729" s="20" t="s">
        <v>15136</v>
      </c>
      <c r="I729" s="20" t="b">
        <v>1</v>
      </c>
      <c r="J729" s="20" t="s">
        <v>17778</v>
      </c>
      <c r="K729" s="20">
        <v>10207</v>
      </c>
      <c r="L729" s="20" t="s">
        <v>17335</v>
      </c>
      <c r="M729" s="20" t="s">
        <v>17776</v>
      </c>
    </row>
    <row r="730" spans="1:13" x14ac:dyDescent="0.25">
      <c r="A730" s="20">
        <v>9786</v>
      </c>
      <c r="B730" s="20" t="s">
        <v>15678</v>
      </c>
      <c r="C730" s="20">
        <v>9786</v>
      </c>
      <c r="D730" s="20" t="e">
        <f>VLOOKUP(C730,[1]CHILDCARE_FACILITIES!AJ:AK,2,0)</f>
        <v>#N/A</v>
      </c>
      <c r="E730" s="20" t="s">
        <v>15134</v>
      </c>
      <c r="F730" s="20" t="s">
        <v>15135</v>
      </c>
      <c r="G730" s="20">
        <v>102250004</v>
      </c>
      <c r="K730" s="20">
        <v>9786</v>
      </c>
    </row>
    <row r="731" spans="1:13" x14ac:dyDescent="0.25">
      <c r="A731" s="20">
        <v>89779</v>
      </c>
      <c r="B731" s="20" t="s">
        <v>16456</v>
      </c>
      <c r="C731" s="20">
        <v>89779</v>
      </c>
      <c r="D731" s="20" t="e">
        <f>VLOOKUP(C731,[1]CHILDCARE_FACILITIES!AJ:AK,2,0)</f>
        <v>#N/A</v>
      </c>
      <c r="E731" s="20" t="s">
        <v>15134</v>
      </c>
      <c r="F731" s="20" t="s">
        <v>15135</v>
      </c>
      <c r="G731" s="20">
        <v>73562000</v>
      </c>
      <c r="H731" s="20" t="s">
        <v>15138</v>
      </c>
      <c r="I731" s="20" t="b">
        <v>1</v>
      </c>
      <c r="J731" s="20" t="s">
        <v>17771</v>
      </c>
      <c r="K731" s="20">
        <v>89779</v>
      </c>
      <c r="L731" s="20" t="s">
        <v>17213</v>
      </c>
      <c r="M731" s="20" t="s">
        <v>17772</v>
      </c>
    </row>
    <row r="732" spans="1:13" x14ac:dyDescent="0.25">
      <c r="A732" s="20">
        <v>89779</v>
      </c>
      <c r="B732" s="20" t="s">
        <v>16456</v>
      </c>
      <c r="C732" s="20">
        <v>89779</v>
      </c>
      <c r="D732" s="20" t="e">
        <f>VLOOKUP(C732,[1]CHILDCARE_FACILITIES!AJ:AK,2,0)</f>
        <v>#N/A</v>
      </c>
      <c r="E732" s="20" t="s">
        <v>15134</v>
      </c>
      <c r="F732" s="20" t="s">
        <v>15135</v>
      </c>
      <c r="G732" s="20">
        <v>73562000</v>
      </c>
      <c r="H732" s="20" t="s">
        <v>15136</v>
      </c>
      <c r="I732" s="20" t="b">
        <v>1</v>
      </c>
      <c r="J732" s="20" t="s">
        <v>17771</v>
      </c>
      <c r="K732" s="20">
        <v>89779</v>
      </c>
      <c r="L732" s="20" t="s">
        <v>17213</v>
      </c>
      <c r="M732" s="20" t="s">
        <v>17772</v>
      </c>
    </row>
    <row r="733" spans="1:13" x14ac:dyDescent="0.25">
      <c r="A733" s="20">
        <v>92323</v>
      </c>
      <c r="B733" s="20" t="s">
        <v>16850</v>
      </c>
      <c r="C733" s="20">
        <v>92323</v>
      </c>
      <c r="D733" s="20" t="e">
        <f>VLOOKUP(C733,[1]CHILDCARE_FACILITIES!AJ:AK,2,0)</f>
        <v>#N/A</v>
      </c>
      <c r="E733" s="20" t="s">
        <v>15134</v>
      </c>
      <c r="F733" s="20" t="s">
        <v>15135</v>
      </c>
      <c r="G733" s="20">
        <v>71973000</v>
      </c>
      <c r="H733" s="20" t="s">
        <v>15138</v>
      </c>
      <c r="I733" s="20" t="b">
        <v>1</v>
      </c>
      <c r="J733" s="20" t="s">
        <v>17769</v>
      </c>
      <c r="K733" s="20">
        <v>92323</v>
      </c>
      <c r="L733" s="20" t="s">
        <v>17236</v>
      </c>
      <c r="M733" s="20" t="s">
        <v>17770</v>
      </c>
    </row>
    <row r="734" spans="1:13" x14ac:dyDescent="0.25">
      <c r="A734" s="20">
        <v>92323</v>
      </c>
      <c r="B734" s="20" t="s">
        <v>16850</v>
      </c>
      <c r="C734" s="20">
        <v>92323</v>
      </c>
      <c r="D734" s="20" t="e">
        <f>VLOOKUP(C734,[1]CHILDCARE_FACILITIES!AJ:AK,2,0)</f>
        <v>#N/A</v>
      </c>
      <c r="E734" s="20" t="s">
        <v>15134</v>
      </c>
      <c r="F734" s="20" t="s">
        <v>15135</v>
      </c>
      <c r="G734" s="20">
        <v>71973000</v>
      </c>
      <c r="H734" s="20" t="s">
        <v>15136</v>
      </c>
      <c r="I734" s="20" t="b">
        <v>1</v>
      </c>
      <c r="J734" s="20" t="s">
        <v>17767</v>
      </c>
      <c r="K734" s="20">
        <v>92323</v>
      </c>
      <c r="L734" s="20" t="s">
        <v>17213</v>
      </c>
      <c r="M734" s="20" t="s">
        <v>17768</v>
      </c>
    </row>
    <row r="735" spans="1:13" x14ac:dyDescent="0.25">
      <c r="A735" s="20">
        <v>9766</v>
      </c>
      <c r="B735" s="20" t="s">
        <v>15660</v>
      </c>
      <c r="C735" s="20">
        <v>9766</v>
      </c>
      <c r="D735" s="20" t="e">
        <f>VLOOKUP(C735,[1]CHILDCARE_FACILITIES!AJ:AK,2,0)</f>
        <v>#N/A</v>
      </c>
      <c r="E735" s="20" t="s">
        <v>15134</v>
      </c>
      <c r="F735" s="20" t="s">
        <v>15135</v>
      </c>
      <c r="G735" s="20">
        <v>102243001</v>
      </c>
      <c r="K735" s="20">
        <v>9766</v>
      </c>
    </row>
    <row r="736" spans="1:13" x14ac:dyDescent="0.25">
      <c r="A736" s="20">
        <v>8472</v>
      </c>
      <c r="B736" s="20" t="s">
        <v>15143</v>
      </c>
      <c r="C736" s="20">
        <v>8472</v>
      </c>
      <c r="D736" s="20" t="e">
        <f>VLOOKUP(C736,[1]CHILDCARE_FACILITIES!AJ:AK,2,0)</f>
        <v>#N/A</v>
      </c>
      <c r="E736" s="20" t="s">
        <v>15134</v>
      </c>
      <c r="F736" s="20" t="s">
        <v>15135</v>
      </c>
      <c r="G736" s="20">
        <v>13003001</v>
      </c>
      <c r="K736" s="20">
        <v>8472</v>
      </c>
    </row>
    <row r="737" spans="1:13" x14ac:dyDescent="0.25">
      <c r="A737" s="20">
        <v>1000085</v>
      </c>
      <c r="B737" s="20" t="s">
        <v>17062</v>
      </c>
      <c r="C737" s="20">
        <v>1000085</v>
      </c>
      <c r="D737" s="20" t="str">
        <f>VLOOKUP(C737,[1]CHILDCARE_FACILITIES!AJ:AK,2,0)</f>
        <v>CDC-18032</v>
      </c>
      <c r="E737" s="20" t="s">
        <v>15134</v>
      </c>
      <c r="F737" s="20" t="s">
        <v>15135</v>
      </c>
      <c r="G737" s="20">
        <v>101989001</v>
      </c>
      <c r="H737" s="20" t="s">
        <v>15138</v>
      </c>
      <c r="I737" s="20" t="b">
        <v>1</v>
      </c>
      <c r="J737" s="20" t="s">
        <v>17779</v>
      </c>
      <c r="K737" s="20">
        <v>1000085</v>
      </c>
      <c r="L737" s="20" t="s">
        <v>17282</v>
      </c>
      <c r="M737" s="20" t="s">
        <v>17780</v>
      </c>
    </row>
    <row r="738" spans="1:13" x14ac:dyDescent="0.25">
      <c r="A738" s="20">
        <v>1000085</v>
      </c>
      <c r="B738" s="20" t="s">
        <v>17062</v>
      </c>
      <c r="C738" s="20">
        <v>1000085</v>
      </c>
      <c r="D738" s="20" t="str">
        <f>VLOOKUP(C738,[1]CHILDCARE_FACILITIES!AJ:AK,2,0)</f>
        <v>CDC-18032</v>
      </c>
      <c r="E738" s="20" t="s">
        <v>15134</v>
      </c>
      <c r="F738" s="20" t="s">
        <v>15135</v>
      </c>
      <c r="G738" s="20">
        <v>101989001</v>
      </c>
      <c r="H738" s="20" t="s">
        <v>15136</v>
      </c>
      <c r="I738" s="20" t="b">
        <v>1</v>
      </c>
      <c r="J738" s="20" t="s">
        <v>17781</v>
      </c>
      <c r="K738" s="20">
        <v>1000085</v>
      </c>
      <c r="L738" s="20" t="s">
        <v>17282</v>
      </c>
      <c r="M738" s="20" t="s">
        <v>17782</v>
      </c>
    </row>
    <row r="739" spans="1:13" x14ac:dyDescent="0.25">
      <c r="A739" s="20">
        <v>1000084</v>
      </c>
      <c r="B739" s="20" t="s">
        <v>17059</v>
      </c>
      <c r="C739" s="20">
        <v>1000084</v>
      </c>
      <c r="D739" s="20" t="e">
        <f>VLOOKUP(C739,[1]CHILDCARE_FACILITIES!AJ:AK,2,0)</f>
        <v>#N/A</v>
      </c>
      <c r="E739" s="20" t="s">
        <v>15134</v>
      </c>
      <c r="F739" s="20" t="s">
        <v>15135</v>
      </c>
      <c r="G739" s="20">
        <v>101989000</v>
      </c>
      <c r="H739" s="20" t="s">
        <v>15136</v>
      </c>
      <c r="I739" s="20" t="b">
        <v>1</v>
      </c>
      <c r="J739" s="20" t="s">
        <v>17781</v>
      </c>
      <c r="K739" s="20">
        <v>1000084</v>
      </c>
      <c r="L739" s="20" t="s">
        <v>17282</v>
      </c>
      <c r="M739" s="20" t="s">
        <v>17782</v>
      </c>
    </row>
    <row r="740" spans="1:13" x14ac:dyDescent="0.25">
      <c r="A740" s="20">
        <v>1000084</v>
      </c>
      <c r="B740" s="20" t="s">
        <v>17059</v>
      </c>
      <c r="C740" s="20">
        <v>1000084</v>
      </c>
      <c r="D740" s="20" t="e">
        <f>VLOOKUP(C740,[1]CHILDCARE_FACILITIES!AJ:AK,2,0)</f>
        <v>#N/A</v>
      </c>
      <c r="E740" s="20" t="s">
        <v>15134</v>
      </c>
      <c r="F740" s="20" t="s">
        <v>15135</v>
      </c>
      <c r="G740" s="20">
        <v>101989000</v>
      </c>
      <c r="H740" s="20" t="s">
        <v>15138</v>
      </c>
      <c r="I740" s="20" t="b">
        <v>1</v>
      </c>
      <c r="J740" s="20" t="s">
        <v>17779</v>
      </c>
      <c r="K740" s="20">
        <v>1000084</v>
      </c>
      <c r="L740" s="20" t="s">
        <v>17282</v>
      </c>
      <c r="M740" s="20" t="s">
        <v>17780</v>
      </c>
    </row>
    <row r="741" spans="1:13" x14ac:dyDescent="0.25">
      <c r="A741" s="20">
        <v>8728</v>
      </c>
      <c r="B741" s="20" t="s">
        <v>15229</v>
      </c>
      <c r="C741" s="20">
        <v>8728</v>
      </c>
      <c r="D741" s="20" t="e">
        <f>VLOOKUP(C741,[1]CHILDCARE_FACILITIES!AJ:AK,2,0)</f>
        <v>#N/A</v>
      </c>
      <c r="E741" s="20" t="s">
        <v>15134</v>
      </c>
      <c r="F741" s="20" t="s">
        <v>15135</v>
      </c>
      <c r="G741" s="20">
        <v>72290000</v>
      </c>
      <c r="K741" s="20">
        <v>8728</v>
      </c>
    </row>
    <row r="742" spans="1:13" x14ac:dyDescent="0.25">
      <c r="A742" s="20">
        <v>8729</v>
      </c>
      <c r="B742" s="20" t="s">
        <v>15230</v>
      </c>
      <c r="C742" s="20">
        <v>8729</v>
      </c>
      <c r="D742" s="20" t="e">
        <f>VLOOKUP(C742,[1]CHILDCARE_FACILITIES!AJ:AK,2,0)</f>
        <v>#N/A</v>
      </c>
      <c r="E742" s="20" t="s">
        <v>15134</v>
      </c>
      <c r="F742" s="20" t="s">
        <v>15135</v>
      </c>
      <c r="G742" s="20">
        <v>72290001</v>
      </c>
      <c r="K742" s="20">
        <v>8729</v>
      </c>
    </row>
    <row r="743" spans="1:13" x14ac:dyDescent="0.25">
      <c r="A743" s="20">
        <v>92803</v>
      </c>
      <c r="B743" s="20" t="s">
        <v>16929</v>
      </c>
      <c r="C743" s="20">
        <v>92803</v>
      </c>
      <c r="D743" s="20" t="e">
        <f>VLOOKUP(C743,[1]CHILDCARE_FACILITIES!AJ:AK,2,0)</f>
        <v>#N/A</v>
      </c>
      <c r="E743" s="20" t="s">
        <v>15134</v>
      </c>
      <c r="F743" s="20" t="s">
        <v>15135</v>
      </c>
      <c r="G743" s="20">
        <v>142211000</v>
      </c>
      <c r="H743" s="20" t="s">
        <v>15138</v>
      </c>
      <c r="I743" s="20" t="b">
        <v>0</v>
      </c>
      <c r="J743" s="20" t="s">
        <v>17783</v>
      </c>
      <c r="K743" s="20">
        <v>92803</v>
      </c>
      <c r="L743" s="20" t="s">
        <v>17372</v>
      </c>
      <c r="M743" s="20" t="s">
        <v>17373</v>
      </c>
    </row>
    <row r="744" spans="1:13" x14ac:dyDescent="0.25">
      <c r="A744" s="20">
        <v>92803</v>
      </c>
      <c r="B744" s="20" t="s">
        <v>16929</v>
      </c>
      <c r="C744" s="20">
        <v>92803</v>
      </c>
      <c r="D744" s="20" t="e">
        <f>VLOOKUP(C744,[1]CHILDCARE_FACILITIES!AJ:AK,2,0)</f>
        <v>#N/A</v>
      </c>
      <c r="E744" s="20" t="s">
        <v>15134</v>
      </c>
      <c r="F744" s="20" t="s">
        <v>15135</v>
      </c>
      <c r="G744" s="20">
        <v>142211000</v>
      </c>
      <c r="H744" s="20" t="s">
        <v>15136</v>
      </c>
      <c r="I744" s="20" t="b">
        <v>0</v>
      </c>
      <c r="J744" s="20" t="s">
        <v>17783</v>
      </c>
      <c r="K744" s="20">
        <v>92803</v>
      </c>
      <c r="L744" s="20" t="s">
        <v>17372</v>
      </c>
      <c r="M744" s="20" t="s">
        <v>17373</v>
      </c>
    </row>
    <row r="745" spans="1:13" x14ac:dyDescent="0.25">
      <c r="A745" s="20">
        <v>92804</v>
      </c>
      <c r="B745" s="20" t="s">
        <v>16929</v>
      </c>
      <c r="C745" s="20">
        <v>92804</v>
      </c>
      <c r="D745" s="20" t="e">
        <f>VLOOKUP(C745,[1]CHILDCARE_FACILITIES!AJ:AK,2,0)</f>
        <v>#N/A</v>
      </c>
      <c r="E745" s="20" t="s">
        <v>15134</v>
      </c>
      <c r="F745" s="20" t="s">
        <v>15135</v>
      </c>
      <c r="G745" s="20">
        <v>142211001</v>
      </c>
      <c r="H745" s="20" t="s">
        <v>15136</v>
      </c>
      <c r="I745" s="20" t="b">
        <v>0</v>
      </c>
      <c r="J745" s="20" t="s">
        <v>17783</v>
      </c>
      <c r="K745" s="20">
        <v>92804</v>
      </c>
      <c r="L745" s="20" t="s">
        <v>17372</v>
      </c>
      <c r="M745" s="20" t="s">
        <v>17373</v>
      </c>
    </row>
    <row r="746" spans="1:13" x14ac:dyDescent="0.25">
      <c r="A746" s="20">
        <v>92804</v>
      </c>
      <c r="B746" s="20" t="s">
        <v>16929</v>
      </c>
      <c r="C746" s="20">
        <v>92804</v>
      </c>
      <c r="D746" s="20" t="e">
        <f>VLOOKUP(C746,[1]CHILDCARE_FACILITIES!AJ:AK,2,0)</f>
        <v>#N/A</v>
      </c>
      <c r="E746" s="20" t="s">
        <v>15134</v>
      </c>
      <c r="F746" s="20" t="s">
        <v>15135</v>
      </c>
      <c r="G746" s="20">
        <v>142211001</v>
      </c>
      <c r="H746" s="20" t="s">
        <v>15138</v>
      </c>
      <c r="I746" s="20" t="b">
        <v>0</v>
      </c>
      <c r="J746" s="20" t="s">
        <v>17783</v>
      </c>
      <c r="K746" s="20">
        <v>92804</v>
      </c>
      <c r="L746" s="20" t="s">
        <v>17372</v>
      </c>
      <c r="M746" s="20" t="s">
        <v>17373</v>
      </c>
    </row>
    <row r="747" spans="1:13" x14ac:dyDescent="0.25">
      <c r="A747" s="20">
        <v>8711</v>
      </c>
      <c r="B747" s="20" t="s">
        <v>15219</v>
      </c>
      <c r="C747" s="20">
        <v>8711</v>
      </c>
      <c r="D747" s="20" t="str">
        <f>VLOOKUP(C747,[1]CHILDCARE_FACILITIES!AJ:AK,2,0)</f>
        <v>CDC-1502</v>
      </c>
      <c r="E747" s="20" t="s">
        <v>15134</v>
      </c>
      <c r="F747" s="20" t="s">
        <v>15135</v>
      </c>
      <c r="G747" s="20">
        <v>72279001</v>
      </c>
      <c r="K747" s="20">
        <v>8711</v>
      </c>
    </row>
    <row r="748" spans="1:13" x14ac:dyDescent="0.25">
      <c r="A748" s="20">
        <v>8683</v>
      </c>
      <c r="B748" s="20" t="s">
        <v>15195</v>
      </c>
      <c r="C748" s="20">
        <v>8683</v>
      </c>
      <c r="D748" s="20" t="e">
        <f>VLOOKUP(C748,[1]CHILDCARE_FACILITIES!AJ:AK,2,0)</f>
        <v>#N/A</v>
      </c>
      <c r="E748" s="20" t="s">
        <v>15134</v>
      </c>
      <c r="F748" s="20" t="s">
        <v>15135</v>
      </c>
      <c r="G748" s="20">
        <v>72219000</v>
      </c>
      <c r="K748" s="20">
        <v>8683</v>
      </c>
    </row>
    <row r="749" spans="1:13" x14ac:dyDescent="0.25">
      <c r="A749" s="20">
        <v>8684</v>
      </c>
      <c r="B749" s="20" t="s">
        <v>15196</v>
      </c>
      <c r="C749" s="20">
        <v>8684</v>
      </c>
      <c r="D749" s="20" t="e">
        <f>VLOOKUP(C749,[1]CHILDCARE_FACILITIES!AJ:AK,2,0)</f>
        <v>#N/A</v>
      </c>
      <c r="E749" s="20" t="s">
        <v>15134</v>
      </c>
      <c r="F749" s="20" t="s">
        <v>15135</v>
      </c>
      <c r="G749" s="20">
        <v>72219001</v>
      </c>
      <c r="K749" s="20">
        <v>8684</v>
      </c>
    </row>
    <row r="750" spans="1:13" x14ac:dyDescent="0.25">
      <c r="A750" s="20">
        <v>8687</v>
      </c>
      <c r="B750" s="20" t="s">
        <v>15199</v>
      </c>
      <c r="C750" s="20">
        <v>8687</v>
      </c>
      <c r="D750" s="20" t="e">
        <f>VLOOKUP(C750,[1]CHILDCARE_FACILITIES!AJ:AK,2,0)</f>
        <v>#N/A</v>
      </c>
      <c r="E750" s="20" t="s">
        <v>15134</v>
      </c>
      <c r="F750" s="20" t="s">
        <v>15135</v>
      </c>
      <c r="G750" s="20">
        <v>72222002</v>
      </c>
      <c r="K750" s="20">
        <v>8687</v>
      </c>
    </row>
    <row r="751" spans="1:13" x14ac:dyDescent="0.25">
      <c r="A751" s="20">
        <v>90152</v>
      </c>
      <c r="B751" s="20" t="s">
        <v>16570</v>
      </c>
      <c r="C751" s="20">
        <v>90152</v>
      </c>
      <c r="D751" s="20" t="e">
        <f>VLOOKUP(C751,[1]CHILDCARE_FACILITIES!AJ:AK,2,0)</f>
        <v>#N/A</v>
      </c>
      <c r="E751" s="20" t="s">
        <v>15134</v>
      </c>
      <c r="F751" s="20" t="s">
        <v>15135</v>
      </c>
      <c r="G751" s="20">
        <v>73577000</v>
      </c>
      <c r="H751" s="20" t="s">
        <v>15136</v>
      </c>
      <c r="I751" s="20" t="b">
        <v>1</v>
      </c>
      <c r="J751" s="20" t="s">
        <v>17784</v>
      </c>
      <c r="K751" s="20">
        <v>90152</v>
      </c>
      <c r="L751" s="20" t="s">
        <v>17216</v>
      </c>
      <c r="M751" s="20" t="s">
        <v>17785</v>
      </c>
    </row>
    <row r="752" spans="1:13" x14ac:dyDescent="0.25">
      <c r="A752" s="20">
        <v>90152</v>
      </c>
      <c r="B752" s="20" t="s">
        <v>16570</v>
      </c>
      <c r="C752" s="20">
        <v>90152</v>
      </c>
      <c r="D752" s="20" t="e">
        <f>VLOOKUP(C752,[1]CHILDCARE_FACILITIES!AJ:AK,2,0)</f>
        <v>#N/A</v>
      </c>
      <c r="E752" s="20" t="s">
        <v>15134</v>
      </c>
      <c r="F752" s="20" t="s">
        <v>15135</v>
      </c>
      <c r="G752" s="20">
        <v>73577000</v>
      </c>
      <c r="H752" s="20" t="s">
        <v>15138</v>
      </c>
      <c r="I752" s="20" t="b">
        <v>1</v>
      </c>
      <c r="J752" s="20" t="s">
        <v>17215</v>
      </c>
      <c r="K752" s="20">
        <v>90152</v>
      </c>
      <c r="L752" s="20" t="s">
        <v>17216</v>
      </c>
      <c r="M752" s="20" t="s">
        <v>17217</v>
      </c>
    </row>
    <row r="753" spans="1:13" x14ac:dyDescent="0.25">
      <c r="A753" s="20">
        <v>9787</v>
      </c>
      <c r="B753" s="20" t="s">
        <v>15679</v>
      </c>
      <c r="C753" s="20">
        <v>9787</v>
      </c>
      <c r="D753" s="20" t="e">
        <f>VLOOKUP(C753,[1]CHILDCARE_FACILITIES!AJ:AK,2,0)</f>
        <v>#N/A</v>
      </c>
      <c r="E753" s="20" t="s">
        <v>15134</v>
      </c>
      <c r="F753" s="20" t="s">
        <v>15135</v>
      </c>
      <c r="G753" s="20">
        <v>102250005</v>
      </c>
      <c r="K753" s="20">
        <v>9787</v>
      </c>
    </row>
    <row r="754" spans="1:13" x14ac:dyDescent="0.25">
      <c r="A754" s="20">
        <v>8751</v>
      </c>
      <c r="B754" s="20" t="s">
        <v>15245</v>
      </c>
      <c r="C754" s="20">
        <v>8751</v>
      </c>
      <c r="D754" s="20" t="e">
        <f>VLOOKUP(C754,[1]CHILDCARE_FACILITIES!AJ:AK,2,0)</f>
        <v>#N/A</v>
      </c>
      <c r="E754" s="20" t="s">
        <v>15134</v>
      </c>
      <c r="F754" s="20" t="s">
        <v>15135</v>
      </c>
      <c r="G754" s="20">
        <v>72401002</v>
      </c>
      <c r="H754" s="20" t="s">
        <v>15136</v>
      </c>
      <c r="I754" s="20" t="b">
        <v>1</v>
      </c>
      <c r="J754" s="20" t="s">
        <v>17426</v>
      </c>
      <c r="K754" s="20">
        <v>8751</v>
      </c>
      <c r="L754" s="20" t="s">
        <v>17213</v>
      </c>
      <c r="M754" s="20" t="s">
        <v>17427</v>
      </c>
    </row>
    <row r="755" spans="1:13" x14ac:dyDescent="0.25">
      <c r="A755" s="20">
        <v>8751</v>
      </c>
      <c r="B755" s="20" t="s">
        <v>15245</v>
      </c>
      <c r="C755" s="20">
        <v>8751</v>
      </c>
      <c r="D755" s="20" t="e">
        <f>VLOOKUP(C755,[1]CHILDCARE_FACILITIES!AJ:AK,2,0)</f>
        <v>#N/A</v>
      </c>
      <c r="E755" s="20" t="s">
        <v>15134</v>
      </c>
      <c r="F755" s="20" t="s">
        <v>15135</v>
      </c>
      <c r="G755" s="20">
        <v>72401002</v>
      </c>
      <c r="H755" s="20" t="s">
        <v>15138</v>
      </c>
      <c r="I755" s="20" t="b">
        <v>1</v>
      </c>
      <c r="J755" s="20" t="s">
        <v>17786</v>
      </c>
      <c r="K755" s="20">
        <v>8751</v>
      </c>
      <c r="L755" s="20" t="s">
        <v>17213</v>
      </c>
      <c r="M755" s="20" t="s">
        <v>17787</v>
      </c>
    </row>
    <row r="756" spans="1:13" x14ac:dyDescent="0.25">
      <c r="A756" s="20">
        <v>88410</v>
      </c>
      <c r="B756" s="20" t="s">
        <v>16370</v>
      </c>
      <c r="C756" s="20">
        <v>88410</v>
      </c>
      <c r="D756" s="20" t="e">
        <f>VLOOKUP(C756,[1]CHILDCARE_FACILITIES!AJ:AK,2,0)</f>
        <v>#N/A</v>
      </c>
      <c r="E756" s="20" t="s">
        <v>15134</v>
      </c>
      <c r="F756" s="20" t="s">
        <v>15135</v>
      </c>
      <c r="G756" s="20">
        <v>73541000</v>
      </c>
      <c r="H756" s="20" t="s">
        <v>15145</v>
      </c>
      <c r="I756" s="20" t="b">
        <v>0</v>
      </c>
      <c r="J756" s="20" t="s">
        <v>17788</v>
      </c>
      <c r="K756" s="20">
        <v>88410</v>
      </c>
      <c r="L756" s="20" t="s">
        <v>17228</v>
      </c>
      <c r="M756" s="20" t="s">
        <v>17789</v>
      </c>
    </row>
    <row r="757" spans="1:13" x14ac:dyDescent="0.25">
      <c r="A757" s="20">
        <v>93013</v>
      </c>
      <c r="B757" s="20" t="s">
        <v>16958</v>
      </c>
      <c r="C757" s="20">
        <v>93013</v>
      </c>
      <c r="D757" s="20" t="e">
        <f>VLOOKUP(C757,[1]CHILDCARE_FACILITIES!AJ:AK,2,0)</f>
        <v>#N/A</v>
      </c>
      <c r="E757" s="20" t="s">
        <v>15134</v>
      </c>
      <c r="F757" s="20" t="s">
        <v>15135</v>
      </c>
      <c r="G757" s="20">
        <v>83027001</v>
      </c>
      <c r="H757" s="20" t="s">
        <v>15138</v>
      </c>
      <c r="I757" s="20" t="b">
        <v>0</v>
      </c>
      <c r="J757" s="20" t="s">
        <v>17790</v>
      </c>
      <c r="K757" s="20">
        <v>93013</v>
      </c>
      <c r="L757" s="20" t="s">
        <v>17791</v>
      </c>
      <c r="M757" s="20" t="s">
        <v>17792</v>
      </c>
    </row>
    <row r="758" spans="1:13" x14ac:dyDescent="0.25">
      <c r="A758" s="20">
        <v>93013</v>
      </c>
      <c r="B758" s="20" t="s">
        <v>16958</v>
      </c>
      <c r="C758" s="20">
        <v>93013</v>
      </c>
      <c r="D758" s="20" t="e">
        <f>VLOOKUP(C758,[1]CHILDCARE_FACILITIES!AJ:AK,2,0)</f>
        <v>#N/A</v>
      </c>
      <c r="E758" s="20" t="s">
        <v>15134</v>
      </c>
      <c r="F758" s="20" t="s">
        <v>15135</v>
      </c>
      <c r="G758" s="20">
        <v>83027001</v>
      </c>
      <c r="H758" s="20" t="s">
        <v>15136</v>
      </c>
      <c r="I758" s="20" t="b">
        <v>1</v>
      </c>
      <c r="J758" s="20" t="s">
        <v>17793</v>
      </c>
      <c r="K758" s="20">
        <v>93013</v>
      </c>
      <c r="L758" s="20" t="s">
        <v>17794</v>
      </c>
      <c r="M758" s="20" t="s">
        <v>17795</v>
      </c>
    </row>
    <row r="759" spans="1:13" x14ac:dyDescent="0.25">
      <c r="A759" s="20">
        <v>9617</v>
      </c>
      <c r="B759" s="20" t="s">
        <v>15608</v>
      </c>
      <c r="C759" s="20">
        <v>9617</v>
      </c>
      <c r="D759" s="20" t="e">
        <f>VLOOKUP(C759,[1]CHILDCARE_FACILITIES!AJ:AK,2,0)</f>
        <v>#N/A</v>
      </c>
      <c r="E759" s="20" t="s">
        <v>15134</v>
      </c>
      <c r="F759" s="20" t="s">
        <v>15135</v>
      </c>
      <c r="G759" s="20">
        <v>83027000</v>
      </c>
      <c r="H759" s="20" t="s">
        <v>15138</v>
      </c>
      <c r="I759" s="20" t="b">
        <v>0</v>
      </c>
      <c r="J759" s="20" t="s">
        <v>17796</v>
      </c>
      <c r="K759" s="20">
        <v>9617</v>
      </c>
      <c r="L759" s="20" t="s">
        <v>17791</v>
      </c>
      <c r="M759" s="20" t="s">
        <v>17792</v>
      </c>
    </row>
    <row r="760" spans="1:13" x14ac:dyDescent="0.25">
      <c r="A760" s="20">
        <v>9617</v>
      </c>
      <c r="B760" s="20" t="s">
        <v>15608</v>
      </c>
      <c r="C760" s="20">
        <v>9617</v>
      </c>
      <c r="D760" s="20" t="e">
        <f>VLOOKUP(C760,[1]CHILDCARE_FACILITIES!AJ:AK,2,0)</f>
        <v>#N/A</v>
      </c>
      <c r="E760" s="20" t="s">
        <v>15134</v>
      </c>
      <c r="F760" s="20" t="s">
        <v>15135</v>
      </c>
      <c r="G760" s="20">
        <v>83027000</v>
      </c>
      <c r="H760" s="20" t="s">
        <v>15136</v>
      </c>
      <c r="I760" s="20" t="b">
        <v>1</v>
      </c>
      <c r="J760" s="20" t="s">
        <v>17797</v>
      </c>
      <c r="K760" s="20">
        <v>9617</v>
      </c>
      <c r="L760" s="20" t="s">
        <v>17794</v>
      </c>
      <c r="M760" s="20" t="s">
        <v>17795</v>
      </c>
    </row>
    <row r="761" spans="1:13" x14ac:dyDescent="0.25">
      <c r="A761" s="20">
        <v>80148</v>
      </c>
      <c r="B761" s="20" t="s">
        <v>16040</v>
      </c>
      <c r="C761" s="20">
        <v>80148</v>
      </c>
      <c r="D761" s="20" t="e">
        <f>VLOOKUP(C761,[1]CHILDCARE_FACILITIES!AJ:AK,2,0)</f>
        <v>#N/A</v>
      </c>
      <c r="E761" s="20" t="s">
        <v>15134</v>
      </c>
      <c r="F761" s="20" t="s">
        <v>15135</v>
      </c>
      <c r="G761" s="20">
        <v>113017001</v>
      </c>
      <c r="H761" s="20" t="s">
        <v>15138</v>
      </c>
      <c r="I761" s="20" t="b">
        <v>0</v>
      </c>
      <c r="J761" s="20" t="s">
        <v>17798</v>
      </c>
      <c r="K761" s="20">
        <v>80148</v>
      </c>
      <c r="L761" s="20" t="s">
        <v>17799</v>
      </c>
      <c r="M761" s="20" t="s">
        <v>17800</v>
      </c>
    </row>
    <row r="762" spans="1:13" x14ac:dyDescent="0.25">
      <c r="A762" s="20">
        <v>80148</v>
      </c>
      <c r="B762" s="20" t="s">
        <v>16040</v>
      </c>
      <c r="C762" s="20">
        <v>80148</v>
      </c>
      <c r="D762" s="20" t="e">
        <f>VLOOKUP(C762,[1]CHILDCARE_FACILITIES!AJ:AK,2,0)</f>
        <v>#N/A</v>
      </c>
      <c r="E762" s="20" t="s">
        <v>15134</v>
      </c>
      <c r="F762" s="20" t="s">
        <v>15135</v>
      </c>
      <c r="G762" s="20">
        <v>113017001</v>
      </c>
      <c r="H762" s="20" t="s">
        <v>15145</v>
      </c>
      <c r="I762" s="20" t="b">
        <v>1</v>
      </c>
      <c r="J762" s="20" t="s">
        <v>17801</v>
      </c>
      <c r="K762" s="20">
        <v>80148</v>
      </c>
      <c r="L762" s="20" t="s">
        <v>17802</v>
      </c>
      <c r="M762" s="20" t="s">
        <v>17803</v>
      </c>
    </row>
    <row r="763" spans="1:13" x14ac:dyDescent="0.25">
      <c r="A763" s="20">
        <v>80146</v>
      </c>
      <c r="B763" s="20" t="s">
        <v>16037</v>
      </c>
      <c r="C763" s="20">
        <v>80146</v>
      </c>
      <c r="D763" s="20" t="e">
        <f>VLOOKUP(C763,[1]CHILDCARE_FACILITIES!AJ:AK,2,0)</f>
        <v>#N/A</v>
      </c>
      <c r="E763" s="20" t="s">
        <v>15134</v>
      </c>
      <c r="F763" s="20" t="s">
        <v>15135</v>
      </c>
      <c r="G763" s="20">
        <v>113017000</v>
      </c>
      <c r="H763" s="20" t="s">
        <v>15138</v>
      </c>
      <c r="I763" s="20" t="b">
        <v>0</v>
      </c>
      <c r="J763" s="20" t="s">
        <v>17798</v>
      </c>
      <c r="K763" s="20">
        <v>80146</v>
      </c>
      <c r="L763" s="20" t="s">
        <v>17799</v>
      </c>
      <c r="M763" s="20" t="s">
        <v>17800</v>
      </c>
    </row>
    <row r="764" spans="1:13" x14ac:dyDescent="0.25">
      <c r="A764" s="20">
        <v>80146</v>
      </c>
      <c r="B764" s="20" t="s">
        <v>16037</v>
      </c>
      <c r="C764" s="20">
        <v>80146</v>
      </c>
      <c r="D764" s="20" t="e">
        <f>VLOOKUP(C764,[1]CHILDCARE_FACILITIES!AJ:AK,2,0)</f>
        <v>#N/A</v>
      </c>
      <c r="E764" s="20" t="s">
        <v>15134</v>
      </c>
      <c r="F764" s="20" t="s">
        <v>15135</v>
      </c>
      <c r="G764" s="20">
        <v>113017000</v>
      </c>
      <c r="H764" s="20" t="s">
        <v>15145</v>
      </c>
      <c r="I764" s="20" t="b">
        <v>1</v>
      </c>
      <c r="J764" s="20" t="s">
        <v>17801</v>
      </c>
      <c r="K764" s="20">
        <v>80146</v>
      </c>
      <c r="L764" s="20" t="s">
        <v>17802</v>
      </c>
      <c r="M764" s="20" t="s">
        <v>17803</v>
      </c>
    </row>
    <row r="765" spans="1:13" x14ac:dyDescent="0.25">
      <c r="A765" s="20">
        <v>79326</v>
      </c>
      <c r="B765" s="20" t="s">
        <v>15919</v>
      </c>
      <c r="C765" s="20">
        <v>79326</v>
      </c>
      <c r="D765" s="20" t="e">
        <f>VLOOKUP(C765,[1]CHILDCARE_FACILITIES!AJ:AK,2,0)</f>
        <v>#N/A</v>
      </c>
      <c r="E765" s="20" t="s">
        <v>15134</v>
      </c>
      <c r="F765" s="20" t="s">
        <v>15135</v>
      </c>
      <c r="G765" s="20">
        <v>33007001</v>
      </c>
      <c r="H765" s="20" t="s">
        <v>15138</v>
      </c>
      <c r="I765" s="20" t="b">
        <v>0</v>
      </c>
      <c r="J765" s="20" t="s">
        <v>17804</v>
      </c>
      <c r="K765" s="20">
        <v>79326</v>
      </c>
      <c r="L765" s="20" t="s">
        <v>17805</v>
      </c>
      <c r="M765" s="20" t="s">
        <v>17806</v>
      </c>
    </row>
    <row r="766" spans="1:13" x14ac:dyDescent="0.25">
      <c r="A766" s="20">
        <v>79326</v>
      </c>
      <c r="B766" s="20" t="s">
        <v>15919</v>
      </c>
      <c r="C766" s="20">
        <v>79326</v>
      </c>
      <c r="D766" s="20" t="e">
        <f>VLOOKUP(C766,[1]CHILDCARE_FACILITIES!AJ:AK,2,0)</f>
        <v>#N/A</v>
      </c>
      <c r="E766" s="20" t="s">
        <v>15134</v>
      </c>
      <c r="F766" s="20" t="s">
        <v>15135</v>
      </c>
      <c r="G766" s="20">
        <v>33007001</v>
      </c>
      <c r="H766" s="20" t="s">
        <v>15145</v>
      </c>
      <c r="I766" s="20" t="b">
        <v>0</v>
      </c>
      <c r="J766" s="20" t="s">
        <v>17807</v>
      </c>
      <c r="K766" s="20">
        <v>79326</v>
      </c>
      <c r="L766" s="20" t="s">
        <v>17805</v>
      </c>
      <c r="M766" s="20" t="s">
        <v>17806</v>
      </c>
    </row>
    <row r="767" spans="1:13" x14ac:dyDescent="0.25">
      <c r="A767" s="20">
        <v>1000343</v>
      </c>
      <c r="B767" s="20" t="s">
        <v>17145</v>
      </c>
      <c r="C767" s="20">
        <v>1000343</v>
      </c>
      <c r="D767" s="20" t="e">
        <f>VLOOKUP(C767,[1]CHILDCARE_FACILITIES!AJ:AK,2,0)</f>
        <v>#N/A</v>
      </c>
      <c r="E767" s="20" t="s">
        <v>15134</v>
      </c>
      <c r="F767" s="20" t="s">
        <v>15135</v>
      </c>
      <c r="G767" s="20">
        <v>92457000</v>
      </c>
      <c r="H767" s="20" t="s">
        <v>15136</v>
      </c>
      <c r="I767" s="20" t="b">
        <v>1</v>
      </c>
      <c r="J767" s="20" t="s">
        <v>17808</v>
      </c>
      <c r="K767" s="20">
        <v>1000343</v>
      </c>
      <c r="L767" s="20" t="s">
        <v>17809</v>
      </c>
      <c r="M767" s="20" t="s">
        <v>17810</v>
      </c>
    </row>
    <row r="768" spans="1:13" x14ac:dyDescent="0.25">
      <c r="A768" s="20">
        <v>1000343</v>
      </c>
      <c r="B768" s="20" t="s">
        <v>17145</v>
      </c>
      <c r="C768" s="20">
        <v>1000343</v>
      </c>
      <c r="D768" s="20" t="e">
        <f>VLOOKUP(C768,[1]CHILDCARE_FACILITIES!AJ:AK,2,0)</f>
        <v>#N/A</v>
      </c>
      <c r="E768" s="20" t="s">
        <v>15134</v>
      </c>
      <c r="F768" s="20" t="s">
        <v>15135</v>
      </c>
      <c r="G768" s="20">
        <v>92457000</v>
      </c>
      <c r="H768" s="20" t="s">
        <v>15138</v>
      </c>
      <c r="I768" s="20" t="b">
        <v>1</v>
      </c>
      <c r="J768" s="20" t="s">
        <v>17808</v>
      </c>
      <c r="K768" s="20">
        <v>1000343</v>
      </c>
      <c r="L768" s="20" t="s">
        <v>17809</v>
      </c>
      <c r="M768" s="20" t="s">
        <v>17810</v>
      </c>
    </row>
    <row r="769" spans="1:13" x14ac:dyDescent="0.25">
      <c r="A769" s="20">
        <v>1000344</v>
      </c>
      <c r="B769" s="20" t="s">
        <v>17145</v>
      </c>
      <c r="C769" s="20">
        <v>1000344</v>
      </c>
      <c r="D769" s="20" t="e">
        <f>VLOOKUP(C769,[1]CHILDCARE_FACILITIES!AJ:AK,2,0)</f>
        <v>#N/A</v>
      </c>
      <c r="E769" s="20" t="s">
        <v>15134</v>
      </c>
      <c r="F769" s="20" t="s">
        <v>15135</v>
      </c>
      <c r="G769" s="20">
        <v>92457001</v>
      </c>
      <c r="H769" s="20" t="s">
        <v>15136</v>
      </c>
      <c r="I769" s="20" t="b">
        <v>1</v>
      </c>
      <c r="J769" s="20" t="s">
        <v>17808</v>
      </c>
      <c r="K769" s="20">
        <v>1000344</v>
      </c>
      <c r="L769" s="20" t="s">
        <v>17809</v>
      </c>
      <c r="M769" s="20" t="s">
        <v>17810</v>
      </c>
    </row>
    <row r="770" spans="1:13" x14ac:dyDescent="0.25">
      <c r="A770" s="20">
        <v>1000344</v>
      </c>
      <c r="B770" s="20" t="s">
        <v>17145</v>
      </c>
      <c r="C770" s="20">
        <v>1000344</v>
      </c>
      <c r="D770" s="20" t="e">
        <f>VLOOKUP(C770,[1]CHILDCARE_FACILITIES!AJ:AK,2,0)</f>
        <v>#N/A</v>
      </c>
      <c r="E770" s="20" t="s">
        <v>15134</v>
      </c>
      <c r="F770" s="20" t="s">
        <v>15135</v>
      </c>
      <c r="G770" s="20">
        <v>92457001</v>
      </c>
      <c r="H770" s="20" t="s">
        <v>15138</v>
      </c>
      <c r="I770" s="20" t="b">
        <v>1</v>
      </c>
      <c r="J770" s="20" t="s">
        <v>17808</v>
      </c>
      <c r="K770" s="20">
        <v>1000344</v>
      </c>
      <c r="L770" s="20" t="s">
        <v>17809</v>
      </c>
      <c r="M770" s="20" t="s">
        <v>17810</v>
      </c>
    </row>
    <row r="771" spans="1:13" x14ac:dyDescent="0.25">
      <c r="A771" s="20">
        <v>818718</v>
      </c>
      <c r="B771" s="20" t="s">
        <v>17026</v>
      </c>
      <c r="C771" s="20">
        <v>818718</v>
      </c>
      <c r="D771" s="20" t="str">
        <f>VLOOKUP(C771,[1]CHILDCARE_FACILITIES!AJ:AK,2,0)</f>
        <v>CDC-17869</v>
      </c>
      <c r="E771" s="20" t="s">
        <v>15134</v>
      </c>
      <c r="F771" s="20" t="s">
        <v>15135</v>
      </c>
      <c r="G771" s="20">
        <v>103156001</v>
      </c>
      <c r="K771" s="20">
        <v>818718</v>
      </c>
    </row>
    <row r="772" spans="1:13" x14ac:dyDescent="0.25">
      <c r="A772" s="20">
        <v>188924</v>
      </c>
      <c r="B772" s="20" t="s">
        <v>16974</v>
      </c>
      <c r="C772" s="20">
        <v>188924</v>
      </c>
      <c r="D772" s="20" t="e">
        <f>VLOOKUP(C772,[1]CHILDCARE_FACILITIES!AJ:AK,2,0)</f>
        <v>#N/A</v>
      </c>
      <c r="E772" s="20" t="s">
        <v>15134</v>
      </c>
      <c r="F772" s="20" t="s">
        <v>15135</v>
      </c>
      <c r="G772" s="20">
        <v>103156000</v>
      </c>
      <c r="H772" s="20" t="s">
        <v>15136</v>
      </c>
      <c r="I772" s="20" t="b">
        <v>1</v>
      </c>
      <c r="J772" s="20" t="s">
        <v>17811</v>
      </c>
      <c r="K772" s="20">
        <v>188924</v>
      </c>
      <c r="L772" s="20" t="s">
        <v>17271</v>
      </c>
      <c r="M772" s="20" t="s">
        <v>17812</v>
      </c>
    </row>
    <row r="773" spans="1:13" x14ac:dyDescent="0.25">
      <c r="A773" s="20">
        <v>89944</v>
      </c>
      <c r="B773" s="20" t="s">
        <v>16510</v>
      </c>
      <c r="C773" s="20">
        <v>89944</v>
      </c>
      <c r="D773" s="20" t="e">
        <f>VLOOKUP(C773,[1]CHILDCARE_FACILITIES!AJ:AK,2,0)</f>
        <v>#N/A</v>
      </c>
      <c r="E773" s="20" t="s">
        <v>15134</v>
      </c>
      <c r="F773" s="20" t="s">
        <v>15135</v>
      </c>
      <c r="G773" s="20">
        <v>103206001</v>
      </c>
      <c r="H773" s="20" t="s">
        <v>15138</v>
      </c>
      <c r="I773" s="20" t="b">
        <v>1</v>
      </c>
      <c r="J773" s="20" t="s">
        <v>17813</v>
      </c>
      <c r="K773" s="20">
        <v>89944</v>
      </c>
      <c r="L773" s="20" t="s">
        <v>17271</v>
      </c>
      <c r="M773" s="20" t="s">
        <v>17814</v>
      </c>
    </row>
    <row r="774" spans="1:13" x14ac:dyDescent="0.25">
      <c r="A774" s="20">
        <v>89944</v>
      </c>
      <c r="B774" s="20" t="s">
        <v>16510</v>
      </c>
      <c r="C774" s="20">
        <v>89944</v>
      </c>
      <c r="D774" s="20" t="e">
        <f>VLOOKUP(C774,[1]CHILDCARE_FACILITIES!AJ:AK,2,0)</f>
        <v>#N/A</v>
      </c>
      <c r="E774" s="20" t="s">
        <v>15134</v>
      </c>
      <c r="F774" s="20" t="s">
        <v>15135</v>
      </c>
      <c r="G774" s="20">
        <v>103206001</v>
      </c>
      <c r="H774" s="20" t="s">
        <v>15145</v>
      </c>
      <c r="I774" s="20" t="b">
        <v>1</v>
      </c>
      <c r="J774" s="20" t="s">
        <v>17813</v>
      </c>
      <c r="K774" s="20">
        <v>89944</v>
      </c>
      <c r="L774" s="20" t="s">
        <v>17271</v>
      </c>
      <c r="M774" s="20" t="s">
        <v>17814</v>
      </c>
    </row>
    <row r="775" spans="1:13" x14ac:dyDescent="0.25">
      <c r="A775" s="20">
        <v>92724</v>
      </c>
      <c r="B775" s="20" t="s">
        <v>16917</v>
      </c>
      <c r="C775" s="20">
        <v>92724</v>
      </c>
      <c r="D775" s="20" t="str">
        <f>VLOOKUP(C775,[1]CHILDCARE_FACILITIES!AJ:AK,2,0)</f>
        <v>CDC-17644</v>
      </c>
      <c r="E775" s="20" t="s">
        <v>15134</v>
      </c>
      <c r="F775" s="20" t="s">
        <v>15135</v>
      </c>
      <c r="G775" s="20">
        <v>73318001</v>
      </c>
      <c r="H775" s="20" t="s">
        <v>15136</v>
      </c>
      <c r="I775" s="20" t="b">
        <v>1</v>
      </c>
      <c r="J775" s="20" t="s">
        <v>17442</v>
      </c>
      <c r="K775" s="20">
        <v>92724</v>
      </c>
      <c r="L775" s="20" t="s">
        <v>17213</v>
      </c>
      <c r="M775" s="20" t="s">
        <v>17443</v>
      </c>
    </row>
    <row r="776" spans="1:13" x14ac:dyDescent="0.25">
      <c r="A776" s="20">
        <v>80679</v>
      </c>
      <c r="B776" s="20" t="s">
        <v>16181</v>
      </c>
      <c r="C776" s="20">
        <v>80679</v>
      </c>
      <c r="D776" s="20" t="e">
        <f>VLOOKUP(C776,[1]CHILDCARE_FACILITIES!AJ:AK,2,0)</f>
        <v>#N/A</v>
      </c>
      <c r="E776" s="20" t="s">
        <v>15134</v>
      </c>
      <c r="F776" s="20" t="s">
        <v>15135</v>
      </c>
      <c r="G776" s="20">
        <v>72413005</v>
      </c>
      <c r="H776" s="20" t="s">
        <v>15145</v>
      </c>
      <c r="I776" s="20" t="b">
        <v>1</v>
      </c>
      <c r="J776" s="20" t="s">
        <v>17815</v>
      </c>
      <c r="K776" s="20">
        <v>80679</v>
      </c>
      <c r="L776" s="20" t="s">
        <v>17213</v>
      </c>
      <c r="M776" s="20" t="s">
        <v>17816</v>
      </c>
    </row>
    <row r="777" spans="1:13" x14ac:dyDescent="0.25">
      <c r="A777" s="20">
        <v>80679</v>
      </c>
      <c r="B777" s="20" t="s">
        <v>16181</v>
      </c>
      <c r="C777" s="20">
        <v>80679</v>
      </c>
      <c r="D777" s="20" t="e">
        <f>VLOOKUP(C777,[1]CHILDCARE_FACILITIES!AJ:AK,2,0)</f>
        <v>#N/A</v>
      </c>
      <c r="E777" s="20" t="s">
        <v>15134</v>
      </c>
      <c r="F777" s="20" t="s">
        <v>15135</v>
      </c>
      <c r="G777" s="20">
        <v>72413005</v>
      </c>
      <c r="H777" s="20" t="s">
        <v>15138</v>
      </c>
      <c r="I777" s="20" t="b">
        <v>1</v>
      </c>
      <c r="J777" s="20" t="s">
        <v>17815</v>
      </c>
      <c r="K777" s="20">
        <v>80679</v>
      </c>
      <c r="L777" s="20" t="s">
        <v>17213</v>
      </c>
      <c r="M777" s="20" t="s">
        <v>17816</v>
      </c>
    </row>
    <row r="778" spans="1:13" x14ac:dyDescent="0.25">
      <c r="A778" s="20">
        <v>92682</v>
      </c>
      <c r="B778" s="20" t="s">
        <v>16891</v>
      </c>
      <c r="C778" s="20">
        <v>92682</v>
      </c>
      <c r="D778" s="20" t="e">
        <f>VLOOKUP(C778,[1]CHILDCARE_FACILITIES!AJ:AK,2,0)</f>
        <v>#N/A</v>
      </c>
      <c r="E778" s="20" t="s">
        <v>15134</v>
      </c>
      <c r="F778" s="20" t="s">
        <v>15135</v>
      </c>
      <c r="G778" s="20">
        <v>102401001</v>
      </c>
      <c r="K778" s="20">
        <v>92682</v>
      </c>
    </row>
    <row r="779" spans="1:13" x14ac:dyDescent="0.25">
      <c r="A779" s="20">
        <v>92683</v>
      </c>
      <c r="B779" s="20" t="s">
        <v>16892</v>
      </c>
      <c r="C779" s="20">
        <v>92683</v>
      </c>
      <c r="D779" s="20" t="e">
        <f>VLOOKUP(C779,[1]CHILDCARE_FACILITIES!AJ:AK,2,0)</f>
        <v>#N/A</v>
      </c>
      <c r="E779" s="20" t="s">
        <v>15134</v>
      </c>
      <c r="F779" s="20" t="s">
        <v>15135</v>
      </c>
      <c r="G779" s="20">
        <v>102401002</v>
      </c>
      <c r="K779" s="20">
        <v>92683</v>
      </c>
    </row>
    <row r="780" spans="1:13" x14ac:dyDescent="0.25">
      <c r="A780" s="20">
        <v>9730</v>
      </c>
      <c r="B780" s="20" t="s">
        <v>15638</v>
      </c>
      <c r="C780" s="20">
        <v>9730</v>
      </c>
      <c r="D780" s="20" t="e">
        <f>VLOOKUP(C780,[1]CHILDCARE_FACILITIES!AJ:AK,2,0)</f>
        <v>#N/A</v>
      </c>
      <c r="E780" s="20" t="s">
        <v>15134</v>
      </c>
      <c r="F780" s="20" t="s">
        <v>15135</v>
      </c>
      <c r="G780" s="20">
        <v>102205001</v>
      </c>
      <c r="K780" s="20">
        <v>9730</v>
      </c>
    </row>
    <row r="781" spans="1:13" x14ac:dyDescent="0.25">
      <c r="A781" s="20">
        <v>90897</v>
      </c>
      <c r="B781" s="20" t="s">
        <v>16713</v>
      </c>
      <c r="C781" s="20">
        <v>90897</v>
      </c>
      <c r="D781" s="20" t="e">
        <f>VLOOKUP(C781,[1]CHILDCARE_FACILITIES!AJ:AK,2,0)</f>
        <v>#N/A</v>
      </c>
      <c r="E781" s="20" t="s">
        <v>15134</v>
      </c>
      <c r="F781" s="20" t="s">
        <v>15135</v>
      </c>
      <c r="G781" s="20">
        <v>73715000</v>
      </c>
      <c r="H781" s="20" t="s">
        <v>15138</v>
      </c>
      <c r="I781" s="20" t="b">
        <v>1</v>
      </c>
      <c r="J781" s="20" t="s">
        <v>17817</v>
      </c>
      <c r="K781" s="20">
        <v>90897</v>
      </c>
      <c r="L781" s="20" t="s">
        <v>17703</v>
      </c>
      <c r="M781" s="20" t="s">
        <v>17818</v>
      </c>
    </row>
    <row r="782" spans="1:13" x14ac:dyDescent="0.25">
      <c r="A782" s="20">
        <v>90897</v>
      </c>
      <c r="B782" s="20" t="s">
        <v>16713</v>
      </c>
      <c r="C782" s="20">
        <v>90897</v>
      </c>
      <c r="D782" s="20" t="e">
        <f>VLOOKUP(C782,[1]CHILDCARE_FACILITIES!AJ:AK,2,0)</f>
        <v>#N/A</v>
      </c>
      <c r="E782" s="20" t="s">
        <v>15134</v>
      </c>
      <c r="F782" s="20" t="s">
        <v>15135</v>
      </c>
      <c r="G782" s="20">
        <v>73715000</v>
      </c>
      <c r="H782" s="20" t="s">
        <v>15136</v>
      </c>
      <c r="I782" s="20" t="b">
        <v>1</v>
      </c>
      <c r="J782" s="20" t="s">
        <v>17819</v>
      </c>
      <c r="K782" s="20">
        <v>90897</v>
      </c>
      <c r="L782" s="20" t="s">
        <v>17703</v>
      </c>
      <c r="M782" s="20" t="s">
        <v>17818</v>
      </c>
    </row>
    <row r="783" spans="1:13" x14ac:dyDescent="0.25">
      <c r="A783" s="20">
        <v>9530</v>
      </c>
      <c r="B783" s="20" t="s">
        <v>15581</v>
      </c>
      <c r="C783" s="20">
        <v>9530</v>
      </c>
      <c r="D783" s="20" t="e">
        <f>VLOOKUP(C783,[1]CHILDCARE_FACILITIES!AJ:AK,2,0)</f>
        <v>#N/A</v>
      </c>
      <c r="E783" s="20" t="s">
        <v>15134</v>
      </c>
      <c r="F783" s="20" t="s">
        <v>15135</v>
      </c>
      <c r="G783" s="20">
        <v>73291000</v>
      </c>
      <c r="H783" s="20" t="s">
        <v>15138</v>
      </c>
      <c r="I783" s="20" t="b">
        <v>1</v>
      </c>
      <c r="J783" s="20" t="s">
        <v>17820</v>
      </c>
      <c r="K783" s="20">
        <v>9530</v>
      </c>
      <c r="L783" s="20" t="s">
        <v>17216</v>
      </c>
      <c r="M783" s="20" t="s">
        <v>17821</v>
      </c>
    </row>
    <row r="784" spans="1:13" x14ac:dyDescent="0.25">
      <c r="A784" s="20">
        <v>9530</v>
      </c>
      <c r="B784" s="20" t="s">
        <v>15581</v>
      </c>
      <c r="C784" s="20">
        <v>9530</v>
      </c>
      <c r="D784" s="20" t="e">
        <f>VLOOKUP(C784,[1]CHILDCARE_FACILITIES!AJ:AK,2,0)</f>
        <v>#N/A</v>
      </c>
      <c r="E784" s="20" t="s">
        <v>15134</v>
      </c>
      <c r="F784" s="20" t="s">
        <v>15135</v>
      </c>
      <c r="G784" s="20">
        <v>73291000</v>
      </c>
      <c r="H784" s="20" t="s">
        <v>15136</v>
      </c>
      <c r="I784" s="20" t="b">
        <v>1</v>
      </c>
      <c r="J784" s="20" t="s">
        <v>17822</v>
      </c>
      <c r="K784" s="20">
        <v>9530</v>
      </c>
      <c r="L784" s="20" t="s">
        <v>17223</v>
      </c>
      <c r="M784" s="20" t="s">
        <v>17823</v>
      </c>
    </row>
    <row r="785" spans="1:13" x14ac:dyDescent="0.25">
      <c r="A785" s="20">
        <v>80858</v>
      </c>
      <c r="B785" s="20" t="s">
        <v>16228</v>
      </c>
      <c r="C785" s="20">
        <v>80858</v>
      </c>
      <c r="D785" s="20" t="e">
        <f>VLOOKUP(C785,[1]CHILDCARE_FACILITIES!AJ:AK,2,0)</f>
        <v>#N/A</v>
      </c>
      <c r="E785" s="20" t="s">
        <v>15134</v>
      </c>
      <c r="F785" s="20" t="s">
        <v>15135</v>
      </c>
      <c r="G785" s="20">
        <v>103119000</v>
      </c>
      <c r="H785" s="20" t="s">
        <v>15138</v>
      </c>
      <c r="I785" s="20" t="b">
        <v>1</v>
      </c>
      <c r="J785" s="20" t="s">
        <v>17824</v>
      </c>
      <c r="K785" s="20">
        <v>80858</v>
      </c>
      <c r="L785" s="20" t="s">
        <v>17271</v>
      </c>
      <c r="M785" s="20" t="s">
        <v>17825</v>
      </c>
    </row>
    <row r="786" spans="1:13" x14ac:dyDescent="0.25">
      <c r="A786" s="20">
        <v>80858</v>
      </c>
      <c r="B786" s="20" t="s">
        <v>16228</v>
      </c>
      <c r="C786" s="20">
        <v>80858</v>
      </c>
      <c r="D786" s="20" t="e">
        <f>VLOOKUP(C786,[1]CHILDCARE_FACILITIES!AJ:AK,2,0)</f>
        <v>#N/A</v>
      </c>
      <c r="E786" s="20" t="s">
        <v>15134</v>
      </c>
      <c r="F786" s="20" t="s">
        <v>15135</v>
      </c>
      <c r="G786" s="20">
        <v>103119000</v>
      </c>
      <c r="H786" s="20" t="s">
        <v>15145</v>
      </c>
      <c r="I786" s="20" t="b">
        <v>1</v>
      </c>
      <c r="J786" s="20" t="s">
        <v>17824</v>
      </c>
      <c r="K786" s="20">
        <v>80858</v>
      </c>
      <c r="L786" s="20" t="s">
        <v>17271</v>
      </c>
      <c r="M786" s="20" t="s">
        <v>17825</v>
      </c>
    </row>
    <row r="787" spans="1:13" x14ac:dyDescent="0.25">
      <c r="A787" s="20">
        <v>8572</v>
      </c>
      <c r="B787" s="20" t="s">
        <v>15164</v>
      </c>
      <c r="C787" s="20">
        <v>8572</v>
      </c>
      <c r="D787" s="20" t="e">
        <f>VLOOKUP(C787,[1]CHILDCARE_FACILITIES!AJ:AK,2,0)</f>
        <v>#N/A</v>
      </c>
      <c r="E787" s="20" t="s">
        <v>15134</v>
      </c>
      <c r="F787" s="20" t="s">
        <v>15135</v>
      </c>
      <c r="G787" s="20">
        <v>33003001</v>
      </c>
      <c r="K787" s="20">
        <v>8572</v>
      </c>
    </row>
    <row r="788" spans="1:13" x14ac:dyDescent="0.25">
      <c r="A788" s="20">
        <v>80575</v>
      </c>
      <c r="B788" s="20" t="s">
        <v>16123</v>
      </c>
      <c r="C788" s="20">
        <v>80575</v>
      </c>
      <c r="D788" s="20" t="str">
        <f>VLOOKUP(C788,[1]CHILDCARE_FACILITIES!AJ:AK,2,0)</f>
        <v>CDC-3956</v>
      </c>
      <c r="E788" s="20" t="s">
        <v>15134</v>
      </c>
      <c r="F788" s="20" t="s">
        <v>15135</v>
      </c>
      <c r="G788" s="20">
        <v>102245005</v>
      </c>
      <c r="H788" s="20" t="s">
        <v>15136</v>
      </c>
      <c r="I788" s="20" t="b">
        <v>0</v>
      </c>
      <c r="J788" s="20" t="s">
        <v>17826</v>
      </c>
      <c r="K788" s="20">
        <v>80575</v>
      </c>
      <c r="L788" s="20" t="s">
        <v>17271</v>
      </c>
      <c r="M788" s="20" t="s">
        <v>17827</v>
      </c>
    </row>
    <row r="789" spans="1:13" x14ac:dyDescent="0.25">
      <c r="A789" s="20">
        <v>80575</v>
      </c>
      <c r="B789" s="20" t="s">
        <v>16123</v>
      </c>
      <c r="C789" s="20">
        <v>80575</v>
      </c>
      <c r="D789" s="20" t="str">
        <f>VLOOKUP(C789,[1]CHILDCARE_FACILITIES!AJ:AK,2,0)</f>
        <v>CDC-3956</v>
      </c>
      <c r="E789" s="20" t="s">
        <v>15134</v>
      </c>
      <c r="F789" s="20" t="s">
        <v>15135</v>
      </c>
      <c r="G789" s="20">
        <v>102245005</v>
      </c>
      <c r="H789" s="20" t="s">
        <v>15138</v>
      </c>
      <c r="I789" s="20" t="b">
        <v>0</v>
      </c>
      <c r="J789" s="20" t="s">
        <v>17828</v>
      </c>
      <c r="K789" s="20">
        <v>80575</v>
      </c>
      <c r="L789" s="20" t="s">
        <v>17282</v>
      </c>
      <c r="M789" s="20" t="s">
        <v>17482</v>
      </c>
    </row>
    <row r="790" spans="1:13" x14ac:dyDescent="0.25">
      <c r="A790" s="20">
        <v>90464</v>
      </c>
      <c r="B790" s="20" t="s">
        <v>16621</v>
      </c>
      <c r="C790" s="20">
        <v>90464</v>
      </c>
      <c r="D790" s="20" t="e">
        <f>VLOOKUP(C790,[1]CHILDCARE_FACILITIES!AJ:AK,2,0)</f>
        <v>#N/A</v>
      </c>
      <c r="E790" s="20" t="s">
        <v>15134</v>
      </c>
      <c r="F790" s="20" t="s">
        <v>15135</v>
      </c>
      <c r="G790" s="20">
        <v>143023000</v>
      </c>
      <c r="H790" s="20" t="s">
        <v>15136</v>
      </c>
      <c r="I790" s="20" t="b">
        <v>1</v>
      </c>
      <c r="J790" s="20" t="s">
        <v>17829</v>
      </c>
      <c r="K790" s="20">
        <v>90464</v>
      </c>
      <c r="L790" s="20" t="s">
        <v>17335</v>
      </c>
      <c r="M790" s="20" t="s">
        <v>17830</v>
      </c>
    </row>
    <row r="791" spans="1:13" x14ac:dyDescent="0.25">
      <c r="A791" s="20">
        <v>90464</v>
      </c>
      <c r="B791" s="20" t="s">
        <v>16621</v>
      </c>
      <c r="C791" s="20">
        <v>90464</v>
      </c>
      <c r="D791" s="20" t="e">
        <f>VLOOKUP(C791,[1]CHILDCARE_FACILITIES!AJ:AK,2,0)</f>
        <v>#N/A</v>
      </c>
      <c r="E791" s="20" t="s">
        <v>15134</v>
      </c>
      <c r="F791" s="20" t="s">
        <v>15135</v>
      </c>
      <c r="G791" s="20">
        <v>143023000</v>
      </c>
      <c r="H791" s="20" t="s">
        <v>15138</v>
      </c>
      <c r="I791" s="20" t="b">
        <v>1</v>
      </c>
      <c r="J791" s="20" t="s">
        <v>17831</v>
      </c>
      <c r="K791" s="20">
        <v>90464</v>
      </c>
      <c r="L791" s="20" t="s">
        <v>17335</v>
      </c>
      <c r="M791" s="20" t="s">
        <v>17830</v>
      </c>
    </row>
    <row r="792" spans="1:13" x14ac:dyDescent="0.25">
      <c r="A792" s="20">
        <v>90465</v>
      </c>
      <c r="B792" s="20" t="s">
        <v>16621</v>
      </c>
      <c r="C792" s="20">
        <v>90465</v>
      </c>
      <c r="D792" s="20" t="str">
        <f>VLOOKUP(C792,[1]CHILDCARE_FACILITIES!AJ:AK,2,0)</f>
        <v>CDC-14047</v>
      </c>
      <c r="E792" s="20" t="s">
        <v>15134</v>
      </c>
      <c r="F792" s="20" t="s">
        <v>15135</v>
      </c>
      <c r="G792" s="20">
        <v>143023001</v>
      </c>
      <c r="H792" s="20" t="s">
        <v>15145</v>
      </c>
      <c r="I792" s="20" t="b">
        <v>1</v>
      </c>
      <c r="J792" s="20" t="s">
        <v>17831</v>
      </c>
      <c r="K792" s="20">
        <v>90465</v>
      </c>
      <c r="L792" s="20" t="s">
        <v>17335</v>
      </c>
      <c r="M792" s="20" t="s">
        <v>17830</v>
      </c>
    </row>
    <row r="793" spans="1:13" x14ac:dyDescent="0.25">
      <c r="A793" s="20">
        <v>91120</v>
      </c>
      <c r="B793" s="20" t="s">
        <v>16742</v>
      </c>
      <c r="C793" s="20">
        <v>91120</v>
      </c>
      <c r="D793" s="20" t="e">
        <f>VLOOKUP(C793,[1]CHILDCARE_FACILITIES!AJ:AK,2,0)</f>
        <v>#N/A</v>
      </c>
      <c r="E793" s="20" t="s">
        <v>15134</v>
      </c>
      <c r="F793" s="20" t="s">
        <v>15135</v>
      </c>
      <c r="G793" s="20">
        <v>103223000</v>
      </c>
      <c r="H793" s="20" t="s">
        <v>15136</v>
      </c>
      <c r="I793" s="20" t="b">
        <v>1</v>
      </c>
      <c r="J793" s="20" t="s">
        <v>17832</v>
      </c>
      <c r="K793" s="20">
        <v>91120</v>
      </c>
      <c r="L793" s="20" t="s">
        <v>17271</v>
      </c>
      <c r="M793" s="20" t="s">
        <v>17833</v>
      </c>
    </row>
    <row r="794" spans="1:13" x14ac:dyDescent="0.25">
      <c r="A794" s="20">
        <v>91120</v>
      </c>
      <c r="B794" s="20" t="s">
        <v>16742</v>
      </c>
      <c r="C794" s="20">
        <v>91120</v>
      </c>
      <c r="D794" s="20" t="e">
        <f>VLOOKUP(C794,[1]CHILDCARE_FACILITIES!AJ:AK,2,0)</f>
        <v>#N/A</v>
      </c>
      <c r="E794" s="20" t="s">
        <v>15134</v>
      </c>
      <c r="F794" s="20" t="s">
        <v>15135</v>
      </c>
      <c r="G794" s="20">
        <v>103223000</v>
      </c>
      <c r="H794" s="20" t="s">
        <v>15138</v>
      </c>
      <c r="I794" s="20" t="b">
        <v>1</v>
      </c>
      <c r="J794" s="20" t="s">
        <v>17832</v>
      </c>
      <c r="K794" s="20">
        <v>91120</v>
      </c>
      <c r="L794" s="20" t="s">
        <v>17271</v>
      </c>
      <c r="M794" s="20" t="s">
        <v>17833</v>
      </c>
    </row>
    <row r="795" spans="1:13" x14ac:dyDescent="0.25">
      <c r="A795" s="20">
        <v>91121</v>
      </c>
      <c r="B795" s="20" t="s">
        <v>16744</v>
      </c>
      <c r="C795" s="20">
        <v>91121</v>
      </c>
      <c r="D795" s="20" t="str">
        <f>VLOOKUP(C795,[1]CHILDCARE_FACILITIES!AJ:AK,2,0)</f>
        <v>CDC-15659</v>
      </c>
      <c r="E795" s="20" t="s">
        <v>15134</v>
      </c>
      <c r="F795" s="20" t="s">
        <v>15135</v>
      </c>
      <c r="G795" s="20">
        <v>103223001</v>
      </c>
      <c r="H795" s="20" t="s">
        <v>15145</v>
      </c>
      <c r="I795" s="20" t="b">
        <v>1</v>
      </c>
      <c r="J795" s="20" t="s">
        <v>17834</v>
      </c>
      <c r="K795" s="20">
        <v>91121</v>
      </c>
      <c r="L795" s="20" t="s">
        <v>17271</v>
      </c>
      <c r="M795" s="20" t="s">
        <v>17833</v>
      </c>
    </row>
    <row r="796" spans="1:13" x14ac:dyDescent="0.25">
      <c r="A796" s="20">
        <v>89253</v>
      </c>
      <c r="B796" s="20" t="s">
        <v>16381</v>
      </c>
      <c r="C796" s="20">
        <v>89253</v>
      </c>
      <c r="D796" s="20" t="e">
        <f>VLOOKUP(C796,[1]CHILDCARE_FACILITIES!AJ:AK,2,0)</f>
        <v>#N/A</v>
      </c>
      <c r="E796" s="20" t="s">
        <v>15134</v>
      </c>
      <c r="F796" s="20" t="s">
        <v>15135</v>
      </c>
      <c r="G796" s="20">
        <v>103131000</v>
      </c>
      <c r="H796" s="20" t="s">
        <v>15138</v>
      </c>
      <c r="I796" s="20" t="b">
        <v>1</v>
      </c>
      <c r="J796" s="20" t="s">
        <v>17835</v>
      </c>
      <c r="K796" s="20">
        <v>89253</v>
      </c>
      <c r="L796" s="20" t="s">
        <v>17271</v>
      </c>
      <c r="M796" s="20" t="s">
        <v>17836</v>
      </c>
    </row>
    <row r="797" spans="1:13" x14ac:dyDescent="0.25">
      <c r="A797" s="20">
        <v>89253</v>
      </c>
      <c r="B797" s="20" t="s">
        <v>16381</v>
      </c>
      <c r="C797" s="20">
        <v>89253</v>
      </c>
      <c r="D797" s="20" t="e">
        <f>VLOOKUP(C797,[1]CHILDCARE_FACILITIES!AJ:AK,2,0)</f>
        <v>#N/A</v>
      </c>
      <c r="E797" s="20" t="s">
        <v>15134</v>
      </c>
      <c r="F797" s="20" t="s">
        <v>15135</v>
      </c>
      <c r="G797" s="20">
        <v>103131000</v>
      </c>
      <c r="H797" s="20" t="s">
        <v>15136</v>
      </c>
      <c r="I797" s="20" t="b">
        <v>1</v>
      </c>
      <c r="J797" s="20" t="s">
        <v>17837</v>
      </c>
      <c r="K797" s="20">
        <v>89253</v>
      </c>
      <c r="L797" s="20" t="s">
        <v>17271</v>
      </c>
      <c r="M797" s="20" t="s">
        <v>17838</v>
      </c>
    </row>
    <row r="798" spans="1:13" x14ac:dyDescent="0.25">
      <c r="A798" s="20">
        <v>1001444</v>
      </c>
      <c r="B798" s="20" t="s">
        <v>17193</v>
      </c>
      <c r="C798" s="20">
        <v>1001444</v>
      </c>
      <c r="D798" s="20" t="e">
        <f>VLOOKUP(C798,[1]CHILDCARE_FACILITIES!AJ:AK,2,0)</f>
        <v>#N/A</v>
      </c>
      <c r="E798" s="20" t="s">
        <v>15134</v>
      </c>
      <c r="F798" s="20" t="s">
        <v>15135</v>
      </c>
      <c r="G798" s="20">
        <v>73726000</v>
      </c>
      <c r="H798" s="20" t="s">
        <v>15138</v>
      </c>
      <c r="I798" s="20" t="b">
        <v>1</v>
      </c>
      <c r="J798" s="20" t="s">
        <v>17753</v>
      </c>
      <c r="K798" s="20">
        <v>1001444</v>
      </c>
      <c r="L798" s="20" t="s">
        <v>17213</v>
      </c>
      <c r="M798" s="20" t="s">
        <v>17754</v>
      </c>
    </row>
    <row r="799" spans="1:13" x14ac:dyDescent="0.25">
      <c r="A799" s="20">
        <v>1001444</v>
      </c>
      <c r="B799" s="20" t="s">
        <v>17193</v>
      </c>
      <c r="C799" s="20">
        <v>1001444</v>
      </c>
      <c r="D799" s="20" t="e">
        <f>VLOOKUP(C799,[1]CHILDCARE_FACILITIES!AJ:AK,2,0)</f>
        <v>#N/A</v>
      </c>
      <c r="E799" s="20" t="s">
        <v>15134</v>
      </c>
      <c r="F799" s="20" t="s">
        <v>15135</v>
      </c>
      <c r="G799" s="20">
        <v>73726000</v>
      </c>
      <c r="H799" s="20" t="s">
        <v>15136</v>
      </c>
      <c r="I799" s="20" t="b">
        <v>1</v>
      </c>
      <c r="J799" s="20" t="s">
        <v>17753</v>
      </c>
      <c r="K799" s="20">
        <v>1001444</v>
      </c>
      <c r="L799" s="20" t="s">
        <v>17213</v>
      </c>
      <c r="M799" s="20" t="s">
        <v>17754</v>
      </c>
    </row>
    <row r="800" spans="1:13" x14ac:dyDescent="0.25">
      <c r="A800" s="20">
        <v>9025</v>
      </c>
      <c r="B800" s="20" t="s">
        <v>15322</v>
      </c>
      <c r="C800" s="20">
        <v>9025</v>
      </c>
      <c r="D800" s="20" t="e">
        <f>VLOOKUP(C800,[1]CHILDCARE_FACILITIES!AJ:AK,2,0)</f>
        <v>#N/A</v>
      </c>
      <c r="E800" s="20" t="s">
        <v>15134</v>
      </c>
      <c r="F800" s="20" t="s">
        <v>15135</v>
      </c>
      <c r="G800" s="20">
        <v>73026001</v>
      </c>
      <c r="K800" s="20">
        <v>9025</v>
      </c>
    </row>
    <row r="801" spans="1:13" x14ac:dyDescent="0.25">
      <c r="A801" s="20">
        <v>9244</v>
      </c>
      <c r="B801" s="20" t="s">
        <v>15322</v>
      </c>
      <c r="C801" s="20">
        <v>9244</v>
      </c>
      <c r="D801" s="20" t="e">
        <f>VLOOKUP(C801,[1]CHILDCARE_FACILITIES!AJ:AK,2,0)</f>
        <v>#N/A</v>
      </c>
      <c r="E801" s="20" t="s">
        <v>15134</v>
      </c>
      <c r="F801" s="20" t="s">
        <v>15135</v>
      </c>
      <c r="G801" s="20">
        <v>73173001</v>
      </c>
      <c r="K801" s="20">
        <v>9244</v>
      </c>
    </row>
    <row r="802" spans="1:13" x14ac:dyDescent="0.25">
      <c r="A802" s="20">
        <v>9121</v>
      </c>
      <c r="B802" s="20" t="s">
        <v>15371</v>
      </c>
      <c r="C802" s="20">
        <v>9121</v>
      </c>
      <c r="D802" s="20" t="e">
        <f>VLOOKUP(C802,[1]CHILDCARE_FACILITIES!AJ:AK,2,0)</f>
        <v>#N/A</v>
      </c>
      <c r="E802" s="20" t="s">
        <v>15134</v>
      </c>
      <c r="F802" s="20" t="s">
        <v>15135</v>
      </c>
      <c r="G802" s="20">
        <v>73085001</v>
      </c>
      <c r="K802" s="20">
        <v>9121</v>
      </c>
    </row>
    <row r="803" spans="1:13" x14ac:dyDescent="0.25">
      <c r="A803" s="20">
        <v>9478</v>
      </c>
      <c r="B803" s="20" t="s">
        <v>15371</v>
      </c>
      <c r="C803" s="20">
        <v>9478</v>
      </c>
      <c r="D803" s="20" t="e">
        <f>VLOOKUP(C803,[1]CHILDCARE_FACILITIES!AJ:AK,2,0)</f>
        <v>#N/A</v>
      </c>
      <c r="E803" s="20" t="s">
        <v>15134</v>
      </c>
      <c r="F803" s="20" t="s">
        <v>15135</v>
      </c>
      <c r="G803" s="20">
        <v>73273001</v>
      </c>
      <c r="K803" s="20">
        <v>9478</v>
      </c>
    </row>
    <row r="804" spans="1:13" x14ac:dyDescent="0.25">
      <c r="A804" s="20">
        <v>80921</v>
      </c>
      <c r="B804" s="20" t="s">
        <v>16242</v>
      </c>
      <c r="C804" s="20">
        <v>80921</v>
      </c>
      <c r="D804" s="20" t="e">
        <f>VLOOKUP(C804,[1]CHILDCARE_FACILITIES!AJ:AK,2,0)</f>
        <v>#N/A</v>
      </c>
      <c r="E804" s="20" t="s">
        <v>15134</v>
      </c>
      <c r="F804" s="20" t="s">
        <v>15135</v>
      </c>
      <c r="G804" s="20">
        <v>73491000</v>
      </c>
      <c r="H804" s="20" t="s">
        <v>15138</v>
      </c>
      <c r="I804" s="20" t="b">
        <v>1</v>
      </c>
      <c r="J804" s="20" t="s">
        <v>17322</v>
      </c>
      <c r="K804" s="20">
        <v>80921</v>
      </c>
      <c r="L804" s="20" t="s">
        <v>17213</v>
      </c>
      <c r="M804" s="20" t="s">
        <v>17323</v>
      </c>
    </row>
    <row r="805" spans="1:13" x14ac:dyDescent="0.25">
      <c r="A805" s="20">
        <v>80921</v>
      </c>
      <c r="B805" s="20" t="s">
        <v>16242</v>
      </c>
      <c r="C805" s="20">
        <v>80921</v>
      </c>
      <c r="D805" s="20" t="e">
        <f>VLOOKUP(C805,[1]CHILDCARE_FACILITIES!AJ:AK,2,0)</f>
        <v>#N/A</v>
      </c>
      <c r="E805" s="20" t="s">
        <v>15134</v>
      </c>
      <c r="F805" s="20" t="s">
        <v>15135</v>
      </c>
      <c r="G805" s="20">
        <v>73491000</v>
      </c>
      <c r="H805" s="20" t="s">
        <v>15145</v>
      </c>
      <c r="I805" s="20" t="b">
        <v>1</v>
      </c>
      <c r="J805" s="20" t="s">
        <v>17322</v>
      </c>
      <c r="K805" s="20">
        <v>80921</v>
      </c>
      <c r="L805" s="20" t="s">
        <v>17213</v>
      </c>
      <c r="M805" s="20" t="s">
        <v>17323</v>
      </c>
    </row>
    <row r="806" spans="1:13" x14ac:dyDescent="0.25">
      <c r="A806" s="20">
        <v>89388</v>
      </c>
      <c r="B806" s="20" t="s">
        <v>16392</v>
      </c>
      <c r="C806" s="20">
        <v>89388</v>
      </c>
      <c r="D806" s="20" t="str">
        <f>VLOOKUP(C806,[1]CHILDCARE_FACILITIES!AJ:AK,2,0)</f>
        <v>CDC-12778</v>
      </c>
      <c r="E806" s="20" t="s">
        <v>15134</v>
      </c>
      <c r="F806" s="20" t="s">
        <v>15135</v>
      </c>
      <c r="G806" s="20">
        <v>73546001</v>
      </c>
      <c r="H806" s="20" t="s">
        <v>15145</v>
      </c>
      <c r="I806" s="20" t="b">
        <v>1</v>
      </c>
      <c r="J806" s="20" t="s">
        <v>17839</v>
      </c>
      <c r="K806" s="20">
        <v>89388</v>
      </c>
      <c r="L806" s="20" t="s">
        <v>17639</v>
      </c>
      <c r="M806" s="20" t="s">
        <v>17840</v>
      </c>
    </row>
    <row r="807" spans="1:13" x14ac:dyDescent="0.25">
      <c r="A807" s="20">
        <v>89388</v>
      </c>
      <c r="B807" s="20" t="s">
        <v>16392</v>
      </c>
      <c r="C807" s="20">
        <v>89388</v>
      </c>
      <c r="D807" s="20" t="str">
        <f>VLOOKUP(C807,[1]CHILDCARE_FACILITIES!AJ:AK,2,0)</f>
        <v>CDC-12778</v>
      </c>
      <c r="E807" s="20" t="s">
        <v>15134</v>
      </c>
      <c r="F807" s="20" t="s">
        <v>15135</v>
      </c>
      <c r="G807" s="20">
        <v>73546001</v>
      </c>
      <c r="H807" s="20" t="s">
        <v>15138</v>
      </c>
      <c r="I807" s="20" t="b">
        <v>1</v>
      </c>
      <c r="J807" s="20" t="s">
        <v>17839</v>
      </c>
      <c r="K807" s="20">
        <v>89388</v>
      </c>
      <c r="L807" s="20" t="s">
        <v>17639</v>
      </c>
      <c r="M807" s="20" t="s">
        <v>17840</v>
      </c>
    </row>
    <row r="808" spans="1:13" x14ac:dyDescent="0.25">
      <c r="A808" s="20">
        <v>89387</v>
      </c>
      <c r="B808" s="20" t="s">
        <v>16390</v>
      </c>
      <c r="C808" s="20">
        <v>89387</v>
      </c>
      <c r="D808" s="20" t="e">
        <f>VLOOKUP(C808,[1]CHILDCARE_FACILITIES!AJ:AK,2,0)</f>
        <v>#N/A</v>
      </c>
      <c r="E808" s="20" t="s">
        <v>15134</v>
      </c>
      <c r="F808" s="20" t="s">
        <v>15135</v>
      </c>
      <c r="G808" s="20">
        <v>73546000</v>
      </c>
      <c r="H808" s="20" t="s">
        <v>15138</v>
      </c>
      <c r="I808" s="20" t="b">
        <v>1</v>
      </c>
      <c r="J808" s="20" t="s">
        <v>17839</v>
      </c>
      <c r="K808" s="20">
        <v>89387</v>
      </c>
      <c r="L808" s="20" t="s">
        <v>17639</v>
      </c>
      <c r="M808" s="20" t="s">
        <v>17840</v>
      </c>
    </row>
    <row r="809" spans="1:13" x14ac:dyDescent="0.25">
      <c r="A809" s="20">
        <v>89387</v>
      </c>
      <c r="B809" s="20" t="s">
        <v>16390</v>
      </c>
      <c r="C809" s="20">
        <v>89387</v>
      </c>
      <c r="D809" s="20" t="e">
        <f>VLOOKUP(C809,[1]CHILDCARE_FACILITIES!AJ:AK,2,0)</f>
        <v>#N/A</v>
      </c>
      <c r="E809" s="20" t="s">
        <v>15134</v>
      </c>
      <c r="F809" s="20" t="s">
        <v>15135</v>
      </c>
      <c r="G809" s="20">
        <v>73546000</v>
      </c>
      <c r="H809" s="20" t="s">
        <v>15136</v>
      </c>
      <c r="I809" s="20" t="b">
        <v>1</v>
      </c>
      <c r="J809" s="20" t="s">
        <v>17839</v>
      </c>
      <c r="K809" s="20">
        <v>89387</v>
      </c>
      <c r="L809" s="20" t="s">
        <v>17639</v>
      </c>
      <c r="M809" s="20" t="s">
        <v>17840</v>
      </c>
    </row>
    <row r="810" spans="1:13" x14ac:dyDescent="0.25">
      <c r="A810" s="20">
        <v>919380</v>
      </c>
      <c r="B810" s="20" t="s">
        <v>17028</v>
      </c>
      <c r="C810" s="20">
        <v>919380</v>
      </c>
      <c r="D810" s="20" t="e">
        <f>VLOOKUP(C810,[1]CHILDCARE_FACILITIES!AJ:AK,2,0)</f>
        <v>#N/A</v>
      </c>
      <c r="E810" s="20" t="s">
        <v>15134</v>
      </c>
      <c r="F810" s="20" t="s">
        <v>15135</v>
      </c>
      <c r="G810" s="20">
        <v>73343001</v>
      </c>
      <c r="H810" s="20" t="s">
        <v>15136</v>
      </c>
      <c r="I810" s="20" t="b">
        <v>1</v>
      </c>
      <c r="J810" s="20" t="s">
        <v>17841</v>
      </c>
      <c r="K810" s="20">
        <v>919380</v>
      </c>
      <c r="L810" s="20" t="s">
        <v>17216</v>
      </c>
      <c r="M810" s="20" t="s">
        <v>17842</v>
      </c>
    </row>
    <row r="811" spans="1:13" x14ac:dyDescent="0.25">
      <c r="A811" s="20">
        <v>426577</v>
      </c>
      <c r="B811" s="20" t="s">
        <v>16993</v>
      </c>
      <c r="C811" s="20">
        <v>426577</v>
      </c>
      <c r="D811" s="20" t="e">
        <f>VLOOKUP(C811,[1]CHILDCARE_FACILITIES!AJ:AK,2,0)</f>
        <v>#N/A</v>
      </c>
      <c r="E811" s="20" t="s">
        <v>15134</v>
      </c>
      <c r="F811" s="20" t="s">
        <v>15135</v>
      </c>
      <c r="G811" s="20">
        <v>73343000</v>
      </c>
      <c r="H811" s="20" t="s">
        <v>15136</v>
      </c>
      <c r="I811" s="20" t="b">
        <v>1</v>
      </c>
      <c r="J811" s="20" t="s">
        <v>17841</v>
      </c>
      <c r="K811" s="20">
        <v>426577</v>
      </c>
      <c r="L811" s="20" t="s">
        <v>17216</v>
      </c>
      <c r="M811" s="20" t="s">
        <v>17842</v>
      </c>
    </row>
    <row r="812" spans="1:13" x14ac:dyDescent="0.25">
      <c r="A812" s="20">
        <v>10115</v>
      </c>
      <c r="B812" s="20" t="s">
        <v>15807</v>
      </c>
      <c r="C812" s="20">
        <v>10115</v>
      </c>
      <c r="D812" s="20" t="e">
        <f>VLOOKUP(C812,[1]CHILDCARE_FACILITIES!AJ:AK,2,0)</f>
        <v>#N/A</v>
      </c>
      <c r="E812" s="20" t="s">
        <v>15134</v>
      </c>
      <c r="F812" s="20" t="s">
        <v>15135</v>
      </c>
      <c r="G812" s="20">
        <v>113007001</v>
      </c>
      <c r="K812" s="20">
        <v>10115</v>
      </c>
    </row>
    <row r="813" spans="1:13" x14ac:dyDescent="0.25">
      <c r="A813" s="20">
        <v>10117</v>
      </c>
      <c r="B813" s="20" t="s">
        <v>15807</v>
      </c>
      <c r="C813" s="20">
        <v>10117</v>
      </c>
      <c r="D813" s="20" t="e">
        <f>VLOOKUP(C813,[1]CHILDCARE_FACILITIES!AJ:AK,2,0)</f>
        <v>#N/A</v>
      </c>
      <c r="E813" s="20" t="s">
        <v>15134</v>
      </c>
      <c r="F813" s="20" t="s">
        <v>15135</v>
      </c>
      <c r="G813" s="20">
        <v>113008001</v>
      </c>
      <c r="K813" s="20">
        <v>10117</v>
      </c>
    </row>
    <row r="814" spans="1:13" x14ac:dyDescent="0.25">
      <c r="A814" s="20">
        <v>9087</v>
      </c>
      <c r="B814" s="20" t="s">
        <v>15350</v>
      </c>
      <c r="C814" s="20">
        <v>9087</v>
      </c>
      <c r="D814" s="20" t="e">
        <f>VLOOKUP(C814,[1]CHILDCARE_FACILITIES!AJ:AK,2,0)</f>
        <v>#N/A</v>
      </c>
      <c r="E814" s="20" t="s">
        <v>15134</v>
      </c>
      <c r="F814" s="20" t="s">
        <v>15135</v>
      </c>
      <c r="G814" s="20">
        <v>73065001</v>
      </c>
      <c r="K814" s="20">
        <v>9087</v>
      </c>
    </row>
    <row r="815" spans="1:13" x14ac:dyDescent="0.25">
      <c r="A815" s="20">
        <v>9479</v>
      </c>
      <c r="B815" s="20" t="s">
        <v>15560</v>
      </c>
      <c r="C815" s="20">
        <v>9479</v>
      </c>
      <c r="D815" s="20" t="e">
        <f>VLOOKUP(C815,[1]CHILDCARE_FACILITIES!AJ:AK,2,0)</f>
        <v>#N/A</v>
      </c>
      <c r="E815" s="20" t="s">
        <v>15134</v>
      </c>
      <c r="F815" s="20" t="s">
        <v>15135</v>
      </c>
      <c r="G815" s="20">
        <v>73273002</v>
      </c>
      <c r="K815" s="20">
        <v>9479</v>
      </c>
    </row>
    <row r="816" spans="1:13" x14ac:dyDescent="0.25">
      <c r="A816" s="20">
        <v>9525</v>
      </c>
      <c r="B816" s="20" t="s">
        <v>15560</v>
      </c>
      <c r="C816" s="20">
        <v>9525</v>
      </c>
      <c r="D816" s="20" t="e">
        <f>VLOOKUP(C816,[1]CHILDCARE_FACILITIES!AJ:AK,2,0)</f>
        <v>#N/A</v>
      </c>
      <c r="E816" s="20" t="s">
        <v>15134</v>
      </c>
      <c r="F816" s="20" t="s">
        <v>15135</v>
      </c>
      <c r="G816" s="20">
        <v>73288001</v>
      </c>
      <c r="K816" s="20">
        <v>9525</v>
      </c>
    </row>
    <row r="817" spans="1:13" x14ac:dyDescent="0.25">
      <c r="A817" s="20">
        <v>9377</v>
      </c>
      <c r="B817" s="20" t="s">
        <v>15499</v>
      </c>
      <c r="C817" s="20">
        <v>9377</v>
      </c>
      <c r="D817" s="20" t="e">
        <f>VLOOKUP(C817,[1]CHILDCARE_FACILITIES!AJ:AK,2,0)</f>
        <v>#N/A</v>
      </c>
      <c r="E817" s="20" t="s">
        <v>15134</v>
      </c>
      <c r="F817" s="20" t="s">
        <v>15135</v>
      </c>
      <c r="G817" s="20">
        <v>73234001</v>
      </c>
      <c r="K817" s="20">
        <v>9377</v>
      </c>
    </row>
    <row r="818" spans="1:13" x14ac:dyDescent="0.25">
      <c r="A818" s="20">
        <v>9376</v>
      </c>
      <c r="B818" s="20" t="s">
        <v>15497</v>
      </c>
      <c r="C818" s="20">
        <v>9376</v>
      </c>
      <c r="D818" s="20" t="e">
        <f>VLOOKUP(C818,[1]CHILDCARE_FACILITIES!AJ:AK,2,0)</f>
        <v>#N/A</v>
      </c>
      <c r="E818" s="20" t="s">
        <v>15134</v>
      </c>
      <c r="F818" s="20" t="s">
        <v>15135</v>
      </c>
      <c r="G818" s="20">
        <v>73234000</v>
      </c>
      <c r="H818" s="20" t="s">
        <v>15138</v>
      </c>
      <c r="I818" s="20" t="b">
        <v>1</v>
      </c>
      <c r="J818" s="20" t="s">
        <v>17843</v>
      </c>
      <c r="K818" s="20">
        <v>9376</v>
      </c>
      <c r="L818" s="20" t="s">
        <v>17213</v>
      </c>
      <c r="M818" s="20" t="s">
        <v>17844</v>
      </c>
    </row>
    <row r="819" spans="1:13" x14ac:dyDescent="0.25">
      <c r="A819" s="20">
        <v>9376</v>
      </c>
      <c r="B819" s="20" t="s">
        <v>15497</v>
      </c>
      <c r="C819" s="20">
        <v>9376</v>
      </c>
      <c r="D819" s="20" t="e">
        <f>VLOOKUP(C819,[1]CHILDCARE_FACILITIES!AJ:AK,2,0)</f>
        <v>#N/A</v>
      </c>
      <c r="E819" s="20" t="s">
        <v>15134</v>
      </c>
      <c r="F819" s="20" t="s">
        <v>15135</v>
      </c>
      <c r="G819" s="20">
        <v>73234000</v>
      </c>
      <c r="H819" s="20" t="s">
        <v>15136</v>
      </c>
      <c r="I819" s="20" t="b">
        <v>1</v>
      </c>
      <c r="J819" s="20" t="s">
        <v>17843</v>
      </c>
      <c r="K819" s="20">
        <v>9376</v>
      </c>
      <c r="L819" s="20" t="s">
        <v>17213</v>
      </c>
      <c r="M819" s="20" t="s">
        <v>17844</v>
      </c>
    </row>
    <row r="820" spans="1:13" x14ac:dyDescent="0.25">
      <c r="A820" s="20">
        <v>9095</v>
      </c>
      <c r="B820" s="20" t="s">
        <v>15357</v>
      </c>
      <c r="C820" s="20">
        <v>9095</v>
      </c>
      <c r="D820" s="20" t="e">
        <f>VLOOKUP(C820,[1]CHILDCARE_FACILITIES!AJ:AK,2,0)</f>
        <v>#N/A</v>
      </c>
      <c r="E820" s="20" t="s">
        <v>15134</v>
      </c>
      <c r="F820" s="20" t="s">
        <v>15135</v>
      </c>
      <c r="G820" s="20">
        <v>73071001</v>
      </c>
      <c r="H820" s="20" t="s">
        <v>15138</v>
      </c>
      <c r="I820" s="20" t="b">
        <v>1</v>
      </c>
      <c r="J820" s="20" t="s">
        <v>17459</v>
      </c>
      <c r="K820" s="20">
        <v>9095</v>
      </c>
      <c r="L820" s="20" t="s">
        <v>17216</v>
      </c>
      <c r="M820" s="20" t="s">
        <v>17460</v>
      </c>
    </row>
    <row r="821" spans="1:13" x14ac:dyDescent="0.25">
      <c r="A821" s="20">
        <v>9095</v>
      </c>
      <c r="B821" s="20" t="s">
        <v>15357</v>
      </c>
      <c r="C821" s="20">
        <v>9095</v>
      </c>
      <c r="D821" s="20" t="e">
        <f>VLOOKUP(C821,[1]CHILDCARE_FACILITIES!AJ:AK,2,0)</f>
        <v>#N/A</v>
      </c>
      <c r="E821" s="20" t="s">
        <v>15134</v>
      </c>
      <c r="F821" s="20" t="s">
        <v>15135</v>
      </c>
      <c r="G821" s="20">
        <v>73071001</v>
      </c>
      <c r="H821" s="20" t="s">
        <v>15145</v>
      </c>
      <c r="I821" s="20" t="b">
        <v>1</v>
      </c>
      <c r="J821" s="20" t="s">
        <v>17459</v>
      </c>
      <c r="K821" s="20">
        <v>9095</v>
      </c>
      <c r="L821" s="20" t="s">
        <v>17216</v>
      </c>
      <c r="M821" s="20" t="s">
        <v>17460</v>
      </c>
    </row>
    <row r="822" spans="1:13" x14ac:dyDescent="0.25">
      <c r="A822" s="20">
        <v>9929</v>
      </c>
      <c r="B822" s="20" t="s">
        <v>15733</v>
      </c>
      <c r="C822" s="20">
        <v>9929</v>
      </c>
      <c r="D822" s="20" t="e">
        <f>VLOOKUP(C822,[1]CHILDCARE_FACILITIES!AJ:AK,2,0)</f>
        <v>#N/A</v>
      </c>
      <c r="E822" s="20" t="s">
        <v>15134</v>
      </c>
      <c r="F822" s="20" t="s">
        <v>15135</v>
      </c>
      <c r="G822" s="20">
        <v>103056001</v>
      </c>
      <c r="K822" s="20">
        <v>9929</v>
      </c>
    </row>
    <row r="823" spans="1:13" x14ac:dyDescent="0.25">
      <c r="A823" s="20">
        <v>1000417</v>
      </c>
      <c r="B823" s="20" t="s">
        <v>17169</v>
      </c>
      <c r="C823" s="20">
        <v>1000417</v>
      </c>
      <c r="D823" s="20" t="e">
        <f>VLOOKUP(C823,[1]CHILDCARE_FACILITIES!AJ:AK,2,0)</f>
        <v>#N/A</v>
      </c>
      <c r="E823" s="20" t="s">
        <v>15134</v>
      </c>
      <c r="F823" s="20" t="s">
        <v>15135</v>
      </c>
      <c r="G823" s="20">
        <v>92227002</v>
      </c>
      <c r="H823" s="20" t="s">
        <v>15138</v>
      </c>
      <c r="I823" s="20" t="b">
        <v>0</v>
      </c>
      <c r="J823" s="20" t="s">
        <v>17845</v>
      </c>
      <c r="K823" s="20">
        <v>1000417</v>
      </c>
      <c r="L823" s="20" t="s">
        <v>17846</v>
      </c>
      <c r="M823" s="20" t="s">
        <v>17847</v>
      </c>
    </row>
    <row r="824" spans="1:13" x14ac:dyDescent="0.25">
      <c r="A824" s="20">
        <v>1000417</v>
      </c>
      <c r="B824" s="20" t="s">
        <v>17169</v>
      </c>
      <c r="C824" s="20">
        <v>1000417</v>
      </c>
      <c r="D824" s="20" t="e">
        <f>VLOOKUP(C824,[1]CHILDCARE_FACILITIES!AJ:AK,2,0)</f>
        <v>#N/A</v>
      </c>
      <c r="E824" s="20" t="s">
        <v>15134</v>
      </c>
      <c r="F824" s="20" t="s">
        <v>15135</v>
      </c>
      <c r="G824" s="20">
        <v>92227002</v>
      </c>
      <c r="H824" s="20" t="s">
        <v>15136</v>
      </c>
      <c r="I824" s="20" t="b">
        <v>1</v>
      </c>
      <c r="J824" s="20" t="s">
        <v>17848</v>
      </c>
      <c r="K824" s="20">
        <v>1000417</v>
      </c>
      <c r="L824" s="20" t="s">
        <v>17849</v>
      </c>
      <c r="M824" s="20" t="s">
        <v>17850</v>
      </c>
    </row>
    <row r="825" spans="1:13" x14ac:dyDescent="0.25">
      <c r="A825" s="20">
        <v>8771</v>
      </c>
      <c r="B825" s="20" t="s">
        <v>15264</v>
      </c>
      <c r="C825" s="20">
        <v>8771</v>
      </c>
      <c r="D825" s="20" t="e">
        <f>VLOOKUP(C825,[1]CHILDCARE_FACILITIES!AJ:AK,2,0)</f>
        <v>#N/A</v>
      </c>
      <c r="E825" s="20" t="s">
        <v>15134</v>
      </c>
      <c r="F825" s="20" t="s">
        <v>15135</v>
      </c>
      <c r="G825" s="20">
        <v>72405004</v>
      </c>
      <c r="K825" s="20">
        <v>8771</v>
      </c>
    </row>
    <row r="826" spans="1:13" x14ac:dyDescent="0.25">
      <c r="A826" s="20">
        <v>8691</v>
      </c>
      <c r="B826" s="20" t="s">
        <v>15202</v>
      </c>
      <c r="C826" s="20">
        <v>8691</v>
      </c>
      <c r="D826" s="20" t="e">
        <f>VLOOKUP(C826,[1]CHILDCARE_FACILITIES!AJ:AK,2,0)</f>
        <v>#N/A</v>
      </c>
      <c r="E826" s="20" t="s">
        <v>15134</v>
      </c>
      <c r="F826" s="20" t="s">
        <v>15135</v>
      </c>
      <c r="G826" s="20">
        <v>72224001</v>
      </c>
      <c r="K826" s="20">
        <v>8691</v>
      </c>
    </row>
    <row r="827" spans="1:13" x14ac:dyDescent="0.25">
      <c r="A827" s="20">
        <v>9904</v>
      </c>
      <c r="B827" s="20" t="s">
        <v>15720</v>
      </c>
      <c r="C827" s="20">
        <v>9904</v>
      </c>
      <c r="D827" s="20" t="e">
        <f>VLOOKUP(C827,[1]CHILDCARE_FACILITIES!AJ:AK,2,0)</f>
        <v>#N/A</v>
      </c>
      <c r="E827" s="20" t="s">
        <v>15134</v>
      </c>
      <c r="F827" s="20" t="s">
        <v>15135</v>
      </c>
      <c r="G827" s="20">
        <v>103041000</v>
      </c>
      <c r="H827" s="20" t="s">
        <v>15138</v>
      </c>
      <c r="I827" s="20" t="b">
        <v>1</v>
      </c>
      <c r="J827" s="20" t="s">
        <v>17851</v>
      </c>
      <c r="K827" s="20">
        <v>9904</v>
      </c>
      <c r="L827" s="20" t="s">
        <v>17271</v>
      </c>
      <c r="M827" s="20" t="s">
        <v>17852</v>
      </c>
    </row>
    <row r="828" spans="1:13" x14ac:dyDescent="0.25">
      <c r="A828" s="20">
        <v>9904</v>
      </c>
      <c r="B828" s="20" t="s">
        <v>15720</v>
      </c>
      <c r="C828" s="20">
        <v>9904</v>
      </c>
      <c r="D828" s="20" t="e">
        <f>VLOOKUP(C828,[1]CHILDCARE_FACILITIES!AJ:AK,2,0)</f>
        <v>#N/A</v>
      </c>
      <c r="E828" s="20" t="s">
        <v>15134</v>
      </c>
      <c r="F828" s="20" t="s">
        <v>15135</v>
      </c>
      <c r="G828" s="20">
        <v>103041000</v>
      </c>
      <c r="H828" s="20" t="s">
        <v>15136</v>
      </c>
      <c r="I828" s="20" t="b">
        <v>1</v>
      </c>
      <c r="J828" s="20" t="s">
        <v>17851</v>
      </c>
      <c r="K828" s="20">
        <v>9904</v>
      </c>
      <c r="L828" s="20" t="s">
        <v>17271</v>
      </c>
      <c r="M828" s="20" t="s">
        <v>17852</v>
      </c>
    </row>
    <row r="829" spans="1:13" x14ac:dyDescent="0.25">
      <c r="A829" s="20">
        <v>89819</v>
      </c>
      <c r="B829" s="20" t="s">
        <v>16462</v>
      </c>
      <c r="C829" s="20">
        <v>89819</v>
      </c>
      <c r="D829" s="20" t="e">
        <f>VLOOKUP(C829,[1]CHILDCARE_FACILITIES!AJ:AK,2,0)</f>
        <v>#N/A</v>
      </c>
      <c r="E829" s="20" t="s">
        <v>15134</v>
      </c>
      <c r="F829" s="20" t="s">
        <v>15135</v>
      </c>
      <c r="G829" s="20">
        <v>133023001</v>
      </c>
      <c r="H829" s="20" t="s">
        <v>15145</v>
      </c>
      <c r="I829" s="20" t="b">
        <v>1</v>
      </c>
      <c r="J829" s="20" t="s">
        <v>17853</v>
      </c>
      <c r="K829" s="20">
        <v>89819</v>
      </c>
      <c r="L829" s="20" t="s">
        <v>17706</v>
      </c>
      <c r="M829" s="20" t="s">
        <v>17854</v>
      </c>
    </row>
    <row r="830" spans="1:13" x14ac:dyDescent="0.25">
      <c r="A830" s="20">
        <v>89819</v>
      </c>
      <c r="B830" s="20" t="s">
        <v>16462</v>
      </c>
      <c r="C830" s="20">
        <v>89819</v>
      </c>
      <c r="D830" s="20" t="e">
        <f>VLOOKUP(C830,[1]CHILDCARE_FACILITIES!AJ:AK,2,0)</f>
        <v>#N/A</v>
      </c>
      <c r="E830" s="20" t="s">
        <v>15134</v>
      </c>
      <c r="F830" s="20" t="s">
        <v>15135</v>
      </c>
      <c r="G830" s="20">
        <v>133023001</v>
      </c>
      <c r="H830" s="20" t="s">
        <v>15138</v>
      </c>
      <c r="I830" s="20" t="b">
        <v>1</v>
      </c>
      <c r="J830" s="20" t="s">
        <v>17853</v>
      </c>
      <c r="K830" s="20">
        <v>89819</v>
      </c>
      <c r="L830" s="20" t="s">
        <v>17706</v>
      </c>
      <c r="M830" s="20" t="s">
        <v>17854</v>
      </c>
    </row>
    <row r="831" spans="1:13" x14ac:dyDescent="0.25">
      <c r="A831" s="20">
        <v>89818</v>
      </c>
      <c r="B831" s="20" t="s">
        <v>16460</v>
      </c>
      <c r="C831" s="20">
        <v>89818</v>
      </c>
      <c r="D831" s="20" t="e">
        <f>VLOOKUP(C831,[1]CHILDCARE_FACILITIES!AJ:AK,2,0)</f>
        <v>#N/A</v>
      </c>
      <c r="E831" s="20" t="s">
        <v>15134</v>
      </c>
      <c r="F831" s="20" t="s">
        <v>15135</v>
      </c>
      <c r="G831" s="20">
        <v>133023000</v>
      </c>
      <c r="H831" s="20" t="s">
        <v>15138</v>
      </c>
      <c r="I831" s="20" t="b">
        <v>1</v>
      </c>
      <c r="J831" s="20" t="s">
        <v>17853</v>
      </c>
      <c r="K831" s="20">
        <v>89818</v>
      </c>
      <c r="L831" s="20" t="s">
        <v>17706</v>
      </c>
      <c r="M831" s="20" t="s">
        <v>17854</v>
      </c>
    </row>
    <row r="832" spans="1:13" x14ac:dyDescent="0.25">
      <c r="A832" s="20">
        <v>89818</v>
      </c>
      <c r="B832" s="20" t="s">
        <v>16460</v>
      </c>
      <c r="C832" s="20">
        <v>89818</v>
      </c>
      <c r="D832" s="20" t="e">
        <f>VLOOKUP(C832,[1]CHILDCARE_FACILITIES!AJ:AK,2,0)</f>
        <v>#N/A</v>
      </c>
      <c r="E832" s="20" t="s">
        <v>15134</v>
      </c>
      <c r="F832" s="20" t="s">
        <v>15135</v>
      </c>
      <c r="G832" s="20">
        <v>133023000</v>
      </c>
      <c r="H832" s="20" t="s">
        <v>15136</v>
      </c>
      <c r="I832" s="20" t="b">
        <v>1</v>
      </c>
      <c r="J832" s="20" t="s">
        <v>17853</v>
      </c>
      <c r="K832" s="20">
        <v>89818</v>
      </c>
      <c r="L832" s="20" t="s">
        <v>17706</v>
      </c>
      <c r="M832" s="20" t="s">
        <v>17854</v>
      </c>
    </row>
    <row r="833" spans="1:13" x14ac:dyDescent="0.25">
      <c r="A833" s="20">
        <v>80723</v>
      </c>
      <c r="B833" s="20" t="s">
        <v>16195</v>
      </c>
      <c r="C833" s="20">
        <v>80723</v>
      </c>
      <c r="D833" s="20" t="e">
        <f>VLOOKUP(C833,[1]CHILDCARE_FACILITIES!AJ:AK,2,0)</f>
        <v>#N/A</v>
      </c>
      <c r="E833" s="20" t="s">
        <v>15134</v>
      </c>
      <c r="F833" s="20" t="s">
        <v>15135</v>
      </c>
      <c r="G833" s="20">
        <v>73446000</v>
      </c>
      <c r="H833" s="20" t="s">
        <v>15136</v>
      </c>
      <c r="I833" s="20" t="b">
        <v>1</v>
      </c>
      <c r="J833" s="20" t="s">
        <v>17855</v>
      </c>
      <c r="K833" s="20">
        <v>80723</v>
      </c>
      <c r="L833" s="20" t="s">
        <v>17236</v>
      </c>
      <c r="M833" s="20" t="s">
        <v>17856</v>
      </c>
    </row>
    <row r="834" spans="1:13" x14ac:dyDescent="0.25">
      <c r="A834" s="20">
        <v>80723</v>
      </c>
      <c r="B834" s="20" t="s">
        <v>16195</v>
      </c>
      <c r="C834" s="20">
        <v>80723</v>
      </c>
      <c r="D834" s="20" t="e">
        <f>VLOOKUP(C834,[1]CHILDCARE_FACILITIES!AJ:AK,2,0)</f>
        <v>#N/A</v>
      </c>
      <c r="E834" s="20" t="s">
        <v>15134</v>
      </c>
      <c r="F834" s="20" t="s">
        <v>15135</v>
      </c>
      <c r="G834" s="20">
        <v>73446000</v>
      </c>
      <c r="H834" s="20" t="s">
        <v>15138</v>
      </c>
      <c r="I834" s="20" t="b">
        <v>1</v>
      </c>
      <c r="J834" s="20" t="s">
        <v>17855</v>
      </c>
      <c r="K834" s="20">
        <v>80723</v>
      </c>
      <c r="L834" s="20" t="s">
        <v>17236</v>
      </c>
      <c r="M834" s="20" t="s">
        <v>17856</v>
      </c>
    </row>
    <row r="835" spans="1:13" x14ac:dyDescent="0.25">
      <c r="A835" s="20">
        <v>80724</v>
      </c>
      <c r="B835" s="20" t="s">
        <v>16195</v>
      </c>
      <c r="C835" s="20">
        <v>80724</v>
      </c>
      <c r="D835" s="20" t="str">
        <f>VLOOKUP(C835,[1]CHILDCARE_FACILITIES!AJ:AK,2,0)</f>
        <v>CDC-8462</v>
      </c>
      <c r="E835" s="20" t="s">
        <v>15134</v>
      </c>
      <c r="F835" s="20" t="s">
        <v>15135</v>
      </c>
      <c r="G835" s="20">
        <v>73446001</v>
      </c>
      <c r="H835" s="20" t="s">
        <v>15145</v>
      </c>
      <c r="I835" s="20" t="b">
        <v>1</v>
      </c>
      <c r="J835" s="20" t="s">
        <v>17855</v>
      </c>
      <c r="K835" s="20">
        <v>80724</v>
      </c>
      <c r="L835" s="20" t="s">
        <v>17236</v>
      </c>
      <c r="M835" s="20" t="s">
        <v>17856</v>
      </c>
    </row>
    <row r="836" spans="1:13" x14ac:dyDescent="0.25">
      <c r="A836" s="20">
        <v>80724</v>
      </c>
      <c r="B836" s="20" t="s">
        <v>16195</v>
      </c>
      <c r="C836" s="20">
        <v>80724</v>
      </c>
      <c r="D836" s="20" t="str">
        <f>VLOOKUP(C836,[1]CHILDCARE_FACILITIES!AJ:AK,2,0)</f>
        <v>CDC-8462</v>
      </c>
      <c r="E836" s="20" t="s">
        <v>15134</v>
      </c>
      <c r="F836" s="20" t="s">
        <v>15135</v>
      </c>
      <c r="G836" s="20">
        <v>73446001</v>
      </c>
      <c r="H836" s="20" t="s">
        <v>15138</v>
      </c>
      <c r="I836" s="20" t="b">
        <v>1</v>
      </c>
      <c r="J836" s="20" t="s">
        <v>17855</v>
      </c>
      <c r="K836" s="20">
        <v>80724</v>
      </c>
      <c r="L836" s="20" t="s">
        <v>17236</v>
      </c>
      <c r="M836" s="20" t="s">
        <v>17856</v>
      </c>
    </row>
    <row r="837" spans="1:13" x14ac:dyDescent="0.25">
      <c r="A837" s="20">
        <v>90938</v>
      </c>
      <c r="B837" s="20" t="s">
        <v>16730</v>
      </c>
      <c r="C837" s="20">
        <v>90938</v>
      </c>
      <c r="D837" s="20" t="e">
        <f>VLOOKUP(C837,[1]CHILDCARE_FACILITIES!AJ:AK,2,0)</f>
        <v>#N/A</v>
      </c>
      <c r="E837" s="20" t="s">
        <v>15134</v>
      </c>
      <c r="F837" s="20" t="s">
        <v>15135</v>
      </c>
      <c r="G837" s="20">
        <v>72442001</v>
      </c>
      <c r="H837" s="20" t="s">
        <v>15145</v>
      </c>
      <c r="I837" s="20" t="b">
        <v>1</v>
      </c>
      <c r="J837" s="20" t="s">
        <v>17857</v>
      </c>
      <c r="K837" s="20">
        <v>90938</v>
      </c>
      <c r="L837" s="20" t="s">
        <v>17213</v>
      </c>
      <c r="M837" s="20" t="s">
        <v>17858</v>
      </c>
    </row>
    <row r="838" spans="1:13" x14ac:dyDescent="0.25">
      <c r="A838" s="20">
        <v>90938</v>
      </c>
      <c r="B838" s="20" t="s">
        <v>16730</v>
      </c>
      <c r="C838" s="20">
        <v>90938</v>
      </c>
      <c r="D838" s="20" t="e">
        <f>VLOOKUP(C838,[1]CHILDCARE_FACILITIES!AJ:AK,2,0)</f>
        <v>#N/A</v>
      </c>
      <c r="E838" s="20" t="s">
        <v>15134</v>
      </c>
      <c r="F838" s="20" t="s">
        <v>15135</v>
      </c>
      <c r="G838" s="20">
        <v>72442001</v>
      </c>
      <c r="H838" s="20" t="s">
        <v>15138</v>
      </c>
      <c r="I838" s="20" t="b">
        <v>0</v>
      </c>
      <c r="J838" s="20" t="s">
        <v>17859</v>
      </c>
      <c r="K838" s="20">
        <v>90938</v>
      </c>
      <c r="L838" s="20" t="s">
        <v>17228</v>
      </c>
      <c r="M838" s="20" t="s">
        <v>17860</v>
      </c>
    </row>
    <row r="839" spans="1:13" x14ac:dyDescent="0.25">
      <c r="A839" s="20">
        <v>90938</v>
      </c>
      <c r="B839" s="20" t="s">
        <v>16730</v>
      </c>
      <c r="C839" s="20">
        <v>90938</v>
      </c>
      <c r="D839" s="20" t="e">
        <f>VLOOKUP(C839,[1]CHILDCARE_FACILITIES!AJ:AK,2,0)</f>
        <v>#N/A</v>
      </c>
      <c r="E839" s="20" t="s">
        <v>15134</v>
      </c>
      <c r="F839" s="20" t="s">
        <v>15135</v>
      </c>
      <c r="G839" s="20">
        <v>72442001</v>
      </c>
      <c r="H839" s="20" t="s">
        <v>15136</v>
      </c>
      <c r="I839" s="20" t="b">
        <v>1</v>
      </c>
      <c r="J839" s="20" t="s">
        <v>17861</v>
      </c>
      <c r="K839" s="20">
        <v>90938</v>
      </c>
      <c r="L839" s="20" t="s">
        <v>17213</v>
      </c>
      <c r="M839" s="20" t="s">
        <v>17862</v>
      </c>
    </row>
    <row r="840" spans="1:13" x14ac:dyDescent="0.25">
      <c r="A840" s="20">
        <v>9662</v>
      </c>
      <c r="B840" s="20" t="s">
        <v>15625</v>
      </c>
      <c r="C840" s="20">
        <v>9662</v>
      </c>
      <c r="D840" s="20" t="e">
        <f>VLOOKUP(C840,[1]CHILDCARE_FACILITIES!AJ:AK,2,0)</f>
        <v>#N/A</v>
      </c>
      <c r="E840" s="20" t="s">
        <v>15134</v>
      </c>
      <c r="F840" s="20" t="s">
        <v>15135</v>
      </c>
      <c r="G840" s="20">
        <v>92227000</v>
      </c>
      <c r="K840" s="20">
        <v>9662</v>
      </c>
    </row>
    <row r="841" spans="1:13" x14ac:dyDescent="0.25">
      <c r="A841" s="20">
        <v>9789</v>
      </c>
      <c r="B841" s="20" t="s">
        <v>15681</v>
      </c>
      <c r="C841" s="20">
        <v>9789</v>
      </c>
      <c r="D841" s="20" t="e">
        <f>VLOOKUP(C841,[1]CHILDCARE_FACILITIES!AJ:AK,2,0)</f>
        <v>#N/A</v>
      </c>
      <c r="E841" s="20" t="s">
        <v>15134</v>
      </c>
      <c r="F841" s="20" t="s">
        <v>15135</v>
      </c>
      <c r="G841" s="20">
        <v>102250007</v>
      </c>
      <c r="K841" s="20">
        <v>9789</v>
      </c>
    </row>
    <row r="842" spans="1:13" x14ac:dyDescent="0.25">
      <c r="A842" s="20">
        <v>80664</v>
      </c>
      <c r="B842" s="20" t="s">
        <v>16165</v>
      </c>
      <c r="C842" s="20">
        <v>80664</v>
      </c>
      <c r="D842" s="20" t="e">
        <f>VLOOKUP(C842,[1]CHILDCARE_FACILITIES!AJ:AK,2,0)</f>
        <v>#N/A</v>
      </c>
      <c r="E842" s="20" t="s">
        <v>15134</v>
      </c>
      <c r="F842" s="20" t="s">
        <v>15135</v>
      </c>
      <c r="G842" s="20">
        <v>143014001</v>
      </c>
      <c r="H842" s="20" t="s">
        <v>15138</v>
      </c>
      <c r="I842" s="20" t="b">
        <v>1</v>
      </c>
      <c r="J842" s="20" t="s">
        <v>17863</v>
      </c>
      <c r="K842" s="20">
        <v>80664</v>
      </c>
      <c r="L842" s="20" t="s">
        <v>17335</v>
      </c>
      <c r="M842" s="20" t="s">
        <v>17864</v>
      </c>
    </row>
    <row r="843" spans="1:13" x14ac:dyDescent="0.25">
      <c r="A843" s="20">
        <v>80664</v>
      </c>
      <c r="B843" s="20" t="s">
        <v>16165</v>
      </c>
      <c r="C843" s="20">
        <v>80664</v>
      </c>
      <c r="D843" s="20" t="e">
        <f>VLOOKUP(C843,[1]CHILDCARE_FACILITIES!AJ:AK,2,0)</f>
        <v>#N/A</v>
      </c>
      <c r="E843" s="20" t="s">
        <v>15134</v>
      </c>
      <c r="F843" s="20" t="s">
        <v>15135</v>
      </c>
      <c r="G843" s="20">
        <v>143014001</v>
      </c>
      <c r="H843" s="20" t="s">
        <v>15145</v>
      </c>
      <c r="I843" s="20" t="b">
        <v>1</v>
      </c>
      <c r="J843" s="20" t="s">
        <v>17863</v>
      </c>
      <c r="K843" s="20">
        <v>80664</v>
      </c>
      <c r="L843" s="20" t="s">
        <v>17335</v>
      </c>
      <c r="M843" s="20" t="s">
        <v>17864</v>
      </c>
    </row>
    <row r="844" spans="1:13" x14ac:dyDescent="0.25">
      <c r="A844" s="20">
        <v>79338</v>
      </c>
      <c r="B844" s="20" t="s">
        <v>15936</v>
      </c>
      <c r="C844" s="20">
        <v>79338</v>
      </c>
      <c r="D844" s="20" t="e">
        <f>VLOOKUP(C844,[1]CHILDCARE_FACILITIES!AJ:AK,2,0)</f>
        <v>#N/A</v>
      </c>
      <c r="E844" s="20" t="s">
        <v>15134</v>
      </c>
      <c r="F844" s="20" t="s">
        <v>15135</v>
      </c>
      <c r="G844" s="20">
        <v>72425019</v>
      </c>
      <c r="H844" s="20" t="s">
        <v>15138</v>
      </c>
      <c r="I844" s="20" t="b">
        <v>1</v>
      </c>
      <c r="J844" s="20" t="s">
        <v>17865</v>
      </c>
      <c r="K844" s="20">
        <v>79338</v>
      </c>
      <c r="L844" s="20" t="s">
        <v>17715</v>
      </c>
      <c r="M844" s="20" t="s">
        <v>17866</v>
      </c>
    </row>
    <row r="845" spans="1:13" x14ac:dyDescent="0.25">
      <c r="A845" s="20">
        <v>79338</v>
      </c>
      <c r="B845" s="20" t="s">
        <v>15936</v>
      </c>
      <c r="C845" s="20">
        <v>79338</v>
      </c>
      <c r="D845" s="20" t="e">
        <f>VLOOKUP(C845,[1]CHILDCARE_FACILITIES!AJ:AK,2,0)</f>
        <v>#N/A</v>
      </c>
      <c r="E845" s="20" t="s">
        <v>15134</v>
      </c>
      <c r="F845" s="20" t="s">
        <v>15135</v>
      </c>
      <c r="G845" s="20">
        <v>72425019</v>
      </c>
      <c r="H845" s="20" t="s">
        <v>15145</v>
      </c>
      <c r="I845" s="20" t="b">
        <v>1</v>
      </c>
      <c r="J845" s="20" t="s">
        <v>17865</v>
      </c>
      <c r="K845" s="20">
        <v>79338</v>
      </c>
      <c r="L845" s="20" t="s">
        <v>17715</v>
      </c>
      <c r="M845" s="20" t="s">
        <v>17866</v>
      </c>
    </row>
    <row r="846" spans="1:13" x14ac:dyDescent="0.25">
      <c r="A846" s="20">
        <v>89513</v>
      </c>
      <c r="B846" s="20" t="s">
        <v>16412</v>
      </c>
      <c r="C846" s="20">
        <v>89513</v>
      </c>
      <c r="D846" s="20" t="e">
        <f>VLOOKUP(C846,[1]CHILDCARE_FACILITIES!AJ:AK,2,0)</f>
        <v>#N/A</v>
      </c>
      <c r="E846" s="20" t="s">
        <v>15134</v>
      </c>
      <c r="F846" s="20" t="s">
        <v>15135</v>
      </c>
      <c r="G846" s="20">
        <v>102271000</v>
      </c>
      <c r="H846" s="20" t="s">
        <v>15145</v>
      </c>
      <c r="I846" s="20" t="b">
        <v>1</v>
      </c>
      <c r="J846" s="20" t="s">
        <v>17867</v>
      </c>
      <c r="K846" s="20">
        <v>89513</v>
      </c>
      <c r="L846" s="20" t="s">
        <v>17271</v>
      </c>
      <c r="M846" s="20" t="s">
        <v>17868</v>
      </c>
    </row>
    <row r="847" spans="1:13" x14ac:dyDescent="0.25">
      <c r="A847" s="20">
        <v>89513</v>
      </c>
      <c r="B847" s="20" t="s">
        <v>16412</v>
      </c>
      <c r="C847" s="20">
        <v>89513</v>
      </c>
      <c r="D847" s="20" t="e">
        <f>VLOOKUP(C847,[1]CHILDCARE_FACILITIES!AJ:AK,2,0)</f>
        <v>#N/A</v>
      </c>
      <c r="E847" s="20" t="s">
        <v>15134</v>
      </c>
      <c r="F847" s="20" t="s">
        <v>15135</v>
      </c>
      <c r="G847" s="20">
        <v>102271000</v>
      </c>
      <c r="H847" s="20" t="s">
        <v>15138</v>
      </c>
      <c r="I847" s="20" t="b">
        <v>1</v>
      </c>
      <c r="J847" s="20" t="s">
        <v>17867</v>
      </c>
      <c r="K847" s="20">
        <v>89513</v>
      </c>
      <c r="L847" s="20" t="s">
        <v>17271</v>
      </c>
      <c r="M847" s="20" t="s">
        <v>17868</v>
      </c>
    </row>
    <row r="848" spans="1:13" x14ac:dyDescent="0.25">
      <c r="A848" s="20">
        <v>89514</v>
      </c>
      <c r="B848" s="20" t="s">
        <v>16412</v>
      </c>
      <c r="C848" s="20">
        <v>89514</v>
      </c>
      <c r="D848" s="20" t="e">
        <f>VLOOKUP(C848,[1]CHILDCARE_FACILITIES!AJ:AK,2,0)</f>
        <v>#N/A</v>
      </c>
      <c r="E848" s="20" t="s">
        <v>15134</v>
      </c>
      <c r="F848" s="20" t="s">
        <v>15135</v>
      </c>
      <c r="G848" s="20">
        <v>102271001</v>
      </c>
      <c r="H848" s="20" t="s">
        <v>15145</v>
      </c>
      <c r="I848" s="20" t="b">
        <v>1</v>
      </c>
      <c r="J848" s="20" t="s">
        <v>17867</v>
      </c>
      <c r="K848" s="20">
        <v>89514</v>
      </c>
      <c r="L848" s="20" t="s">
        <v>17271</v>
      </c>
      <c r="M848" s="20" t="s">
        <v>17868</v>
      </c>
    </row>
    <row r="849" spans="1:13" x14ac:dyDescent="0.25">
      <c r="A849" s="20">
        <v>89514</v>
      </c>
      <c r="B849" s="20" t="s">
        <v>16412</v>
      </c>
      <c r="C849" s="20">
        <v>89514</v>
      </c>
      <c r="D849" s="20" t="e">
        <f>VLOOKUP(C849,[1]CHILDCARE_FACILITIES!AJ:AK,2,0)</f>
        <v>#N/A</v>
      </c>
      <c r="E849" s="20" t="s">
        <v>15134</v>
      </c>
      <c r="F849" s="20" t="s">
        <v>15135</v>
      </c>
      <c r="G849" s="20">
        <v>102271001</v>
      </c>
      <c r="H849" s="20" t="s">
        <v>15138</v>
      </c>
      <c r="I849" s="20" t="b">
        <v>1</v>
      </c>
      <c r="J849" s="20" t="s">
        <v>17867</v>
      </c>
      <c r="K849" s="20">
        <v>89514</v>
      </c>
      <c r="L849" s="20" t="s">
        <v>17271</v>
      </c>
      <c r="M849" s="20" t="s">
        <v>17868</v>
      </c>
    </row>
    <row r="850" spans="1:13" x14ac:dyDescent="0.25">
      <c r="A850" s="20">
        <v>88431</v>
      </c>
      <c r="B850" s="20" t="s">
        <v>16373</v>
      </c>
      <c r="C850" s="20">
        <v>88431</v>
      </c>
      <c r="D850" s="20" t="e">
        <f>VLOOKUP(C850,[1]CHILDCARE_FACILITIES!AJ:AK,2,0)</f>
        <v>#N/A</v>
      </c>
      <c r="E850" s="20" t="s">
        <v>15134</v>
      </c>
      <c r="F850" s="20" t="s">
        <v>15135</v>
      </c>
      <c r="G850" s="20">
        <v>93020001</v>
      </c>
      <c r="H850" s="20" t="s">
        <v>15138</v>
      </c>
      <c r="I850" s="20" t="b">
        <v>0</v>
      </c>
      <c r="J850" s="20" t="s">
        <v>17869</v>
      </c>
      <c r="K850" s="20">
        <v>88431</v>
      </c>
      <c r="L850" s="20" t="s">
        <v>17870</v>
      </c>
      <c r="M850" s="20" t="s">
        <v>17871</v>
      </c>
    </row>
    <row r="851" spans="1:13" x14ac:dyDescent="0.25">
      <c r="A851" s="20">
        <v>88431</v>
      </c>
      <c r="B851" s="20" t="s">
        <v>16373</v>
      </c>
      <c r="C851" s="20">
        <v>88431</v>
      </c>
      <c r="D851" s="20" t="e">
        <f>VLOOKUP(C851,[1]CHILDCARE_FACILITIES!AJ:AK,2,0)</f>
        <v>#N/A</v>
      </c>
      <c r="E851" s="20" t="s">
        <v>15134</v>
      </c>
      <c r="F851" s="20" t="s">
        <v>15135</v>
      </c>
      <c r="G851" s="20">
        <v>93020001</v>
      </c>
      <c r="H851" s="20" t="s">
        <v>15145</v>
      </c>
      <c r="I851" s="20" t="b">
        <v>1</v>
      </c>
      <c r="J851" s="20" t="s">
        <v>17872</v>
      </c>
      <c r="K851" s="20">
        <v>88431</v>
      </c>
      <c r="L851" s="20" t="s">
        <v>17873</v>
      </c>
      <c r="M851" s="20" t="s">
        <v>17874</v>
      </c>
    </row>
    <row r="852" spans="1:13" x14ac:dyDescent="0.25">
      <c r="A852" s="20">
        <v>80680</v>
      </c>
      <c r="B852" s="20" t="s">
        <v>16183</v>
      </c>
      <c r="C852" s="20">
        <v>80680</v>
      </c>
      <c r="D852" s="20" t="e">
        <f>VLOOKUP(C852,[1]CHILDCARE_FACILITIES!AJ:AK,2,0)</f>
        <v>#N/A</v>
      </c>
      <c r="E852" s="20" t="s">
        <v>15134</v>
      </c>
      <c r="F852" s="20" t="s">
        <v>15135</v>
      </c>
      <c r="G852" s="20">
        <v>72413006</v>
      </c>
      <c r="H852" s="20" t="s">
        <v>15145</v>
      </c>
      <c r="I852" s="20" t="b">
        <v>1</v>
      </c>
      <c r="J852" s="20" t="s">
        <v>17875</v>
      </c>
      <c r="K852" s="20">
        <v>80680</v>
      </c>
      <c r="L852" s="20" t="s">
        <v>17213</v>
      </c>
      <c r="M852" s="20" t="s">
        <v>17876</v>
      </c>
    </row>
    <row r="853" spans="1:13" x14ac:dyDescent="0.25">
      <c r="A853" s="20">
        <v>80680</v>
      </c>
      <c r="B853" s="20" t="s">
        <v>16183</v>
      </c>
      <c r="C853" s="20">
        <v>80680</v>
      </c>
      <c r="D853" s="20" t="e">
        <f>VLOOKUP(C853,[1]CHILDCARE_FACILITIES!AJ:AK,2,0)</f>
        <v>#N/A</v>
      </c>
      <c r="E853" s="20" t="s">
        <v>15134</v>
      </c>
      <c r="F853" s="20" t="s">
        <v>15135</v>
      </c>
      <c r="G853" s="20">
        <v>72413006</v>
      </c>
      <c r="H853" s="20" t="s">
        <v>15138</v>
      </c>
      <c r="I853" s="20" t="b">
        <v>1</v>
      </c>
      <c r="J853" s="20" t="s">
        <v>17875</v>
      </c>
      <c r="K853" s="20">
        <v>80680</v>
      </c>
      <c r="L853" s="20" t="s">
        <v>17213</v>
      </c>
      <c r="M853" s="20" t="s">
        <v>17876</v>
      </c>
    </row>
    <row r="854" spans="1:13" x14ac:dyDescent="0.25">
      <c r="A854" s="20">
        <v>90356</v>
      </c>
      <c r="B854" s="20" t="s">
        <v>16587</v>
      </c>
      <c r="C854" s="20">
        <v>90356</v>
      </c>
      <c r="D854" s="20" t="e">
        <f>VLOOKUP(C854,[1]CHILDCARE_FACILITIES!AJ:AK,2,0)</f>
        <v>#N/A</v>
      </c>
      <c r="E854" s="20" t="s">
        <v>15134</v>
      </c>
      <c r="F854" s="20" t="s">
        <v>15135</v>
      </c>
      <c r="G854" s="20">
        <v>73587000</v>
      </c>
      <c r="H854" s="20" t="s">
        <v>15138</v>
      </c>
      <c r="I854" s="20" t="b">
        <v>1</v>
      </c>
      <c r="J854" s="20" t="s">
        <v>17451</v>
      </c>
      <c r="K854" s="20">
        <v>90356</v>
      </c>
      <c r="L854" s="20" t="s">
        <v>17213</v>
      </c>
      <c r="M854" s="20" t="s">
        <v>17452</v>
      </c>
    </row>
    <row r="855" spans="1:13" x14ac:dyDescent="0.25">
      <c r="A855" s="20">
        <v>90356</v>
      </c>
      <c r="B855" s="20" t="s">
        <v>16587</v>
      </c>
      <c r="C855" s="20">
        <v>90356</v>
      </c>
      <c r="D855" s="20" t="e">
        <f>VLOOKUP(C855,[1]CHILDCARE_FACILITIES!AJ:AK,2,0)</f>
        <v>#N/A</v>
      </c>
      <c r="E855" s="20" t="s">
        <v>15134</v>
      </c>
      <c r="F855" s="20" t="s">
        <v>15135</v>
      </c>
      <c r="G855" s="20">
        <v>73587000</v>
      </c>
      <c r="H855" s="20" t="s">
        <v>15136</v>
      </c>
      <c r="I855" s="20" t="b">
        <v>1</v>
      </c>
      <c r="J855" s="20" t="s">
        <v>17451</v>
      </c>
      <c r="K855" s="20">
        <v>90356</v>
      </c>
      <c r="L855" s="20" t="s">
        <v>17213</v>
      </c>
      <c r="M855" s="20" t="s">
        <v>17452</v>
      </c>
    </row>
    <row r="856" spans="1:13" x14ac:dyDescent="0.25">
      <c r="A856" s="20">
        <v>9911</v>
      </c>
      <c r="B856" s="20" t="s">
        <v>15725</v>
      </c>
      <c r="C856" s="20">
        <v>9911</v>
      </c>
      <c r="D856" s="20" t="e">
        <f>VLOOKUP(C856,[1]CHILDCARE_FACILITIES!AJ:AK,2,0)</f>
        <v>#N/A</v>
      </c>
      <c r="E856" s="20" t="s">
        <v>15134</v>
      </c>
      <c r="F856" s="20" t="s">
        <v>15135</v>
      </c>
      <c r="G856" s="20">
        <v>103045001</v>
      </c>
      <c r="K856" s="20">
        <v>9911</v>
      </c>
    </row>
    <row r="857" spans="1:13" x14ac:dyDescent="0.25">
      <c r="A857" s="20">
        <v>9399</v>
      </c>
      <c r="B857" s="20" t="s">
        <v>15509</v>
      </c>
      <c r="C857" s="20">
        <v>9399</v>
      </c>
      <c r="D857" s="20" t="e">
        <f>VLOOKUP(C857,[1]CHILDCARE_FACILITIES!AJ:AK,2,0)</f>
        <v>#N/A</v>
      </c>
      <c r="E857" s="20" t="s">
        <v>15134</v>
      </c>
      <c r="F857" s="20" t="s">
        <v>15135</v>
      </c>
      <c r="G857" s="20">
        <v>73246001</v>
      </c>
      <c r="K857" s="20">
        <v>9399</v>
      </c>
    </row>
    <row r="858" spans="1:13" x14ac:dyDescent="0.25">
      <c r="A858" s="20">
        <v>9013</v>
      </c>
      <c r="B858" s="20" t="s">
        <v>15313</v>
      </c>
      <c r="C858" s="20">
        <v>9013</v>
      </c>
      <c r="D858" s="20" t="e">
        <f>VLOOKUP(C858,[1]CHILDCARE_FACILITIES!AJ:AK,2,0)</f>
        <v>#N/A</v>
      </c>
      <c r="E858" s="20" t="s">
        <v>15134</v>
      </c>
      <c r="F858" s="20" t="s">
        <v>15135</v>
      </c>
      <c r="G858" s="20">
        <v>73021001</v>
      </c>
      <c r="K858" s="20">
        <v>9013</v>
      </c>
    </row>
    <row r="859" spans="1:13" x14ac:dyDescent="0.25">
      <c r="A859" s="20">
        <v>9147</v>
      </c>
      <c r="B859" s="20" t="s">
        <v>15379</v>
      </c>
      <c r="C859" s="20">
        <v>9147</v>
      </c>
      <c r="D859" s="20" t="e">
        <f>VLOOKUP(C859,[1]CHILDCARE_FACILITIES!AJ:AK,2,0)</f>
        <v>#N/A</v>
      </c>
      <c r="E859" s="20" t="s">
        <v>15134</v>
      </c>
      <c r="F859" s="20" t="s">
        <v>15135</v>
      </c>
      <c r="G859" s="20">
        <v>73098001</v>
      </c>
      <c r="K859" s="20">
        <v>9147</v>
      </c>
    </row>
    <row r="860" spans="1:13" x14ac:dyDescent="0.25">
      <c r="A860" s="20">
        <v>9184</v>
      </c>
      <c r="B860" s="20" t="s">
        <v>15400</v>
      </c>
      <c r="C860" s="20">
        <v>9184</v>
      </c>
      <c r="D860" s="20" t="e">
        <f>VLOOKUP(C860,[1]CHILDCARE_FACILITIES!AJ:AK,2,0)</f>
        <v>#N/A</v>
      </c>
      <c r="E860" s="20" t="s">
        <v>15134</v>
      </c>
      <c r="F860" s="20" t="s">
        <v>15135</v>
      </c>
      <c r="G860" s="20">
        <v>73127001</v>
      </c>
      <c r="K860" s="20">
        <v>9184</v>
      </c>
    </row>
    <row r="861" spans="1:13" x14ac:dyDescent="0.25">
      <c r="A861" s="20">
        <v>8693</v>
      </c>
      <c r="B861" s="20" t="s">
        <v>15204</v>
      </c>
      <c r="C861" s="20">
        <v>8693</v>
      </c>
      <c r="D861" s="20" t="e">
        <f>VLOOKUP(C861,[1]CHILDCARE_FACILITIES!AJ:AK,2,0)</f>
        <v>#N/A</v>
      </c>
      <c r="E861" s="20" t="s">
        <v>15134</v>
      </c>
      <c r="F861" s="20" t="s">
        <v>15135</v>
      </c>
      <c r="G861" s="20">
        <v>72225001</v>
      </c>
      <c r="K861" s="20">
        <v>8693</v>
      </c>
    </row>
    <row r="862" spans="1:13" x14ac:dyDescent="0.25">
      <c r="A862" s="20">
        <v>8772</v>
      </c>
      <c r="B862" s="20" t="s">
        <v>15204</v>
      </c>
      <c r="C862" s="20">
        <v>8772</v>
      </c>
      <c r="D862" s="20" t="e">
        <f>VLOOKUP(C862,[1]CHILDCARE_FACILITIES!AJ:AK,2,0)</f>
        <v>#N/A</v>
      </c>
      <c r="E862" s="20" t="s">
        <v>15134</v>
      </c>
      <c r="F862" s="20" t="s">
        <v>15135</v>
      </c>
      <c r="G862" s="20">
        <v>72405005</v>
      </c>
      <c r="K862" s="20">
        <v>8772</v>
      </c>
    </row>
    <row r="863" spans="1:13" x14ac:dyDescent="0.25">
      <c r="A863" s="20">
        <v>9413</v>
      </c>
      <c r="B863" s="20" t="s">
        <v>15204</v>
      </c>
      <c r="C863" s="20">
        <v>9413</v>
      </c>
      <c r="D863" s="20" t="e">
        <f>VLOOKUP(C863,[1]CHILDCARE_FACILITIES!AJ:AK,2,0)</f>
        <v>#N/A</v>
      </c>
      <c r="E863" s="20" t="s">
        <v>15134</v>
      </c>
      <c r="F863" s="20" t="s">
        <v>15135</v>
      </c>
      <c r="G863" s="20">
        <v>73252001</v>
      </c>
      <c r="K863" s="20">
        <v>9413</v>
      </c>
    </row>
    <row r="864" spans="1:13" x14ac:dyDescent="0.25">
      <c r="A864" s="20">
        <v>9236</v>
      </c>
      <c r="B864" s="20" t="s">
        <v>15426</v>
      </c>
      <c r="C864" s="20">
        <v>9236</v>
      </c>
      <c r="D864" s="20" t="e">
        <f>VLOOKUP(C864,[1]CHILDCARE_FACILITIES!AJ:AK,2,0)</f>
        <v>#N/A</v>
      </c>
      <c r="E864" s="20" t="s">
        <v>15134</v>
      </c>
      <c r="F864" s="20" t="s">
        <v>15135</v>
      </c>
      <c r="G864" s="20">
        <v>73168001</v>
      </c>
      <c r="K864" s="20">
        <v>9236</v>
      </c>
    </row>
    <row r="865" spans="1:13" x14ac:dyDescent="0.25">
      <c r="A865" s="20">
        <v>9143</v>
      </c>
      <c r="B865" s="20" t="s">
        <v>15377</v>
      </c>
      <c r="C865" s="20">
        <v>9143</v>
      </c>
      <c r="D865" s="20" t="e">
        <f>VLOOKUP(C865,[1]CHILDCARE_FACILITIES!AJ:AK,2,0)</f>
        <v>#N/A</v>
      </c>
      <c r="E865" s="20" t="s">
        <v>15134</v>
      </c>
      <c r="F865" s="20" t="s">
        <v>15135</v>
      </c>
      <c r="G865" s="20">
        <v>73096001</v>
      </c>
      <c r="K865" s="20">
        <v>9143</v>
      </c>
    </row>
    <row r="866" spans="1:13" x14ac:dyDescent="0.25">
      <c r="A866" s="20">
        <v>9216</v>
      </c>
      <c r="B866" s="20" t="s">
        <v>15417</v>
      </c>
      <c r="C866" s="20">
        <v>9216</v>
      </c>
      <c r="D866" s="20" t="e">
        <f>VLOOKUP(C866,[1]CHILDCARE_FACILITIES!AJ:AK,2,0)</f>
        <v>#N/A</v>
      </c>
      <c r="E866" s="20" t="s">
        <v>15134</v>
      </c>
      <c r="F866" s="20" t="s">
        <v>15135</v>
      </c>
      <c r="G866" s="20">
        <v>73152001</v>
      </c>
      <c r="K866" s="20">
        <v>9216</v>
      </c>
    </row>
    <row r="867" spans="1:13" x14ac:dyDescent="0.25">
      <c r="A867" s="20">
        <v>9331</v>
      </c>
      <c r="B867" s="20" t="s">
        <v>15475</v>
      </c>
      <c r="C867" s="20">
        <v>9331</v>
      </c>
      <c r="D867" s="20" t="e">
        <f>VLOOKUP(C867,[1]CHILDCARE_FACILITIES!AJ:AK,2,0)</f>
        <v>#N/A</v>
      </c>
      <c r="E867" s="20" t="s">
        <v>15134</v>
      </c>
      <c r="F867" s="20" t="s">
        <v>15135</v>
      </c>
      <c r="G867" s="20">
        <v>73212001</v>
      </c>
      <c r="K867" s="20">
        <v>9331</v>
      </c>
    </row>
    <row r="868" spans="1:13" x14ac:dyDescent="0.25">
      <c r="A868" s="20">
        <v>8980</v>
      </c>
      <c r="B868" s="20" t="s">
        <v>15296</v>
      </c>
      <c r="C868" s="20">
        <v>8980</v>
      </c>
      <c r="D868" s="20" t="e">
        <f>VLOOKUP(C868,[1]CHILDCARE_FACILITIES!AJ:AK,2,0)</f>
        <v>#N/A</v>
      </c>
      <c r="E868" s="20" t="s">
        <v>15134</v>
      </c>
      <c r="F868" s="20" t="s">
        <v>15135</v>
      </c>
      <c r="G868" s="20">
        <v>73003001</v>
      </c>
      <c r="K868" s="20">
        <v>8980</v>
      </c>
    </row>
    <row r="869" spans="1:13" x14ac:dyDescent="0.25">
      <c r="A869" s="20">
        <v>9905</v>
      </c>
      <c r="B869" s="20" t="s">
        <v>15722</v>
      </c>
      <c r="C869" s="20">
        <v>9905</v>
      </c>
      <c r="D869" s="20" t="str">
        <f>VLOOKUP(C869,[1]CHILDCARE_FACILITIES!AJ:AK,2,0)</f>
        <v>CDC-9323</v>
      </c>
      <c r="E869" s="20" t="s">
        <v>15134</v>
      </c>
      <c r="F869" s="20" t="s">
        <v>15135</v>
      </c>
      <c r="G869" s="20">
        <v>103041001</v>
      </c>
      <c r="H869" s="20" t="s">
        <v>15145</v>
      </c>
      <c r="I869" s="20" t="b">
        <v>1</v>
      </c>
      <c r="J869" s="20" t="s">
        <v>17851</v>
      </c>
      <c r="K869" s="20">
        <v>9905</v>
      </c>
      <c r="L869" s="20" t="s">
        <v>17271</v>
      </c>
      <c r="M869" s="20" t="s">
        <v>17852</v>
      </c>
    </row>
    <row r="870" spans="1:13" x14ac:dyDescent="0.25">
      <c r="A870" s="20">
        <v>9905</v>
      </c>
      <c r="B870" s="20" t="s">
        <v>15722</v>
      </c>
      <c r="C870" s="20">
        <v>9905</v>
      </c>
      <c r="D870" s="20" t="str">
        <f>VLOOKUP(C870,[1]CHILDCARE_FACILITIES!AJ:AK,2,0)</f>
        <v>CDC-9323</v>
      </c>
      <c r="E870" s="20" t="s">
        <v>15134</v>
      </c>
      <c r="F870" s="20" t="s">
        <v>15135</v>
      </c>
      <c r="G870" s="20">
        <v>103041001</v>
      </c>
      <c r="H870" s="20" t="s">
        <v>15138</v>
      </c>
      <c r="I870" s="20" t="b">
        <v>1</v>
      </c>
      <c r="J870" s="20" t="s">
        <v>17851</v>
      </c>
      <c r="K870" s="20">
        <v>9905</v>
      </c>
      <c r="L870" s="20" t="s">
        <v>17271</v>
      </c>
      <c r="M870" s="20" t="s">
        <v>17852</v>
      </c>
    </row>
    <row r="871" spans="1:13" x14ac:dyDescent="0.25">
      <c r="A871" s="20">
        <v>80539</v>
      </c>
      <c r="B871" s="20" t="s">
        <v>16109</v>
      </c>
      <c r="C871" s="20">
        <v>80539</v>
      </c>
      <c r="D871" s="20" t="e">
        <f>VLOOKUP(C871,[1]CHILDCARE_FACILITIES!AJ:AK,2,0)</f>
        <v>#N/A</v>
      </c>
      <c r="E871" s="20" t="s">
        <v>15134</v>
      </c>
      <c r="F871" s="20" t="s">
        <v>15135</v>
      </c>
      <c r="G871" s="20">
        <v>83007004</v>
      </c>
      <c r="H871" s="20" t="s">
        <v>15138</v>
      </c>
      <c r="I871" s="20" t="b">
        <v>1</v>
      </c>
      <c r="J871" s="20" t="s">
        <v>17877</v>
      </c>
      <c r="K871" s="20">
        <v>80539</v>
      </c>
      <c r="L871" s="20" t="s">
        <v>17402</v>
      </c>
      <c r="M871" s="20" t="s">
        <v>17878</v>
      </c>
    </row>
    <row r="872" spans="1:13" x14ac:dyDescent="0.25">
      <c r="A872" s="20">
        <v>80539</v>
      </c>
      <c r="B872" s="20" t="s">
        <v>16109</v>
      </c>
      <c r="C872" s="20">
        <v>80539</v>
      </c>
      <c r="D872" s="20" t="e">
        <f>VLOOKUP(C872,[1]CHILDCARE_FACILITIES!AJ:AK,2,0)</f>
        <v>#N/A</v>
      </c>
      <c r="E872" s="20" t="s">
        <v>15134</v>
      </c>
      <c r="F872" s="20" t="s">
        <v>15135</v>
      </c>
      <c r="G872" s="20">
        <v>83007004</v>
      </c>
      <c r="H872" s="20" t="s">
        <v>15145</v>
      </c>
      <c r="I872" s="20" t="b">
        <v>1</v>
      </c>
      <c r="J872" s="20" t="s">
        <v>17879</v>
      </c>
      <c r="K872" s="20">
        <v>80539</v>
      </c>
      <c r="L872" s="20" t="s">
        <v>17402</v>
      </c>
      <c r="M872" s="20" t="s">
        <v>17880</v>
      </c>
    </row>
    <row r="873" spans="1:13" x14ac:dyDescent="0.25">
      <c r="A873" s="20">
        <v>9634</v>
      </c>
      <c r="B873" s="20" t="s">
        <v>15615</v>
      </c>
      <c r="C873" s="20">
        <v>9634</v>
      </c>
      <c r="D873" s="20" t="e">
        <f>VLOOKUP(C873,[1]CHILDCARE_FACILITIES!AJ:AK,2,0)</f>
        <v>#N/A</v>
      </c>
      <c r="E873" s="20" t="s">
        <v>15134</v>
      </c>
      <c r="F873" s="20" t="s">
        <v>15135</v>
      </c>
      <c r="G873" s="20">
        <v>83007001</v>
      </c>
      <c r="K873" s="20">
        <v>9634</v>
      </c>
    </row>
    <row r="874" spans="1:13" x14ac:dyDescent="0.25">
      <c r="A874" s="20">
        <v>9628</v>
      </c>
      <c r="B874" s="20" t="s">
        <v>15613</v>
      </c>
      <c r="C874" s="20">
        <v>9628</v>
      </c>
      <c r="D874" s="20" t="e">
        <f>VLOOKUP(C874,[1]CHILDCARE_FACILITIES!AJ:AK,2,0)</f>
        <v>#N/A</v>
      </c>
      <c r="E874" s="20" t="s">
        <v>15134</v>
      </c>
      <c r="F874" s="20" t="s">
        <v>15135</v>
      </c>
      <c r="G874" s="20">
        <v>83005001</v>
      </c>
      <c r="K874" s="20">
        <v>9628</v>
      </c>
    </row>
    <row r="875" spans="1:13" x14ac:dyDescent="0.25">
      <c r="A875" s="20">
        <v>9629</v>
      </c>
      <c r="B875" s="20" t="s">
        <v>15613</v>
      </c>
      <c r="C875" s="20">
        <v>9629</v>
      </c>
      <c r="D875" s="20" t="e">
        <f>VLOOKUP(C875,[1]CHILDCARE_FACILITIES!AJ:AK,2,0)</f>
        <v>#N/A</v>
      </c>
      <c r="E875" s="20" t="s">
        <v>15134</v>
      </c>
      <c r="F875" s="20" t="s">
        <v>15135</v>
      </c>
      <c r="G875" s="20">
        <v>83005002</v>
      </c>
      <c r="K875" s="20">
        <v>9629</v>
      </c>
    </row>
    <row r="876" spans="1:13" x14ac:dyDescent="0.25">
      <c r="A876" s="20">
        <v>9630</v>
      </c>
      <c r="B876" s="20" t="s">
        <v>15613</v>
      </c>
      <c r="C876" s="20">
        <v>9630</v>
      </c>
      <c r="D876" s="20" t="e">
        <f>VLOOKUP(C876,[1]CHILDCARE_FACILITIES!AJ:AK,2,0)</f>
        <v>#N/A</v>
      </c>
      <c r="E876" s="20" t="s">
        <v>15134</v>
      </c>
      <c r="F876" s="20" t="s">
        <v>15135</v>
      </c>
      <c r="G876" s="20">
        <v>83005003</v>
      </c>
      <c r="K876" s="20">
        <v>9630</v>
      </c>
    </row>
    <row r="877" spans="1:13" x14ac:dyDescent="0.25">
      <c r="A877" s="20">
        <v>9635</v>
      </c>
      <c r="B877" s="20" t="s">
        <v>15616</v>
      </c>
      <c r="C877" s="20">
        <v>9635</v>
      </c>
      <c r="D877" s="20" t="e">
        <f>VLOOKUP(C877,[1]CHILDCARE_FACILITIES!AJ:AK,2,0)</f>
        <v>#N/A</v>
      </c>
      <c r="E877" s="20" t="s">
        <v>15134</v>
      </c>
      <c r="F877" s="20" t="s">
        <v>15135</v>
      </c>
      <c r="G877" s="20">
        <v>83007002</v>
      </c>
      <c r="K877" s="20">
        <v>9635</v>
      </c>
    </row>
    <row r="878" spans="1:13" x14ac:dyDescent="0.25">
      <c r="A878" s="20">
        <v>79870</v>
      </c>
      <c r="B878" s="20" t="s">
        <v>16028</v>
      </c>
      <c r="C878" s="20">
        <v>79870</v>
      </c>
      <c r="D878" s="20" t="e">
        <f>VLOOKUP(C878,[1]CHILDCARE_FACILITIES!AJ:AK,2,0)</f>
        <v>#N/A</v>
      </c>
      <c r="E878" s="20" t="s">
        <v>15134</v>
      </c>
      <c r="F878" s="20" t="s">
        <v>15135</v>
      </c>
      <c r="G878" s="20">
        <v>73476001</v>
      </c>
      <c r="K878" s="20">
        <v>79870</v>
      </c>
    </row>
    <row r="879" spans="1:13" x14ac:dyDescent="0.25">
      <c r="A879" s="20">
        <v>79869</v>
      </c>
      <c r="B879" s="20" t="s">
        <v>16025</v>
      </c>
      <c r="C879" s="20">
        <v>79869</v>
      </c>
      <c r="D879" s="20" t="e">
        <f>VLOOKUP(C879,[1]CHILDCARE_FACILITIES!AJ:AK,2,0)</f>
        <v>#N/A</v>
      </c>
      <c r="E879" s="20" t="s">
        <v>15134</v>
      </c>
      <c r="F879" s="20" t="s">
        <v>15135</v>
      </c>
      <c r="G879" s="20">
        <v>73476000</v>
      </c>
      <c r="H879" s="20" t="s">
        <v>15136</v>
      </c>
      <c r="I879" s="20" t="b">
        <v>1</v>
      </c>
      <c r="J879" s="20" t="s">
        <v>17881</v>
      </c>
      <c r="K879" s="20">
        <v>79869</v>
      </c>
      <c r="L879" s="20" t="s">
        <v>17213</v>
      </c>
      <c r="M879" s="20" t="s">
        <v>17882</v>
      </c>
    </row>
    <row r="880" spans="1:13" x14ac:dyDescent="0.25">
      <c r="A880" s="20">
        <v>79869</v>
      </c>
      <c r="B880" s="20" t="s">
        <v>16025</v>
      </c>
      <c r="C880" s="20">
        <v>79869</v>
      </c>
      <c r="D880" s="20" t="e">
        <f>VLOOKUP(C880,[1]CHILDCARE_FACILITIES!AJ:AK,2,0)</f>
        <v>#N/A</v>
      </c>
      <c r="E880" s="20" t="s">
        <v>15134</v>
      </c>
      <c r="F880" s="20" t="s">
        <v>15135</v>
      </c>
      <c r="G880" s="20">
        <v>73476000</v>
      </c>
      <c r="H880" s="20" t="s">
        <v>15138</v>
      </c>
      <c r="I880" s="20" t="b">
        <v>1</v>
      </c>
      <c r="J880" s="20" t="s">
        <v>17883</v>
      </c>
      <c r="K880" s="20">
        <v>79869</v>
      </c>
      <c r="L880" s="20" t="s">
        <v>17213</v>
      </c>
      <c r="M880" s="20" t="s">
        <v>17882</v>
      </c>
    </row>
    <row r="881" spans="1:13" x14ac:dyDescent="0.25">
      <c r="A881" s="20">
        <v>10210</v>
      </c>
      <c r="B881" s="20" t="s">
        <v>15844</v>
      </c>
      <c r="C881" s="20">
        <v>10210</v>
      </c>
      <c r="D881" s="20" t="e">
        <f>VLOOKUP(C881,[1]CHILDCARE_FACILITIES!AJ:AK,2,0)</f>
        <v>#N/A</v>
      </c>
      <c r="E881" s="20" t="s">
        <v>15134</v>
      </c>
      <c r="F881" s="20" t="s">
        <v>15135</v>
      </c>
      <c r="G881" s="20">
        <v>143010001</v>
      </c>
      <c r="K881" s="20">
        <v>10210</v>
      </c>
    </row>
    <row r="882" spans="1:13" x14ac:dyDescent="0.25">
      <c r="A882" s="20">
        <v>79324</v>
      </c>
      <c r="B882" s="20" t="s">
        <v>15917</v>
      </c>
      <c r="C882" s="20">
        <v>79324</v>
      </c>
      <c r="D882" s="20" t="e">
        <f>VLOOKUP(C882,[1]CHILDCARE_FACILITIES!AJ:AK,2,0)</f>
        <v>#N/A</v>
      </c>
      <c r="E882" s="20" t="s">
        <v>15134</v>
      </c>
      <c r="F882" s="20" t="s">
        <v>15135</v>
      </c>
      <c r="G882" s="20">
        <v>73454001</v>
      </c>
      <c r="H882" s="20" t="s">
        <v>15145</v>
      </c>
      <c r="I882" s="20" t="b">
        <v>1</v>
      </c>
      <c r="J882" s="20" t="s">
        <v>17884</v>
      </c>
      <c r="K882" s="20">
        <v>79324</v>
      </c>
      <c r="L882" s="20" t="s">
        <v>17239</v>
      </c>
      <c r="M882" s="20" t="s">
        <v>17885</v>
      </c>
    </row>
    <row r="883" spans="1:13" x14ac:dyDescent="0.25">
      <c r="A883" s="20">
        <v>79324</v>
      </c>
      <c r="B883" s="20" t="s">
        <v>15917</v>
      </c>
      <c r="C883" s="20">
        <v>79324</v>
      </c>
      <c r="D883" s="20" t="e">
        <f>VLOOKUP(C883,[1]CHILDCARE_FACILITIES!AJ:AK,2,0)</f>
        <v>#N/A</v>
      </c>
      <c r="E883" s="20" t="s">
        <v>15134</v>
      </c>
      <c r="F883" s="20" t="s">
        <v>15135</v>
      </c>
      <c r="G883" s="20">
        <v>73454001</v>
      </c>
      <c r="H883" s="20" t="s">
        <v>15138</v>
      </c>
      <c r="I883" s="20" t="b">
        <v>1</v>
      </c>
      <c r="J883" s="20" t="s">
        <v>17884</v>
      </c>
      <c r="K883" s="20">
        <v>79324</v>
      </c>
      <c r="L883" s="20" t="s">
        <v>17239</v>
      </c>
      <c r="M883" s="20" t="s">
        <v>17885</v>
      </c>
    </row>
    <row r="884" spans="1:13" x14ac:dyDescent="0.25">
      <c r="A884" s="20">
        <v>9435</v>
      </c>
      <c r="B884" s="20" t="s">
        <v>15525</v>
      </c>
      <c r="C884" s="20">
        <v>9435</v>
      </c>
      <c r="D884" s="20" t="e">
        <f>VLOOKUP(C884,[1]CHILDCARE_FACILITIES!AJ:AK,2,0)</f>
        <v>#N/A</v>
      </c>
      <c r="E884" s="20" t="s">
        <v>15134</v>
      </c>
      <c r="F884" s="20" t="s">
        <v>15135</v>
      </c>
      <c r="G884" s="20">
        <v>73264001</v>
      </c>
      <c r="K884" s="20">
        <v>9435</v>
      </c>
    </row>
    <row r="885" spans="1:13" x14ac:dyDescent="0.25">
      <c r="A885" s="20">
        <v>9329</v>
      </c>
      <c r="B885" s="20" t="s">
        <v>15474</v>
      </c>
      <c r="C885" s="20">
        <v>9329</v>
      </c>
      <c r="D885" s="20" t="e">
        <f>VLOOKUP(C885,[1]CHILDCARE_FACILITIES!AJ:AK,2,0)</f>
        <v>#N/A</v>
      </c>
      <c r="E885" s="20" t="s">
        <v>15134</v>
      </c>
      <c r="F885" s="20" t="s">
        <v>15135</v>
      </c>
      <c r="G885" s="20">
        <v>73211001</v>
      </c>
      <c r="K885" s="20">
        <v>9329</v>
      </c>
    </row>
    <row r="886" spans="1:13" x14ac:dyDescent="0.25">
      <c r="A886" s="20">
        <v>9359</v>
      </c>
      <c r="B886" s="20" t="s">
        <v>15486</v>
      </c>
      <c r="C886" s="20">
        <v>9359</v>
      </c>
      <c r="D886" s="20" t="e">
        <f>VLOOKUP(C886,[1]CHILDCARE_FACILITIES!AJ:AK,2,0)</f>
        <v>#N/A</v>
      </c>
      <c r="E886" s="20" t="s">
        <v>15134</v>
      </c>
      <c r="F886" s="20" t="s">
        <v>15135</v>
      </c>
      <c r="G886" s="20">
        <v>73225001</v>
      </c>
      <c r="K886" s="20">
        <v>9359</v>
      </c>
    </row>
    <row r="887" spans="1:13" x14ac:dyDescent="0.25">
      <c r="A887" s="20">
        <v>9325</v>
      </c>
      <c r="B887" s="20" t="s">
        <v>15472</v>
      </c>
      <c r="C887" s="20">
        <v>9325</v>
      </c>
      <c r="D887" s="20" t="e">
        <f>VLOOKUP(C887,[1]CHILDCARE_FACILITIES!AJ:AK,2,0)</f>
        <v>#N/A</v>
      </c>
      <c r="E887" s="20" t="s">
        <v>15134</v>
      </c>
      <c r="F887" s="20" t="s">
        <v>15135</v>
      </c>
      <c r="G887" s="20">
        <v>73209001</v>
      </c>
      <c r="K887" s="20">
        <v>9325</v>
      </c>
    </row>
    <row r="888" spans="1:13" x14ac:dyDescent="0.25">
      <c r="A888" s="20">
        <v>9321</v>
      </c>
      <c r="B888" s="20" t="s">
        <v>15470</v>
      </c>
      <c r="C888" s="20">
        <v>9321</v>
      </c>
      <c r="D888" s="20" t="e">
        <f>VLOOKUP(C888,[1]CHILDCARE_FACILITIES!AJ:AK,2,0)</f>
        <v>#N/A</v>
      </c>
      <c r="E888" s="20" t="s">
        <v>15134</v>
      </c>
      <c r="F888" s="20" t="s">
        <v>15135</v>
      </c>
      <c r="G888" s="20">
        <v>73207001</v>
      </c>
      <c r="K888" s="20">
        <v>9321</v>
      </c>
    </row>
    <row r="889" spans="1:13" x14ac:dyDescent="0.25">
      <c r="A889" s="20">
        <v>9323</v>
      </c>
      <c r="B889" s="20" t="s">
        <v>15471</v>
      </c>
      <c r="C889" s="20">
        <v>9323</v>
      </c>
      <c r="D889" s="20" t="e">
        <f>VLOOKUP(C889,[1]CHILDCARE_FACILITIES!AJ:AK,2,0)</f>
        <v>#N/A</v>
      </c>
      <c r="E889" s="20" t="s">
        <v>15134</v>
      </c>
      <c r="F889" s="20" t="s">
        <v>15135</v>
      </c>
      <c r="G889" s="20">
        <v>73208001</v>
      </c>
      <c r="K889" s="20">
        <v>9323</v>
      </c>
    </row>
    <row r="890" spans="1:13" x14ac:dyDescent="0.25">
      <c r="A890" s="20">
        <v>9489</v>
      </c>
      <c r="B890" s="20" t="s">
        <v>15565</v>
      </c>
      <c r="C890" s="20">
        <v>9489</v>
      </c>
      <c r="D890" s="20" t="e">
        <f>VLOOKUP(C890,[1]CHILDCARE_FACILITIES!AJ:AK,2,0)</f>
        <v>#N/A</v>
      </c>
      <c r="E890" s="20" t="s">
        <v>15134</v>
      </c>
      <c r="F890" s="20" t="s">
        <v>15135</v>
      </c>
      <c r="G890" s="20">
        <v>73276001</v>
      </c>
      <c r="K890" s="20">
        <v>9489</v>
      </c>
    </row>
    <row r="891" spans="1:13" x14ac:dyDescent="0.25">
      <c r="A891" s="20">
        <v>9490</v>
      </c>
      <c r="B891" s="20" t="s">
        <v>15566</v>
      </c>
      <c r="C891" s="20">
        <v>9490</v>
      </c>
      <c r="D891" s="20" t="e">
        <f>VLOOKUP(C891,[1]CHILDCARE_FACILITIES!AJ:AK,2,0)</f>
        <v>#N/A</v>
      </c>
      <c r="E891" s="20" t="s">
        <v>15134</v>
      </c>
      <c r="F891" s="20" t="s">
        <v>15135</v>
      </c>
      <c r="G891" s="20">
        <v>73276002</v>
      </c>
      <c r="K891" s="20">
        <v>9490</v>
      </c>
    </row>
    <row r="892" spans="1:13" x14ac:dyDescent="0.25">
      <c r="A892" s="20">
        <v>9491</v>
      </c>
      <c r="B892" s="20" t="s">
        <v>15567</v>
      </c>
      <c r="C892" s="20">
        <v>9491</v>
      </c>
      <c r="D892" s="20" t="e">
        <f>VLOOKUP(C892,[1]CHILDCARE_FACILITIES!AJ:AK,2,0)</f>
        <v>#N/A</v>
      </c>
      <c r="E892" s="20" t="s">
        <v>15134</v>
      </c>
      <c r="F892" s="20" t="s">
        <v>15135</v>
      </c>
      <c r="G892" s="20">
        <v>73276003</v>
      </c>
      <c r="K892" s="20">
        <v>9491</v>
      </c>
    </row>
    <row r="893" spans="1:13" x14ac:dyDescent="0.25">
      <c r="A893" s="20">
        <v>9492</v>
      </c>
      <c r="B893" s="20" t="s">
        <v>15568</v>
      </c>
      <c r="C893" s="20">
        <v>9492</v>
      </c>
      <c r="D893" s="20" t="e">
        <f>VLOOKUP(C893,[1]CHILDCARE_FACILITIES!AJ:AK,2,0)</f>
        <v>#N/A</v>
      </c>
      <c r="E893" s="20" t="s">
        <v>15134</v>
      </c>
      <c r="F893" s="20" t="s">
        <v>15135</v>
      </c>
      <c r="G893" s="20">
        <v>73276004</v>
      </c>
      <c r="K893" s="20">
        <v>9492</v>
      </c>
    </row>
    <row r="894" spans="1:13" x14ac:dyDescent="0.25">
      <c r="A894" s="20">
        <v>9493</v>
      </c>
      <c r="B894" s="20" t="s">
        <v>15569</v>
      </c>
      <c r="C894" s="20">
        <v>9493</v>
      </c>
      <c r="D894" s="20" t="e">
        <f>VLOOKUP(C894,[1]CHILDCARE_FACILITIES!AJ:AK,2,0)</f>
        <v>#N/A</v>
      </c>
      <c r="E894" s="20" t="s">
        <v>15134</v>
      </c>
      <c r="F894" s="20" t="s">
        <v>15135</v>
      </c>
      <c r="G894" s="20">
        <v>73276005</v>
      </c>
      <c r="K894" s="20">
        <v>9493</v>
      </c>
    </row>
    <row r="895" spans="1:13" x14ac:dyDescent="0.25">
      <c r="A895" s="20">
        <v>9494</v>
      </c>
      <c r="B895" s="20" t="s">
        <v>15570</v>
      </c>
      <c r="C895" s="20">
        <v>9494</v>
      </c>
      <c r="D895" s="20" t="e">
        <f>VLOOKUP(C895,[1]CHILDCARE_FACILITIES!AJ:AK,2,0)</f>
        <v>#N/A</v>
      </c>
      <c r="E895" s="20" t="s">
        <v>15134</v>
      </c>
      <c r="F895" s="20" t="s">
        <v>15135</v>
      </c>
      <c r="G895" s="20">
        <v>73276006</v>
      </c>
      <c r="K895" s="20">
        <v>9494</v>
      </c>
    </row>
    <row r="896" spans="1:13" x14ac:dyDescent="0.25">
      <c r="A896" s="20">
        <v>327735</v>
      </c>
      <c r="B896" s="20" t="s">
        <v>16989</v>
      </c>
      <c r="C896" s="20">
        <v>327735</v>
      </c>
      <c r="D896" s="20" t="str">
        <f>VLOOKUP(C896,[1]CHILDCARE_FACILITIES!AJ:AK,2,0)</f>
        <v>CDC-17899</v>
      </c>
      <c r="E896" s="20" t="s">
        <v>15134</v>
      </c>
      <c r="F896" s="20" t="s">
        <v>15135</v>
      </c>
      <c r="G896" s="20">
        <v>73333001</v>
      </c>
      <c r="K896" s="20">
        <v>327735</v>
      </c>
    </row>
    <row r="897" spans="1:13" x14ac:dyDescent="0.25">
      <c r="A897" s="20">
        <v>468011</v>
      </c>
      <c r="B897" s="20" t="s">
        <v>16997</v>
      </c>
      <c r="C897" s="20">
        <v>468011</v>
      </c>
      <c r="D897" s="20" t="e">
        <f>VLOOKUP(C897,[1]CHILDCARE_FACILITIES!AJ:AK,2,0)</f>
        <v>#N/A</v>
      </c>
      <c r="E897" s="20" t="s">
        <v>15134</v>
      </c>
      <c r="F897" s="20" t="s">
        <v>15135</v>
      </c>
      <c r="G897" s="20">
        <v>73333000</v>
      </c>
      <c r="K897" s="20">
        <v>468011</v>
      </c>
    </row>
    <row r="898" spans="1:13" x14ac:dyDescent="0.25">
      <c r="A898" s="20">
        <v>80529</v>
      </c>
      <c r="B898" s="20" t="s">
        <v>16102</v>
      </c>
      <c r="C898" s="20">
        <v>80529</v>
      </c>
      <c r="D898" s="20" t="str">
        <f>VLOOKUP(C898,[1]CHILDCARE_FACILITIES!AJ:AK,2,0)</f>
        <v>CDC-7779</v>
      </c>
      <c r="E898" s="20" t="s">
        <v>15134</v>
      </c>
      <c r="F898" s="20" t="s">
        <v>15135</v>
      </c>
      <c r="G898" s="20">
        <v>73443001</v>
      </c>
      <c r="H898" s="20" t="s">
        <v>15138</v>
      </c>
      <c r="I898" s="20" t="b">
        <v>0</v>
      </c>
      <c r="J898" s="20" t="s">
        <v>17886</v>
      </c>
      <c r="K898" s="20">
        <v>80529</v>
      </c>
      <c r="L898" s="20" t="s">
        <v>17228</v>
      </c>
      <c r="M898" s="20" t="s">
        <v>17887</v>
      </c>
    </row>
    <row r="899" spans="1:13" x14ac:dyDescent="0.25">
      <c r="A899" s="20">
        <v>80529</v>
      </c>
      <c r="B899" s="20" t="s">
        <v>16102</v>
      </c>
      <c r="C899" s="20">
        <v>80529</v>
      </c>
      <c r="D899" s="20" t="str">
        <f>VLOOKUP(C899,[1]CHILDCARE_FACILITIES!AJ:AK,2,0)</f>
        <v>CDC-7779</v>
      </c>
      <c r="E899" s="20" t="s">
        <v>15134</v>
      </c>
      <c r="F899" s="20" t="s">
        <v>15135</v>
      </c>
      <c r="G899" s="20">
        <v>73443001</v>
      </c>
      <c r="H899" s="20" t="s">
        <v>15145</v>
      </c>
      <c r="I899" s="20" t="b">
        <v>0</v>
      </c>
      <c r="J899" s="20" t="s">
        <v>17886</v>
      </c>
      <c r="K899" s="20">
        <v>80529</v>
      </c>
      <c r="L899" s="20" t="s">
        <v>17228</v>
      </c>
      <c r="M899" s="20" t="s">
        <v>17887</v>
      </c>
    </row>
    <row r="900" spans="1:13" x14ac:dyDescent="0.25">
      <c r="A900" s="20">
        <v>80528</v>
      </c>
      <c r="B900" s="20" t="s">
        <v>16099</v>
      </c>
      <c r="C900" s="20">
        <v>80528</v>
      </c>
      <c r="D900" s="20" t="e">
        <f>VLOOKUP(C900,[1]CHILDCARE_FACILITIES!AJ:AK,2,0)</f>
        <v>#N/A</v>
      </c>
      <c r="E900" s="20" t="s">
        <v>15134</v>
      </c>
      <c r="F900" s="20" t="s">
        <v>15135</v>
      </c>
      <c r="G900" s="20">
        <v>73443000</v>
      </c>
      <c r="H900" s="20" t="s">
        <v>15136</v>
      </c>
      <c r="I900" s="20" t="b">
        <v>1</v>
      </c>
      <c r="J900" s="20" t="s">
        <v>17888</v>
      </c>
      <c r="K900" s="20">
        <v>80528</v>
      </c>
      <c r="L900" s="20" t="s">
        <v>17213</v>
      </c>
      <c r="M900" s="20" t="s">
        <v>17889</v>
      </c>
    </row>
    <row r="901" spans="1:13" x14ac:dyDescent="0.25">
      <c r="A901" s="20">
        <v>80528</v>
      </c>
      <c r="B901" s="20" t="s">
        <v>16099</v>
      </c>
      <c r="C901" s="20">
        <v>80528</v>
      </c>
      <c r="D901" s="20" t="e">
        <f>VLOOKUP(C901,[1]CHILDCARE_FACILITIES!AJ:AK,2,0)</f>
        <v>#N/A</v>
      </c>
      <c r="E901" s="20" t="s">
        <v>15134</v>
      </c>
      <c r="F901" s="20" t="s">
        <v>15135</v>
      </c>
      <c r="G901" s="20">
        <v>73443000</v>
      </c>
      <c r="H901" s="20" t="s">
        <v>15138</v>
      </c>
      <c r="I901" s="20" t="b">
        <v>0</v>
      </c>
      <c r="J901" s="20" t="s">
        <v>17890</v>
      </c>
      <c r="K901" s="20">
        <v>80528</v>
      </c>
      <c r="L901" s="20" t="s">
        <v>17228</v>
      </c>
      <c r="M901" s="20" t="s">
        <v>17887</v>
      </c>
    </row>
    <row r="902" spans="1:13" x14ac:dyDescent="0.25">
      <c r="A902" s="20">
        <v>1000067</v>
      </c>
      <c r="B902" s="20" t="s">
        <v>17047</v>
      </c>
      <c r="C902" s="20">
        <v>1000067</v>
      </c>
      <c r="D902" s="20" t="e">
        <f>VLOOKUP(C902,[1]CHILDCARE_FACILITIES!AJ:AK,2,0)</f>
        <v>#N/A</v>
      </c>
      <c r="E902" s="20" t="s">
        <v>15134</v>
      </c>
      <c r="F902" s="20" t="s">
        <v>15135</v>
      </c>
      <c r="G902" s="20">
        <v>73347001</v>
      </c>
      <c r="H902" s="20" t="s">
        <v>15136</v>
      </c>
      <c r="I902" s="20" t="b">
        <v>1</v>
      </c>
      <c r="J902" s="20" t="s">
        <v>17891</v>
      </c>
      <c r="K902" s="20">
        <v>1000067</v>
      </c>
      <c r="L902" s="20" t="s">
        <v>17228</v>
      </c>
      <c r="M902" s="20" t="s">
        <v>17892</v>
      </c>
    </row>
    <row r="903" spans="1:13" x14ac:dyDescent="0.25">
      <c r="A903" s="20">
        <v>1000067</v>
      </c>
      <c r="B903" s="20" t="s">
        <v>17047</v>
      </c>
      <c r="C903" s="20">
        <v>1000067</v>
      </c>
      <c r="D903" s="20" t="e">
        <f>VLOOKUP(C903,[1]CHILDCARE_FACILITIES!AJ:AK,2,0)</f>
        <v>#N/A</v>
      </c>
      <c r="E903" s="20" t="s">
        <v>15134</v>
      </c>
      <c r="F903" s="20" t="s">
        <v>15135</v>
      </c>
      <c r="G903" s="20">
        <v>73347001</v>
      </c>
      <c r="H903" s="20" t="s">
        <v>15138</v>
      </c>
      <c r="I903" s="20" t="b">
        <v>1</v>
      </c>
      <c r="J903" s="20" t="s">
        <v>17891</v>
      </c>
      <c r="K903" s="20">
        <v>1000067</v>
      </c>
      <c r="L903" s="20" t="s">
        <v>17228</v>
      </c>
      <c r="M903" s="20" t="s">
        <v>17892</v>
      </c>
    </row>
    <row r="904" spans="1:13" x14ac:dyDescent="0.25">
      <c r="A904" s="20">
        <v>9397</v>
      </c>
      <c r="B904" s="20" t="s">
        <v>15508</v>
      </c>
      <c r="C904" s="20">
        <v>9397</v>
      </c>
      <c r="D904" s="20" t="e">
        <f>VLOOKUP(C904,[1]CHILDCARE_FACILITIES!AJ:AK,2,0)</f>
        <v>#N/A</v>
      </c>
      <c r="E904" s="20" t="s">
        <v>15134</v>
      </c>
      <c r="F904" s="20" t="s">
        <v>15135</v>
      </c>
      <c r="G904" s="20">
        <v>73245001</v>
      </c>
      <c r="K904" s="20">
        <v>9397</v>
      </c>
    </row>
    <row r="905" spans="1:13" x14ac:dyDescent="0.25">
      <c r="A905" s="20">
        <v>8606</v>
      </c>
      <c r="B905" s="20" t="s">
        <v>15172</v>
      </c>
      <c r="C905" s="20">
        <v>8606</v>
      </c>
      <c r="D905" s="20" t="e">
        <f>VLOOKUP(C905,[1]CHILDCARE_FACILITIES!AJ:AK,2,0)</f>
        <v>#N/A</v>
      </c>
      <c r="E905" s="20" t="s">
        <v>15134</v>
      </c>
      <c r="F905" s="20" t="s">
        <v>15135</v>
      </c>
      <c r="G905" s="20">
        <v>63001001</v>
      </c>
      <c r="K905" s="20">
        <v>8606</v>
      </c>
    </row>
    <row r="906" spans="1:13" x14ac:dyDescent="0.25">
      <c r="A906" s="20">
        <v>8610</v>
      </c>
      <c r="B906" s="20" t="s">
        <v>15172</v>
      </c>
      <c r="C906" s="20">
        <v>8610</v>
      </c>
      <c r="D906" s="20" t="e">
        <f>VLOOKUP(C906,[1]CHILDCARE_FACILITIES!AJ:AK,2,0)</f>
        <v>#N/A</v>
      </c>
      <c r="E906" s="20" t="s">
        <v>15134</v>
      </c>
      <c r="F906" s="20" t="s">
        <v>15135</v>
      </c>
      <c r="G906" s="20">
        <v>63007001</v>
      </c>
      <c r="K906" s="20">
        <v>8610</v>
      </c>
    </row>
    <row r="907" spans="1:13" x14ac:dyDescent="0.25">
      <c r="A907" s="20">
        <v>79038</v>
      </c>
      <c r="B907" s="20" t="s">
        <v>15897</v>
      </c>
      <c r="C907" s="20">
        <v>79038</v>
      </c>
      <c r="D907" s="20" t="e">
        <f>VLOOKUP(C907,[1]CHILDCARE_FACILITIES!AJ:AK,2,0)</f>
        <v>#N/A</v>
      </c>
      <c r="E907" s="20" t="s">
        <v>15134</v>
      </c>
      <c r="F907" s="20" t="s">
        <v>15135</v>
      </c>
      <c r="G907" s="20">
        <v>73449001</v>
      </c>
      <c r="H907" s="20" t="s">
        <v>15138</v>
      </c>
      <c r="I907" s="20" t="b">
        <v>1</v>
      </c>
      <c r="J907" s="20" t="s">
        <v>17893</v>
      </c>
      <c r="K907" s="20">
        <v>79038</v>
      </c>
      <c r="L907" s="20" t="s">
        <v>17213</v>
      </c>
      <c r="M907" s="20" t="s">
        <v>17894</v>
      </c>
    </row>
    <row r="908" spans="1:13" x14ac:dyDescent="0.25">
      <c r="A908" s="20">
        <v>79038</v>
      </c>
      <c r="B908" s="20" t="s">
        <v>15897</v>
      </c>
      <c r="C908" s="20">
        <v>79038</v>
      </c>
      <c r="D908" s="20" t="e">
        <f>VLOOKUP(C908,[1]CHILDCARE_FACILITIES!AJ:AK,2,0)</f>
        <v>#N/A</v>
      </c>
      <c r="E908" s="20" t="s">
        <v>15134</v>
      </c>
      <c r="F908" s="20" t="s">
        <v>15135</v>
      </c>
      <c r="G908" s="20">
        <v>73449001</v>
      </c>
      <c r="H908" s="20" t="s">
        <v>15145</v>
      </c>
      <c r="I908" s="20" t="b">
        <v>1</v>
      </c>
      <c r="J908" s="20" t="s">
        <v>17893</v>
      </c>
      <c r="K908" s="20">
        <v>79038</v>
      </c>
      <c r="L908" s="20" t="s">
        <v>17213</v>
      </c>
      <c r="M908" s="20" t="s">
        <v>17894</v>
      </c>
    </row>
    <row r="909" spans="1:13" x14ac:dyDescent="0.25">
      <c r="A909" s="20">
        <v>80628</v>
      </c>
      <c r="B909" s="20" t="s">
        <v>15897</v>
      </c>
      <c r="C909" s="20">
        <v>80628</v>
      </c>
      <c r="D909" s="20" t="str">
        <f>VLOOKUP(C909,[1]CHILDCARE_FACILITIES!AJ:AK,2,0)</f>
        <v>CDC-9818</v>
      </c>
      <c r="E909" s="20" t="s">
        <v>15134</v>
      </c>
      <c r="F909" s="20" t="s">
        <v>15135</v>
      </c>
      <c r="G909" s="20">
        <v>73473001</v>
      </c>
      <c r="H909" s="20" t="s">
        <v>15138</v>
      </c>
      <c r="I909" s="20" t="b">
        <v>1</v>
      </c>
      <c r="J909" s="20" t="s">
        <v>17893</v>
      </c>
      <c r="K909" s="20">
        <v>80628</v>
      </c>
      <c r="L909" s="20" t="s">
        <v>17213</v>
      </c>
      <c r="M909" s="20" t="s">
        <v>17894</v>
      </c>
    </row>
    <row r="910" spans="1:13" x14ac:dyDescent="0.25">
      <c r="A910" s="20">
        <v>80628</v>
      </c>
      <c r="B910" s="20" t="s">
        <v>15897</v>
      </c>
      <c r="C910" s="20">
        <v>80628</v>
      </c>
      <c r="D910" s="20" t="str">
        <f>VLOOKUP(C910,[1]CHILDCARE_FACILITIES!AJ:AK,2,0)</f>
        <v>CDC-9818</v>
      </c>
      <c r="E910" s="20" t="s">
        <v>15134</v>
      </c>
      <c r="F910" s="20" t="s">
        <v>15135</v>
      </c>
      <c r="G910" s="20">
        <v>73473001</v>
      </c>
      <c r="H910" s="20" t="s">
        <v>15145</v>
      </c>
      <c r="I910" s="20" t="b">
        <v>1</v>
      </c>
      <c r="J910" s="20" t="s">
        <v>17893</v>
      </c>
      <c r="K910" s="20">
        <v>80628</v>
      </c>
      <c r="L910" s="20" t="s">
        <v>17213</v>
      </c>
      <c r="M910" s="20" t="s">
        <v>17894</v>
      </c>
    </row>
    <row r="911" spans="1:13" x14ac:dyDescent="0.25">
      <c r="A911" s="20">
        <v>1000238</v>
      </c>
      <c r="B911" s="20" t="s">
        <v>17123</v>
      </c>
      <c r="C911" s="20">
        <v>1000238</v>
      </c>
      <c r="D911" s="20" t="e">
        <f>VLOOKUP(C911,[1]CHILDCARE_FACILITIES!AJ:AK,2,0)</f>
        <v>#N/A</v>
      </c>
      <c r="E911" s="20" t="s">
        <v>15134</v>
      </c>
      <c r="F911" s="20" t="s">
        <v>15135</v>
      </c>
      <c r="G911" s="20">
        <v>73356001</v>
      </c>
      <c r="H911" s="20" t="s">
        <v>15138</v>
      </c>
      <c r="I911" s="20" t="b">
        <v>1</v>
      </c>
      <c r="J911" s="20" t="s">
        <v>17895</v>
      </c>
      <c r="K911" s="20">
        <v>1000238</v>
      </c>
      <c r="L911" s="20" t="s">
        <v>17213</v>
      </c>
      <c r="M911" s="20" t="s">
        <v>17896</v>
      </c>
    </row>
    <row r="912" spans="1:13" x14ac:dyDescent="0.25">
      <c r="A912" s="20">
        <v>1000238</v>
      </c>
      <c r="B912" s="20" t="s">
        <v>17123</v>
      </c>
      <c r="C912" s="20">
        <v>1000238</v>
      </c>
      <c r="D912" s="20" t="e">
        <f>VLOOKUP(C912,[1]CHILDCARE_FACILITIES!AJ:AK,2,0)</f>
        <v>#N/A</v>
      </c>
      <c r="E912" s="20" t="s">
        <v>15134</v>
      </c>
      <c r="F912" s="20" t="s">
        <v>15135</v>
      </c>
      <c r="G912" s="20">
        <v>73356001</v>
      </c>
      <c r="H912" s="20" t="s">
        <v>15136</v>
      </c>
      <c r="I912" s="20" t="b">
        <v>1</v>
      </c>
      <c r="J912" s="20" t="s">
        <v>17895</v>
      </c>
      <c r="K912" s="20">
        <v>1000238</v>
      </c>
      <c r="L912" s="20" t="s">
        <v>17213</v>
      </c>
      <c r="M912" s="20" t="s">
        <v>17896</v>
      </c>
    </row>
    <row r="913" spans="1:15" x14ac:dyDescent="0.25">
      <c r="A913" s="20">
        <v>1000236</v>
      </c>
      <c r="B913" s="20" t="s">
        <v>17121</v>
      </c>
      <c r="C913" s="20">
        <v>1000236</v>
      </c>
      <c r="D913" s="20" t="e">
        <f>VLOOKUP(C913,[1]CHILDCARE_FACILITIES!AJ:AK,2,0)</f>
        <v>#N/A</v>
      </c>
      <c r="E913" s="20" t="s">
        <v>15134</v>
      </c>
      <c r="F913" s="20" t="s">
        <v>15135</v>
      </c>
      <c r="G913" s="20">
        <v>73356000</v>
      </c>
      <c r="H913" s="20" t="s">
        <v>15136</v>
      </c>
      <c r="I913" s="20" t="b">
        <v>1</v>
      </c>
      <c r="J913" s="20" t="s">
        <v>17895</v>
      </c>
      <c r="K913" s="20">
        <v>1000236</v>
      </c>
      <c r="L913" s="20" t="s">
        <v>17213</v>
      </c>
      <c r="M913" s="20" t="s">
        <v>17896</v>
      </c>
    </row>
    <row r="914" spans="1:15" x14ac:dyDescent="0.25">
      <c r="A914" s="20">
        <v>1000236</v>
      </c>
      <c r="B914" s="20" t="s">
        <v>17121</v>
      </c>
      <c r="C914" s="20">
        <v>1000236</v>
      </c>
      <c r="D914" s="20" t="e">
        <f>VLOOKUP(C914,[1]CHILDCARE_FACILITIES!AJ:AK,2,0)</f>
        <v>#N/A</v>
      </c>
      <c r="E914" s="20" t="s">
        <v>15134</v>
      </c>
      <c r="F914" s="20" t="s">
        <v>15135</v>
      </c>
      <c r="G914" s="20">
        <v>73356000</v>
      </c>
      <c r="H914" s="20" t="s">
        <v>15138</v>
      </c>
      <c r="I914" s="20" t="b">
        <v>1</v>
      </c>
      <c r="J914" s="20" t="s">
        <v>17895</v>
      </c>
      <c r="K914" s="20">
        <v>1000236</v>
      </c>
      <c r="L914" s="20" t="s">
        <v>17213</v>
      </c>
      <c r="M914" s="20" t="s">
        <v>17896</v>
      </c>
    </row>
    <row r="915" spans="1:15" x14ac:dyDescent="0.25">
      <c r="A915" s="20">
        <v>80859</v>
      </c>
      <c r="B915" s="20" t="s">
        <v>16230</v>
      </c>
      <c r="C915" s="20">
        <v>80859</v>
      </c>
      <c r="D915" s="20" t="str">
        <f>VLOOKUP(C915,[1]CHILDCARE_FACILITIES!AJ:AK,2,0)</f>
        <v>CDC-10285</v>
      </c>
      <c r="E915" s="20" t="s">
        <v>15134</v>
      </c>
      <c r="F915" s="20" t="s">
        <v>15135</v>
      </c>
      <c r="G915" s="20">
        <v>103119001</v>
      </c>
      <c r="H915" s="20" t="s">
        <v>15138</v>
      </c>
      <c r="I915" s="20" t="b">
        <v>1</v>
      </c>
      <c r="J915" s="20" t="s">
        <v>17824</v>
      </c>
      <c r="K915" s="20">
        <v>80859</v>
      </c>
      <c r="L915" s="20" t="s">
        <v>17271</v>
      </c>
      <c r="M915" s="20" t="s">
        <v>17825</v>
      </c>
    </row>
    <row r="916" spans="1:15" x14ac:dyDescent="0.25">
      <c r="A916" s="20">
        <v>80859</v>
      </c>
      <c r="B916" s="20" t="s">
        <v>16230</v>
      </c>
      <c r="C916" s="20">
        <v>80859</v>
      </c>
      <c r="D916" s="20" t="str">
        <f>VLOOKUP(C916,[1]CHILDCARE_FACILITIES!AJ:AK,2,0)</f>
        <v>CDC-10285</v>
      </c>
      <c r="E916" s="20" t="s">
        <v>15134</v>
      </c>
      <c r="F916" s="20" t="s">
        <v>15135</v>
      </c>
      <c r="G916" s="20">
        <v>103119001</v>
      </c>
      <c r="H916" s="20" t="s">
        <v>15145</v>
      </c>
      <c r="I916" s="20" t="b">
        <v>1</v>
      </c>
      <c r="J916" s="20" t="s">
        <v>17824</v>
      </c>
      <c r="K916" s="20">
        <v>80859</v>
      </c>
      <c r="L916" s="20" t="s">
        <v>17271</v>
      </c>
      <c r="M916" s="20" t="s">
        <v>17825</v>
      </c>
    </row>
    <row r="917" spans="1:15" x14ac:dyDescent="0.25">
      <c r="A917" s="20">
        <v>92330</v>
      </c>
      <c r="B917" s="20" t="s">
        <v>16856</v>
      </c>
      <c r="C917" s="20">
        <v>92330</v>
      </c>
      <c r="D917" s="20" t="e">
        <f>VLOOKUP(C917,[1]CHILDCARE_FACILITIES!AJ:AK,2,0)</f>
        <v>#N/A</v>
      </c>
      <c r="E917" s="20" t="s">
        <v>15134</v>
      </c>
      <c r="F917" s="20" t="s">
        <v>15135</v>
      </c>
      <c r="G917" s="20">
        <v>103149001</v>
      </c>
      <c r="K917" s="20">
        <v>92330</v>
      </c>
    </row>
    <row r="918" spans="1:15" x14ac:dyDescent="0.25">
      <c r="A918" s="20">
        <v>9891</v>
      </c>
      <c r="B918" s="20" t="s">
        <v>15716</v>
      </c>
      <c r="C918" s="20">
        <v>9891</v>
      </c>
      <c r="D918" s="20" t="e">
        <f>VLOOKUP(C918,[1]CHILDCARE_FACILITIES!AJ:AK,2,0)</f>
        <v>#N/A</v>
      </c>
      <c r="E918" s="20" t="s">
        <v>15134</v>
      </c>
      <c r="F918" s="20" t="s">
        <v>15135</v>
      </c>
      <c r="G918" s="20">
        <v>103028001</v>
      </c>
      <c r="K918" s="20">
        <v>9891</v>
      </c>
    </row>
    <row r="919" spans="1:15" x14ac:dyDescent="0.25">
      <c r="A919" s="20">
        <v>9969</v>
      </c>
      <c r="B919" s="20" t="s">
        <v>15755</v>
      </c>
      <c r="C919" s="20">
        <v>9969</v>
      </c>
      <c r="D919" s="20" t="e">
        <f>VLOOKUP(C919,[1]CHILDCARE_FACILITIES!AJ:AK,2,0)</f>
        <v>#N/A</v>
      </c>
      <c r="E919" s="20" t="s">
        <v>15134</v>
      </c>
      <c r="F919" s="20" t="s">
        <v>15135</v>
      </c>
      <c r="G919" s="20">
        <v>103076001</v>
      </c>
      <c r="K919" s="20">
        <v>9969</v>
      </c>
    </row>
    <row r="920" spans="1:15" x14ac:dyDescent="0.25">
      <c r="A920" s="20">
        <v>9897</v>
      </c>
      <c r="B920" s="20" t="s">
        <v>15718</v>
      </c>
      <c r="C920" s="20">
        <v>9897</v>
      </c>
      <c r="D920" s="20" t="e">
        <f>VLOOKUP(C920,[1]CHILDCARE_FACILITIES!AJ:AK,2,0)</f>
        <v>#N/A</v>
      </c>
      <c r="E920" s="20" t="s">
        <v>15134</v>
      </c>
      <c r="F920" s="20" t="s">
        <v>15135</v>
      </c>
      <c r="G920" s="20">
        <v>103034001</v>
      </c>
      <c r="K920" s="20">
        <v>9897</v>
      </c>
    </row>
    <row r="921" spans="1:15" x14ac:dyDescent="0.25">
      <c r="A921" s="20">
        <v>9939</v>
      </c>
      <c r="B921" s="20" t="s">
        <v>15737</v>
      </c>
      <c r="C921" s="20">
        <v>9939</v>
      </c>
      <c r="D921" s="20" t="e">
        <f>VLOOKUP(C921,[1]CHILDCARE_FACILITIES!AJ:AK,2,0)</f>
        <v>#N/A</v>
      </c>
      <c r="E921" s="20" t="s">
        <v>15134</v>
      </c>
      <c r="F921" s="20" t="s">
        <v>15135</v>
      </c>
      <c r="G921" s="20">
        <v>103061001</v>
      </c>
      <c r="K921" s="20">
        <v>9939</v>
      </c>
    </row>
    <row r="922" spans="1:15" x14ac:dyDescent="0.25">
      <c r="A922" s="20">
        <v>9923</v>
      </c>
      <c r="B922" s="20" t="s">
        <v>15730</v>
      </c>
      <c r="C922" s="20">
        <v>9923</v>
      </c>
      <c r="D922" s="20" t="e">
        <f>VLOOKUP(C922,[1]CHILDCARE_FACILITIES!AJ:AK,2,0)</f>
        <v>#N/A</v>
      </c>
      <c r="E922" s="20" t="s">
        <v>15134</v>
      </c>
      <c r="F922" s="20" t="s">
        <v>15135</v>
      </c>
      <c r="G922" s="20">
        <v>103053001</v>
      </c>
      <c r="K922" s="20">
        <v>9923</v>
      </c>
    </row>
    <row r="923" spans="1:15" x14ac:dyDescent="0.25">
      <c r="A923" s="20">
        <v>9947</v>
      </c>
      <c r="B923" s="20" t="s">
        <v>15743</v>
      </c>
      <c r="C923" s="20">
        <v>9947</v>
      </c>
      <c r="D923" s="20" t="e">
        <f>VLOOKUP(C923,[1]CHILDCARE_FACILITIES!AJ:AK,2,0)</f>
        <v>#N/A</v>
      </c>
      <c r="E923" s="20" t="s">
        <v>15134</v>
      </c>
      <c r="F923" s="20" t="s">
        <v>15135</v>
      </c>
      <c r="G923" s="20">
        <v>103065001</v>
      </c>
      <c r="K923" s="20">
        <v>9947</v>
      </c>
    </row>
    <row r="924" spans="1:15" x14ac:dyDescent="0.25">
      <c r="A924" s="20">
        <v>1000127</v>
      </c>
      <c r="B924" s="20" t="s">
        <v>17099</v>
      </c>
      <c r="C924" s="20">
        <v>1000127</v>
      </c>
      <c r="D924" s="20" t="e">
        <f>VLOOKUP(C924,[1]CHILDCARE_FACILITIES!AJ:AK,2,0)</f>
        <v>#N/A</v>
      </c>
      <c r="E924" s="20" t="s">
        <v>15134</v>
      </c>
      <c r="F924" s="20" t="s">
        <v>15135</v>
      </c>
      <c r="G924" s="20">
        <v>73353001</v>
      </c>
      <c r="H924" s="20" t="s">
        <v>15138</v>
      </c>
      <c r="I924" s="20" t="b">
        <v>0</v>
      </c>
      <c r="J924" s="20" t="s">
        <v>17897</v>
      </c>
      <c r="K924" s="20">
        <v>1000127</v>
      </c>
      <c r="L924" s="20">
        <v>2</v>
      </c>
      <c r="M924" s="20">
        <v>3</v>
      </c>
      <c r="N924" s="20" t="s">
        <v>17433</v>
      </c>
      <c r="O924" s="20" t="s">
        <v>17898</v>
      </c>
    </row>
    <row r="925" spans="1:15" x14ac:dyDescent="0.25">
      <c r="A925" s="20">
        <v>1000127</v>
      </c>
      <c r="B925" s="20" t="s">
        <v>17099</v>
      </c>
      <c r="C925" s="20">
        <v>1000127</v>
      </c>
      <c r="D925" s="20" t="e">
        <f>VLOOKUP(C925,[1]CHILDCARE_FACILITIES!AJ:AK,2,0)</f>
        <v>#N/A</v>
      </c>
      <c r="E925" s="20" t="s">
        <v>15134</v>
      </c>
      <c r="F925" s="20" t="s">
        <v>15135</v>
      </c>
      <c r="G925" s="20">
        <v>73353001</v>
      </c>
      <c r="H925" s="20" t="s">
        <v>15136</v>
      </c>
      <c r="I925" s="20" t="b">
        <v>0</v>
      </c>
      <c r="J925" s="20" t="s">
        <v>17897</v>
      </c>
      <c r="K925" s="20">
        <v>1000127</v>
      </c>
      <c r="L925" s="20">
        <v>2</v>
      </c>
      <c r="M925" s="20">
        <v>3</v>
      </c>
      <c r="N925" s="20" t="s">
        <v>17433</v>
      </c>
      <c r="O925" s="20" t="s">
        <v>17898</v>
      </c>
    </row>
    <row r="926" spans="1:15" x14ac:dyDescent="0.25">
      <c r="A926" s="20">
        <v>1000126</v>
      </c>
      <c r="B926" s="20" t="s">
        <v>17097</v>
      </c>
      <c r="C926" s="20">
        <v>1000126</v>
      </c>
      <c r="D926" s="20" t="e">
        <f>VLOOKUP(C926,[1]CHILDCARE_FACILITIES!AJ:AK,2,0)</f>
        <v>#N/A</v>
      </c>
      <c r="E926" s="20" t="s">
        <v>15134</v>
      </c>
      <c r="F926" s="20" t="s">
        <v>15135</v>
      </c>
      <c r="G926" s="20">
        <v>73353000</v>
      </c>
      <c r="H926" s="20" t="s">
        <v>15138</v>
      </c>
      <c r="I926" s="20" t="b">
        <v>0</v>
      </c>
      <c r="J926" s="20" t="s">
        <v>17899</v>
      </c>
      <c r="K926" s="20">
        <v>1000126</v>
      </c>
      <c r="L926" s="20" t="s">
        <v>17433</v>
      </c>
      <c r="M926" s="20" t="s">
        <v>17898</v>
      </c>
    </row>
    <row r="927" spans="1:15" x14ac:dyDescent="0.25">
      <c r="A927" s="20">
        <v>1000126</v>
      </c>
      <c r="B927" s="20" t="s">
        <v>17097</v>
      </c>
      <c r="C927" s="20">
        <v>1000126</v>
      </c>
      <c r="D927" s="20" t="e">
        <f>VLOOKUP(C927,[1]CHILDCARE_FACILITIES!AJ:AK,2,0)</f>
        <v>#N/A</v>
      </c>
      <c r="E927" s="20" t="s">
        <v>15134</v>
      </c>
      <c r="F927" s="20" t="s">
        <v>15135</v>
      </c>
      <c r="G927" s="20">
        <v>73353000</v>
      </c>
      <c r="H927" s="20" t="s">
        <v>15136</v>
      </c>
      <c r="I927" s="20" t="b">
        <v>0</v>
      </c>
      <c r="J927" s="20" t="s">
        <v>17899</v>
      </c>
      <c r="K927" s="20">
        <v>1000126</v>
      </c>
      <c r="L927" s="20" t="s">
        <v>17433</v>
      </c>
      <c r="M927" s="20" t="s">
        <v>17898</v>
      </c>
    </row>
    <row r="928" spans="1:15" x14ac:dyDescent="0.25">
      <c r="A928" s="20">
        <v>92807</v>
      </c>
      <c r="B928" s="20" t="s">
        <v>16935</v>
      </c>
      <c r="C928" s="20">
        <v>92807</v>
      </c>
      <c r="D928" s="20" t="e">
        <f>VLOOKUP(C928,[1]CHILDCARE_FACILITIES!AJ:AK,2,0)</f>
        <v>#N/A</v>
      </c>
      <c r="E928" s="20" t="s">
        <v>15134</v>
      </c>
      <c r="F928" s="20" t="s">
        <v>15135</v>
      </c>
      <c r="G928" s="20">
        <v>122202000</v>
      </c>
      <c r="H928" s="20" t="s">
        <v>15136</v>
      </c>
      <c r="I928" s="20" t="b">
        <v>1</v>
      </c>
      <c r="J928" s="20" t="s">
        <v>17900</v>
      </c>
      <c r="K928" s="20">
        <v>92807</v>
      </c>
      <c r="L928" s="20" t="s">
        <v>17901</v>
      </c>
      <c r="M928" s="20" t="s">
        <v>17902</v>
      </c>
    </row>
    <row r="929" spans="1:13" x14ac:dyDescent="0.25">
      <c r="A929" s="20">
        <v>92807</v>
      </c>
      <c r="B929" s="20" t="s">
        <v>16935</v>
      </c>
      <c r="C929" s="20">
        <v>92807</v>
      </c>
      <c r="D929" s="20" t="e">
        <f>VLOOKUP(C929,[1]CHILDCARE_FACILITIES!AJ:AK,2,0)</f>
        <v>#N/A</v>
      </c>
      <c r="E929" s="20" t="s">
        <v>15134</v>
      </c>
      <c r="F929" s="20" t="s">
        <v>15135</v>
      </c>
      <c r="G929" s="20">
        <v>122202000</v>
      </c>
      <c r="H929" s="20" t="s">
        <v>15138</v>
      </c>
      <c r="I929" s="20" t="b">
        <v>1</v>
      </c>
      <c r="J929" s="20" t="s">
        <v>17900</v>
      </c>
      <c r="K929" s="20">
        <v>92807</v>
      </c>
      <c r="L929" s="20" t="s">
        <v>17901</v>
      </c>
      <c r="M929" s="20" t="s">
        <v>17902</v>
      </c>
    </row>
    <row r="930" spans="1:13" x14ac:dyDescent="0.25">
      <c r="A930" s="20">
        <v>92808</v>
      </c>
      <c r="B930" s="20" t="s">
        <v>16935</v>
      </c>
      <c r="C930" s="20">
        <v>92808</v>
      </c>
      <c r="D930" s="20" t="e">
        <f>VLOOKUP(C930,[1]CHILDCARE_FACILITIES!AJ:AK,2,0)</f>
        <v>#N/A</v>
      </c>
      <c r="E930" s="20" t="s">
        <v>15134</v>
      </c>
      <c r="F930" s="20" t="s">
        <v>15135</v>
      </c>
      <c r="G930" s="20">
        <v>122202001</v>
      </c>
      <c r="H930" s="20" t="s">
        <v>15136</v>
      </c>
      <c r="I930" s="20" t="b">
        <v>1</v>
      </c>
      <c r="J930" s="20" t="s">
        <v>17900</v>
      </c>
      <c r="K930" s="20">
        <v>92808</v>
      </c>
      <c r="L930" s="20" t="s">
        <v>17901</v>
      </c>
      <c r="M930" s="20" t="s">
        <v>17902</v>
      </c>
    </row>
    <row r="931" spans="1:13" x14ac:dyDescent="0.25">
      <c r="A931" s="20">
        <v>92808</v>
      </c>
      <c r="B931" s="20" t="s">
        <v>16935</v>
      </c>
      <c r="C931" s="20">
        <v>92808</v>
      </c>
      <c r="D931" s="20" t="e">
        <f>VLOOKUP(C931,[1]CHILDCARE_FACILITIES!AJ:AK,2,0)</f>
        <v>#N/A</v>
      </c>
      <c r="E931" s="20" t="s">
        <v>15134</v>
      </c>
      <c r="F931" s="20" t="s">
        <v>15135</v>
      </c>
      <c r="G931" s="20">
        <v>122202001</v>
      </c>
      <c r="H931" s="20" t="s">
        <v>15138</v>
      </c>
      <c r="I931" s="20" t="b">
        <v>1</v>
      </c>
      <c r="J931" s="20" t="s">
        <v>17900</v>
      </c>
      <c r="K931" s="20">
        <v>92808</v>
      </c>
      <c r="L931" s="20" t="s">
        <v>17901</v>
      </c>
      <c r="M931" s="20" t="s">
        <v>17902</v>
      </c>
    </row>
    <row r="932" spans="1:13" x14ac:dyDescent="0.25">
      <c r="A932" s="20">
        <v>90531</v>
      </c>
      <c r="B932" s="20" t="s">
        <v>16653</v>
      </c>
      <c r="C932" s="20">
        <v>90531</v>
      </c>
      <c r="D932" s="20" t="e">
        <f>VLOOKUP(C932,[1]CHILDCARE_FACILITIES!AJ:AK,2,0)</f>
        <v>#N/A</v>
      </c>
      <c r="E932" s="20" t="s">
        <v>15134</v>
      </c>
      <c r="F932" s="20" t="s">
        <v>15135</v>
      </c>
      <c r="G932" s="20">
        <v>73702001</v>
      </c>
      <c r="H932" s="20" t="s">
        <v>15145</v>
      </c>
      <c r="I932" s="20" t="b">
        <v>1</v>
      </c>
      <c r="J932" s="20" t="s">
        <v>17903</v>
      </c>
      <c r="K932" s="20">
        <v>90531</v>
      </c>
      <c r="L932" s="20" t="s">
        <v>17239</v>
      </c>
      <c r="M932" s="20" t="s">
        <v>17904</v>
      </c>
    </row>
    <row r="933" spans="1:13" x14ac:dyDescent="0.25">
      <c r="A933" s="20">
        <v>9351</v>
      </c>
      <c r="B933" s="20" t="s">
        <v>15484</v>
      </c>
      <c r="C933" s="20">
        <v>9351</v>
      </c>
      <c r="D933" s="20" t="e">
        <f>VLOOKUP(C933,[1]CHILDCARE_FACILITIES!AJ:AK,2,0)</f>
        <v>#N/A</v>
      </c>
      <c r="E933" s="20" t="s">
        <v>15134</v>
      </c>
      <c r="F933" s="20" t="s">
        <v>15135</v>
      </c>
      <c r="G933" s="20">
        <v>73221001</v>
      </c>
      <c r="K933" s="20">
        <v>9351</v>
      </c>
    </row>
    <row r="934" spans="1:13" x14ac:dyDescent="0.25">
      <c r="A934" s="20">
        <v>9373</v>
      </c>
      <c r="B934" s="20" t="s">
        <v>15484</v>
      </c>
      <c r="C934" s="20">
        <v>9373</v>
      </c>
      <c r="D934" s="20" t="e">
        <f>VLOOKUP(C934,[1]CHILDCARE_FACILITIES!AJ:AK,2,0)</f>
        <v>#N/A</v>
      </c>
      <c r="E934" s="20" t="s">
        <v>15134</v>
      </c>
      <c r="F934" s="20" t="s">
        <v>15135</v>
      </c>
      <c r="G934" s="20">
        <v>73232001</v>
      </c>
      <c r="K934" s="20">
        <v>9373</v>
      </c>
    </row>
    <row r="935" spans="1:13" x14ac:dyDescent="0.25">
      <c r="A935" s="20">
        <v>1001142</v>
      </c>
      <c r="B935" s="20" t="s">
        <v>17181</v>
      </c>
      <c r="C935" s="20">
        <v>1001142</v>
      </c>
      <c r="D935" s="20" t="e">
        <f>VLOOKUP(C935,[1]CHILDCARE_FACILITIES!AJ:AK,2,0)</f>
        <v>#N/A</v>
      </c>
      <c r="E935" s="20" t="s">
        <v>15134</v>
      </c>
      <c r="F935" s="20" t="s">
        <v>15135</v>
      </c>
      <c r="G935" s="20">
        <v>73369000</v>
      </c>
      <c r="H935" s="20" t="s">
        <v>15136</v>
      </c>
      <c r="I935" s="20" t="b">
        <v>1</v>
      </c>
      <c r="J935" s="20" t="s">
        <v>17905</v>
      </c>
      <c r="K935" s="20">
        <v>1001142</v>
      </c>
      <c r="L935" s="20" t="s">
        <v>17239</v>
      </c>
      <c r="M935" s="20" t="s">
        <v>17904</v>
      </c>
    </row>
    <row r="936" spans="1:13" x14ac:dyDescent="0.25">
      <c r="A936" s="20">
        <v>1001142</v>
      </c>
      <c r="B936" s="20" t="s">
        <v>17181</v>
      </c>
      <c r="C936" s="20">
        <v>1001142</v>
      </c>
      <c r="D936" s="20" t="e">
        <f>VLOOKUP(C936,[1]CHILDCARE_FACILITIES!AJ:AK,2,0)</f>
        <v>#N/A</v>
      </c>
      <c r="E936" s="20" t="s">
        <v>15134</v>
      </c>
      <c r="F936" s="20" t="s">
        <v>15135</v>
      </c>
      <c r="G936" s="20">
        <v>73369000</v>
      </c>
      <c r="H936" s="20" t="s">
        <v>15138</v>
      </c>
      <c r="I936" s="20" t="b">
        <v>1</v>
      </c>
      <c r="J936" s="20" t="s">
        <v>17906</v>
      </c>
      <c r="K936" s="20">
        <v>1001142</v>
      </c>
      <c r="L936" s="20" t="s">
        <v>17367</v>
      </c>
      <c r="M936" s="20" t="s">
        <v>17907</v>
      </c>
    </row>
    <row r="937" spans="1:13" x14ac:dyDescent="0.25">
      <c r="A937" s="20">
        <v>1001162</v>
      </c>
      <c r="B937" s="20" t="s">
        <v>17181</v>
      </c>
      <c r="C937" s="20">
        <v>1001162</v>
      </c>
      <c r="D937" s="20" t="str">
        <f>VLOOKUP(C937,[1]CHILDCARE_FACILITIES!AJ:AK,2,0)</f>
        <v>CDC-16218</v>
      </c>
      <c r="E937" s="20" t="s">
        <v>15134</v>
      </c>
      <c r="F937" s="20" t="s">
        <v>15135</v>
      </c>
      <c r="G937" s="20">
        <v>73369001</v>
      </c>
      <c r="H937" s="20" t="s">
        <v>15136</v>
      </c>
      <c r="I937" s="20" t="b">
        <v>1</v>
      </c>
      <c r="J937" s="20" t="s">
        <v>17905</v>
      </c>
      <c r="K937" s="20">
        <v>1001162</v>
      </c>
      <c r="L937" s="20" t="s">
        <v>17239</v>
      </c>
      <c r="M937" s="20" t="s">
        <v>17904</v>
      </c>
    </row>
    <row r="938" spans="1:13" x14ac:dyDescent="0.25">
      <c r="A938" s="20">
        <v>1001162</v>
      </c>
      <c r="B938" s="20" t="s">
        <v>17181</v>
      </c>
      <c r="C938" s="20">
        <v>1001162</v>
      </c>
      <c r="D938" s="20" t="str">
        <f>VLOOKUP(C938,[1]CHILDCARE_FACILITIES!AJ:AK,2,0)</f>
        <v>CDC-16218</v>
      </c>
      <c r="E938" s="20" t="s">
        <v>15134</v>
      </c>
      <c r="F938" s="20" t="s">
        <v>15135</v>
      </c>
      <c r="G938" s="20">
        <v>73369001</v>
      </c>
      <c r="H938" s="20" t="s">
        <v>15138</v>
      </c>
      <c r="I938" s="20" t="b">
        <v>1</v>
      </c>
      <c r="J938" s="20" t="s">
        <v>17906</v>
      </c>
      <c r="K938" s="20">
        <v>1001162</v>
      </c>
      <c r="L938" s="20" t="s">
        <v>17367</v>
      </c>
      <c r="M938" s="20" t="s">
        <v>17907</v>
      </c>
    </row>
    <row r="939" spans="1:13" x14ac:dyDescent="0.25">
      <c r="A939" s="20">
        <v>9545</v>
      </c>
      <c r="B939" s="20" t="s">
        <v>15589</v>
      </c>
      <c r="C939" s="20">
        <v>9545</v>
      </c>
      <c r="D939" s="20" t="e">
        <f>VLOOKUP(C939,[1]CHILDCARE_FACILITIES!AJ:AK,2,0)</f>
        <v>#N/A</v>
      </c>
      <c r="E939" s="20" t="s">
        <v>15134</v>
      </c>
      <c r="F939" s="20" t="s">
        <v>15135</v>
      </c>
      <c r="G939" s="20">
        <v>73408000</v>
      </c>
      <c r="K939" s="20">
        <v>9545</v>
      </c>
    </row>
    <row r="940" spans="1:13" x14ac:dyDescent="0.25">
      <c r="A940" s="20">
        <v>79818</v>
      </c>
      <c r="B940" s="20" t="s">
        <v>16010</v>
      </c>
      <c r="C940" s="20">
        <v>79818</v>
      </c>
      <c r="D940" s="20" t="e">
        <f>VLOOKUP(C940,[1]CHILDCARE_FACILITIES!AJ:AK,2,0)</f>
        <v>#N/A</v>
      </c>
      <c r="E940" s="20" t="s">
        <v>15134</v>
      </c>
      <c r="F940" s="20" t="s">
        <v>15135</v>
      </c>
      <c r="G940" s="20">
        <v>73468001</v>
      </c>
      <c r="H940" s="20" t="s">
        <v>15138</v>
      </c>
      <c r="I940" s="20" t="b">
        <v>1</v>
      </c>
      <c r="J940" s="20" t="s">
        <v>17908</v>
      </c>
      <c r="K940" s="20">
        <v>79818</v>
      </c>
      <c r="L940" s="20" t="s">
        <v>17216</v>
      </c>
      <c r="M940" s="20" t="s">
        <v>17909</v>
      </c>
    </row>
    <row r="941" spans="1:13" x14ac:dyDescent="0.25">
      <c r="A941" s="20">
        <v>79818</v>
      </c>
      <c r="B941" s="20" t="s">
        <v>16010</v>
      </c>
      <c r="C941" s="20">
        <v>79818</v>
      </c>
      <c r="D941" s="20" t="e">
        <f>VLOOKUP(C941,[1]CHILDCARE_FACILITIES!AJ:AK,2,0)</f>
        <v>#N/A</v>
      </c>
      <c r="E941" s="20" t="s">
        <v>15134</v>
      </c>
      <c r="F941" s="20" t="s">
        <v>15135</v>
      </c>
      <c r="G941" s="20">
        <v>73468001</v>
      </c>
      <c r="H941" s="20" t="s">
        <v>15145</v>
      </c>
      <c r="I941" s="20" t="b">
        <v>1</v>
      </c>
      <c r="J941" s="20" t="s">
        <v>17910</v>
      </c>
      <c r="K941" s="20">
        <v>79818</v>
      </c>
      <c r="L941" s="20" t="s">
        <v>17216</v>
      </c>
      <c r="M941" s="20" t="s">
        <v>17911</v>
      </c>
    </row>
    <row r="942" spans="1:13" x14ac:dyDescent="0.25">
      <c r="A942" s="20">
        <v>1000009</v>
      </c>
      <c r="B942" s="20" t="s">
        <v>17035</v>
      </c>
      <c r="C942" s="20">
        <v>1000009</v>
      </c>
      <c r="D942" s="20" t="e">
        <f>VLOOKUP(C942,[1]CHILDCARE_FACILITIES!AJ:AK,2,0)</f>
        <v>#N/A</v>
      </c>
      <c r="E942" s="20" t="s">
        <v>15134</v>
      </c>
      <c r="F942" s="20" t="s">
        <v>15135</v>
      </c>
      <c r="G942" s="20">
        <v>73344000</v>
      </c>
      <c r="H942" s="20" t="s">
        <v>15138</v>
      </c>
      <c r="I942" s="20" t="b">
        <v>1</v>
      </c>
      <c r="J942" s="20" t="s">
        <v>17912</v>
      </c>
      <c r="K942" s="20">
        <v>1000009</v>
      </c>
      <c r="L942" s="20" t="s">
        <v>17213</v>
      </c>
      <c r="M942" s="20" t="s">
        <v>17913</v>
      </c>
    </row>
    <row r="943" spans="1:13" x14ac:dyDescent="0.25">
      <c r="A943" s="20">
        <v>1000009</v>
      </c>
      <c r="B943" s="20" t="s">
        <v>17035</v>
      </c>
      <c r="C943" s="20">
        <v>1000009</v>
      </c>
      <c r="D943" s="20" t="e">
        <f>VLOOKUP(C943,[1]CHILDCARE_FACILITIES!AJ:AK,2,0)</f>
        <v>#N/A</v>
      </c>
      <c r="E943" s="20" t="s">
        <v>15134</v>
      </c>
      <c r="F943" s="20" t="s">
        <v>15135</v>
      </c>
      <c r="G943" s="20">
        <v>73344000</v>
      </c>
      <c r="H943" s="20" t="s">
        <v>15136</v>
      </c>
      <c r="I943" s="20" t="b">
        <v>1</v>
      </c>
      <c r="J943" s="20" t="s">
        <v>17912</v>
      </c>
      <c r="K943" s="20">
        <v>1000009</v>
      </c>
      <c r="L943" s="20" t="s">
        <v>17213</v>
      </c>
      <c r="M943" s="20" t="s">
        <v>17913</v>
      </c>
    </row>
    <row r="944" spans="1:13" x14ac:dyDescent="0.25">
      <c r="A944" s="20">
        <v>9030</v>
      </c>
      <c r="B944" s="20" t="s">
        <v>15325</v>
      </c>
      <c r="C944" s="20">
        <v>9030</v>
      </c>
      <c r="D944" s="20" t="e">
        <f>VLOOKUP(C944,[1]CHILDCARE_FACILITIES!AJ:AK,2,0)</f>
        <v>#N/A</v>
      </c>
      <c r="E944" s="20" t="s">
        <v>15134</v>
      </c>
      <c r="F944" s="20" t="s">
        <v>15135</v>
      </c>
      <c r="G944" s="20">
        <v>73029000</v>
      </c>
      <c r="H944" s="20" t="s">
        <v>15138</v>
      </c>
      <c r="I944" s="20" t="b">
        <v>1</v>
      </c>
      <c r="J944" s="20" t="s">
        <v>17914</v>
      </c>
      <c r="K944" s="20">
        <v>9030</v>
      </c>
      <c r="L944" s="20" t="s">
        <v>17236</v>
      </c>
      <c r="M944" s="20" t="s">
        <v>17915</v>
      </c>
    </row>
    <row r="945" spans="1:13" x14ac:dyDescent="0.25">
      <c r="A945" s="20">
        <v>9030</v>
      </c>
      <c r="B945" s="20" t="s">
        <v>15325</v>
      </c>
      <c r="C945" s="20">
        <v>9030</v>
      </c>
      <c r="D945" s="20" t="e">
        <f>VLOOKUP(C945,[1]CHILDCARE_FACILITIES!AJ:AK,2,0)</f>
        <v>#N/A</v>
      </c>
      <c r="E945" s="20" t="s">
        <v>15134</v>
      </c>
      <c r="F945" s="20" t="s">
        <v>15135</v>
      </c>
      <c r="G945" s="20">
        <v>73029000</v>
      </c>
      <c r="H945" s="20" t="s">
        <v>15136</v>
      </c>
      <c r="I945" s="20" t="b">
        <v>1</v>
      </c>
      <c r="J945" s="20" t="s">
        <v>17916</v>
      </c>
      <c r="K945" s="20">
        <v>9030</v>
      </c>
      <c r="L945" s="20" t="s">
        <v>17233</v>
      </c>
      <c r="M945" s="20" t="s">
        <v>17917</v>
      </c>
    </row>
    <row r="946" spans="1:13" x14ac:dyDescent="0.25">
      <c r="A946" s="20">
        <v>87901</v>
      </c>
      <c r="B946" s="20" t="s">
        <v>16349</v>
      </c>
      <c r="C946" s="20">
        <v>87901</v>
      </c>
      <c r="D946" s="20" t="str">
        <f>VLOOKUP(C946,[1]CHILDCARE_FACILITIES!AJ:AK,2,0)</f>
        <v>CDC-12197</v>
      </c>
      <c r="E946" s="20" t="s">
        <v>15134</v>
      </c>
      <c r="F946" s="20" t="s">
        <v>15135</v>
      </c>
      <c r="G946" s="20">
        <v>73029002</v>
      </c>
      <c r="H946" s="20" t="s">
        <v>15136</v>
      </c>
      <c r="I946" s="20" t="b">
        <v>1</v>
      </c>
      <c r="J946" s="20" t="s">
        <v>17916</v>
      </c>
      <c r="K946" s="20">
        <v>87901</v>
      </c>
      <c r="L946" s="20" t="s">
        <v>17233</v>
      </c>
      <c r="M946" s="20" t="s">
        <v>17917</v>
      </c>
    </row>
    <row r="947" spans="1:13" x14ac:dyDescent="0.25">
      <c r="A947" s="20">
        <v>87901</v>
      </c>
      <c r="B947" s="20" t="s">
        <v>16349</v>
      </c>
      <c r="C947" s="20">
        <v>87901</v>
      </c>
      <c r="D947" s="20" t="str">
        <f>VLOOKUP(C947,[1]CHILDCARE_FACILITIES!AJ:AK,2,0)</f>
        <v>CDC-12197</v>
      </c>
      <c r="E947" s="20" t="s">
        <v>15134</v>
      </c>
      <c r="F947" s="20" t="s">
        <v>15135</v>
      </c>
      <c r="G947" s="20">
        <v>73029002</v>
      </c>
      <c r="H947" s="20" t="s">
        <v>15138</v>
      </c>
      <c r="I947" s="20" t="b">
        <v>1</v>
      </c>
      <c r="J947" s="20" t="s">
        <v>17914</v>
      </c>
      <c r="K947" s="20">
        <v>87901</v>
      </c>
      <c r="L947" s="20" t="s">
        <v>17236</v>
      </c>
      <c r="M947" s="20" t="s">
        <v>17915</v>
      </c>
    </row>
    <row r="948" spans="1:13" x14ac:dyDescent="0.25">
      <c r="A948" s="20">
        <v>8603</v>
      </c>
      <c r="B948" s="20" t="s">
        <v>15171</v>
      </c>
      <c r="C948" s="20">
        <v>8603</v>
      </c>
      <c r="D948" s="20" t="e">
        <f>VLOOKUP(C948,[1]CHILDCARE_FACILITIES!AJ:AK,2,0)</f>
        <v>#N/A</v>
      </c>
      <c r="E948" s="20" t="s">
        <v>15134</v>
      </c>
      <c r="F948" s="20" t="s">
        <v>15135</v>
      </c>
      <c r="G948" s="20">
        <v>53002001</v>
      </c>
      <c r="K948" s="20">
        <v>8603</v>
      </c>
    </row>
    <row r="949" spans="1:13" x14ac:dyDescent="0.25">
      <c r="A949" s="20">
        <v>761607</v>
      </c>
      <c r="B949" s="20" t="s">
        <v>17022</v>
      </c>
      <c r="C949" s="20">
        <v>761607</v>
      </c>
      <c r="D949" s="20" t="str">
        <f>VLOOKUP(C949,[1]CHILDCARE_FACILITIES!AJ:AK,2,0)</f>
        <v>CDC-17594</v>
      </c>
      <c r="E949" s="20" t="s">
        <v>15134</v>
      </c>
      <c r="F949" s="20" t="s">
        <v>15135</v>
      </c>
      <c r="G949" s="20">
        <v>73539002</v>
      </c>
      <c r="H949" s="20" t="s">
        <v>15136</v>
      </c>
      <c r="I949" s="20" t="b">
        <v>1</v>
      </c>
      <c r="J949" s="20" t="s">
        <v>17918</v>
      </c>
      <c r="K949" s="20">
        <v>761607</v>
      </c>
      <c r="L949" s="20" t="s">
        <v>17213</v>
      </c>
      <c r="M949" s="20" t="s">
        <v>17919</v>
      </c>
    </row>
    <row r="950" spans="1:13" x14ac:dyDescent="0.25">
      <c r="A950" s="20">
        <v>1000212</v>
      </c>
      <c r="B950" s="20" t="s">
        <v>17120</v>
      </c>
      <c r="C950" s="20">
        <v>1000212</v>
      </c>
      <c r="D950" s="20" t="str">
        <f>VLOOKUP(C950,[1]CHILDCARE_FACILITIES!AJ:AK,2,0)</f>
        <v>CDC-18401</v>
      </c>
      <c r="E950" s="20" t="s">
        <v>15134</v>
      </c>
      <c r="F950" s="20" t="s">
        <v>15135</v>
      </c>
      <c r="G950" s="20">
        <v>73355001</v>
      </c>
      <c r="H950" s="20" t="s">
        <v>15136</v>
      </c>
      <c r="I950" s="20" t="b">
        <v>1</v>
      </c>
      <c r="J950" s="20" t="s">
        <v>17920</v>
      </c>
      <c r="K950" s="20">
        <v>1000212</v>
      </c>
      <c r="L950" s="20" t="s">
        <v>17251</v>
      </c>
      <c r="M950" s="20" t="s">
        <v>17921</v>
      </c>
    </row>
    <row r="951" spans="1:13" x14ac:dyDescent="0.25">
      <c r="A951" s="20">
        <v>1000212</v>
      </c>
      <c r="B951" s="20" t="s">
        <v>17120</v>
      </c>
      <c r="C951" s="20">
        <v>1000212</v>
      </c>
      <c r="D951" s="20" t="str">
        <f>VLOOKUP(C951,[1]CHILDCARE_FACILITIES!AJ:AK,2,0)</f>
        <v>CDC-18401</v>
      </c>
      <c r="E951" s="20" t="s">
        <v>15134</v>
      </c>
      <c r="F951" s="20" t="s">
        <v>15135</v>
      </c>
      <c r="G951" s="20">
        <v>73355001</v>
      </c>
      <c r="H951" s="20" t="s">
        <v>15138</v>
      </c>
      <c r="I951" s="20" t="b">
        <v>1</v>
      </c>
      <c r="J951" s="20" t="s">
        <v>17920</v>
      </c>
      <c r="K951" s="20">
        <v>1000212</v>
      </c>
      <c r="L951" s="20" t="s">
        <v>17251</v>
      </c>
      <c r="M951" s="20" t="s">
        <v>17921</v>
      </c>
    </row>
    <row r="952" spans="1:13" x14ac:dyDescent="0.25">
      <c r="A952" s="20">
        <v>88358</v>
      </c>
      <c r="B952" s="20" t="s">
        <v>16368</v>
      </c>
      <c r="C952" s="20">
        <v>88358</v>
      </c>
      <c r="D952" s="20" t="e">
        <f>VLOOKUP(C952,[1]CHILDCARE_FACILITIES!AJ:AK,2,0)</f>
        <v>#N/A</v>
      </c>
      <c r="E952" s="20" t="s">
        <v>15134</v>
      </c>
      <c r="F952" s="20" t="s">
        <v>15135</v>
      </c>
      <c r="G952" s="20">
        <v>73539000</v>
      </c>
      <c r="H952" s="20" t="s">
        <v>15145</v>
      </c>
      <c r="I952" s="20" t="b">
        <v>0</v>
      </c>
      <c r="J952" s="20" t="s">
        <v>17922</v>
      </c>
      <c r="K952" s="20">
        <v>88358</v>
      </c>
      <c r="L952" s="20" t="s">
        <v>17923</v>
      </c>
      <c r="M952" s="20" t="s">
        <v>17924</v>
      </c>
    </row>
    <row r="953" spans="1:13" x14ac:dyDescent="0.25">
      <c r="A953" s="20">
        <v>1000206</v>
      </c>
      <c r="B953" s="20" t="s">
        <v>17116</v>
      </c>
      <c r="C953" s="20">
        <v>1000206</v>
      </c>
      <c r="D953" s="20" t="e">
        <f>VLOOKUP(C953,[1]CHILDCARE_FACILITIES!AJ:AK,2,0)</f>
        <v>#N/A</v>
      </c>
      <c r="E953" s="20" t="s">
        <v>15134</v>
      </c>
      <c r="F953" s="20" t="s">
        <v>15135</v>
      </c>
      <c r="G953" s="20">
        <v>73355000</v>
      </c>
      <c r="H953" s="20" t="s">
        <v>15136</v>
      </c>
      <c r="I953" s="20" t="b">
        <v>1</v>
      </c>
      <c r="J953" s="20" t="s">
        <v>17905</v>
      </c>
      <c r="K953" s="20">
        <v>1000206</v>
      </c>
      <c r="L953" s="20" t="s">
        <v>17239</v>
      </c>
      <c r="M953" s="20" t="s">
        <v>17904</v>
      </c>
    </row>
    <row r="954" spans="1:13" x14ac:dyDescent="0.25">
      <c r="A954" s="20">
        <v>1000206</v>
      </c>
      <c r="B954" s="20" t="s">
        <v>17116</v>
      </c>
      <c r="C954" s="20">
        <v>1000206</v>
      </c>
      <c r="D954" s="20" t="e">
        <f>VLOOKUP(C954,[1]CHILDCARE_FACILITIES!AJ:AK,2,0)</f>
        <v>#N/A</v>
      </c>
      <c r="E954" s="20" t="s">
        <v>15134</v>
      </c>
      <c r="F954" s="20" t="s">
        <v>15135</v>
      </c>
      <c r="G954" s="20">
        <v>73355000</v>
      </c>
      <c r="H954" s="20" t="s">
        <v>15138</v>
      </c>
      <c r="I954" s="20" t="b">
        <v>1</v>
      </c>
      <c r="J954" s="20" t="s">
        <v>17920</v>
      </c>
      <c r="K954" s="20">
        <v>1000206</v>
      </c>
      <c r="L954" s="20" t="s">
        <v>17251</v>
      </c>
      <c r="M954" s="20" t="s">
        <v>17921</v>
      </c>
    </row>
    <row r="955" spans="1:13" x14ac:dyDescent="0.25">
      <c r="A955" s="20">
        <v>90497</v>
      </c>
      <c r="B955" s="20" t="s">
        <v>16632</v>
      </c>
      <c r="C955" s="20">
        <v>90497</v>
      </c>
      <c r="D955" s="20" t="str">
        <f>VLOOKUP(C955,[1]CHILDCARE_FACILITIES!AJ:AK,2,0)</f>
        <v>CDC-18054</v>
      </c>
      <c r="E955" s="20" t="s">
        <v>15134</v>
      </c>
      <c r="F955" s="20" t="s">
        <v>15135</v>
      </c>
      <c r="G955" s="20">
        <v>103215001</v>
      </c>
      <c r="H955" s="20" t="s">
        <v>15145</v>
      </c>
      <c r="I955" s="20" t="b">
        <v>1</v>
      </c>
      <c r="J955" s="20" t="s">
        <v>17925</v>
      </c>
      <c r="K955" s="20">
        <v>90497</v>
      </c>
      <c r="L955" s="20" t="s">
        <v>17271</v>
      </c>
      <c r="M955" s="20" t="s">
        <v>17926</v>
      </c>
    </row>
    <row r="956" spans="1:13" x14ac:dyDescent="0.25">
      <c r="A956" s="20">
        <v>9343</v>
      </c>
      <c r="B956" s="20" t="s">
        <v>15480</v>
      </c>
      <c r="C956" s="20">
        <v>9343</v>
      </c>
      <c r="D956" s="20" t="e">
        <f>VLOOKUP(C956,[1]CHILDCARE_FACILITIES!AJ:AK,2,0)</f>
        <v>#N/A</v>
      </c>
      <c r="E956" s="20" t="s">
        <v>15134</v>
      </c>
      <c r="F956" s="20" t="s">
        <v>15135</v>
      </c>
      <c r="G956" s="20">
        <v>73218000</v>
      </c>
      <c r="H956" s="20" t="s">
        <v>15136</v>
      </c>
      <c r="I956" s="20" t="b">
        <v>1</v>
      </c>
      <c r="J956" s="20" t="s">
        <v>17662</v>
      </c>
      <c r="K956" s="20">
        <v>9343</v>
      </c>
      <c r="L956" s="20" t="s">
        <v>17216</v>
      </c>
      <c r="M956" s="20" t="s">
        <v>17663</v>
      </c>
    </row>
    <row r="957" spans="1:13" x14ac:dyDescent="0.25">
      <c r="A957" s="20">
        <v>9343</v>
      </c>
      <c r="B957" s="20" t="s">
        <v>15480</v>
      </c>
      <c r="C957" s="20">
        <v>9343</v>
      </c>
      <c r="D957" s="20" t="e">
        <f>VLOOKUP(C957,[1]CHILDCARE_FACILITIES!AJ:AK,2,0)</f>
        <v>#N/A</v>
      </c>
      <c r="E957" s="20" t="s">
        <v>15134</v>
      </c>
      <c r="F957" s="20" t="s">
        <v>15135</v>
      </c>
      <c r="G957" s="20">
        <v>73218000</v>
      </c>
      <c r="H957" s="20" t="s">
        <v>15138</v>
      </c>
      <c r="I957" s="20" t="b">
        <v>1</v>
      </c>
      <c r="J957" s="20" t="s">
        <v>17927</v>
      </c>
      <c r="K957" s="20">
        <v>9343</v>
      </c>
      <c r="L957" s="20" t="s">
        <v>17216</v>
      </c>
      <c r="M957" s="20" t="s">
        <v>17928</v>
      </c>
    </row>
    <row r="958" spans="1:13" x14ac:dyDescent="0.25">
      <c r="A958" s="20">
        <v>80518</v>
      </c>
      <c r="B958" s="20" t="s">
        <v>16085</v>
      </c>
      <c r="C958" s="20">
        <v>80518</v>
      </c>
      <c r="D958" s="20" t="str">
        <f>VLOOKUP(C958,[1]CHILDCARE_FACILITIES!AJ:AK,2,0)</f>
        <v>CDC-14239</v>
      </c>
      <c r="E958" s="20" t="s">
        <v>15134</v>
      </c>
      <c r="F958" s="20" t="s">
        <v>15135</v>
      </c>
      <c r="G958" s="20">
        <v>73218004</v>
      </c>
      <c r="H958" s="20" t="s">
        <v>15138</v>
      </c>
      <c r="I958" s="20" t="b">
        <v>0</v>
      </c>
      <c r="J958" s="20" t="s">
        <v>17929</v>
      </c>
      <c r="K958" s="20">
        <v>80518</v>
      </c>
      <c r="L958" s="20" t="s">
        <v>17433</v>
      </c>
      <c r="M958" s="20" t="s">
        <v>17434</v>
      </c>
    </row>
    <row r="959" spans="1:13" x14ac:dyDescent="0.25">
      <c r="A959" s="20">
        <v>80518</v>
      </c>
      <c r="B959" s="20" t="s">
        <v>16085</v>
      </c>
      <c r="C959" s="20">
        <v>80518</v>
      </c>
      <c r="D959" s="20" t="str">
        <f>VLOOKUP(C959,[1]CHILDCARE_FACILITIES!AJ:AK,2,0)</f>
        <v>CDC-14239</v>
      </c>
      <c r="E959" s="20" t="s">
        <v>15134</v>
      </c>
      <c r="F959" s="20" t="s">
        <v>15135</v>
      </c>
      <c r="G959" s="20">
        <v>73218004</v>
      </c>
      <c r="H959" s="20" t="s">
        <v>15145</v>
      </c>
      <c r="I959" s="20" t="b">
        <v>1</v>
      </c>
      <c r="J959" s="20" t="s">
        <v>17930</v>
      </c>
      <c r="K959" s="20">
        <v>80518</v>
      </c>
      <c r="L959" s="20" t="s">
        <v>17216</v>
      </c>
      <c r="M959" s="20" t="s">
        <v>17928</v>
      </c>
    </row>
    <row r="960" spans="1:13" x14ac:dyDescent="0.25">
      <c r="A960" s="20">
        <v>80519</v>
      </c>
      <c r="B960" s="20" t="s">
        <v>16088</v>
      </c>
      <c r="C960" s="20">
        <v>80519</v>
      </c>
      <c r="D960" s="20" t="str">
        <f>VLOOKUP(C960,[1]CHILDCARE_FACILITIES!AJ:AK,2,0)</f>
        <v>CDC-7774</v>
      </c>
      <c r="E960" s="20" t="s">
        <v>15134</v>
      </c>
      <c r="F960" s="20" t="s">
        <v>15135</v>
      </c>
      <c r="G960" s="20">
        <v>73336001</v>
      </c>
      <c r="H960" s="20" t="s">
        <v>15136</v>
      </c>
      <c r="I960" s="20" t="b">
        <v>1</v>
      </c>
      <c r="J960" s="20" t="s">
        <v>17662</v>
      </c>
      <c r="K960" s="20">
        <v>80519</v>
      </c>
      <c r="L960" s="20" t="s">
        <v>17216</v>
      </c>
      <c r="M960" s="20" t="s">
        <v>17663</v>
      </c>
    </row>
    <row r="961" spans="1:13" x14ac:dyDescent="0.25">
      <c r="A961" s="20">
        <v>80519</v>
      </c>
      <c r="B961" s="20" t="s">
        <v>16088</v>
      </c>
      <c r="C961" s="20">
        <v>80519</v>
      </c>
      <c r="D961" s="20" t="str">
        <f>VLOOKUP(C961,[1]CHILDCARE_FACILITIES!AJ:AK,2,0)</f>
        <v>CDC-7774</v>
      </c>
      <c r="E961" s="20" t="s">
        <v>15134</v>
      </c>
      <c r="F961" s="20" t="s">
        <v>15135</v>
      </c>
      <c r="G961" s="20">
        <v>73336001</v>
      </c>
      <c r="H961" s="20" t="s">
        <v>15138</v>
      </c>
      <c r="I961" s="20" t="b">
        <v>1</v>
      </c>
      <c r="J961" s="20" t="s">
        <v>17931</v>
      </c>
      <c r="K961" s="20">
        <v>80519</v>
      </c>
      <c r="L961" s="20" t="s">
        <v>17216</v>
      </c>
      <c r="M961" s="20" t="s">
        <v>17932</v>
      </c>
    </row>
    <row r="962" spans="1:13" x14ac:dyDescent="0.25">
      <c r="A962" s="20">
        <v>84664</v>
      </c>
      <c r="B962" s="20" t="s">
        <v>16294</v>
      </c>
      <c r="C962" s="20">
        <v>84664</v>
      </c>
      <c r="D962" s="20" t="str">
        <f>VLOOKUP(C962,[1]CHILDCARE_FACILITIES!AJ:AK,2,0)</f>
        <v>CDC-10874</v>
      </c>
      <c r="E962" s="20" t="s">
        <v>15134</v>
      </c>
      <c r="F962" s="20" t="s">
        <v>15135</v>
      </c>
      <c r="G962" s="20">
        <v>73218006</v>
      </c>
      <c r="H962" s="20" t="s">
        <v>15145</v>
      </c>
      <c r="I962" s="20" t="b">
        <v>1</v>
      </c>
      <c r="J962" s="20" t="s">
        <v>17933</v>
      </c>
      <c r="K962" s="20">
        <v>84664</v>
      </c>
      <c r="L962" s="20" t="s">
        <v>17216</v>
      </c>
      <c r="M962" s="20" t="s">
        <v>17934</v>
      </c>
    </row>
    <row r="963" spans="1:13" x14ac:dyDescent="0.25">
      <c r="A963" s="20">
        <v>84664</v>
      </c>
      <c r="B963" s="20" t="s">
        <v>16294</v>
      </c>
      <c r="C963" s="20">
        <v>84664</v>
      </c>
      <c r="D963" s="20" t="str">
        <f>VLOOKUP(C963,[1]CHILDCARE_FACILITIES!AJ:AK,2,0)</f>
        <v>CDC-10874</v>
      </c>
      <c r="E963" s="20" t="s">
        <v>15134</v>
      </c>
      <c r="F963" s="20" t="s">
        <v>15135</v>
      </c>
      <c r="G963" s="20">
        <v>73218006</v>
      </c>
      <c r="H963" s="20" t="s">
        <v>15138</v>
      </c>
      <c r="I963" s="20" t="b">
        <v>0</v>
      </c>
      <c r="J963" s="20" t="s">
        <v>17929</v>
      </c>
      <c r="K963" s="20">
        <v>84664</v>
      </c>
      <c r="L963" s="20" t="s">
        <v>17433</v>
      </c>
      <c r="M963" s="20" t="s">
        <v>17434</v>
      </c>
    </row>
    <row r="964" spans="1:13" x14ac:dyDescent="0.25">
      <c r="A964" s="20">
        <v>9338</v>
      </c>
      <c r="B964" s="20" t="s">
        <v>15479</v>
      </c>
      <c r="C964" s="20">
        <v>9338</v>
      </c>
      <c r="D964" s="20" t="e">
        <f>VLOOKUP(C964,[1]CHILDCARE_FACILITIES!AJ:AK,2,0)</f>
        <v>#N/A</v>
      </c>
      <c r="E964" s="20" t="s">
        <v>15134</v>
      </c>
      <c r="F964" s="20" t="s">
        <v>15135</v>
      </c>
      <c r="G964" s="20">
        <v>73215001</v>
      </c>
      <c r="K964" s="20">
        <v>9338</v>
      </c>
    </row>
    <row r="965" spans="1:13" x14ac:dyDescent="0.25">
      <c r="A965" s="20">
        <v>91342</v>
      </c>
      <c r="B965" s="20" t="s">
        <v>16783</v>
      </c>
      <c r="C965" s="20">
        <v>91342</v>
      </c>
      <c r="D965" s="20" t="e">
        <f>VLOOKUP(C965,[1]CHILDCARE_FACILITIES!AJ:AK,2,0)</f>
        <v>#N/A</v>
      </c>
      <c r="E965" s="20" t="s">
        <v>15134</v>
      </c>
      <c r="F965" s="20" t="s">
        <v>15135</v>
      </c>
      <c r="G965" s="20">
        <v>103227001</v>
      </c>
      <c r="H965" s="20" t="s">
        <v>15145</v>
      </c>
      <c r="I965" s="20" t="b">
        <v>1</v>
      </c>
      <c r="J965" s="20" t="s">
        <v>17813</v>
      </c>
      <c r="K965" s="20">
        <v>91342</v>
      </c>
      <c r="L965" s="20" t="s">
        <v>17271</v>
      </c>
      <c r="M965" s="20" t="s">
        <v>17814</v>
      </c>
    </row>
    <row r="966" spans="1:13" x14ac:dyDescent="0.25">
      <c r="A966" s="20">
        <v>91342</v>
      </c>
      <c r="B966" s="20" t="s">
        <v>16783</v>
      </c>
      <c r="C966" s="20">
        <v>91342</v>
      </c>
      <c r="D966" s="20" t="e">
        <f>VLOOKUP(C966,[1]CHILDCARE_FACILITIES!AJ:AK,2,0)</f>
        <v>#N/A</v>
      </c>
      <c r="E966" s="20" t="s">
        <v>15134</v>
      </c>
      <c r="F966" s="20" t="s">
        <v>15135</v>
      </c>
      <c r="G966" s="20">
        <v>103227001</v>
      </c>
      <c r="H966" s="20" t="s">
        <v>15138</v>
      </c>
      <c r="I966" s="20" t="b">
        <v>1</v>
      </c>
      <c r="J966" s="20" t="s">
        <v>17813</v>
      </c>
      <c r="K966" s="20">
        <v>91342</v>
      </c>
      <c r="L966" s="20" t="s">
        <v>17271</v>
      </c>
      <c r="M966" s="20" t="s">
        <v>17814</v>
      </c>
    </row>
    <row r="967" spans="1:13" x14ac:dyDescent="0.25">
      <c r="A967" s="20">
        <v>91341</v>
      </c>
      <c r="B967" s="20" t="s">
        <v>16782</v>
      </c>
      <c r="C967" s="20">
        <v>91341</v>
      </c>
      <c r="D967" s="20" t="e">
        <f>VLOOKUP(C967,[1]CHILDCARE_FACILITIES!AJ:AK,2,0)</f>
        <v>#N/A</v>
      </c>
      <c r="E967" s="20" t="s">
        <v>15134</v>
      </c>
      <c r="F967" s="20" t="s">
        <v>15135</v>
      </c>
      <c r="G967" s="20">
        <v>103227000</v>
      </c>
      <c r="H967" s="20" t="s">
        <v>15138</v>
      </c>
      <c r="I967" s="20" t="b">
        <v>1</v>
      </c>
      <c r="J967" s="20" t="s">
        <v>17813</v>
      </c>
      <c r="K967" s="20">
        <v>91341</v>
      </c>
      <c r="L967" s="20" t="s">
        <v>17271</v>
      </c>
      <c r="M967" s="20" t="s">
        <v>17814</v>
      </c>
    </row>
    <row r="968" spans="1:13" x14ac:dyDescent="0.25">
      <c r="A968" s="20">
        <v>91341</v>
      </c>
      <c r="B968" s="20" t="s">
        <v>16782</v>
      </c>
      <c r="C968" s="20">
        <v>91341</v>
      </c>
      <c r="D968" s="20" t="e">
        <f>VLOOKUP(C968,[1]CHILDCARE_FACILITIES!AJ:AK,2,0)</f>
        <v>#N/A</v>
      </c>
      <c r="E968" s="20" t="s">
        <v>15134</v>
      </c>
      <c r="F968" s="20" t="s">
        <v>15135</v>
      </c>
      <c r="G968" s="20">
        <v>103227000</v>
      </c>
      <c r="H968" s="20" t="s">
        <v>15136</v>
      </c>
      <c r="I968" s="20" t="b">
        <v>1</v>
      </c>
      <c r="J968" s="20" t="s">
        <v>17813</v>
      </c>
      <c r="K968" s="20">
        <v>91341</v>
      </c>
      <c r="L968" s="20" t="s">
        <v>17271</v>
      </c>
      <c r="M968" s="20" t="s">
        <v>17814</v>
      </c>
    </row>
    <row r="969" spans="1:13" x14ac:dyDescent="0.25">
      <c r="A969" s="20">
        <v>89935</v>
      </c>
      <c r="B969" s="20" t="s">
        <v>16509</v>
      </c>
      <c r="C969" s="20">
        <v>89935</v>
      </c>
      <c r="D969" s="20" t="str">
        <f>VLOOKUP(C969,[1]CHILDCARE_FACILITIES!AJ:AK,2,0)</f>
        <v>CDC-16783</v>
      </c>
      <c r="E969" s="20" t="s">
        <v>15134</v>
      </c>
      <c r="F969" s="20" t="s">
        <v>15135</v>
      </c>
      <c r="G969" s="20">
        <v>73565001</v>
      </c>
      <c r="H969" s="20" t="s">
        <v>15138</v>
      </c>
      <c r="I969" s="20" t="b">
        <v>1</v>
      </c>
      <c r="J969" s="20" t="s">
        <v>17935</v>
      </c>
      <c r="K969" s="20">
        <v>89935</v>
      </c>
      <c r="L969" s="20" t="s">
        <v>17239</v>
      </c>
      <c r="M969" s="20" t="s">
        <v>17936</v>
      </c>
    </row>
    <row r="970" spans="1:13" x14ac:dyDescent="0.25">
      <c r="A970" s="20">
        <v>89935</v>
      </c>
      <c r="B970" s="20" t="s">
        <v>16509</v>
      </c>
      <c r="C970" s="20">
        <v>89935</v>
      </c>
      <c r="D970" s="20" t="str">
        <f>VLOOKUP(C970,[1]CHILDCARE_FACILITIES!AJ:AK,2,0)</f>
        <v>CDC-16783</v>
      </c>
      <c r="E970" s="20" t="s">
        <v>15134</v>
      </c>
      <c r="F970" s="20" t="s">
        <v>15135</v>
      </c>
      <c r="G970" s="20">
        <v>73565001</v>
      </c>
      <c r="H970" s="20" t="s">
        <v>15145</v>
      </c>
      <c r="I970" s="20" t="b">
        <v>1</v>
      </c>
      <c r="J970" s="20" t="s">
        <v>17935</v>
      </c>
      <c r="K970" s="20">
        <v>89935</v>
      </c>
      <c r="L970" s="20" t="s">
        <v>17239</v>
      </c>
      <c r="M970" s="20" t="s">
        <v>17936</v>
      </c>
    </row>
    <row r="971" spans="1:13" x14ac:dyDescent="0.25">
      <c r="A971" s="20">
        <v>89934</v>
      </c>
      <c r="B971" s="20" t="s">
        <v>16507</v>
      </c>
      <c r="C971" s="20">
        <v>89934</v>
      </c>
      <c r="D971" s="20" t="e">
        <f>VLOOKUP(C971,[1]CHILDCARE_FACILITIES!AJ:AK,2,0)</f>
        <v>#N/A</v>
      </c>
      <c r="E971" s="20" t="s">
        <v>15134</v>
      </c>
      <c r="F971" s="20" t="s">
        <v>15135</v>
      </c>
      <c r="G971" s="20">
        <v>73565000</v>
      </c>
      <c r="H971" s="20" t="s">
        <v>15138</v>
      </c>
      <c r="I971" s="20" t="b">
        <v>1</v>
      </c>
      <c r="J971" s="20" t="s">
        <v>17935</v>
      </c>
      <c r="K971" s="20">
        <v>89934</v>
      </c>
      <c r="L971" s="20" t="s">
        <v>17239</v>
      </c>
      <c r="M971" s="20" t="s">
        <v>17936</v>
      </c>
    </row>
    <row r="972" spans="1:13" x14ac:dyDescent="0.25">
      <c r="A972" s="20">
        <v>89934</v>
      </c>
      <c r="B972" s="20" t="s">
        <v>16507</v>
      </c>
      <c r="C972" s="20">
        <v>89934</v>
      </c>
      <c r="D972" s="20" t="e">
        <f>VLOOKUP(C972,[1]CHILDCARE_FACILITIES!AJ:AK,2,0)</f>
        <v>#N/A</v>
      </c>
      <c r="E972" s="20" t="s">
        <v>15134</v>
      </c>
      <c r="F972" s="20" t="s">
        <v>15135</v>
      </c>
      <c r="G972" s="20">
        <v>73565000</v>
      </c>
      <c r="H972" s="20" t="s">
        <v>15136</v>
      </c>
      <c r="I972" s="20" t="b">
        <v>1</v>
      </c>
      <c r="J972" s="20" t="s">
        <v>17935</v>
      </c>
      <c r="K972" s="20">
        <v>89934</v>
      </c>
      <c r="L972" s="20" t="s">
        <v>17239</v>
      </c>
      <c r="M972" s="20" t="s">
        <v>17936</v>
      </c>
    </row>
    <row r="973" spans="1:13" x14ac:dyDescent="0.25">
      <c r="A973" s="20">
        <v>9317</v>
      </c>
      <c r="B973" s="20" t="s">
        <v>15468</v>
      </c>
      <c r="C973" s="20">
        <v>9317</v>
      </c>
      <c r="D973" s="20" t="e">
        <f>VLOOKUP(C973,[1]CHILDCARE_FACILITIES!AJ:AK,2,0)</f>
        <v>#N/A</v>
      </c>
      <c r="E973" s="20" t="s">
        <v>15134</v>
      </c>
      <c r="F973" s="20" t="s">
        <v>15135</v>
      </c>
      <c r="G973" s="20">
        <v>73205001</v>
      </c>
      <c r="K973" s="20">
        <v>9317</v>
      </c>
    </row>
    <row r="974" spans="1:13" x14ac:dyDescent="0.25">
      <c r="A974" s="20">
        <v>9496</v>
      </c>
      <c r="B974" s="20" t="s">
        <v>15468</v>
      </c>
      <c r="C974" s="20">
        <v>9496</v>
      </c>
      <c r="D974" s="20" t="e">
        <f>VLOOKUP(C974,[1]CHILDCARE_FACILITIES!AJ:AK,2,0)</f>
        <v>#N/A</v>
      </c>
      <c r="E974" s="20" t="s">
        <v>15134</v>
      </c>
      <c r="F974" s="20" t="s">
        <v>15135</v>
      </c>
      <c r="G974" s="20">
        <v>73277001</v>
      </c>
      <c r="K974" s="20">
        <v>9496</v>
      </c>
    </row>
    <row r="975" spans="1:13" x14ac:dyDescent="0.25">
      <c r="A975" s="20">
        <v>9053</v>
      </c>
      <c r="B975" s="20" t="s">
        <v>15339</v>
      </c>
      <c r="C975" s="20">
        <v>9053</v>
      </c>
      <c r="D975" s="20" t="e">
        <f>VLOOKUP(C975,[1]CHILDCARE_FACILITIES!AJ:AK,2,0)</f>
        <v>#N/A</v>
      </c>
      <c r="E975" s="20" t="s">
        <v>15134</v>
      </c>
      <c r="F975" s="20" t="s">
        <v>15135</v>
      </c>
      <c r="G975" s="20">
        <v>73046001</v>
      </c>
      <c r="K975" s="20">
        <v>9053</v>
      </c>
    </row>
    <row r="976" spans="1:13" x14ac:dyDescent="0.25">
      <c r="A976" s="20">
        <v>9921</v>
      </c>
      <c r="B976" s="20" t="s">
        <v>15729</v>
      </c>
      <c r="C976" s="20">
        <v>9921</v>
      </c>
      <c r="D976" s="20" t="e">
        <f>VLOOKUP(C976,[1]CHILDCARE_FACILITIES!AJ:AK,2,0)</f>
        <v>#N/A</v>
      </c>
      <c r="E976" s="20" t="s">
        <v>15134</v>
      </c>
      <c r="F976" s="20" t="s">
        <v>15135</v>
      </c>
      <c r="G976" s="20">
        <v>103052001</v>
      </c>
      <c r="K976" s="20">
        <v>9921</v>
      </c>
    </row>
    <row r="977" spans="1:13" x14ac:dyDescent="0.25">
      <c r="A977" s="20">
        <v>10029</v>
      </c>
      <c r="B977" s="20" t="s">
        <v>15729</v>
      </c>
      <c r="C977" s="20">
        <v>10029</v>
      </c>
      <c r="D977" s="20" t="str">
        <f>VLOOKUP(C977,[1]CHILDCARE_FACILITIES!AJ:AK,2,0)</f>
        <v>CDC-1928</v>
      </c>
      <c r="E977" s="20" t="s">
        <v>15134</v>
      </c>
      <c r="F977" s="20" t="s">
        <v>15135</v>
      </c>
      <c r="G977" s="20">
        <v>103101001</v>
      </c>
      <c r="K977" s="20">
        <v>10029</v>
      </c>
    </row>
    <row r="978" spans="1:13" x14ac:dyDescent="0.25">
      <c r="A978" s="20">
        <v>9940</v>
      </c>
      <c r="B978" s="20" t="s">
        <v>15738</v>
      </c>
      <c r="C978" s="20">
        <v>9940</v>
      </c>
      <c r="D978" s="20" t="e">
        <f>VLOOKUP(C978,[1]CHILDCARE_FACILITIES!AJ:AK,2,0)</f>
        <v>#N/A</v>
      </c>
      <c r="E978" s="20" t="s">
        <v>15134</v>
      </c>
      <c r="F978" s="20" t="s">
        <v>15135</v>
      </c>
      <c r="G978" s="20">
        <v>103062000</v>
      </c>
      <c r="H978" s="20" t="s">
        <v>15136</v>
      </c>
      <c r="I978" s="20" t="b">
        <v>1</v>
      </c>
      <c r="J978" s="20" t="s">
        <v>17937</v>
      </c>
      <c r="K978" s="20">
        <v>9940</v>
      </c>
      <c r="L978" s="20" t="s">
        <v>17271</v>
      </c>
      <c r="M978" s="20" t="s">
        <v>17938</v>
      </c>
    </row>
    <row r="979" spans="1:13" x14ac:dyDescent="0.25">
      <c r="A979" s="20">
        <v>9940</v>
      </c>
      <c r="B979" s="20" t="s">
        <v>15738</v>
      </c>
      <c r="C979" s="20">
        <v>9940</v>
      </c>
      <c r="D979" s="20" t="e">
        <f>VLOOKUP(C979,[1]CHILDCARE_FACILITIES!AJ:AK,2,0)</f>
        <v>#N/A</v>
      </c>
      <c r="E979" s="20" t="s">
        <v>15134</v>
      </c>
      <c r="F979" s="20" t="s">
        <v>15135</v>
      </c>
      <c r="G979" s="20">
        <v>103062000</v>
      </c>
      <c r="H979" s="20" t="s">
        <v>15138</v>
      </c>
      <c r="I979" s="20" t="b">
        <v>1</v>
      </c>
      <c r="J979" s="20" t="s">
        <v>17937</v>
      </c>
      <c r="K979" s="20">
        <v>9940</v>
      </c>
      <c r="L979" s="20" t="s">
        <v>17271</v>
      </c>
      <c r="M979" s="20" t="s">
        <v>17938</v>
      </c>
    </row>
    <row r="980" spans="1:13" x14ac:dyDescent="0.25">
      <c r="A980" s="20">
        <v>9941</v>
      </c>
      <c r="B980" s="20" t="s">
        <v>15740</v>
      </c>
      <c r="C980" s="20">
        <v>9941</v>
      </c>
      <c r="D980" s="20" t="str">
        <f>VLOOKUP(C980,[1]CHILDCARE_FACILITIES!AJ:AK,2,0)</f>
        <v>CDC-3828</v>
      </c>
      <c r="E980" s="20" t="s">
        <v>15134</v>
      </c>
      <c r="F980" s="20" t="s">
        <v>15135</v>
      </c>
      <c r="G980" s="20">
        <v>103062001</v>
      </c>
      <c r="K980" s="20">
        <v>9941</v>
      </c>
    </row>
    <row r="981" spans="1:13" x14ac:dyDescent="0.25">
      <c r="A981" s="20">
        <v>89254</v>
      </c>
      <c r="B981" s="20" t="s">
        <v>16384</v>
      </c>
      <c r="C981" s="20">
        <v>89254</v>
      </c>
      <c r="D981" s="20" t="str">
        <f>VLOOKUP(C981,[1]CHILDCARE_FACILITIES!AJ:AK,2,0)</f>
        <v>CDC-12970</v>
      </c>
      <c r="E981" s="20" t="s">
        <v>15134</v>
      </c>
      <c r="F981" s="20" t="s">
        <v>15135</v>
      </c>
      <c r="G981" s="20">
        <v>103131001</v>
      </c>
      <c r="H981" s="20" t="s">
        <v>15138</v>
      </c>
      <c r="I981" s="20" t="b">
        <v>1</v>
      </c>
      <c r="J981" s="20" t="s">
        <v>17837</v>
      </c>
      <c r="K981" s="20">
        <v>89254</v>
      </c>
      <c r="L981" s="20" t="s">
        <v>17271</v>
      </c>
      <c r="M981" s="20" t="s">
        <v>17838</v>
      </c>
    </row>
    <row r="982" spans="1:13" x14ac:dyDescent="0.25">
      <c r="A982" s="20">
        <v>89254</v>
      </c>
      <c r="B982" s="20" t="s">
        <v>16384</v>
      </c>
      <c r="C982" s="20">
        <v>89254</v>
      </c>
      <c r="D982" s="20" t="str">
        <f>VLOOKUP(C982,[1]CHILDCARE_FACILITIES!AJ:AK,2,0)</f>
        <v>CDC-12970</v>
      </c>
      <c r="E982" s="20" t="s">
        <v>15134</v>
      </c>
      <c r="F982" s="20" t="s">
        <v>15135</v>
      </c>
      <c r="G982" s="20">
        <v>103131001</v>
      </c>
      <c r="H982" s="20" t="s">
        <v>15145</v>
      </c>
      <c r="I982" s="20" t="b">
        <v>1</v>
      </c>
      <c r="J982" s="20" t="s">
        <v>17835</v>
      </c>
      <c r="K982" s="20">
        <v>89254</v>
      </c>
      <c r="L982" s="20" t="s">
        <v>17271</v>
      </c>
      <c r="M982" s="20" t="s">
        <v>17836</v>
      </c>
    </row>
    <row r="983" spans="1:13" x14ac:dyDescent="0.25">
      <c r="A983" s="20">
        <v>83312</v>
      </c>
      <c r="B983" s="20" t="s">
        <v>16263</v>
      </c>
      <c r="C983" s="20">
        <v>83312</v>
      </c>
      <c r="D983" s="20" t="e">
        <f>VLOOKUP(C983,[1]CHILDCARE_FACILITIES!AJ:AK,2,0)</f>
        <v>#N/A</v>
      </c>
      <c r="E983" s="20" t="s">
        <v>15134</v>
      </c>
      <c r="F983" s="20" t="s">
        <v>15135</v>
      </c>
      <c r="G983" s="20">
        <v>73498001</v>
      </c>
      <c r="H983" s="20" t="s">
        <v>15138</v>
      </c>
      <c r="I983" s="20" t="b">
        <v>1</v>
      </c>
      <c r="J983" s="20" t="s">
        <v>17939</v>
      </c>
      <c r="K983" s="20">
        <v>83312</v>
      </c>
      <c r="L983" s="20" t="s">
        <v>17239</v>
      </c>
      <c r="M983" s="20" t="s">
        <v>17940</v>
      </c>
    </row>
    <row r="984" spans="1:13" x14ac:dyDescent="0.25">
      <c r="A984" s="20">
        <v>83312</v>
      </c>
      <c r="B984" s="20" t="s">
        <v>16263</v>
      </c>
      <c r="C984" s="20">
        <v>83312</v>
      </c>
      <c r="D984" s="20" t="e">
        <f>VLOOKUP(C984,[1]CHILDCARE_FACILITIES!AJ:AK,2,0)</f>
        <v>#N/A</v>
      </c>
      <c r="E984" s="20" t="s">
        <v>15134</v>
      </c>
      <c r="F984" s="20" t="s">
        <v>15135</v>
      </c>
      <c r="G984" s="20">
        <v>73498001</v>
      </c>
      <c r="H984" s="20" t="s">
        <v>15136</v>
      </c>
      <c r="I984" s="20" t="b">
        <v>1</v>
      </c>
      <c r="J984" s="20" t="s">
        <v>17939</v>
      </c>
      <c r="K984" s="20">
        <v>83312</v>
      </c>
      <c r="L984" s="20" t="s">
        <v>17239</v>
      </c>
      <c r="M984" s="20" t="s">
        <v>17940</v>
      </c>
    </row>
    <row r="985" spans="1:13" x14ac:dyDescent="0.25">
      <c r="A985" s="20">
        <v>83311</v>
      </c>
      <c r="B985" s="20" t="s">
        <v>16261</v>
      </c>
      <c r="C985" s="20">
        <v>83311</v>
      </c>
      <c r="D985" s="20" t="e">
        <f>VLOOKUP(C985,[1]CHILDCARE_FACILITIES!AJ:AK,2,0)</f>
        <v>#N/A</v>
      </c>
      <c r="E985" s="20" t="s">
        <v>15134</v>
      </c>
      <c r="F985" s="20" t="s">
        <v>15135</v>
      </c>
      <c r="G985" s="20">
        <v>73498000</v>
      </c>
      <c r="H985" s="20" t="s">
        <v>15136</v>
      </c>
      <c r="I985" s="20" t="b">
        <v>1</v>
      </c>
      <c r="J985" s="20" t="s">
        <v>17939</v>
      </c>
      <c r="K985" s="20">
        <v>83311</v>
      </c>
      <c r="L985" s="20" t="s">
        <v>17239</v>
      </c>
      <c r="M985" s="20" t="s">
        <v>17940</v>
      </c>
    </row>
    <row r="986" spans="1:13" x14ac:dyDescent="0.25">
      <c r="A986" s="20">
        <v>83311</v>
      </c>
      <c r="B986" s="20" t="s">
        <v>16261</v>
      </c>
      <c r="C986" s="20">
        <v>83311</v>
      </c>
      <c r="D986" s="20" t="e">
        <f>VLOOKUP(C986,[1]CHILDCARE_FACILITIES!AJ:AK,2,0)</f>
        <v>#N/A</v>
      </c>
      <c r="E986" s="20" t="s">
        <v>15134</v>
      </c>
      <c r="F986" s="20" t="s">
        <v>15135</v>
      </c>
      <c r="G986" s="20">
        <v>73498000</v>
      </c>
      <c r="H986" s="20" t="s">
        <v>15138</v>
      </c>
      <c r="I986" s="20" t="b">
        <v>1</v>
      </c>
      <c r="J986" s="20" t="s">
        <v>17939</v>
      </c>
      <c r="K986" s="20">
        <v>83311</v>
      </c>
      <c r="L986" s="20" t="s">
        <v>17239</v>
      </c>
      <c r="M986" s="20" t="s">
        <v>17940</v>
      </c>
    </row>
    <row r="987" spans="1:13" x14ac:dyDescent="0.25">
      <c r="A987" s="20">
        <v>9877</v>
      </c>
      <c r="B987" s="20" t="s">
        <v>15711</v>
      </c>
      <c r="C987" s="20">
        <v>9877</v>
      </c>
      <c r="D987" s="20" t="str">
        <f>VLOOKUP(C987,[1]CHILDCARE_FACILITIES!AJ:AK,2,0)</f>
        <v>CDC-0213</v>
      </c>
      <c r="E987" s="20" t="s">
        <v>15134</v>
      </c>
      <c r="F987" s="20" t="s">
        <v>15135</v>
      </c>
      <c r="G987" s="20">
        <v>103008001</v>
      </c>
      <c r="K987" s="20">
        <v>9877</v>
      </c>
    </row>
    <row r="988" spans="1:13" x14ac:dyDescent="0.25">
      <c r="A988" s="20">
        <v>9885</v>
      </c>
      <c r="B988" s="20" t="s">
        <v>15711</v>
      </c>
      <c r="C988" s="20">
        <v>9885</v>
      </c>
      <c r="D988" s="20" t="e">
        <f>VLOOKUP(C988,[1]CHILDCARE_FACILITIES!AJ:AK,2,0)</f>
        <v>#N/A</v>
      </c>
      <c r="E988" s="20" t="s">
        <v>15134</v>
      </c>
      <c r="F988" s="20" t="s">
        <v>15135</v>
      </c>
      <c r="G988" s="20">
        <v>103023001</v>
      </c>
      <c r="K988" s="20">
        <v>9885</v>
      </c>
    </row>
    <row r="989" spans="1:13" x14ac:dyDescent="0.25">
      <c r="A989" s="20">
        <v>90789</v>
      </c>
      <c r="B989" s="20" t="s">
        <v>16684</v>
      </c>
      <c r="C989" s="20">
        <v>90789</v>
      </c>
      <c r="D989" s="20" t="str">
        <f>VLOOKUP(C989,[1]CHILDCARE_FACILITIES!AJ:AK,2,0)</f>
        <v>CDC-15217</v>
      </c>
      <c r="E989" s="20" t="s">
        <v>15134</v>
      </c>
      <c r="F989" s="20" t="s">
        <v>15135</v>
      </c>
      <c r="G989" s="20">
        <v>103220001</v>
      </c>
      <c r="H989" s="20" t="s">
        <v>15145</v>
      </c>
      <c r="I989" s="20" t="b">
        <v>1</v>
      </c>
      <c r="J989" s="20" t="s">
        <v>17941</v>
      </c>
      <c r="K989" s="20">
        <v>90789</v>
      </c>
      <c r="L989" s="20" t="s">
        <v>17271</v>
      </c>
      <c r="M989" s="20" t="s">
        <v>17942</v>
      </c>
    </row>
    <row r="990" spans="1:13" x14ac:dyDescent="0.25">
      <c r="A990" s="20">
        <v>90788</v>
      </c>
      <c r="B990" s="20" t="s">
        <v>16681</v>
      </c>
      <c r="C990" s="20">
        <v>90788</v>
      </c>
      <c r="D990" s="20" t="e">
        <f>VLOOKUP(C990,[1]CHILDCARE_FACILITIES!AJ:AK,2,0)</f>
        <v>#N/A</v>
      </c>
      <c r="E990" s="20" t="s">
        <v>15134</v>
      </c>
      <c r="F990" s="20" t="s">
        <v>15135</v>
      </c>
      <c r="G990" s="20">
        <v>103220000</v>
      </c>
      <c r="H990" s="20" t="s">
        <v>15138</v>
      </c>
      <c r="I990" s="20" t="b">
        <v>1</v>
      </c>
      <c r="J990" s="20" t="s">
        <v>17941</v>
      </c>
      <c r="K990" s="20">
        <v>90788</v>
      </c>
      <c r="L990" s="20" t="s">
        <v>17271</v>
      </c>
      <c r="M990" s="20" t="s">
        <v>17942</v>
      </c>
    </row>
    <row r="991" spans="1:13" x14ac:dyDescent="0.25">
      <c r="A991" s="20">
        <v>90788</v>
      </c>
      <c r="B991" s="20" t="s">
        <v>16681</v>
      </c>
      <c r="C991" s="20">
        <v>90788</v>
      </c>
      <c r="D991" s="20" t="e">
        <f>VLOOKUP(C991,[1]CHILDCARE_FACILITIES!AJ:AK,2,0)</f>
        <v>#N/A</v>
      </c>
      <c r="E991" s="20" t="s">
        <v>15134</v>
      </c>
      <c r="F991" s="20" t="s">
        <v>15135</v>
      </c>
      <c r="G991" s="20">
        <v>103220000</v>
      </c>
      <c r="H991" s="20" t="s">
        <v>15136</v>
      </c>
      <c r="I991" s="20" t="b">
        <v>1</v>
      </c>
      <c r="J991" s="20" t="s">
        <v>17943</v>
      </c>
      <c r="K991" s="20">
        <v>90788</v>
      </c>
      <c r="L991" s="20" t="s">
        <v>17271</v>
      </c>
      <c r="M991" s="20" t="s">
        <v>17942</v>
      </c>
    </row>
    <row r="992" spans="1:13" x14ac:dyDescent="0.25">
      <c r="A992" s="20">
        <v>1000096</v>
      </c>
      <c r="B992" s="20" t="s">
        <v>17082</v>
      </c>
      <c r="C992" s="20">
        <v>1000096</v>
      </c>
      <c r="D992" s="20" t="e">
        <f>VLOOKUP(C992,[1]CHILDCARE_FACILITIES!AJ:AK,2,0)</f>
        <v>#N/A</v>
      </c>
      <c r="E992" s="20" t="s">
        <v>15134</v>
      </c>
      <c r="F992" s="20" t="s">
        <v>15135</v>
      </c>
      <c r="G992" s="20">
        <v>73350001</v>
      </c>
      <c r="H992" s="20" t="s">
        <v>15138</v>
      </c>
      <c r="I992" s="20" t="b">
        <v>1</v>
      </c>
      <c r="J992" s="20" t="s">
        <v>17944</v>
      </c>
      <c r="K992" s="20">
        <v>1000096</v>
      </c>
      <c r="L992" s="20" t="s">
        <v>17213</v>
      </c>
      <c r="M992" s="20" t="s">
        <v>17945</v>
      </c>
    </row>
    <row r="993" spans="1:13" x14ac:dyDescent="0.25">
      <c r="A993" s="20">
        <v>1000096</v>
      </c>
      <c r="B993" s="20" t="s">
        <v>17082</v>
      </c>
      <c r="C993" s="20">
        <v>1000096</v>
      </c>
      <c r="D993" s="20" t="e">
        <f>VLOOKUP(C993,[1]CHILDCARE_FACILITIES!AJ:AK,2,0)</f>
        <v>#N/A</v>
      </c>
      <c r="E993" s="20" t="s">
        <v>15134</v>
      </c>
      <c r="F993" s="20" t="s">
        <v>15135</v>
      </c>
      <c r="G993" s="20">
        <v>73350001</v>
      </c>
      <c r="H993" s="20" t="s">
        <v>15136</v>
      </c>
      <c r="I993" s="20" t="b">
        <v>1</v>
      </c>
      <c r="J993" s="20" t="s">
        <v>17944</v>
      </c>
      <c r="K993" s="20">
        <v>1000096</v>
      </c>
      <c r="L993" s="20" t="s">
        <v>17213</v>
      </c>
      <c r="M993" s="20" t="s">
        <v>17945</v>
      </c>
    </row>
    <row r="994" spans="1:13" x14ac:dyDescent="0.25">
      <c r="A994" s="20">
        <v>91940</v>
      </c>
      <c r="B994" s="20" t="s">
        <v>16833</v>
      </c>
      <c r="C994" s="20">
        <v>91940</v>
      </c>
      <c r="D994" s="20" t="e">
        <f>VLOOKUP(C994,[1]CHILDCARE_FACILITIES!AJ:AK,2,0)</f>
        <v>#N/A</v>
      </c>
      <c r="E994" s="20" t="s">
        <v>15134</v>
      </c>
      <c r="F994" s="20" t="s">
        <v>15135</v>
      </c>
      <c r="G994" s="20">
        <v>73569002</v>
      </c>
      <c r="H994" s="20" t="s">
        <v>15145</v>
      </c>
      <c r="I994" s="20" t="b">
        <v>1</v>
      </c>
      <c r="J994" s="20" t="s">
        <v>17946</v>
      </c>
      <c r="K994" s="20">
        <v>91940</v>
      </c>
      <c r="L994" s="20" t="s">
        <v>17213</v>
      </c>
      <c r="M994" s="20" t="s">
        <v>17947</v>
      </c>
    </row>
    <row r="995" spans="1:13" x14ac:dyDescent="0.25">
      <c r="A995" s="20">
        <v>90088</v>
      </c>
      <c r="B995" s="20" t="s">
        <v>16532</v>
      </c>
      <c r="C995" s="20">
        <v>90088</v>
      </c>
      <c r="D995" s="20" t="e">
        <f>VLOOKUP(C995,[1]CHILDCARE_FACILITIES!AJ:AK,2,0)</f>
        <v>#N/A</v>
      </c>
      <c r="E995" s="20" t="s">
        <v>15134</v>
      </c>
      <c r="F995" s="20" t="s">
        <v>15135</v>
      </c>
      <c r="G995" s="20">
        <v>73569000</v>
      </c>
      <c r="H995" s="20" t="s">
        <v>15136</v>
      </c>
      <c r="I995" s="20" t="b">
        <v>1</v>
      </c>
      <c r="J995" s="20" t="s">
        <v>17948</v>
      </c>
      <c r="K995" s="20">
        <v>90088</v>
      </c>
      <c r="L995" s="20" t="s">
        <v>17233</v>
      </c>
      <c r="M995" s="20" t="s">
        <v>17949</v>
      </c>
    </row>
    <row r="996" spans="1:13" x14ac:dyDescent="0.25">
      <c r="A996" s="20">
        <v>90088</v>
      </c>
      <c r="B996" s="20" t="s">
        <v>16532</v>
      </c>
      <c r="C996" s="20">
        <v>90088</v>
      </c>
      <c r="D996" s="20" t="e">
        <f>VLOOKUP(C996,[1]CHILDCARE_FACILITIES!AJ:AK,2,0)</f>
        <v>#N/A</v>
      </c>
      <c r="E996" s="20" t="s">
        <v>15134</v>
      </c>
      <c r="F996" s="20" t="s">
        <v>15135</v>
      </c>
      <c r="G996" s="20">
        <v>73569000</v>
      </c>
      <c r="H996" s="20" t="s">
        <v>15138</v>
      </c>
      <c r="I996" s="20" t="b">
        <v>1</v>
      </c>
      <c r="J996" s="20" t="s">
        <v>17950</v>
      </c>
      <c r="K996" s="20">
        <v>90088</v>
      </c>
      <c r="L996" s="20" t="s">
        <v>17213</v>
      </c>
      <c r="M996" s="20" t="s">
        <v>17947</v>
      </c>
    </row>
    <row r="997" spans="1:13" x14ac:dyDescent="0.25">
      <c r="A997" s="20">
        <v>8574</v>
      </c>
      <c r="B997" s="20" t="s">
        <v>15165</v>
      </c>
      <c r="C997" s="20">
        <v>8574</v>
      </c>
      <c r="D997" s="20" t="e">
        <f>VLOOKUP(C997,[1]CHILDCARE_FACILITIES!AJ:AK,2,0)</f>
        <v>#N/A</v>
      </c>
      <c r="E997" s="20" t="s">
        <v>15134</v>
      </c>
      <c r="F997" s="20" t="s">
        <v>15135</v>
      </c>
      <c r="G997" s="20">
        <v>33004001</v>
      </c>
      <c r="K997" s="20">
        <v>8574</v>
      </c>
    </row>
    <row r="998" spans="1:13" x14ac:dyDescent="0.25">
      <c r="A998" s="20">
        <v>90921</v>
      </c>
      <c r="B998" s="20" t="s">
        <v>16722</v>
      </c>
      <c r="C998" s="20">
        <v>90921</v>
      </c>
      <c r="D998" s="20" t="e">
        <f>VLOOKUP(C998,[1]CHILDCARE_FACILITIES!AJ:AK,2,0)</f>
        <v>#N/A</v>
      </c>
      <c r="E998" s="20" t="s">
        <v>15134</v>
      </c>
      <c r="F998" s="20" t="s">
        <v>15135</v>
      </c>
      <c r="G998" s="20">
        <v>73716001</v>
      </c>
      <c r="H998" s="20" t="s">
        <v>15145</v>
      </c>
      <c r="I998" s="20" t="b">
        <v>1</v>
      </c>
      <c r="J998" s="20" t="s">
        <v>17951</v>
      </c>
      <c r="K998" s="20">
        <v>90921</v>
      </c>
      <c r="L998" s="20" t="s">
        <v>17312</v>
      </c>
      <c r="M998" s="20" t="s">
        <v>17952</v>
      </c>
    </row>
    <row r="999" spans="1:13" x14ac:dyDescent="0.25">
      <c r="A999" s="20">
        <v>92427</v>
      </c>
      <c r="B999" s="20" t="s">
        <v>16867</v>
      </c>
      <c r="C999" s="20">
        <v>92427</v>
      </c>
      <c r="D999" s="20" t="e">
        <f>VLOOKUP(C999,[1]CHILDCARE_FACILITIES!AJ:AK,2,0)</f>
        <v>#N/A</v>
      </c>
      <c r="E999" s="20" t="s">
        <v>15134</v>
      </c>
      <c r="F999" s="20" t="s">
        <v>15135</v>
      </c>
      <c r="G999" s="20">
        <v>73716002</v>
      </c>
      <c r="H999" s="20" t="s">
        <v>15145</v>
      </c>
      <c r="I999" s="20" t="b">
        <v>0</v>
      </c>
      <c r="J999" s="20" t="s">
        <v>17953</v>
      </c>
      <c r="K999" s="20">
        <v>92427</v>
      </c>
      <c r="L999" s="20" t="s">
        <v>17954</v>
      </c>
      <c r="M999" s="20" t="s">
        <v>17955</v>
      </c>
    </row>
    <row r="1000" spans="1:13" x14ac:dyDescent="0.25">
      <c r="A1000" s="20">
        <v>84679</v>
      </c>
      <c r="B1000" s="20" t="s">
        <v>16305</v>
      </c>
      <c r="C1000" s="20">
        <v>84679</v>
      </c>
      <c r="D1000" s="20" t="str">
        <f>VLOOKUP(C1000,[1]CHILDCARE_FACILITIES!AJ:AK,2,0)</f>
        <v>CDC-15025</v>
      </c>
      <c r="E1000" s="20" t="s">
        <v>15134</v>
      </c>
      <c r="F1000" s="20" t="s">
        <v>15135</v>
      </c>
      <c r="G1000" s="20">
        <v>93017001</v>
      </c>
      <c r="H1000" s="20" t="s">
        <v>15145</v>
      </c>
      <c r="I1000" s="20" t="b">
        <v>1</v>
      </c>
      <c r="J1000" s="20" t="s">
        <v>17956</v>
      </c>
      <c r="K1000" s="20">
        <v>84679</v>
      </c>
      <c r="L1000" s="20" t="s">
        <v>17873</v>
      </c>
      <c r="M1000" s="20" t="s">
        <v>17957</v>
      </c>
    </row>
    <row r="1001" spans="1:13" x14ac:dyDescent="0.25">
      <c r="A1001" s="20">
        <v>84679</v>
      </c>
      <c r="B1001" s="20" t="s">
        <v>16305</v>
      </c>
      <c r="C1001" s="20">
        <v>84679</v>
      </c>
      <c r="D1001" s="20" t="str">
        <f>VLOOKUP(C1001,[1]CHILDCARE_FACILITIES!AJ:AK,2,0)</f>
        <v>CDC-15025</v>
      </c>
      <c r="E1001" s="20" t="s">
        <v>15134</v>
      </c>
      <c r="F1001" s="20" t="s">
        <v>15135</v>
      </c>
      <c r="G1001" s="20">
        <v>93017001</v>
      </c>
      <c r="H1001" s="20" t="s">
        <v>15138</v>
      </c>
      <c r="I1001" s="20" t="b">
        <v>1</v>
      </c>
      <c r="J1001" s="20" t="s">
        <v>17956</v>
      </c>
      <c r="K1001" s="20">
        <v>84679</v>
      </c>
      <c r="L1001" s="20" t="s">
        <v>17873</v>
      </c>
      <c r="M1001" s="20" t="s">
        <v>17957</v>
      </c>
    </row>
    <row r="1002" spans="1:13" x14ac:dyDescent="0.25">
      <c r="A1002" s="20">
        <v>84678</v>
      </c>
      <c r="B1002" s="20" t="s">
        <v>16303</v>
      </c>
      <c r="C1002" s="20">
        <v>84678</v>
      </c>
      <c r="D1002" s="20" t="e">
        <f>VLOOKUP(C1002,[1]CHILDCARE_FACILITIES!AJ:AK,2,0)</f>
        <v>#N/A</v>
      </c>
      <c r="E1002" s="20" t="s">
        <v>15134</v>
      </c>
      <c r="F1002" s="20" t="s">
        <v>15135</v>
      </c>
      <c r="G1002" s="20">
        <v>93017000</v>
      </c>
      <c r="H1002" s="20" t="s">
        <v>15136</v>
      </c>
      <c r="I1002" s="20" t="b">
        <v>1</v>
      </c>
      <c r="J1002" s="20" t="s">
        <v>17956</v>
      </c>
      <c r="K1002" s="20">
        <v>84678</v>
      </c>
      <c r="L1002" s="20" t="s">
        <v>17873</v>
      </c>
      <c r="M1002" s="20" t="s">
        <v>17957</v>
      </c>
    </row>
    <row r="1003" spans="1:13" x14ac:dyDescent="0.25">
      <c r="A1003" s="20">
        <v>84678</v>
      </c>
      <c r="B1003" s="20" t="s">
        <v>16303</v>
      </c>
      <c r="C1003" s="20">
        <v>84678</v>
      </c>
      <c r="D1003" s="20" t="e">
        <f>VLOOKUP(C1003,[1]CHILDCARE_FACILITIES!AJ:AK,2,0)</f>
        <v>#N/A</v>
      </c>
      <c r="E1003" s="20" t="s">
        <v>15134</v>
      </c>
      <c r="F1003" s="20" t="s">
        <v>15135</v>
      </c>
      <c r="G1003" s="20">
        <v>93017000</v>
      </c>
      <c r="H1003" s="20" t="s">
        <v>15138</v>
      </c>
      <c r="I1003" s="20" t="b">
        <v>1</v>
      </c>
      <c r="J1003" s="20" t="s">
        <v>17956</v>
      </c>
      <c r="K1003" s="20">
        <v>84678</v>
      </c>
      <c r="L1003" s="20" t="s">
        <v>17873</v>
      </c>
      <c r="M1003" s="20" t="s">
        <v>17957</v>
      </c>
    </row>
    <row r="1004" spans="1:13" x14ac:dyDescent="0.25">
      <c r="A1004" s="20">
        <v>90115</v>
      </c>
      <c r="B1004" s="20" t="s">
        <v>16548</v>
      </c>
      <c r="C1004" s="20">
        <v>90115</v>
      </c>
      <c r="D1004" s="20" t="e">
        <f>VLOOKUP(C1004,[1]CHILDCARE_FACILITIES!AJ:AK,2,0)</f>
        <v>#N/A</v>
      </c>
      <c r="E1004" s="20" t="s">
        <v>15134</v>
      </c>
      <c r="F1004" s="20" t="s">
        <v>15135</v>
      </c>
      <c r="G1004" s="20">
        <v>72439001</v>
      </c>
      <c r="H1004" s="20" t="s">
        <v>15145</v>
      </c>
      <c r="I1004" s="20" t="b">
        <v>1</v>
      </c>
      <c r="J1004" s="20" t="s">
        <v>17741</v>
      </c>
      <c r="K1004" s="20">
        <v>90115</v>
      </c>
      <c r="L1004" s="20" t="s">
        <v>17216</v>
      </c>
      <c r="M1004" s="20" t="s">
        <v>17742</v>
      </c>
    </row>
    <row r="1005" spans="1:13" x14ac:dyDescent="0.25">
      <c r="A1005" s="20">
        <v>90115</v>
      </c>
      <c r="B1005" s="20" t="s">
        <v>16548</v>
      </c>
      <c r="C1005" s="20">
        <v>90115</v>
      </c>
      <c r="D1005" s="20" t="e">
        <f>VLOOKUP(C1005,[1]CHILDCARE_FACILITIES!AJ:AK,2,0)</f>
        <v>#N/A</v>
      </c>
      <c r="E1005" s="20" t="s">
        <v>15134</v>
      </c>
      <c r="F1005" s="20" t="s">
        <v>15135</v>
      </c>
      <c r="G1005" s="20">
        <v>72439001</v>
      </c>
      <c r="H1005" s="20" t="s">
        <v>15138</v>
      </c>
      <c r="I1005" s="20" t="b">
        <v>1</v>
      </c>
      <c r="J1005" s="20" t="s">
        <v>17741</v>
      </c>
      <c r="K1005" s="20">
        <v>90115</v>
      </c>
      <c r="L1005" s="20" t="s">
        <v>17216</v>
      </c>
      <c r="M1005" s="20" t="s">
        <v>17742</v>
      </c>
    </row>
    <row r="1006" spans="1:13" x14ac:dyDescent="0.25">
      <c r="A1006" s="20">
        <v>86678</v>
      </c>
      <c r="B1006" s="20" t="s">
        <v>16322</v>
      </c>
      <c r="C1006" s="20">
        <v>86678</v>
      </c>
      <c r="D1006" s="20" t="e">
        <f>VLOOKUP(C1006,[1]CHILDCARE_FACILITIES!AJ:AK,2,0)</f>
        <v>#N/A</v>
      </c>
      <c r="E1006" s="20" t="s">
        <v>15134</v>
      </c>
      <c r="F1006" s="20" t="s">
        <v>15135</v>
      </c>
      <c r="G1006" s="20">
        <v>73519000</v>
      </c>
      <c r="H1006" s="20" t="s">
        <v>15136</v>
      </c>
      <c r="I1006" s="20" t="b">
        <v>0</v>
      </c>
      <c r="J1006" s="20" t="s">
        <v>17958</v>
      </c>
      <c r="K1006" s="20">
        <v>86678</v>
      </c>
      <c r="L1006" s="20" t="s">
        <v>17367</v>
      </c>
      <c r="M1006" s="20" t="s">
        <v>17959</v>
      </c>
    </row>
    <row r="1007" spans="1:13" x14ac:dyDescent="0.25">
      <c r="A1007" s="20">
        <v>86678</v>
      </c>
      <c r="B1007" s="20" t="s">
        <v>16322</v>
      </c>
      <c r="C1007" s="20">
        <v>86678</v>
      </c>
      <c r="D1007" s="20" t="e">
        <f>VLOOKUP(C1007,[1]CHILDCARE_FACILITIES!AJ:AK,2,0)</f>
        <v>#N/A</v>
      </c>
      <c r="E1007" s="20" t="s">
        <v>15134</v>
      </c>
      <c r="F1007" s="20" t="s">
        <v>15135</v>
      </c>
      <c r="G1007" s="20">
        <v>73519000</v>
      </c>
      <c r="H1007" s="20" t="s">
        <v>15138</v>
      </c>
      <c r="I1007" s="20" t="b">
        <v>0</v>
      </c>
      <c r="J1007" s="20" t="s">
        <v>17960</v>
      </c>
      <c r="K1007" s="20">
        <v>86678</v>
      </c>
      <c r="L1007" s="20" t="s">
        <v>17961</v>
      </c>
      <c r="M1007" s="20" t="s">
        <v>17962</v>
      </c>
    </row>
    <row r="1008" spans="1:13" x14ac:dyDescent="0.25">
      <c r="A1008" s="20">
        <v>8376</v>
      </c>
      <c r="B1008" s="20" t="s">
        <v>15140</v>
      </c>
      <c r="C1008" s="20">
        <v>8376</v>
      </c>
      <c r="D1008" s="20" t="e">
        <f>VLOOKUP(C1008,[1]CHILDCARE_FACILITIES!AJ:AK,2,0)</f>
        <v>#N/A</v>
      </c>
      <c r="E1008" s="20" t="s">
        <v>15134</v>
      </c>
      <c r="F1008" s="20" t="s">
        <v>15135</v>
      </c>
      <c r="G1008" s="20">
        <v>12207001</v>
      </c>
      <c r="K1008" s="20">
        <v>8376</v>
      </c>
    </row>
    <row r="1009" spans="1:13" x14ac:dyDescent="0.25">
      <c r="A1009" s="20">
        <v>80506</v>
      </c>
      <c r="B1009" s="20" t="s">
        <v>16078</v>
      </c>
      <c r="C1009" s="20">
        <v>80506</v>
      </c>
      <c r="D1009" s="20" t="e">
        <f>VLOOKUP(C1009,[1]CHILDCARE_FACILITIES!AJ:AK,2,0)</f>
        <v>#N/A</v>
      </c>
      <c r="E1009" s="20" t="s">
        <v>15134</v>
      </c>
      <c r="F1009" s="20" t="s">
        <v>15135</v>
      </c>
      <c r="G1009" s="20">
        <v>32210004</v>
      </c>
      <c r="H1009" s="20" t="s">
        <v>15145</v>
      </c>
      <c r="I1009" s="20" t="b">
        <v>1</v>
      </c>
      <c r="J1009" s="20" t="s">
        <v>17865</v>
      </c>
      <c r="K1009" s="20">
        <v>80506</v>
      </c>
      <c r="L1009" s="20" t="s">
        <v>17715</v>
      </c>
      <c r="M1009" s="20" t="s">
        <v>17866</v>
      </c>
    </row>
    <row r="1010" spans="1:13" x14ac:dyDescent="0.25">
      <c r="A1010" s="20">
        <v>80506</v>
      </c>
      <c r="B1010" s="20" t="s">
        <v>16078</v>
      </c>
      <c r="C1010" s="20">
        <v>80506</v>
      </c>
      <c r="D1010" s="20" t="e">
        <f>VLOOKUP(C1010,[1]CHILDCARE_FACILITIES!AJ:AK,2,0)</f>
        <v>#N/A</v>
      </c>
      <c r="E1010" s="20" t="s">
        <v>15134</v>
      </c>
      <c r="F1010" s="20" t="s">
        <v>15135</v>
      </c>
      <c r="G1010" s="20">
        <v>32210004</v>
      </c>
      <c r="H1010" s="20" t="s">
        <v>15138</v>
      </c>
      <c r="I1010" s="20" t="b">
        <v>1</v>
      </c>
      <c r="J1010" s="20" t="s">
        <v>17719</v>
      </c>
      <c r="K1010" s="20">
        <v>80506</v>
      </c>
      <c r="L1010" s="20" t="s">
        <v>17715</v>
      </c>
      <c r="M1010" s="20" t="s">
        <v>17720</v>
      </c>
    </row>
    <row r="1011" spans="1:13" x14ac:dyDescent="0.25">
      <c r="A1011" s="20">
        <v>1000325</v>
      </c>
      <c r="B1011" s="20" t="s">
        <v>17135</v>
      </c>
      <c r="C1011" s="20">
        <v>1000325</v>
      </c>
      <c r="D1011" s="20" t="e">
        <f>VLOOKUP(C1011,[1]CHILDCARE_FACILITIES!AJ:AK,2,0)</f>
        <v>#N/A</v>
      </c>
      <c r="E1011" s="20" t="s">
        <v>15134</v>
      </c>
      <c r="F1011" s="20" t="s">
        <v>15135</v>
      </c>
      <c r="G1011" s="20">
        <v>73360001</v>
      </c>
      <c r="H1011" s="20" t="s">
        <v>15136</v>
      </c>
      <c r="I1011" s="20" t="b">
        <v>1</v>
      </c>
      <c r="J1011" s="20" t="s">
        <v>17963</v>
      </c>
      <c r="K1011" s="20">
        <v>1000325</v>
      </c>
      <c r="L1011" s="20" t="s">
        <v>17964</v>
      </c>
      <c r="M1011" s="20" t="s">
        <v>17534</v>
      </c>
    </row>
    <row r="1012" spans="1:13" x14ac:dyDescent="0.25">
      <c r="A1012" s="20">
        <v>1000325</v>
      </c>
      <c r="B1012" s="20" t="s">
        <v>17135</v>
      </c>
      <c r="C1012" s="20">
        <v>1000325</v>
      </c>
      <c r="D1012" s="20" t="e">
        <f>VLOOKUP(C1012,[1]CHILDCARE_FACILITIES!AJ:AK,2,0)</f>
        <v>#N/A</v>
      </c>
      <c r="E1012" s="20" t="s">
        <v>15134</v>
      </c>
      <c r="F1012" s="20" t="s">
        <v>15135</v>
      </c>
      <c r="G1012" s="20">
        <v>73360001</v>
      </c>
      <c r="H1012" s="20" t="s">
        <v>15138</v>
      </c>
      <c r="I1012" s="20" t="b">
        <v>1</v>
      </c>
      <c r="J1012" s="20" t="s">
        <v>17963</v>
      </c>
      <c r="K1012" s="20">
        <v>1000325</v>
      </c>
      <c r="L1012" s="20" t="s">
        <v>17964</v>
      </c>
      <c r="M1012" s="20" t="s">
        <v>17534</v>
      </c>
    </row>
    <row r="1013" spans="1:13" x14ac:dyDescent="0.25">
      <c r="A1013" s="20">
        <v>92806</v>
      </c>
      <c r="B1013" s="20" t="s">
        <v>16933</v>
      </c>
      <c r="C1013" s="20">
        <v>92806</v>
      </c>
      <c r="D1013" s="20" t="e">
        <f>VLOOKUP(C1013,[1]CHILDCARE_FACILITIES!AJ:AK,2,0)</f>
        <v>#N/A</v>
      </c>
      <c r="E1013" s="20" t="s">
        <v>15134</v>
      </c>
      <c r="F1013" s="20" t="s">
        <v>15135</v>
      </c>
      <c r="G1013" s="20">
        <v>72452001</v>
      </c>
      <c r="H1013" s="20" t="s">
        <v>15138</v>
      </c>
      <c r="I1013" s="20" t="b">
        <v>1</v>
      </c>
      <c r="J1013" s="20" t="s">
        <v>17965</v>
      </c>
      <c r="K1013" s="20">
        <v>92806</v>
      </c>
      <c r="L1013" s="20" t="s">
        <v>17236</v>
      </c>
      <c r="M1013" s="20" t="s">
        <v>17966</v>
      </c>
    </row>
    <row r="1014" spans="1:13" x14ac:dyDescent="0.25">
      <c r="A1014" s="20">
        <v>92806</v>
      </c>
      <c r="B1014" s="20" t="s">
        <v>16933</v>
      </c>
      <c r="C1014" s="20">
        <v>92806</v>
      </c>
      <c r="D1014" s="20" t="e">
        <f>VLOOKUP(C1014,[1]CHILDCARE_FACILITIES!AJ:AK,2,0)</f>
        <v>#N/A</v>
      </c>
      <c r="E1014" s="20" t="s">
        <v>15134</v>
      </c>
      <c r="F1014" s="20" t="s">
        <v>15135</v>
      </c>
      <c r="G1014" s="20">
        <v>72452001</v>
      </c>
      <c r="H1014" s="20" t="s">
        <v>15136</v>
      </c>
      <c r="I1014" s="20" t="b">
        <v>1</v>
      </c>
      <c r="J1014" s="20" t="s">
        <v>17965</v>
      </c>
      <c r="K1014" s="20">
        <v>92806</v>
      </c>
      <c r="L1014" s="20" t="s">
        <v>17236</v>
      </c>
      <c r="M1014" s="20" t="s">
        <v>17966</v>
      </c>
    </row>
    <row r="1015" spans="1:13" x14ac:dyDescent="0.25">
      <c r="A1015" s="20">
        <v>92805</v>
      </c>
      <c r="B1015" s="20" t="s">
        <v>16931</v>
      </c>
      <c r="C1015" s="20">
        <v>92805</v>
      </c>
      <c r="D1015" s="20" t="e">
        <f>VLOOKUP(C1015,[1]CHILDCARE_FACILITIES!AJ:AK,2,0)</f>
        <v>#N/A</v>
      </c>
      <c r="E1015" s="20" t="s">
        <v>15134</v>
      </c>
      <c r="F1015" s="20" t="s">
        <v>15135</v>
      </c>
      <c r="G1015" s="20">
        <v>72452000</v>
      </c>
      <c r="H1015" s="20" t="s">
        <v>15136</v>
      </c>
      <c r="I1015" s="20" t="b">
        <v>1</v>
      </c>
      <c r="J1015" s="20" t="s">
        <v>17967</v>
      </c>
      <c r="K1015" s="20">
        <v>92805</v>
      </c>
      <c r="L1015" s="20" t="s">
        <v>17236</v>
      </c>
      <c r="M1015" s="20" t="s">
        <v>17968</v>
      </c>
    </row>
    <row r="1016" spans="1:13" x14ac:dyDescent="0.25">
      <c r="A1016" s="20">
        <v>92805</v>
      </c>
      <c r="B1016" s="20" t="s">
        <v>16931</v>
      </c>
      <c r="C1016" s="20">
        <v>92805</v>
      </c>
      <c r="D1016" s="20" t="e">
        <f>VLOOKUP(C1016,[1]CHILDCARE_FACILITIES!AJ:AK,2,0)</f>
        <v>#N/A</v>
      </c>
      <c r="E1016" s="20" t="s">
        <v>15134</v>
      </c>
      <c r="F1016" s="20" t="s">
        <v>15135</v>
      </c>
      <c r="G1016" s="20">
        <v>72452000</v>
      </c>
      <c r="H1016" s="20" t="s">
        <v>15138</v>
      </c>
      <c r="I1016" s="20" t="b">
        <v>1</v>
      </c>
      <c r="J1016" s="20" t="s">
        <v>17967</v>
      </c>
      <c r="K1016" s="20">
        <v>92805</v>
      </c>
      <c r="L1016" s="20" t="s">
        <v>17236</v>
      </c>
      <c r="M1016" s="20" t="s">
        <v>17968</v>
      </c>
    </row>
    <row r="1017" spans="1:13" x14ac:dyDescent="0.25">
      <c r="A1017" s="20">
        <v>91332</v>
      </c>
      <c r="B1017" s="20" t="s">
        <v>16775</v>
      </c>
      <c r="C1017" s="20">
        <v>91332</v>
      </c>
      <c r="D1017" s="20" t="e">
        <f>VLOOKUP(C1017,[1]CHILDCARE_FACILITIES!AJ:AK,2,0)</f>
        <v>#N/A</v>
      </c>
      <c r="E1017" s="20" t="s">
        <v>15134</v>
      </c>
      <c r="F1017" s="20" t="s">
        <v>15135</v>
      </c>
      <c r="G1017" s="20">
        <v>73214031</v>
      </c>
      <c r="H1017" s="20" t="s">
        <v>15138</v>
      </c>
      <c r="I1017" s="20" t="b">
        <v>1</v>
      </c>
      <c r="J1017" s="20" t="s">
        <v>17969</v>
      </c>
      <c r="K1017" s="20">
        <v>91332</v>
      </c>
      <c r="L1017" s="20" t="s">
        <v>17223</v>
      </c>
      <c r="M1017" s="20" t="s">
        <v>17970</v>
      </c>
    </row>
    <row r="1018" spans="1:13" x14ac:dyDescent="0.25">
      <c r="A1018" s="20">
        <v>91332</v>
      </c>
      <c r="B1018" s="20" t="s">
        <v>16775</v>
      </c>
      <c r="C1018" s="20">
        <v>91332</v>
      </c>
      <c r="D1018" s="20" t="e">
        <f>VLOOKUP(C1018,[1]CHILDCARE_FACILITIES!AJ:AK,2,0)</f>
        <v>#N/A</v>
      </c>
      <c r="E1018" s="20" t="s">
        <v>15134</v>
      </c>
      <c r="F1018" s="20" t="s">
        <v>15135</v>
      </c>
      <c r="G1018" s="20">
        <v>73214031</v>
      </c>
      <c r="H1018" s="20" t="s">
        <v>15145</v>
      </c>
      <c r="I1018" s="20" t="b">
        <v>1</v>
      </c>
      <c r="J1018" s="20" t="s">
        <v>17969</v>
      </c>
      <c r="K1018" s="20">
        <v>91332</v>
      </c>
      <c r="L1018" s="20" t="s">
        <v>17223</v>
      </c>
      <c r="M1018" s="20" t="s">
        <v>17970</v>
      </c>
    </row>
    <row r="1019" spans="1:13" x14ac:dyDescent="0.25">
      <c r="A1019" s="20">
        <v>92862</v>
      </c>
      <c r="B1019" s="20" t="s">
        <v>16941</v>
      </c>
      <c r="C1019" s="20">
        <v>92862</v>
      </c>
      <c r="D1019" s="20" t="e">
        <f>VLOOKUP(C1019,[1]CHILDCARE_FACILITIES!AJ:AK,2,0)</f>
        <v>#N/A</v>
      </c>
      <c r="E1019" s="20" t="s">
        <v>15134</v>
      </c>
      <c r="F1019" s="20" t="s">
        <v>15135</v>
      </c>
      <c r="G1019" s="20">
        <v>73214035</v>
      </c>
      <c r="H1019" s="20" t="s">
        <v>15138</v>
      </c>
      <c r="I1019" s="20" t="b">
        <v>1</v>
      </c>
      <c r="J1019" s="20" t="s">
        <v>17971</v>
      </c>
      <c r="K1019" s="20">
        <v>92862</v>
      </c>
      <c r="L1019" s="20" t="s">
        <v>17239</v>
      </c>
      <c r="M1019" s="20" t="s">
        <v>17972</v>
      </c>
    </row>
    <row r="1020" spans="1:13" x14ac:dyDescent="0.25">
      <c r="A1020" s="20">
        <v>84187</v>
      </c>
      <c r="B1020" s="20" t="s">
        <v>16264</v>
      </c>
      <c r="C1020" s="20">
        <v>84187</v>
      </c>
      <c r="D1020" s="20" t="e">
        <f>VLOOKUP(C1020,[1]CHILDCARE_FACILITIES!AJ:AK,2,0)</f>
        <v>#N/A</v>
      </c>
      <c r="E1020" s="20" t="s">
        <v>15134</v>
      </c>
      <c r="F1020" s="20" t="s">
        <v>15135</v>
      </c>
      <c r="G1020" s="20">
        <v>73214017</v>
      </c>
      <c r="H1020" s="20" t="s">
        <v>15138</v>
      </c>
      <c r="I1020" s="20" t="b">
        <v>1</v>
      </c>
      <c r="J1020" s="20" t="s">
        <v>17973</v>
      </c>
      <c r="K1020" s="20">
        <v>84187</v>
      </c>
      <c r="L1020" s="20" t="s">
        <v>17239</v>
      </c>
      <c r="M1020" s="20" t="s">
        <v>17974</v>
      </c>
    </row>
    <row r="1021" spans="1:13" x14ac:dyDescent="0.25">
      <c r="A1021" s="20">
        <v>84187</v>
      </c>
      <c r="B1021" s="20" t="s">
        <v>16264</v>
      </c>
      <c r="C1021" s="20">
        <v>84187</v>
      </c>
      <c r="D1021" s="20" t="e">
        <f>VLOOKUP(C1021,[1]CHILDCARE_FACILITIES!AJ:AK,2,0)</f>
        <v>#N/A</v>
      </c>
      <c r="E1021" s="20" t="s">
        <v>15134</v>
      </c>
      <c r="F1021" s="20" t="s">
        <v>15135</v>
      </c>
      <c r="G1021" s="20">
        <v>73214017</v>
      </c>
      <c r="H1021" s="20" t="s">
        <v>15145</v>
      </c>
      <c r="I1021" s="20" t="b">
        <v>1</v>
      </c>
      <c r="J1021" s="20" t="s">
        <v>17973</v>
      </c>
      <c r="K1021" s="20">
        <v>84187</v>
      </c>
      <c r="L1021" s="20" t="s">
        <v>17239</v>
      </c>
      <c r="M1021" s="20" t="s">
        <v>17974</v>
      </c>
    </row>
    <row r="1022" spans="1:13" x14ac:dyDescent="0.25">
      <c r="A1022" s="20">
        <v>91333</v>
      </c>
      <c r="B1022" s="20" t="s">
        <v>16776</v>
      </c>
      <c r="C1022" s="20">
        <v>91333</v>
      </c>
      <c r="D1022" s="20" t="str">
        <f>VLOOKUP(C1022,[1]CHILDCARE_FACILITIES!AJ:AK,2,0)</f>
        <v>CDC-12399</v>
      </c>
      <c r="E1022" s="20" t="s">
        <v>15134</v>
      </c>
      <c r="F1022" s="20" t="s">
        <v>15135</v>
      </c>
      <c r="G1022" s="20">
        <v>73214032</v>
      </c>
      <c r="H1022" s="20" t="s">
        <v>15138</v>
      </c>
      <c r="I1022" s="20" t="b">
        <v>1</v>
      </c>
      <c r="J1022" s="20" t="s">
        <v>17975</v>
      </c>
      <c r="K1022" s="20">
        <v>91333</v>
      </c>
      <c r="L1022" s="20" t="s">
        <v>17216</v>
      </c>
      <c r="M1022" s="20" t="s">
        <v>17976</v>
      </c>
    </row>
    <row r="1023" spans="1:13" x14ac:dyDescent="0.25">
      <c r="A1023" s="20">
        <v>91333</v>
      </c>
      <c r="B1023" s="20" t="s">
        <v>16776</v>
      </c>
      <c r="C1023" s="20">
        <v>91333</v>
      </c>
      <c r="D1023" s="20" t="str">
        <f>VLOOKUP(C1023,[1]CHILDCARE_FACILITIES!AJ:AK,2,0)</f>
        <v>CDC-12399</v>
      </c>
      <c r="E1023" s="20" t="s">
        <v>15134</v>
      </c>
      <c r="F1023" s="20" t="s">
        <v>15135</v>
      </c>
      <c r="G1023" s="20">
        <v>73214032</v>
      </c>
      <c r="H1023" s="20" t="s">
        <v>15145</v>
      </c>
      <c r="I1023" s="20" t="b">
        <v>1</v>
      </c>
      <c r="J1023" s="20" t="s">
        <v>17975</v>
      </c>
      <c r="K1023" s="20">
        <v>91333</v>
      </c>
      <c r="L1023" s="20" t="s">
        <v>17216</v>
      </c>
      <c r="M1023" s="20" t="s">
        <v>17976</v>
      </c>
    </row>
    <row r="1024" spans="1:13" x14ac:dyDescent="0.25">
      <c r="A1024" s="20">
        <v>84189</v>
      </c>
      <c r="B1024" s="20" t="s">
        <v>16266</v>
      </c>
      <c r="C1024" s="20">
        <v>84189</v>
      </c>
      <c r="D1024" s="20" t="str">
        <f>VLOOKUP(C1024,[1]CHILDCARE_FACILITIES!AJ:AK,2,0)</f>
        <v>CDC-13015</v>
      </c>
      <c r="E1024" s="20" t="s">
        <v>15134</v>
      </c>
      <c r="F1024" s="20" t="s">
        <v>15135</v>
      </c>
      <c r="G1024" s="20">
        <v>73214015</v>
      </c>
      <c r="H1024" s="20" t="s">
        <v>15138</v>
      </c>
      <c r="I1024" s="20" t="b">
        <v>1</v>
      </c>
      <c r="J1024" s="20" t="s">
        <v>17977</v>
      </c>
      <c r="K1024" s="20">
        <v>84189</v>
      </c>
      <c r="L1024" s="20" t="s">
        <v>17271</v>
      </c>
      <c r="M1024" s="20" t="s">
        <v>17978</v>
      </c>
    </row>
    <row r="1025" spans="1:13" x14ac:dyDescent="0.25">
      <c r="A1025" s="20">
        <v>84189</v>
      </c>
      <c r="B1025" s="20" t="s">
        <v>16266</v>
      </c>
      <c r="C1025" s="20">
        <v>84189</v>
      </c>
      <c r="D1025" s="20" t="str">
        <f>VLOOKUP(C1025,[1]CHILDCARE_FACILITIES!AJ:AK,2,0)</f>
        <v>CDC-13015</v>
      </c>
      <c r="E1025" s="20" t="s">
        <v>15134</v>
      </c>
      <c r="F1025" s="20" t="s">
        <v>15135</v>
      </c>
      <c r="G1025" s="20">
        <v>73214015</v>
      </c>
      <c r="H1025" s="20" t="s">
        <v>15145</v>
      </c>
      <c r="I1025" s="20" t="b">
        <v>1</v>
      </c>
      <c r="J1025" s="20" t="s">
        <v>17977</v>
      </c>
      <c r="K1025" s="20">
        <v>84189</v>
      </c>
      <c r="L1025" s="20" t="s">
        <v>17271</v>
      </c>
      <c r="M1025" s="20" t="s">
        <v>17978</v>
      </c>
    </row>
    <row r="1026" spans="1:13" x14ac:dyDescent="0.25">
      <c r="A1026" s="20">
        <v>84190</v>
      </c>
      <c r="B1026" s="20" t="s">
        <v>16268</v>
      </c>
      <c r="C1026" s="20">
        <v>84190</v>
      </c>
      <c r="D1026" s="20" t="str">
        <f>VLOOKUP(C1026,[1]CHILDCARE_FACILITIES!AJ:AK,2,0)</f>
        <v>CDC-12424</v>
      </c>
      <c r="E1026" s="20" t="s">
        <v>15134</v>
      </c>
      <c r="F1026" s="20" t="s">
        <v>15135</v>
      </c>
      <c r="G1026" s="20">
        <v>73214014</v>
      </c>
      <c r="H1026" s="20" t="s">
        <v>15138</v>
      </c>
      <c r="I1026" s="20" t="b">
        <v>1</v>
      </c>
      <c r="J1026" s="20" t="s">
        <v>17979</v>
      </c>
      <c r="K1026" s="20">
        <v>84190</v>
      </c>
      <c r="L1026" s="20" t="s">
        <v>17980</v>
      </c>
      <c r="M1026" s="20" t="s">
        <v>17981</v>
      </c>
    </row>
    <row r="1027" spans="1:13" x14ac:dyDescent="0.25">
      <c r="A1027" s="20">
        <v>84190</v>
      </c>
      <c r="B1027" s="20" t="s">
        <v>16268</v>
      </c>
      <c r="C1027" s="20">
        <v>84190</v>
      </c>
      <c r="D1027" s="20" t="str">
        <f>VLOOKUP(C1027,[1]CHILDCARE_FACILITIES!AJ:AK,2,0)</f>
        <v>CDC-12424</v>
      </c>
      <c r="E1027" s="20" t="s">
        <v>15134</v>
      </c>
      <c r="F1027" s="20" t="s">
        <v>15135</v>
      </c>
      <c r="G1027" s="20">
        <v>73214014</v>
      </c>
      <c r="H1027" s="20" t="s">
        <v>15145</v>
      </c>
      <c r="I1027" s="20" t="b">
        <v>1</v>
      </c>
      <c r="J1027" s="20" t="s">
        <v>17979</v>
      </c>
      <c r="K1027" s="20">
        <v>84190</v>
      </c>
      <c r="L1027" s="20" t="s">
        <v>17980</v>
      </c>
      <c r="M1027" s="20" t="s">
        <v>17981</v>
      </c>
    </row>
    <row r="1028" spans="1:13" x14ac:dyDescent="0.25">
      <c r="A1028" s="20">
        <v>92680</v>
      </c>
      <c r="B1028" s="20" t="s">
        <v>16890</v>
      </c>
      <c r="C1028" s="20">
        <v>92680</v>
      </c>
      <c r="D1028" s="20" t="str">
        <f>VLOOKUP(C1028,[1]CHILDCARE_FACILITIES!AJ:AK,2,0)</f>
        <v>CDC-12998</v>
      </c>
      <c r="E1028" s="20" t="s">
        <v>15134</v>
      </c>
      <c r="F1028" s="20" t="s">
        <v>15135</v>
      </c>
      <c r="G1028" s="20">
        <v>73214034</v>
      </c>
      <c r="K1028" s="20">
        <v>92680</v>
      </c>
    </row>
    <row r="1029" spans="1:13" x14ac:dyDescent="0.25">
      <c r="A1029" s="20">
        <v>80617</v>
      </c>
      <c r="B1029" s="20" t="s">
        <v>16141</v>
      </c>
      <c r="C1029" s="20">
        <v>80617</v>
      </c>
      <c r="D1029" s="20" t="e">
        <f>VLOOKUP(C1029,[1]CHILDCARE_FACILITIES!AJ:AK,2,0)</f>
        <v>#N/A</v>
      </c>
      <c r="E1029" s="20" t="s">
        <v>15134</v>
      </c>
      <c r="F1029" s="20" t="s">
        <v>15135</v>
      </c>
      <c r="G1029" s="20">
        <v>73214011</v>
      </c>
      <c r="H1029" s="20" t="s">
        <v>15138</v>
      </c>
      <c r="I1029" s="20" t="b">
        <v>1</v>
      </c>
      <c r="J1029" s="20" t="s">
        <v>17982</v>
      </c>
      <c r="K1029" s="20">
        <v>80617</v>
      </c>
      <c r="L1029" s="20" t="s">
        <v>17213</v>
      </c>
      <c r="M1029" s="20" t="s">
        <v>17983</v>
      </c>
    </row>
    <row r="1030" spans="1:13" x14ac:dyDescent="0.25">
      <c r="A1030" s="20">
        <v>80617</v>
      </c>
      <c r="B1030" s="20" t="s">
        <v>16141</v>
      </c>
      <c r="C1030" s="20">
        <v>80617</v>
      </c>
      <c r="D1030" s="20" t="e">
        <f>VLOOKUP(C1030,[1]CHILDCARE_FACILITIES!AJ:AK,2,0)</f>
        <v>#N/A</v>
      </c>
      <c r="E1030" s="20" t="s">
        <v>15134</v>
      </c>
      <c r="F1030" s="20" t="s">
        <v>15135</v>
      </c>
      <c r="G1030" s="20">
        <v>73214011</v>
      </c>
      <c r="H1030" s="20" t="s">
        <v>15145</v>
      </c>
      <c r="I1030" s="20" t="b">
        <v>1</v>
      </c>
      <c r="J1030" s="20" t="s">
        <v>17982</v>
      </c>
      <c r="K1030" s="20">
        <v>80617</v>
      </c>
      <c r="L1030" s="20" t="s">
        <v>17213</v>
      </c>
      <c r="M1030" s="20" t="s">
        <v>17983</v>
      </c>
    </row>
    <row r="1031" spans="1:13" x14ac:dyDescent="0.25">
      <c r="A1031" s="20">
        <v>80618</v>
      </c>
      <c r="B1031" s="20" t="s">
        <v>16143</v>
      </c>
      <c r="C1031" s="20">
        <v>80618</v>
      </c>
      <c r="D1031" s="20" t="e">
        <f>VLOOKUP(C1031,[1]CHILDCARE_FACILITIES!AJ:AK,2,0)</f>
        <v>#N/A</v>
      </c>
      <c r="E1031" s="20" t="s">
        <v>15134</v>
      </c>
      <c r="F1031" s="20" t="s">
        <v>15135</v>
      </c>
      <c r="G1031" s="20">
        <v>73214012</v>
      </c>
      <c r="H1031" s="20" t="s">
        <v>15138</v>
      </c>
      <c r="I1031" s="20" t="b">
        <v>1</v>
      </c>
      <c r="J1031" s="20" t="s">
        <v>17984</v>
      </c>
      <c r="K1031" s="20">
        <v>80618</v>
      </c>
      <c r="L1031" s="20" t="s">
        <v>17233</v>
      </c>
      <c r="M1031" s="20" t="s">
        <v>17985</v>
      </c>
    </row>
    <row r="1032" spans="1:13" x14ac:dyDescent="0.25">
      <c r="A1032" s="20">
        <v>80618</v>
      </c>
      <c r="B1032" s="20" t="s">
        <v>16143</v>
      </c>
      <c r="C1032" s="20">
        <v>80618</v>
      </c>
      <c r="D1032" s="20" t="e">
        <f>VLOOKUP(C1032,[1]CHILDCARE_FACILITIES!AJ:AK,2,0)</f>
        <v>#N/A</v>
      </c>
      <c r="E1032" s="20" t="s">
        <v>15134</v>
      </c>
      <c r="F1032" s="20" t="s">
        <v>15135</v>
      </c>
      <c r="G1032" s="20">
        <v>73214012</v>
      </c>
      <c r="H1032" s="20" t="s">
        <v>15145</v>
      </c>
      <c r="I1032" s="20" t="b">
        <v>1</v>
      </c>
      <c r="J1032" s="20" t="s">
        <v>17984</v>
      </c>
      <c r="K1032" s="20">
        <v>80618</v>
      </c>
      <c r="L1032" s="20" t="s">
        <v>17233</v>
      </c>
      <c r="M1032" s="20" t="s">
        <v>17985</v>
      </c>
    </row>
    <row r="1033" spans="1:13" x14ac:dyDescent="0.25">
      <c r="A1033" s="20">
        <v>87912</v>
      </c>
      <c r="B1033" s="20" t="s">
        <v>16353</v>
      </c>
      <c r="C1033" s="20">
        <v>87912</v>
      </c>
      <c r="D1033" s="20" t="e">
        <f>VLOOKUP(C1033,[1]CHILDCARE_FACILITIES!AJ:AK,2,0)</f>
        <v>#N/A</v>
      </c>
      <c r="E1033" s="20" t="s">
        <v>15134</v>
      </c>
      <c r="F1033" s="20" t="s">
        <v>15135</v>
      </c>
      <c r="G1033" s="20">
        <v>73214020</v>
      </c>
      <c r="H1033" s="20" t="s">
        <v>15138</v>
      </c>
      <c r="I1033" s="20" t="b">
        <v>1</v>
      </c>
      <c r="J1033" s="20" t="s">
        <v>17986</v>
      </c>
      <c r="K1033" s="20">
        <v>87912</v>
      </c>
      <c r="L1033" s="20" t="s">
        <v>17216</v>
      </c>
      <c r="M1033" s="20" t="s">
        <v>17987</v>
      </c>
    </row>
    <row r="1034" spans="1:13" x14ac:dyDescent="0.25">
      <c r="A1034" s="20">
        <v>87912</v>
      </c>
      <c r="B1034" s="20" t="s">
        <v>16353</v>
      </c>
      <c r="C1034" s="20">
        <v>87912</v>
      </c>
      <c r="D1034" s="20" t="e">
        <f>VLOOKUP(C1034,[1]CHILDCARE_FACILITIES!AJ:AK,2,0)</f>
        <v>#N/A</v>
      </c>
      <c r="E1034" s="20" t="s">
        <v>15134</v>
      </c>
      <c r="F1034" s="20" t="s">
        <v>15135</v>
      </c>
      <c r="G1034" s="20">
        <v>73214020</v>
      </c>
      <c r="H1034" s="20" t="s">
        <v>15145</v>
      </c>
      <c r="I1034" s="20" t="b">
        <v>1</v>
      </c>
      <c r="J1034" s="20" t="s">
        <v>17986</v>
      </c>
      <c r="K1034" s="20">
        <v>87912</v>
      </c>
      <c r="L1034" s="20" t="s">
        <v>17216</v>
      </c>
      <c r="M1034" s="20" t="s">
        <v>17987</v>
      </c>
    </row>
    <row r="1035" spans="1:13" x14ac:dyDescent="0.25">
      <c r="A1035" s="20">
        <v>80619</v>
      </c>
      <c r="B1035" s="20" t="s">
        <v>16145</v>
      </c>
      <c r="C1035" s="20">
        <v>80619</v>
      </c>
      <c r="D1035" s="20" t="e">
        <f>VLOOKUP(C1035,[1]CHILDCARE_FACILITIES!AJ:AK,2,0)</f>
        <v>#N/A</v>
      </c>
      <c r="E1035" s="20" t="s">
        <v>15134</v>
      </c>
      <c r="F1035" s="20" t="s">
        <v>15135</v>
      </c>
      <c r="G1035" s="20">
        <v>73214013</v>
      </c>
      <c r="H1035" s="20" t="s">
        <v>15138</v>
      </c>
      <c r="I1035" s="20" t="b">
        <v>1</v>
      </c>
      <c r="J1035" s="20" t="s">
        <v>17988</v>
      </c>
      <c r="K1035" s="20">
        <v>80619</v>
      </c>
      <c r="L1035" s="20" t="s">
        <v>17271</v>
      </c>
      <c r="M1035" s="20" t="s">
        <v>17989</v>
      </c>
    </row>
    <row r="1036" spans="1:13" x14ac:dyDescent="0.25">
      <c r="A1036" s="20">
        <v>80619</v>
      </c>
      <c r="B1036" s="20" t="s">
        <v>16145</v>
      </c>
      <c r="C1036" s="20">
        <v>80619</v>
      </c>
      <c r="D1036" s="20" t="e">
        <f>VLOOKUP(C1036,[1]CHILDCARE_FACILITIES!AJ:AK,2,0)</f>
        <v>#N/A</v>
      </c>
      <c r="E1036" s="20" t="s">
        <v>15134</v>
      </c>
      <c r="F1036" s="20" t="s">
        <v>15135</v>
      </c>
      <c r="G1036" s="20">
        <v>73214013</v>
      </c>
      <c r="H1036" s="20" t="s">
        <v>15145</v>
      </c>
      <c r="I1036" s="20" t="b">
        <v>1</v>
      </c>
      <c r="J1036" s="20" t="s">
        <v>17988</v>
      </c>
      <c r="K1036" s="20">
        <v>80619</v>
      </c>
      <c r="L1036" s="20" t="s">
        <v>17271</v>
      </c>
      <c r="M1036" s="20" t="s">
        <v>17989</v>
      </c>
    </row>
    <row r="1037" spans="1:13" x14ac:dyDescent="0.25">
      <c r="A1037" s="20">
        <v>89724</v>
      </c>
      <c r="B1037" s="20" t="s">
        <v>16438</v>
      </c>
      <c r="C1037" s="20">
        <v>89724</v>
      </c>
      <c r="D1037" s="20" t="str">
        <f>VLOOKUP(C1037,[1]CHILDCARE_FACILITIES!AJ:AK,2,0)</f>
        <v>CDC-8575</v>
      </c>
      <c r="E1037" s="20" t="s">
        <v>15134</v>
      </c>
      <c r="F1037" s="20" t="s">
        <v>15135</v>
      </c>
      <c r="G1037" s="20">
        <v>73214024</v>
      </c>
      <c r="H1037" s="20" t="s">
        <v>15145</v>
      </c>
      <c r="I1037" s="20" t="b">
        <v>1</v>
      </c>
      <c r="J1037" s="20" t="s">
        <v>17990</v>
      </c>
      <c r="K1037" s="20">
        <v>89724</v>
      </c>
      <c r="L1037" s="20" t="s">
        <v>17271</v>
      </c>
      <c r="M1037" s="20" t="s">
        <v>17991</v>
      </c>
    </row>
    <row r="1038" spans="1:13" x14ac:dyDescent="0.25">
      <c r="A1038" s="20">
        <v>89724</v>
      </c>
      <c r="B1038" s="20" t="s">
        <v>16438</v>
      </c>
      <c r="C1038" s="20">
        <v>89724</v>
      </c>
      <c r="D1038" s="20" t="str">
        <f>VLOOKUP(C1038,[1]CHILDCARE_FACILITIES!AJ:AK,2,0)</f>
        <v>CDC-8575</v>
      </c>
      <c r="E1038" s="20" t="s">
        <v>15134</v>
      </c>
      <c r="F1038" s="20" t="s">
        <v>15135</v>
      </c>
      <c r="G1038" s="20">
        <v>73214024</v>
      </c>
      <c r="H1038" s="20" t="s">
        <v>15138</v>
      </c>
      <c r="I1038" s="20" t="b">
        <v>1</v>
      </c>
      <c r="J1038" s="20" t="s">
        <v>17990</v>
      </c>
      <c r="K1038" s="20">
        <v>89724</v>
      </c>
      <c r="L1038" s="20" t="s">
        <v>17271</v>
      </c>
      <c r="M1038" s="20" t="s">
        <v>17991</v>
      </c>
    </row>
    <row r="1039" spans="1:13" x14ac:dyDescent="0.25">
      <c r="A1039" s="20">
        <v>89727</v>
      </c>
      <c r="B1039" s="20" t="s">
        <v>16440</v>
      </c>
      <c r="C1039" s="20">
        <v>89727</v>
      </c>
      <c r="D1039" s="20" t="e">
        <f>VLOOKUP(C1039,[1]CHILDCARE_FACILITIES!AJ:AK,2,0)</f>
        <v>#N/A</v>
      </c>
      <c r="E1039" s="20" t="s">
        <v>15134</v>
      </c>
      <c r="F1039" s="20" t="s">
        <v>15135</v>
      </c>
      <c r="G1039" s="20">
        <v>73214027</v>
      </c>
      <c r="H1039" s="20" t="s">
        <v>15145</v>
      </c>
      <c r="I1039" s="20" t="b">
        <v>0</v>
      </c>
      <c r="J1039" s="20" t="s">
        <v>17992</v>
      </c>
      <c r="K1039" s="20">
        <v>89727</v>
      </c>
      <c r="L1039" s="20" t="s">
        <v>17282</v>
      </c>
      <c r="M1039" s="20" t="s">
        <v>17651</v>
      </c>
    </row>
    <row r="1040" spans="1:13" x14ac:dyDescent="0.25">
      <c r="A1040" s="20">
        <v>89727</v>
      </c>
      <c r="B1040" s="20" t="s">
        <v>16440</v>
      </c>
      <c r="C1040" s="20">
        <v>89727</v>
      </c>
      <c r="D1040" s="20" t="e">
        <f>VLOOKUP(C1040,[1]CHILDCARE_FACILITIES!AJ:AK,2,0)</f>
        <v>#N/A</v>
      </c>
      <c r="E1040" s="20" t="s">
        <v>15134</v>
      </c>
      <c r="F1040" s="20" t="s">
        <v>15135</v>
      </c>
      <c r="G1040" s="20">
        <v>73214027</v>
      </c>
      <c r="H1040" s="20" t="s">
        <v>15138</v>
      </c>
      <c r="I1040" s="20" t="b">
        <v>0</v>
      </c>
      <c r="J1040" s="20" t="s">
        <v>17992</v>
      </c>
      <c r="K1040" s="20">
        <v>89727</v>
      </c>
      <c r="L1040" s="20" t="s">
        <v>17282</v>
      </c>
      <c r="M1040" s="20" t="s">
        <v>17651</v>
      </c>
    </row>
    <row r="1041" spans="1:13" x14ac:dyDescent="0.25">
      <c r="A1041" s="20">
        <v>78763</v>
      </c>
      <c r="B1041" s="20" t="s">
        <v>15886</v>
      </c>
      <c r="C1041" s="20">
        <v>78763</v>
      </c>
      <c r="D1041" s="20" t="e">
        <f>VLOOKUP(C1041,[1]CHILDCARE_FACILITIES!AJ:AK,2,0)</f>
        <v>#N/A</v>
      </c>
      <c r="E1041" s="20" t="s">
        <v>15134</v>
      </c>
      <c r="F1041" s="20" t="s">
        <v>15135</v>
      </c>
      <c r="G1041" s="20">
        <v>103105006</v>
      </c>
      <c r="K1041" s="20">
        <v>78763</v>
      </c>
    </row>
    <row r="1042" spans="1:13" x14ac:dyDescent="0.25">
      <c r="A1042" s="20">
        <v>80577</v>
      </c>
      <c r="B1042" s="20" t="s">
        <v>16125</v>
      </c>
      <c r="C1042" s="20">
        <v>80577</v>
      </c>
      <c r="D1042" s="20" t="e">
        <f>VLOOKUP(C1042,[1]CHILDCARE_FACILITIES!AJ:AK,2,0)</f>
        <v>#N/A</v>
      </c>
      <c r="E1042" s="20" t="s">
        <v>15134</v>
      </c>
      <c r="F1042" s="20" t="s">
        <v>15135</v>
      </c>
      <c r="G1042" s="20">
        <v>103105008</v>
      </c>
      <c r="H1042" s="20" t="s">
        <v>15138</v>
      </c>
      <c r="I1042" s="20" t="b">
        <v>1</v>
      </c>
      <c r="J1042" s="20" t="s">
        <v>17993</v>
      </c>
      <c r="K1042" s="20">
        <v>80577</v>
      </c>
      <c r="L1042" s="20" t="s">
        <v>17213</v>
      </c>
      <c r="M1042" s="20" t="s">
        <v>17994</v>
      </c>
    </row>
    <row r="1043" spans="1:13" x14ac:dyDescent="0.25">
      <c r="A1043" s="20">
        <v>80577</v>
      </c>
      <c r="B1043" s="20" t="s">
        <v>16125</v>
      </c>
      <c r="C1043" s="20">
        <v>80577</v>
      </c>
      <c r="D1043" s="20" t="e">
        <f>VLOOKUP(C1043,[1]CHILDCARE_FACILITIES!AJ:AK,2,0)</f>
        <v>#N/A</v>
      </c>
      <c r="E1043" s="20" t="s">
        <v>15134</v>
      </c>
      <c r="F1043" s="20" t="s">
        <v>15135</v>
      </c>
      <c r="G1043" s="20">
        <v>103105008</v>
      </c>
      <c r="H1043" s="20" t="s">
        <v>15145</v>
      </c>
      <c r="I1043" s="20" t="b">
        <v>1</v>
      </c>
      <c r="J1043" s="20" t="s">
        <v>17993</v>
      </c>
      <c r="K1043" s="20">
        <v>80577</v>
      </c>
      <c r="L1043" s="20" t="s">
        <v>17213</v>
      </c>
      <c r="M1043" s="20" t="s">
        <v>17994</v>
      </c>
    </row>
    <row r="1044" spans="1:13" x14ac:dyDescent="0.25">
      <c r="A1044" s="20">
        <v>80580</v>
      </c>
      <c r="B1044" s="20" t="s">
        <v>16129</v>
      </c>
      <c r="C1044" s="20">
        <v>80580</v>
      </c>
      <c r="D1044" s="20" t="e">
        <f>VLOOKUP(C1044,[1]CHILDCARE_FACILITIES!AJ:AK,2,0)</f>
        <v>#N/A</v>
      </c>
      <c r="E1044" s="20" t="s">
        <v>15134</v>
      </c>
      <c r="F1044" s="20" t="s">
        <v>15135</v>
      </c>
      <c r="G1044" s="20">
        <v>103105011</v>
      </c>
      <c r="H1044" s="20" t="s">
        <v>15138</v>
      </c>
      <c r="I1044" s="20" t="b">
        <v>1</v>
      </c>
      <c r="J1044" s="20" t="s">
        <v>17995</v>
      </c>
      <c r="K1044" s="20">
        <v>80580</v>
      </c>
      <c r="L1044" s="20" t="s">
        <v>17312</v>
      </c>
      <c r="M1044" s="20" t="s">
        <v>17996</v>
      </c>
    </row>
    <row r="1045" spans="1:13" x14ac:dyDescent="0.25">
      <c r="A1045" s="20">
        <v>80580</v>
      </c>
      <c r="B1045" s="20" t="s">
        <v>16129</v>
      </c>
      <c r="C1045" s="20">
        <v>80580</v>
      </c>
      <c r="D1045" s="20" t="e">
        <f>VLOOKUP(C1045,[1]CHILDCARE_FACILITIES!AJ:AK,2,0)</f>
        <v>#N/A</v>
      </c>
      <c r="E1045" s="20" t="s">
        <v>15134</v>
      </c>
      <c r="F1045" s="20" t="s">
        <v>15135</v>
      </c>
      <c r="G1045" s="20">
        <v>103105011</v>
      </c>
      <c r="H1045" s="20" t="s">
        <v>15145</v>
      </c>
      <c r="I1045" s="20" t="b">
        <v>1</v>
      </c>
      <c r="J1045" s="20" t="s">
        <v>17995</v>
      </c>
      <c r="K1045" s="20">
        <v>80580</v>
      </c>
      <c r="L1045" s="20" t="s">
        <v>17312</v>
      </c>
      <c r="M1045" s="20" t="s">
        <v>17996</v>
      </c>
    </row>
    <row r="1046" spans="1:13" x14ac:dyDescent="0.25">
      <c r="A1046" s="20">
        <v>80823</v>
      </c>
      <c r="B1046" s="20" t="s">
        <v>16213</v>
      </c>
      <c r="C1046" s="20">
        <v>80823</v>
      </c>
      <c r="D1046" s="20" t="str">
        <f>VLOOKUP(C1046,[1]CHILDCARE_FACILITIES!AJ:AK,2,0)</f>
        <v>CDC-2098</v>
      </c>
      <c r="E1046" s="20" t="s">
        <v>15134</v>
      </c>
      <c r="F1046" s="20" t="s">
        <v>15135</v>
      </c>
      <c r="G1046" s="20">
        <v>103105012</v>
      </c>
      <c r="H1046" s="20" t="s">
        <v>15145</v>
      </c>
      <c r="I1046" s="20" t="b">
        <v>1</v>
      </c>
      <c r="J1046" s="20" t="s">
        <v>17997</v>
      </c>
      <c r="K1046" s="20">
        <v>80823</v>
      </c>
      <c r="L1046" s="20" t="s">
        <v>17216</v>
      </c>
      <c r="M1046" s="20" t="s">
        <v>17998</v>
      </c>
    </row>
    <row r="1047" spans="1:13" x14ac:dyDescent="0.25">
      <c r="A1047" s="20">
        <v>80823</v>
      </c>
      <c r="B1047" s="20" t="s">
        <v>16213</v>
      </c>
      <c r="C1047" s="20">
        <v>80823</v>
      </c>
      <c r="D1047" s="20" t="str">
        <f>VLOOKUP(C1047,[1]CHILDCARE_FACILITIES!AJ:AK,2,0)</f>
        <v>CDC-2098</v>
      </c>
      <c r="E1047" s="20" t="s">
        <v>15134</v>
      </c>
      <c r="F1047" s="20" t="s">
        <v>15135</v>
      </c>
      <c r="G1047" s="20">
        <v>103105012</v>
      </c>
      <c r="H1047" s="20" t="s">
        <v>15138</v>
      </c>
      <c r="I1047" s="20" t="b">
        <v>1</v>
      </c>
      <c r="J1047" s="20" t="s">
        <v>17997</v>
      </c>
      <c r="K1047" s="20">
        <v>80823</v>
      </c>
      <c r="L1047" s="20" t="s">
        <v>17216</v>
      </c>
      <c r="M1047" s="20" t="s">
        <v>17998</v>
      </c>
    </row>
    <row r="1048" spans="1:13" x14ac:dyDescent="0.25">
      <c r="A1048" s="20">
        <v>80578</v>
      </c>
      <c r="B1048" s="20" t="s">
        <v>16127</v>
      </c>
      <c r="C1048" s="20">
        <v>80578</v>
      </c>
      <c r="D1048" s="20" t="str">
        <f>VLOOKUP(C1048,[1]CHILDCARE_FACILITIES!AJ:AK,2,0)</f>
        <v>CDC-5858</v>
      </c>
      <c r="E1048" s="20" t="s">
        <v>15134</v>
      </c>
      <c r="F1048" s="20" t="s">
        <v>15135</v>
      </c>
      <c r="G1048" s="20">
        <v>103105009</v>
      </c>
      <c r="H1048" s="20" t="s">
        <v>15138</v>
      </c>
      <c r="I1048" s="20" t="b">
        <v>1</v>
      </c>
      <c r="J1048" s="20" t="s">
        <v>17999</v>
      </c>
      <c r="K1048" s="20">
        <v>80578</v>
      </c>
      <c r="L1048" s="20" t="s">
        <v>17213</v>
      </c>
      <c r="M1048" s="20" t="s">
        <v>18000</v>
      </c>
    </row>
    <row r="1049" spans="1:13" x14ac:dyDescent="0.25">
      <c r="A1049" s="20">
        <v>80578</v>
      </c>
      <c r="B1049" s="20" t="s">
        <v>16127</v>
      </c>
      <c r="C1049" s="20">
        <v>80578</v>
      </c>
      <c r="D1049" s="20" t="str">
        <f>VLOOKUP(C1049,[1]CHILDCARE_FACILITIES!AJ:AK,2,0)</f>
        <v>CDC-5858</v>
      </c>
      <c r="E1049" s="20" t="s">
        <v>15134</v>
      </c>
      <c r="F1049" s="20" t="s">
        <v>15135</v>
      </c>
      <c r="G1049" s="20">
        <v>103105009</v>
      </c>
      <c r="H1049" s="20" t="s">
        <v>15145</v>
      </c>
      <c r="I1049" s="20" t="b">
        <v>1</v>
      </c>
      <c r="J1049" s="20" t="s">
        <v>17999</v>
      </c>
      <c r="K1049" s="20">
        <v>80578</v>
      </c>
      <c r="L1049" s="20" t="s">
        <v>17213</v>
      </c>
      <c r="M1049" s="20" t="s">
        <v>18000</v>
      </c>
    </row>
    <row r="1050" spans="1:13" x14ac:dyDescent="0.25">
      <c r="A1050" s="20">
        <v>90058</v>
      </c>
      <c r="B1050" s="20" t="s">
        <v>16516</v>
      </c>
      <c r="C1050" s="20">
        <v>90058</v>
      </c>
      <c r="D1050" s="20" t="str">
        <f>VLOOKUP(C1050,[1]CHILDCARE_FACILITIES!AJ:AK,2,0)</f>
        <v>CDC-1949</v>
      </c>
      <c r="E1050" s="20" t="s">
        <v>15134</v>
      </c>
      <c r="F1050" s="20" t="s">
        <v>15135</v>
      </c>
      <c r="G1050" s="20">
        <v>103105017</v>
      </c>
      <c r="H1050" s="20" t="s">
        <v>15145</v>
      </c>
      <c r="I1050" s="20" t="b">
        <v>0</v>
      </c>
      <c r="J1050" s="20" t="s">
        <v>18001</v>
      </c>
      <c r="K1050" s="20">
        <v>90058</v>
      </c>
      <c r="L1050" s="20" t="s">
        <v>17228</v>
      </c>
      <c r="M1050" s="20" t="s">
        <v>18002</v>
      </c>
    </row>
    <row r="1051" spans="1:13" x14ac:dyDescent="0.25">
      <c r="A1051" s="20">
        <v>90852</v>
      </c>
      <c r="B1051" s="20" t="s">
        <v>16702</v>
      </c>
      <c r="C1051" s="20">
        <v>90852</v>
      </c>
      <c r="D1051" s="20" t="e">
        <f>VLOOKUP(C1051,[1]CHILDCARE_FACILITIES!AJ:AK,2,0)</f>
        <v>#N/A</v>
      </c>
      <c r="E1051" s="20" t="s">
        <v>15134</v>
      </c>
      <c r="F1051" s="20" t="s">
        <v>15135</v>
      </c>
      <c r="G1051" s="20">
        <v>103105020</v>
      </c>
      <c r="H1051" s="20" t="s">
        <v>15145</v>
      </c>
      <c r="I1051" s="20" t="b">
        <v>1</v>
      </c>
      <c r="J1051" s="20" t="s">
        <v>17993</v>
      </c>
      <c r="K1051" s="20">
        <v>90852</v>
      </c>
      <c r="L1051" s="20" t="s">
        <v>17213</v>
      </c>
      <c r="M1051" s="20" t="s">
        <v>17994</v>
      </c>
    </row>
    <row r="1052" spans="1:13" x14ac:dyDescent="0.25">
      <c r="A1052" s="20">
        <v>92293</v>
      </c>
      <c r="B1052" s="20" t="s">
        <v>16845</v>
      </c>
      <c r="C1052" s="20">
        <v>92293</v>
      </c>
      <c r="D1052" s="20" t="e">
        <f>VLOOKUP(C1052,[1]CHILDCARE_FACILITIES!AJ:AK,2,0)</f>
        <v>#N/A</v>
      </c>
      <c r="E1052" s="20" t="s">
        <v>15134</v>
      </c>
      <c r="F1052" s="20" t="s">
        <v>15135</v>
      </c>
      <c r="G1052" s="20">
        <v>103105026</v>
      </c>
      <c r="H1052" s="20" t="s">
        <v>15145</v>
      </c>
      <c r="I1052" s="20" t="b">
        <v>1</v>
      </c>
      <c r="J1052" s="20" t="s">
        <v>17995</v>
      </c>
      <c r="K1052" s="20">
        <v>92293</v>
      </c>
      <c r="L1052" s="20" t="s">
        <v>17312</v>
      </c>
      <c r="M1052" s="20" t="s">
        <v>17996</v>
      </c>
    </row>
    <row r="1053" spans="1:13" x14ac:dyDescent="0.25">
      <c r="A1053" s="20">
        <v>89712</v>
      </c>
      <c r="B1053" s="20" t="s">
        <v>16433</v>
      </c>
      <c r="C1053" s="20">
        <v>89712</v>
      </c>
      <c r="D1053" s="20" t="e">
        <f>VLOOKUP(C1053,[1]CHILDCARE_FACILITIES!AJ:AK,2,0)</f>
        <v>#N/A</v>
      </c>
      <c r="E1053" s="20" t="s">
        <v>15134</v>
      </c>
      <c r="F1053" s="20" t="s">
        <v>15135</v>
      </c>
      <c r="G1053" s="20">
        <v>103105014</v>
      </c>
      <c r="H1053" s="20" t="s">
        <v>15138</v>
      </c>
      <c r="I1053" s="20" t="b">
        <v>1</v>
      </c>
      <c r="J1053" s="20" t="s">
        <v>17999</v>
      </c>
      <c r="K1053" s="20">
        <v>89712</v>
      </c>
      <c r="L1053" s="20" t="s">
        <v>17213</v>
      </c>
      <c r="M1053" s="20" t="s">
        <v>18000</v>
      </c>
    </row>
    <row r="1054" spans="1:13" x14ac:dyDescent="0.25">
      <c r="A1054" s="20">
        <v>89712</v>
      </c>
      <c r="B1054" s="20" t="s">
        <v>16433</v>
      </c>
      <c r="C1054" s="20">
        <v>89712</v>
      </c>
      <c r="D1054" s="20" t="e">
        <f>VLOOKUP(C1054,[1]CHILDCARE_FACILITIES!AJ:AK,2,0)</f>
        <v>#N/A</v>
      </c>
      <c r="E1054" s="20" t="s">
        <v>15134</v>
      </c>
      <c r="F1054" s="20" t="s">
        <v>15135</v>
      </c>
      <c r="G1054" s="20">
        <v>103105014</v>
      </c>
      <c r="H1054" s="20" t="s">
        <v>15145</v>
      </c>
      <c r="I1054" s="20" t="b">
        <v>1</v>
      </c>
      <c r="J1054" s="20" t="s">
        <v>17999</v>
      </c>
      <c r="K1054" s="20">
        <v>89712</v>
      </c>
      <c r="L1054" s="20" t="s">
        <v>17213</v>
      </c>
      <c r="M1054" s="20" t="s">
        <v>18000</v>
      </c>
    </row>
    <row r="1055" spans="1:13" x14ac:dyDescent="0.25">
      <c r="A1055" s="20">
        <v>90804</v>
      </c>
      <c r="B1055" s="20" t="s">
        <v>16689</v>
      </c>
      <c r="C1055" s="20">
        <v>90804</v>
      </c>
      <c r="D1055" s="20" t="str">
        <f>VLOOKUP(C1055,[1]CHILDCARE_FACILITIES!AJ:AK,2,0)</f>
        <v>CDC-9332</v>
      </c>
      <c r="E1055" s="20" t="s">
        <v>15134</v>
      </c>
      <c r="F1055" s="20" t="s">
        <v>15135</v>
      </c>
      <c r="G1055" s="20">
        <v>103105019</v>
      </c>
      <c r="H1055" s="20" t="s">
        <v>15145</v>
      </c>
      <c r="I1055" s="20" t="b">
        <v>1</v>
      </c>
      <c r="J1055" s="20" t="s">
        <v>18003</v>
      </c>
      <c r="K1055" s="20">
        <v>90804</v>
      </c>
      <c r="L1055" s="20" t="s">
        <v>17244</v>
      </c>
      <c r="M1055" s="20" t="s">
        <v>18004</v>
      </c>
    </row>
    <row r="1056" spans="1:13" x14ac:dyDescent="0.25">
      <c r="A1056" s="20">
        <v>92456</v>
      </c>
      <c r="B1056" s="20" t="s">
        <v>16869</v>
      </c>
      <c r="C1056" s="20">
        <v>92456</v>
      </c>
      <c r="D1056" s="20" t="e">
        <f>VLOOKUP(C1056,[1]CHILDCARE_FACILITIES!AJ:AK,2,0)</f>
        <v>#N/A</v>
      </c>
      <c r="E1056" s="20" t="s">
        <v>15134</v>
      </c>
      <c r="F1056" s="20" t="s">
        <v>15135</v>
      </c>
      <c r="G1056" s="20">
        <v>103105023</v>
      </c>
      <c r="K1056" s="20">
        <v>92456</v>
      </c>
    </row>
    <row r="1057" spans="1:13" x14ac:dyDescent="0.25">
      <c r="A1057" s="20">
        <v>89745</v>
      </c>
      <c r="B1057" s="20" t="s">
        <v>16450</v>
      </c>
      <c r="C1057" s="20">
        <v>89745</v>
      </c>
      <c r="D1057" s="20" t="str">
        <f>VLOOKUP(C1057,[1]CHILDCARE_FACILITIES!AJ:AK,2,0)</f>
        <v>CDC-10287</v>
      </c>
      <c r="E1057" s="20" t="s">
        <v>15134</v>
      </c>
      <c r="F1057" s="20" t="s">
        <v>15135</v>
      </c>
      <c r="G1057" s="20">
        <v>103105015</v>
      </c>
      <c r="H1057" s="20" t="s">
        <v>15145</v>
      </c>
      <c r="I1057" s="20" t="b">
        <v>1</v>
      </c>
      <c r="J1057" s="20" t="s">
        <v>18005</v>
      </c>
      <c r="K1057" s="20">
        <v>89745</v>
      </c>
      <c r="L1057" s="20" t="s">
        <v>17216</v>
      </c>
      <c r="M1057" s="20" t="s">
        <v>18006</v>
      </c>
    </row>
    <row r="1058" spans="1:13" x14ac:dyDescent="0.25">
      <c r="A1058" s="20">
        <v>89745</v>
      </c>
      <c r="B1058" s="20" t="s">
        <v>16450</v>
      </c>
      <c r="C1058" s="20">
        <v>89745</v>
      </c>
      <c r="D1058" s="20" t="str">
        <f>VLOOKUP(C1058,[1]CHILDCARE_FACILITIES!AJ:AK,2,0)</f>
        <v>CDC-10287</v>
      </c>
      <c r="E1058" s="20" t="s">
        <v>15134</v>
      </c>
      <c r="F1058" s="20" t="s">
        <v>15135</v>
      </c>
      <c r="G1058" s="20">
        <v>103105015</v>
      </c>
      <c r="H1058" s="20" t="s">
        <v>15138</v>
      </c>
      <c r="I1058" s="20" t="b">
        <v>1</v>
      </c>
      <c r="J1058" s="20" t="s">
        <v>18005</v>
      </c>
      <c r="K1058" s="20">
        <v>89745</v>
      </c>
      <c r="L1058" s="20" t="s">
        <v>17216</v>
      </c>
      <c r="M1058" s="20" t="s">
        <v>18006</v>
      </c>
    </row>
    <row r="1059" spans="1:13" x14ac:dyDescent="0.25">
      <c r="A1059" s="20">
        <v>92363</v>
      </c>
      <c r="B1059" s="20" t="s">
        <v>16860</v>
      </c>
      <c r="C1059" s="20">
        <v>92363</v>
      </c>
      <c r="D1059" s="20" t="str">
        <f>VLOOKUP(C1059,[1]CHILDCARE_FACILITIES!AJ:AK,2,0)</f>
        <v>CDC-11248</v>
      </c>
      <c r="E1059" s="20" t="s">
        <v>15134</v>
      </c>
      <c r="F1059" s="20" t="s">
        <v>15135</v>
      </c>
      <c r="G1059" s="20">
        <v>103105027</v>
      </c>
      <c r="K1059" s="20">
        <v>92363</v>
      </c>
    </row>
    <row r="1060" spans="1:13" x14ac:dyDescent="0.25">
      <c r="A1060" s="20">
        <v>92666</v>
      </c>
      <c r="B1060" s="20" t="s">
        <v>16884</v>
      </c>
      <c r="C1060" s="20">
        <v>92666</v>
      </c>
      <c r="D1060" s="20" t="str">
        <f>VLOOKUP(C1060,[1]CHILDCARE_FACILITIES!AJ:AK,2,0)</f>
        <v>CDC-17323</v>
      </c>
      <c r="E1060" s="20" t="s">
        <v>15134</v>
      </c>
      <c r="F1060" s="20" t="s">
        <v>15135</v>
      </c>
      <c r="G1060" s="20">
        <v>103105028</v>
      </c>
      <c r="K1060" s="20">
        <v>92666</v>
      </c>
    </row>
    <row r="1061" spans="1:13" x14ac:dyDescent="0.25">
      <c r="A1061" s="20">
        <v>90939</v>
      </c>
      <c r="B1061" s="20" t="s">
        <v>16734</v>
      </c>
      <c r="C1061" s="20">
        <v>90939</v>
      </c>
      <c r="D1061" s="20" t="str">
        <f>VLOOKUP(C1061,[1]CHILDCARE_FACILITIES!AJ:AK,2,0)</f>
        <v>CDC-13164</v>
      </c>
      <c r="E1061" s="20" t="s">
        <v>15134</v>
      </c>
      <c r="F1061" s="20" t="s">
        <v>15135</v>
      </c>
      <c r="G1061" s="20">
        <v>103105022</v>
      </c>
      <c r="H1061" s="20" t="s">
        <v>15145</v>
      </c>
      <c r="I1061" s="20" t="b">
        <v>1</v>
      </c>
      <c r="J1061" s="20" t="s">
        <v>18007</v>
      </c>
      <c r="K1061" s="20">
        <v>90939</v>
      </c>
      <c r="L1061" s="20" t="s">
        <v>17244</v>
      </c>
      <c r="M1061" s="20" t="s">
        <v>18008</v>
      </c>
    </row>
    <row r="1062" spans="1:13" x14ac:dyDescent="0.25">
      <c r="A1062" s="20">
        <v>90935</v>
      </c>
      <c r="B1062" s="20" t="s">
        <v>16726</v>
      </c>
      <c r="C1062" s="20">
        <v>90935</v>
      </c>
      <c r="D1062" s="20" t="str">
        <f>VLOOKUP(C1062,[1]CHILDCARE_FACILITIES!AJ:AK,2,0)</f>
        <v>CDC-13789</v>
      </c>
      <c r="E1062" s="20" t="s">
        <v>15134</v>
      </c>
      <c r="F1062" s="20" t="s">
        <v>15135</v>
      </c>
      <c r="G1062" s="20">
        <v>103105021</v>
      </c>
      <c r="H1062" s="20" t="s">
        <v>15145</v>
      </c>
      <c r="I1062" s="20" t="b">
        <v>1</v>
      </c>
      <c r="J1062" s="20" t="s">
        <v>18009</v>
      </c>
      <c r="K1062" s="20">
        <v>90935</v>
      </c>
      <c r="L1062" s="20" t="s">
        <v>17964</v>
      </c>
      <c r="M1062" s="20" t="s">
        <v>18010</v>
      </c>
    </row>
    <row r="1063" spans="1:13" x14ac:dyDescent="0.25">
      <c r="A1063" s="20">
        <v>10041</v>
      </c>
      <c r="B1063" s="20" t="s">
        <v>15792</v>
      </c>
      <c r="C1063" s="20">
        <v>10041</v>
      </c>
      <c r="D1063" s="20" t="str">
        <f>VLOOKUP(C1063,[1]CHILDCARE_FACILITIES!AJ:AK,2,0)</f>
        <v>CDC-1093</v>
      </c>
      <c r="E1063" s="20" t="s">
        <v>15134</v>
      </c>
      <c r="F1063" s="20" t="s">
        <v>15135</v>
      </c>
      <c r="G1063" s="20">
        <v>103105001</v>
      </c>
      <c r="K1063" s="20">
        <v>10041</v>
      </c>
    </row>
    <row r="1064" spans="1:13" x14ac:dyDescent="0.25">
      <c r="A1064" s="20">
        <v>10003</v>
      </c>
      <c r="B1064" s="20" t="s">
        <v>15776</v>
      </c>
      <c r="C1064" s="20">
        <v>10003</v>
      </c>
      <c r="D1064" s="20" t="e">
        <f>VLOOKUP(C1064,[1]CHILDCARE_FACILITIES!AJ:AK,2,0)</f>
        <v>#N/A</v>
      </c>
      <c r="E1064" s="20" t="s">
        <v>15134</v>
      </c>
      <c r="F1064" s="20" t="s">
        <v>15135</v>
      </c>
      <c r="G1064" s="20">
        <v>103086001</v>
      </c>
      <c r="K1064" s="20">
        <v>10003</v>
      </c>
    </row>
    <row r="1065" spans="1:13" x14ac:dyDescent="0.25">
      <c r="A1065" s="20">
        <v>10015</v>
      </c>
      <c r="B1065" s="20" t="s">
        <v>15781</v>
      </c>
      <c r="C1065" s="20">
        <v>10015</v>
      </c>
      <c r="D1065" s="20" t="e">
        <f>VLOOKUP(C1065,[1]CHILDCARE_FACILITIES!AJ:AK,2,0)</f>
        <v>#N/A</v>
      </c>
      <c r="E1065" s="20" t="s">
        <v>15134</v>
      </c>
      <c r="F1065" s="20" t="s">
        <v>15135</v>
      </c>
      <c r="G1065" s="20">
        <v>103092001</v>
      </c>
      <c r="K1065" s="20">
        <v>10015</v>
      </c>
    </row>
    <row r="1066" spans="1:13" x14ac:dyDescent="0.25">
      <c r="A1066" s="20">
        <v>10009</v>
      </c>
      <c r="B1066" s="20" t="s">
        <v>15779</v>
      </c>
      <c r="C1066" s="20">
        <v>10009</v>
      </c>
      <c r="D1066" s="20" t="e">
        <f>VLOOKUP(C1066,[1]CHILDCARE_FACILITIES!AJ:AK,2,0)</f>
        <v>#N/A</v>
      </c>
      <c r="E1066" s="20" t="s">
        <v>15134</v>
      </c>
      <c r="F1066" s="20" t="s">
        <v>15135</v>
      </c>
      <c r="G1066" s="20">
        <v>103089001</v>
      </c>
      <c r="K1066" s="20">
        <v>10009</v>
      </c>
    </row>
    <row r="1067" spans="1:13" x14ac:dyDescent="0.25">
      <c r="A1067" s="20">
        <v>10043</v>
      </c>
      <c r="B1067" s="20" t="s">
        <v>15779</v>
      </c>
      <c r="C1067" s="20">
        <v>10043</v>
      </c>
      <c r="D1067" s="20" t="e">
        <f>VLOOKUP(C1067,[1]CHILDCARE_FACILITIES!AJ:AK,2,0)</f>
        <v>#N/A</v>
      </c>
      <c r="E1067" s="20" t="s">
        <v>15134</v>
      </c>
      <c r="F1067" s="20" t="s">
        <v>15135</v>
      </c>
      <c r="G1067" s="20">
        <v>103105003</v>
      </c>
      <c r="K1067" s="20">
        <v>10043</v>
      </c>
    </row>
    <row r="1068" spans="1:13" x14ac:dyDescent="0.25">
      <c r="A1068" s="20">
        <v>10044</v>
      </c>
      <c r="B1068" s="20" t="s">
        <v>15793</v>
      </c>
      <c r="C1068" s="20">
        <v>10044</v>
      </c>
      <c r="D1068" s="20" t="e">
        <f>VLOOKUP(C1068,[1]CHILDCARE_FACILITIES!AJ:AK,2,0)</f>
        <v>#N/A</v>
      </c>
      <c r="E1068" s="20" t="s">
        <v>15134</v>
      </c>
      <c r="F1068" s="20" t="s">
        <v>15135</v>
      </c>
      <c r="G1068" s="20">
        <v>103105004</v>
      </c>
      <c r="K1068" s="20">
        <v>10044</v>
      </c>
    </row>
    <row r="1069" spans="1:13" x14ac:dyDescent="0.25">
      <c r="A1069" s="20">
        <v>78764</v>
      </c>
      <c r="B1069" s="20" t="s">
        <v>15887</v>
      </c>
      <c r="C1069" s="20">
        <v>78764</v>
      </c>
      <c r="D1069" s="20" t="str">
        <f>VLOOKUP(C1069,[1]CHILDCARE_FACILITIES!AJ:AK,2,0)</f>
        <v>CDC-1466</v>
      </c>
      <c r="E1069" s="20" t="s">
        <v>15134</v>
      </c>
      <c r="F1069" s="20" t="s">
        <v>15135</v>
      </c>
      <c r="G1069" s="20">
        <v>103105007</v>
      </c>
      <c r="K1069" s="20">
        <v>78764</v>
      </c>
    </row>
    <row r="1070" spans="1:13" x14ac:dyDescent="0.25">
      <c r="A1070" s="20">
        <v>80824</v>
      </c>
      <c r="B1070" s="20" t="s">
        <v>16215</v>
      </c>
      <c r="C1070" s="20">
        <v>80824</v>
      </c>
      <c r="D1070" s="20" t="str">
        <f>VLOOKUP(C1070,[1]CHILDCARE_FACILITIES!AJ:AK,2,0)</f>
        <v>CDC-1539</v>
      </c>
      <c r="E1070" s="20" t="s">
        <v>15134</v>
      </c>
      <c r="F1070" s="20" t="s">
        <v>15135</v>
      </c>
      <c r="G1070" s="20">
        <v>103105013</v>
      </c>
      <c r="H1070" s="20" t="s">
        <v>15138</v>
      </c>
      <c r="I1070" s="20" t="b">
        <v>1</v>
      </c>
      <c r="J1070" s="20" t="s">
        <v>18011</v>
      </c>
      <c r="K1070" s="20">
        <v>80824</v>
      </c>
      <c r="L1070" s="20" t="s">
        <v>17216</v>
      </c>
      <c r="M1070" s="20" t="s">
        <v>18012</v>
      </c>
    </row>
    <row r="1071" spans="1:13" x14ac:dyDescent="0.25">
      <c r="A1071" s="20">
        <v>91930</v>
      </c>
      <c r="B1071" s="20" t="s">
        <v>16827</v>
      </c>
      <c r="C1071" s="20">
        <v>91930</v>
      </c>
      <c r="D1071" s="20" t="e">
        <f>VLOOKUP(C1071,[1]CHILDCARE_FACILITIES!AJ:AK,2,0)</f>
        <v>#N/A</v>
      </c>
      <c r="E1071" s="20" t="s">
        <v>15134</v>
      </c>
      <c r="F1071" s="20" t="s">
        <v>15135</v>
      </c>
      <c r="G1071" s="20">
        <v>73214033</v>
      </c>
      <c r="H1071" s="20" t="s">
        <v>15145</v>
      </c>
      <c r="I1071" s="20" t="b">
        <v>1</v>
      </c>
      <c r="J1071" s="20" t="s">
        <v>18013</v>
      </c>
      <c r="K1071" s="20">
        <v>91930</v>
      </c>
      <c r="L1071" s="20" t="s">
        <v>17223</v>
      </c>
      <c r="M1071" s="20" t="s">
        <v>18014</v>
      </c>
    </row>
    <row r="1072" spans="1:13" x14ac:dyDescent="0.25">
      <c r="A1072" s="20">
        <v>10007</v>
      </c>
      <c r="B1072" s="20" t="s">
        <v>15778</v>
      </c>
      <c r="C1072" s="20">
        <v>10007</v>
      </c>
      <c r="D1072" s="20" t="e">
        <f>VLOOKUP(C1072,[1]CHILDCARE_FACILITIES!AJ:AK,2,0)</f>
        <v>#N/A</v>
      </c>
      <c r="E1072" s="20" t="s">
        <v>15134</v>
      </c>
      <c r="F1072" s="20" t="s">
        <v>15135</v>
      </c>
      <c r="G1072" s="20">
        <v>103088001</v>
      </c>
      <c r="K1072" s="20">
        <v>10007</v>
      </c>
    </row>
    <row r="1073" spans="1:13" x14ac:dyDescent="0.25">
      <c r="A1073" s="20">
        <v>10011</v>
      </c>
      <c r="B1073" s="20" t="s">
        <v>15778</v>
      </c>
      <c r="C1073" s="20">
        <v>10011</v>
      </c>
      <c r="D1073" s="20" t="e">
        <f>VLOOKUP(C1073,[1]CHILDCARE_FACILITIES!AJ:AK,2,0)</f>
        <v>#N/A</v>
      </c>
      <c r="E1073" s="20" t="s">
        <v>15134</v>
      </c>
      <c r="F1073" s="20" t="s">
        <v>15135</v>
      </c>
      <c r="G1073" s="20">
        <v>103090001</v>
      </c>
      <c r="K1073" s="20">
        <v>10011</v>
      </c>
    </row>
    <row r="1074" spans="1:13" x14ac:dyDescent="0.25">
      <c r="A1074" s="20">
        <v>91240</v>
      </c>
      <c r="B1074" s="20" t="s">
        <v>16758</v>
      </c>
      <c r="C1074" s="20">
        <v>91240</v>
      </c>
      <c r="D1074" s="20" t="e">
        <f>VLOOKUP(C1074,[1]CHILDCARE_FACILITIES!AJ:AK,2,0)</f>
        <v>#N/A</v>
      </c>
      <c r="E1074" s="20" t="s">
        <v>15134</v>
      </c>
      <c r="F1074" s="20" t="s">
        <v>15135</v>
      </c>
      <c r="G1074" s="20">
        <v>73032000</v>
      </c>
      <c r="H1074" s="20" t="s">
        <v>15138</v>
      </c>
      <c r="I1074" s="20" t="b">
        <v>1</v>
      </c>
      <c r="J1074" s="20" t="s">
        <v>17969</v>
      </c>
      <c r="K1074" s="20">
        <v>91240</v>
      </c>
      <c r="L1074" s="20" t="s">
        <v>17223</v>
      </c>
      <c r="M1074" s="20" t="s">
        <v>17970</v>
      </c>
    </row>
    <row r="1075" spans="1:13" x14ac:dyDescent="0.25">
      <c r="A1075" s="20">
        <v>91240</v>
      </c>
      <c r="B1075" s="20" t="s">
        <v>16758</v>
      </c>
      <c r="C1075" s="20">
        <v>91240</v>
      </c>
      <c r="D1075" s="20" t="e">
        <f>VLOOKUP(C1075,[1]CHILDCARE_FACILITIES!AJ:AK,2,0)</f>
        <v>#N/A</v>
      </c>
      <c r="E1075" s="20" t="s">
        <v>15134</v>
      </c>
      <c r="F1075" s="20" t="s">
        <v>15135</v>
      </c>
      <c r="G1075" s="20">
        <v>73032000</v>
      </c>
      <c r="H1075" s="20" t="s">
        <v>15145</v>
      </c>
      <c r="I1075" s="20" t="b">
        <v>1</v>
      </c>
      <c r="J1075" s="20" t="s">
        <v>17969</v>
      </c>
      <c r="K1075" s="20">
        <v>91240</v>
      </c>
      <c r="L1075" s="20" t="s">
        <v>17223</v>
      </c>
      <c r="M1075" s="20" t="s">
        <v>17970</v>
      </c>
    </row>
    <row r="1076" spans="1:13" x14ac:dyDescent="0.25">
      <c r="A1076" s="20">
        <v>91241</v>
      </c>
      <c r="B1076" s="20" t="s">
        <v>16758</v>
      </c>
      <c r="C1076" s="20">
        <v>91241</v>
      </c>
      <c r="D1076" s="20" t="e">
        <f>VLOOKUP(C1076,[1]CHILDCARE_FACILITIES!AJ:AK,2,0)</f>
        <v>#N/A</v>
      </c>
      <c r="E1076" s="20" t="s">
        <v>15134</v>
      </c>
      <c r="F1076" s="20" t="s">
        <v>15135</v>
      </c>
      <c r="G1076" s="20">
        <v>73032001</v>
      </c>
      <c r="H1076" s="20" t="s">
        <v>15138</v>
      </c>
      <c r="I1076" s="20" t="b">
        <v>1</v>
      </c>
      <c r="J1076" s="20" t="s">
        <v>17969</v>
      </c>
      <c r="K1076" s="20">
        <v>91241</v>
      </c>
      <c r="L1076" s="20" t="s">
        <v>17223</v>
      </c>
      <c r="M1076" s="20" t="s">
        <v>17970</v>
      </c>
    </row>
    <row r="1077" spans="1:13" x14ac:dyDescent="0.25">
      <c r="A1077" s="20">
        <v>91241</v>
      </c>
      <c r="B1077" s="20" t="s">
        <v>16758</v>
      </c>
      <c r="C1077" s="20">
        <v>91241</v>
      </c>
      <c r="D1077" s="20" t="e">
        <f>VLOOKUP(C1077,[1]CHILDCARE_FACILITIES!AJ:AK,2,0)</f>
        <v>#N/A</v>
      </c>
      <c r="E1077" s="20" t="s">
        <v>15134</v>
      </c>
      <c r="F1077" s="20" t="s">
        <v>15135</v>
      </c>
      <c r="G1077" s="20">
        <v>73032001</v>
      </c>
      <c r="H1077" s="20" t="s">
        <v>15145</v>
      </c>
      <c r="I1077" s="20" t="b">
        <v>1</v>
      </c>
      <c r="J1077" s="20" t="s">
        <v>17969</v>
      </c>
      <c r="K1077" s="20">
        <v>91241</v>
      </c>
      <c r="L1077" s="20" t="s">
        <v>17223</v>
      </c>
      <c r="M1077" s="20" t="s">
        <v>17970</v>
      </c>
    </row>
    <row r="1078" spans="1:13" x14ac:dyDescent="0.25">
      <c r="A1078" s="20">
        <v>1000403</v>
      </c>
      <c r="B1078" s="20" t="s">
        <v>17164</v>
      </c>
      <c r="C1078" s="20">
        <v>1000403</v>
      </c>
      <c r="D1078" s="20" t="str">
        <f>VLOOKUP(C1078,[1]CHILDCARE_FACILITIES!AJ:AK,2,0)</f>
        <v>CDC-13068</v>
      </c>
      <c r="E1078" s="20" t="s">
        <v>15134</v>
      </c>
      <c r="F1078" s="20" t="s">
        <v>15135</v>
      </c>
      <c r="G1078" s="20">
        <v>73105001</v>
      </c>
      <c r="H1078" s="20" t="s">
        <v>15138</v>
      </c>
      <c r="I1078" s="20" t="b">
        <v>1</v>
      </c>
      <c r="J1078" s="20" t="s">
        <v>18015</v>
      </c>
      <c r="K1078" s="20">
        <v>1000403</v>
      </c>
      <c r="L1078" s="20" t="s">
        <v>17213</v>
      </c>
      <c r="M1078" s="20" t="s">
        <v>18016</v>
      </c>
    </row>
    <row r="1079" spans="1:13" x14ac:dyDescent="0.25">
      <c r="A1079" s="20">
        <v>1000403</v>
      </c>
      <c r="B1079" s="20" t="s">
        <v>17164</v>
      </c>
      <c r="C1079" s="20">
        <v>1000403</v>
      </c>
      <c r="D1079" s="20" t="str">
        <f>VLOOKUP(C1079,[1]CHILDCARE_FACILITIES!AJ:AK,2,0)</f>
        <v>CDC-13068</v>
      </c>
      <c r="E1079" s="20" t="s">
        <v>15134</v>
      </c>
      <c r="F1079" s="20" t="s">
        <v>15135</v>
      </c>
      <c r="G1079" s="20">
        <v>73105001</v>
      </c>
      <c r="H1079" s="20" t="s">
        <v>15136</v>
      </c>
      <c r="I1079" s="20" t="b">
        <v>1</v>
      </c>
      <c r="J1079" s="20" t="s">
        <v>18015</v>
      </c>
      <c r="K1079" s="20">
        <v>1000403</v>
      </c>
      <c r="L1079" s="20" t="s">
        <v>17213</v>
      </c>
      <c r="M1079" s="20" t="s">
        <v>18016</v>
      </c>
    </row>
    <row r="1080" spans="1:13" x14ac:dyDescent="0.25">
      <c r="A1080" s="20">
        <v>10001</v>
      </c>
      <c r="B1080" s="20" t="s">
        <v>15775</v>
      </c>
      <c r="C1080" s="20">
        <v>10001</v>
      </c>
      <c r="D1080" s="20" t="e">
        <f>VLOOKUP(C1080,[1]CHILDCARE_FACILITIES!AJ:AK,2,0)</f>
        <v>#N/A</v>
      </c>
      <c r="E1080" s="20" t="s">
        <v>15134</v>
      </c>
      <c r="F1080" s="20" t="s">
        <v>15135</v>
      </c>
      <c r="G1080" s="20">
        <v>103085001</v>
      </c>
      <c r="K1080" s="20">
        <v>10001</v>
      </c>
    </row>
    <row r="1081" spans="1:13" x14ac:dyDescent="0.25">
      <c r="A1081" s="20">
        <v>10005</v>
      </c>
      <c r="B1081" s="20" t="s">
        <v>15777</v>
      </c>
      <c r="C1081" s="20">
        <v>10005</v>
      </c>
      <c r="D1081" s="20" t="e">
        <f>VLOOKUP(C1081,[1]CHILDCARE_FACILITIES!AJ:AK,2,0)</f>
        <v>#N/A</v>
      </c>
      <c r="E1081" s="20" t="s">
        <v>15134</v>
      </c>
      <c r="F1081" s="20" t="s">
        <v>15135</v>
      </c>
      <c r="G1081" s="20">
        <v>103087001</v>
      </c>
      <c r="K1081" s="20">
        <v>10005</v>
      </c>
    </row>
    <row r="1082" spans="1:13" x14ac:dyDescent="0.25">
      <c r="A1082" s="20">
        <v>9999</v>
      </c>
      <c r="B1082" s="20" t="s">
        <v>15774</v>
      </c>
      <c r="C1082" s="20">
        <v>9999</v>
      </c>
      <c r="D1082" s="20" t="e">
        <f>VLOOKUP(C1082,[1]CHILDCARE_FACILITIES!AJ:AK,2,0)</f>
        <v>#N/A</v>
      </c>
      <c r="E1082" s="20" t="s">
        <v>15134</v>
      </c>
      <c r="F1082" s="20" t="s">
        <v>15135</v>
      </c>
      <c r="G1082" s="20">
        <v>103084001</v>
      </c>
      <c r="K1082" s="20">
        <v>9999</v>
      </c>
    </row>
    <row r="1083" spans="1:13" x14ac:dyDescent="0.25">
      <c r="A1083" s="20">
        <v>9977</v>
      </c>
      <c r="B1083" s="20" t="s">
        <v>15763</v>
      </c>
      <c r="C1083" s="20">
        <v>9977</v>
      </c>
      <c r="D1083" s="20" t="e">
        <f>VLOOKUP(C1083,[1]CHILDCARE_FACILITIES!AJ:AK,2,0)</f>
        <v>#N/A</v>
      </c>
      <c r="E1083" s="20" t="s">
        <v>15134</v>
      </c>
      <c r="F1083" s="20" t="s">
        <v>15135</v>
      </c>
      <c r="G1083" s="20">
        <v>103080001</v>
      </c>
      <c r="K1083" s="20">
        <v>9977</v>
      </c>
    </row>
    <row r="1084" spans="1:13" x14ac:dyDescent="0.25">
      <c r="A1084" s="20">
        <v>9978</v>
      </c>
      <c r="B1084" s="20" t="s">
        <v>15763</v>
      </c>
      <c r="C1084" s="20">
        <v>9978</v>
      </c>
      <c r="D1084" s="20" t="e">
        <f>VLOOKUP(C1084,[1]CHILDCARE_FACILITIES!AJ:AK,2,0)</f>
        <v>#N/A</v>
      </c>
      <c r="E1084" s="20" t="s">
        <v>15134</v>
      </c>
      <c r="F1084" s="20" t="s">
        <v>15135</v>
      </c>
      <c r="G1084" s="20">
        <v>103080002</v>
      </c>
      <c r="K1084" s="20">
        <v>9978</v>
      </c>
    </row>
    <row r="1085" spans="1:13" x14ac:dyDescent="0.25">
      <c r="A1085" s="20">
        <v>9979</v>
      </c>
      <c r="B1085" s="20" t="s">
        <v>15763</v>
      </c>
      <c r="C1085" s="20">
        <v>9979</v>
      </c>
      <c r="D1085" s="20" t="e">
        <f>VLOOKUP(C1085,[1]CHILDCARE_FACILITIES!AJ:AK,2,0)</f>
        <v>#N/A</v>
      </c>
      <c r="E1085" s="20" t="s">
        <v>15134</v>
      </c>
      <c r="F1085" s="20" t="s">
        <v>15135</v>
      </c>
      <c r="G1085" s="20">
        <v>103080003</v>
      </c>
      <c r="K1085" s="20">
        <v>9979</v>
      </c>
    </row>
    <row r="1086" spans="1:13" x14ac:dyDescent="0.25">
      <c r="A1086" s="20">
        <v>9980</v>
      </c>
      <c r="B1086" s="20" t="s">
        <v>15763</v>
      </c>
      <c r="C1086" s="20">
        <v>9980</v>
      </c>
      <c r="D1086" s="20" t="e">
        <f>VLOOKUP(C1086,[1]CHILDCARE_FACILITIES!AJ:AK,2,0)</f>
        <v>#N/A</v>
      </c>
      <c r="E1086" s="20" t="s">
        <v>15134</v>
      </c>
      <c r="F1086" s="20" t="s">
        <v>15135</v>
      </c>
      <c r="G1086" s="20">
        <v>103080004</v>
      </c>
      <c r="K1086" s="20">
        <v>9980</v>
      </c>
    </row>
    <row r="1087" spans="1:13" x14ac:dyDescent="0.25">
      <c r="A1087" s="20">
        <v>9981</v>
      </c>
      <c r="B1087" s="20" t="s">
        <v>15763</v>
      </c>
      <c r="C1087" s="20">
        <v>9981</v>
      </c>
      <c r="D1087" s="20" t="e">
        <f>VLOOKUP(C1087,[1]CHILDCARE_FACILITIES!AJ:AK,2,0)</f>
        <v>#N/A</v>
      </c>
      <c r="E1087" s="20" t="s">
        <v>15134</v>
      </c>
      <c r="F1087" s="20" t="s">
        <v>15135</v>
      </c>
      <c r="G1087" s="20">
        <v>103080005</v>
      </c>
      <c r="K1087" s="20">
        <v>9981</v>
      </c>
    </row>
    <row r="1088" spans="1:13" x14ac:dyDescent="0.25">
      <c r="A1088" s="20">
        <v>9982</v>
      </c>
      <c r="B1088" s="20" t="s">
        <v>15763</v>
      </c>
      <c r="C1088" s="20">
        <v>9982</v>
      </c>
      <c r="D1088" s="20" t="e">
        <f>VLOOKUP(C1088,[1]CHILDCARE_FACILITIES!AJ:AK,2,0)</f>
        <v>#N/A</v>
      </c>
      <c r="E1088" s="20" t="s">
        <v>15134</v>
      </c>
      <c r="F1088" s="20" t="s">
        <v>15135</v>
      </c>
      <c r="G1088" s="20">
        <v>103080006</v>
      </c>
      <c r="K1088" s="20">
        <v>9982</v>
      </c>
    </row>
    <row r="1089" spans="1:13" x14ac:dyDescent="0.25">
      <c r="A1089" s="20">
        <v>9983</v>
      </c>
      <c r="B1089" s="20" t="s">
        <v>15763</v>
      </c>
      <c r="C1089" s="20">
        <v>9983</v>
      </c>
      <c r="D1089" s="20" t="e">
        <f>VLOOKUP(C1089,[1]CHILDCARE_FACILITIES!AJ:AK,2,0)</f>
        <v>#N/A</v>
      </c>
      <c r="E1089" s="20" t="s">
        <v>15134</v>
      </c>
      <c r="F1089" s="20" t="s">
        <v>15135</v>
      </c>
      <c r="G1089" s="20">
        <v>103080007</v>
      </c>
      <c r="K1089" s="20">
        <v>9983</v>
      </c>
    </row>
    <row r="1090" spans="1:13" x14ac:dyDescent="0.25">
      <c r="A1090" s="20">
        <v>9984</v>
      </c>
      <c r="B1090" s="20" t="s">
        <v>15763</v>
      </c>
      <c r="C1090" s="20">
        <v>9984</v>
      </c>
      <c r="D1090" s="20" t="e">
        <f>VLOOKUP(C1090,[1]CHILDCARE_FACILITIES!AJ:AK,2,0)</f>
        <v>#N/A</v>
      </c>
      <c r="E1090" s="20" t="s">
        <v>15134</v>
      </c>
      <c r="F1090" s="20" t="s">
        <v>15135</v>
      </c>
      <c r="G1090" s="20">
        <v>103080008</v>
      </c>
      <c r="K1090" s="20">
        <v>9984</v>
      </c>
    </row>
    <row r="1091" spans="1:13" x14ac:dyDescent="0.25">
      <c r="A1091" s="20">
        <v>9985</v>
      </c>
      <c r="B1091" s="20" t="s">
        <v>15763</v>
      </c>
      <c r="C1091" s="20">
        <v>9985</v>
      </c>
      <c r="D1091" s="20" t="e">
        <f>VLOOKUP(C1091,[1]CHILDCARE_FACILITIES!AJ:AK,2,0)</f>
        <v>#N/A</v>
      </c>
      <c r="E1091" s="20" t="s">
        <v>15134</v>
      </c>
      <c r="F1091" s="20" t="s">
        <v>15135</v>
      </c>
      <c r="G1091" s="20">
        <v>103080009</v>
      </c>
      <c r="K1091" s="20">
        <v>9985</v>
      </c>
    </row>
    <row r="1092" spans="1:13" x14ac:dyDescent="0.25">
      <c r="A1092" s="20">
        <v>10040</v>
      </c>
      <c r="B1092" s="20" t="s">
        <v>15790</v>
      </c>
      <c r="C1092" s="20">
        <v>10040</v>
      </c>
      <c r="D1092" s="20" t="e">
        <f>VLOOKUP(C1092,[1]CHILDCARE_FACILITIES!AJ:AK,2,0)</f>
        <v>#N/A</v>
      </c>
      <c r="E1092" s="20" t="s">
        <v>15134</v>
      </c>
      <c r="F1092" s="20" t="s">
        <v>15135</v>
      </c>
      <c r="G1092" s="20">
        <v>103105000</v>
      </c>
      <c r="H1092" s="20" t="s">
        <v>15138</v>
      </c>
      <c r="I1092" s="20" t="b">
        <v>1</v>
      </c>
      <c r="J1092" s="20" t="s">
        <v>18017</v>
      </c>
      <c r="K1092" s="20">
        <v>10040</v>
      </c>
      <c r="L1092" s="20" t="s">
        <v>17213</v>
      </c>
      <c r="M1092" s="20" t="s">
        <v>18018</v>
      </c>
    </row>
    <row r="1093" spans="1:13" x14ac:dyDescent="0.25">
      <c r="A1093" s="20">
        <v>10040</v>
      </c>
      <c r="B1093" s="20" t="s">
        <v>15790</v>
      </c>
      <c r="C1093" s="20">
        <v>10040</v>
      </c>
      <c r="D1093" s="20" t="e">
        <f>VLOOKUP(C1093,[1]CHILDCARE_FACILITIES!AJ:AK,2,0)</f>
        <v>#N/A</v>
      </c>
      <c r="E1093" s="20" t="s">
        <v>15134</v>
      </c>
      <c r="F1093" s="20" t="s">
        <v>15135</v>
      </c>
      <c r="G1093" s="20">
        <v>103105000</v>
      </c>
      <c r="H1093" s="20" t="s">
        <v>15136</v>
      </c>
      <c r="I1093" s="20" t="b">
        <v>1</v>
      </c>
      <c r="J1093" s="20" t="s">
        <v>18017</v>
      </c>
      <c r="K1093" s="20">
        <v>10040</v>
      </c>
      <c r="L1093" s="20" t="s">
        <v>17213</v>
      </c>
      <c r="M1093" s="20" t="s">
        <v>18018</v>
      </c>
    </row>
    <row r="1094" spans="1:13" x14ac:dyDescent="0.25">
      <c r="A1094" s="20">
        <v>80611</v>
      </c>
      <c r="B1094" s="20" t="s">
        <v>16139</v>
      </c>
      <c r="C1094" s="20">
        <v>80611</v>
      </c>
      <c r="D1094" s="20" t="str">
        <f>VLOOKUP(C1094,[1]CHILDCARE_FACILITIES!AJ:AK,2,0)</f>
        <v>CDC-12402</v>
      </c>
      <c r="E1094" s="20" t="s">
        <v>15134</v>
      </c>
      <c r="F1094" s="20" t="s">
        <v>15135</v>
      </c>
      <c r="G1094" s="20">
        <v>73214005</v>
      </c>
      <c r="H1094" s="20" t="s">
        <v>15138</v>
      </c>
      <c r="I1094" s="20" t="b">
        <v>1</v>
      </c>
      <c r="J1094" s="20" t="s">
        <v>18019</v>
      </c>
      <c r="K1094" s="20">
        <v>80611</v>
      </c>
      <c r="L1094" s="20" t="s">
        <v>17236</v>
      </c>
      <c r="M1094" s="20" t="s">
        <v>18020</v>
      </c>
    </row>
    <row r="1095" spans="1:13" x14ac:dyDescent="0.25">
      <c r="A1095" s="20">
        <v>80611</v>
      </c>
      <c r="B1095" s="20" t="s">
        <v>16139</v>
      </c>
      <c r="C1095" s="20">
        <v>80611</v>
      </c>
      <c r="D1095" s="20" t="str">
        <f>VLOOKUP(C1095,[1]CHILDCARE_FACILITIES!AJ:AK,2,0)</f>
        <v>CDC-12402</v>
      </c>
      <c r="E1095" s="20" t="s">
        <v>15134</v>
      </c>
      <c r="F1095" s="20" t="s">
        <v>15135</v>
      </c>
      <c r="G1095" s="20">
        <v>73214005</v>
      </c>
      <c r="H1095" s="20" t="s">
        <v>15145</v>
      </c>
      <c r="I1095" s="20" t="b">
        <v>1</v>
      </c>
      <c r="J1095" s="20" t="s">
        <v>18019</v>
      </c>
      <c r="K1095" s="20">
        <v>80611</v>
      </c>
      <c r="L1095" s="20" t="s">
        <v>17236</v>
      </c>
      <c r="M1095" s="20" t="s">
        <v>18020</v>
      </c>
    </row>
    <row r="1096" spans="1:13" x14ac:dyDescent="0.25">
      <c r="A1096" s="20">
        <v>91931</v>
      </c>
      <c r="B1096" s="20" t="s">
        <v>16829</v>
      </c>
      <c r="C1096" s="20">
        <v>91931</v>
      </c>
      <c r="D1096" s="20" t="str">
        <f>VLOOKUP(C1096,[1]CHILDCARE_FACILITIES!AJ:AK,2,0)</f>
        <v>CDC-8398</v>
      </c>
      <c r="E1096" s="20" t="s">
        <v>15134</v>
      </c>
      <c r="F1096" s="20" t="s">
        <v>15135</v>
      </c>
      <c r="G1096" s="20">
        <v>103105024</v>
      </c>
      <c r="H1096" s="20" t="s">
        <v>15145</v>
      </c>
      <c r="I1096" s="20" t="b">
        <v>1</v>
      </c>
      <c r="J1096" s="20" t="s">
        <v>18021</v>
      </c>
      <c r="K1096" s="20">
        <v>91931</v>
      </c>
      <c r="L1096" s="20" t="s">
        <v>17223</v>
      </c>
      <c r="M1096" s="20" t="s">
        <v>18022</v>
      </c>
    </row>
    <row r="1097" spans="1:13" x14ac:dyDescent="0.25">
      <c r="A1097" s="20">
        <v>91932</v>
      </c>
      <c r="B1097" s="20" t="s">
        <v>16831</v>
      </c>
      <c r="C1097" s="20">
        <v>91932</v>
      </c>
      <c r="D1097" s="20" t="e">
        <f>VLOOKUP(C1097,[1]CHILDCARE_FACILITIES!AJ:AK,2,0)</f>
        <v>#N/A</v>
      </c>
      <c r="E1097" s="20" t="s">
        <v>15134</v>
      </c>
      <c r="F1097" s="20" t="s">
        <v>15135</v>
      </c>
      <c r="G1097" s="20">
        <v>103105025</v>
      </c>
      <c r="H1097" s="20" t="s">
        <v>15145</v>
      </c>
      <c r="I1097" s="20" t="b">
        <v>1</v>
      </c>
      <c r="J1097" s="20" t="s">
        <v>18023</v>
      </c>
      <c r="K1097" s="20">
        <v>91932</v>
      </c>
      <c r="L1097" s="20" t="s">
        <v>17233</v>
      </c>
      <c r="M1097" s="20" t="s">
        <v>18024</v>
      </c>
    </row>
    <row r="1098" spans="1:13" x14ac:dyDescent="0.25">
      <c r="A1098" s="20">
        <v>9959</v>
      </c>
      <c r="B1098" s="20" t="s">
        <v>15750</v>
      </c>
      <c r="C1098" s="20">
        <v>9959</v>
      </c>
      <c r="D1098" s="20" t="e">
        <f>VLOOKUP(C1098,[1]CHILDCARE_FACILITIES!AJ:AK,2,0)</f>
        <v>#N/A</v>
      </c>
      <c r="E1098" s="20" t="s">
        <v>15134</v>
      </c>
      <c r="F1098" s="20" t="s">
        <v>15135</v>
      </c>
      <c r="G1098" s="20">
        <v>103071001</v>
      </c>
      <c r="K1098" s="20">
        <v>9959</v>
      </c>
    </row>
    <row r="1099" spans="1:13" x14ac:dyDescent="0.25">
      <c r="A1099" s="20">
        <v>87351</v>
      </c>
      <c r="B1099" s="20" t="s">
        <v>16345</v>
      </c>
      <c r="C1099" s="20">
        <v>87351</v>
      </c>
      <c r="D1099" s="20" t="e">
        <f>VLOOKUP(C1099,[1]CHILDCARE_FACILITIES!AJ:AK,2,0)</f>
        <v>#N/A</v>
      </c>
      <c r="E1099" s="20" t="s">
        <v>15134</v>
      </c>
      <c r="F1099" s="20" t="s">
        <v>15135</v>
      </c>
      <c r="G1099" s="20">
        <v>73527000</v>
      </c>
      <c r="H1099" s="20" t="s">
        <v>15136</v>
      </c>
      <c r="I1099" s="20" t="b">
        <v>1</v>
      </c>
      <c r="J1099" s="20" t="s">
        <v>18025</v>
      </c>
      <c r="K1099" s="20">
        <v>87351</v>
      </c>
      <c r="L1099" s="20" t="s">
        <v>17213</v>
      </c>
      <c r="M1099" s="20" t="s">
        <v>18026</v>
      </c>
    </row>
    <row r="1100" spans="1:13" x14ac:dyDescent="0.25">
      <c r="A1100" s="20">
        <v>87351</v>
      </c>
      <c r="B1100" s="20" t="s">
        <v>16345</v>
      </c>
      <c r="C1100" s="20">
        <v>87351</v>
      </c>
      <c r="D1100" s="20" t="e">
        <f>VLOOKUP(C1100,[1]CHILDCARE_FACILITIES!AJ:AK,2,0)</f>
        <v>#N/A</v>
      </c>
      <c r="E1100" s="20" t="s">
        <v>15134</v>
      </c>
      <c r="F1100" s="20" t="s">
        <v>15135</v>
      </c>
      <c r="G1100" s="20">
        <v>73527000</v>
      </c>
      <c r="H1100" s="20" t="s">
        <v>15138</v>
      </c>
      <c r="I1100" s="20" t="b">
        <v>1</v>
      </c>
      <c r="J1100" s="20" t="s">
        <v>18027</v>
      </c>
      <c r="K1100" s="20">
        <v>87351</v>
      </c>
      <c r="L1100" s="20" t="s">
        <v>17216</v>
      </c>
      <c r="M1100" s="20" t="s">
        <v>18028</v>
      </c>
    </row>
    <row r="1101" spans="1:13" x14ac:dyDescent="0.25">
      <c r="A1101" s="20">
        <v>87352</v>
      </c>
      <c r="B1101" s="20" t="s">
        <v>16345</v>
      </c>
      <c r="C1101" s="20">
        <v>87352</v>
      </c>
      <c r="D1101" s="20" t="e">
        <f>VLOOKUP(C1101,[1]CHILDCARE_FACILITIES!AJ:AK,2,0)</f>
        <v>#N/A</v>
      </c>
      <c r="E1101" s="20" t="s">
        <v>15134</v>
      </c>
      <c r="F1101" s="20" t="s">
        <v>15135</v>
      </c>
      <c r="G1101" s="20">
        <v>73527001</v>
      </c>
      <c r="H1101" s="20" t="s">
        <v>15145</v>
      </c>
      <c r="I1101" s="20" t="b">
        <v>1</v>
      </c>
      <c r="J1101" s="20" t="s">
        <v>18027</v>
      </c>
      <c r="K1101" s="20">
        <v>87352</v>
      </c>
      <c r="L1101" s="20" t="s">
        <v>17216</v>
      </c>
      <c r="M1101" s="20" t="s">
        <v>18028</v>
      </c>
    </row>
    <row r="1102" spans="1:13" x14ac:dyDescent="0.25">
      <c r="A1102" s="20">
        <v>87352</v>
      </c>
      <c r="B1102" s="20" t="s">
        <v>16345</v>
      </c>
      <c r="C1102" s="20">
        <v>87352</v>
      </c>
      <c r="D1102" s="20" t="e">
        <f>VLOOKUP(C1102,[1]CHILDCARE_FACILITIES!AJ:AK,2,0)</f>
        <v>#N/A</v>
      </c>
      <c r="E1102" s="20" t="s">
        <v>15134</v>
      </c>
      <c r="F1102" s="20" t="s">
        <v>15135</v>
      </c>
      <c r="G1102" s="20">
        <v>73527001</v>
      </c>
      <c r="H1102" s="20" t="s">
        <v>15138</v>
      </c>
      <c r="I1102" s="20" t="b">
        <v>1</v>
      </c>
      <c r="J1102" s="20" t="s">
        <v>18025</v>
      </c>
      <c r="K1102" s="20">
        <v>87352</v>
      </c>
      <c r="L1102" s="20" t="s">
        <v>17213</v>
      </c>
      <c r="M1102" s="20" t="s">
        <v>18026</v>
      </c>
    </row>
    <row r="1103" spans="1:13" x14ac:dyDescent="0.25">
      <c r="A1103" s="20">
        <v>1000326</v>
      </c>
      <c r="B1103" s="20" t="s">
        <v>17137</v>
      </c>
      <c r="C1103" s="20">
        <v>1000326</v>
      </c>
      <c r="D1103" s="20" t="e">
        <f>VLOOKUP(C1103,[1]CHILDCARE_FACILITIES!AJ:AK,2,0)</f>
        <v>#N/A</v>
      </c>
      <c r="E1103" s="20" t="s">
        <v>15134</v>
      </c>
      <c r="F1103" s="20" t="s">
        <v>15135</v>
      </c>
      <c r="G1103" s="20">
        <v>73360000</v>
      </c>
      <c r="H1103" s="20" t="s">
        <v>15136</v>
      </c>
      <c r="I1103" s="20" t="b">
        <v>1</v>
      </c>
      <c r="J1103" s="20" t="s">
        <v>17963</v>
      </c>
      <c r="K1103" s="20">
        <v>1000326</v>
      </c>
      <c r="L1103" s="20" t="s">
        <v>17964</v>
      </c>
      <c r="M1103" s="20" t="s">
        <v>17534</v>
      </c>
    </row>
    <row r="1104" spans="1:13" x14ac:dyDescent="0.25">
      <c r="A1104" s="20">
        <v>1000326</v>
      </c>
      <c r="B1104" s="20" t="s">
        <v>17137</v>
      </c>
      <c r="C1104" s="20">
        <v>1000326</v>
      </c>
      <c r="D1104" s="20" t="e">
        <f>VLOOKUP(C1104,[1]CHILDCARE_FACILITIES!AJ:AK,2,0)</f>
        <v>#N/A</v>
      </c>
      <c r="E1104" s="20" t="s">
        <v>15134</v>
      </c>
      <c r="F1104" s="20" t="s">
        <v>15135</v>
      </c>
      <c r="G1104" s="20">
        <v>73360000</v>
      </c>
      <c r="H1104" s="20" t="s">
        <v>15138</v>
      </c>
      <c r="I1104" s="20" t="b">
        <v>1</v>
      </c>
      <c r="J1104" s="20" t="s">
        <v>17963</v>
      </c>
      <c r="K1104" s="20">
        <v>1000326</v>
      </c>
      <c r="L1104" s="20" t="s">
        <v>17964</v>
      </c>
      <c r="M1104" s="20" t="s">
        <v>17534</v>
      </c>
    </row>
    <row r="1105" spans="1:13" x14ac:dyDescent="0.25">
      <c r="A1105" s="20">
        <v>90146</v>
      </c>
      <c r="B1105" s="20" t="s">
        <v>16567</v>
      </c>
      <c r="C1105" s="20">
        <v>90146</v>
      </c>
      <c r="D1105" s="20" t="e">
        <f>VLOOKUP(C1105,[1]CHILDCARE_FACILITIES!AJ:AK,2,0)</f>
        <v>#N/A</v>
      </c>
      <c r="E1105" s="20" t="s">
        <v>15134</v>
      </c>
      <c r="F1105" s="20" t="s">
        <v>15135</v>
      </c>
      <c r="G1105" s="20">
        <v>73527002</v>
      </c>
      <c r="H1105" s="20" t="s">
        <v>15145</v>
      </c>
      <c r="I1105" s="20" t="b">
        <v>1</v>
      </c>
      <c r="J1105" s="20" t="s">
        <v>18029</v>
      </c>
      <c r="K1105" s="20">
        <v>90146</v>
      </c>
      <c r="L1105" s="20" t="s">
        <v>17228</v>
      </c>
      <c r="M1105" s="20" t="s">
        <v>18026</v>
      </c>
    </row>
    <row r="1106" spans="1:13" x14ac:dyDescent="0.25">
      <c r="A1106" s="20">
        <v>90146</v>
      </c>
      <c r="B1106" s="20" t="s">
        <v>16567</v>
      </c>
      <c r="C1106" s="20">
        <v>90146</v>
      </c>
      <c r="D1106" s="20" t="e">
        <f>VLOOKUP(C1106,[1]CHILDCARE_FACILITIES!AJ:AK,2,0)</f>
        <v>#N/A</v>
      </c>
      <c r="E1106" s="20" t="s">
        <v>15134</v>
      </c>
      <c r="F1106" s="20" t="s">
        <v>15135</v>
      </c>
      <c r="G1106" s="20">
        <v>73527002</v>
      </c>
      <c r="H1106" s="20" t="s">
        <v>15136</v>
      </c>
      <c r="I1106" s="20" t="b">
        <v>1</v>
      </c>
      <c r="J1106" s="20" t="s">
        <v>18029</v>
      </c>
      <c r="K1106" s="20">
        <v>90146</v>
      </c>
      <c r="L1106" s="20" t="s">
        <v>17228</v>
      </c>
      <c r="M1106" s="20" t="s">
        <v>18026</v>
      </c>
    </row>
    <row r="1107" spans="1:13" x14ac:dyDescent="0.25">
      <c r="A1107" s="20">
        <v>90146</v>
      </c>
      <c r="B1107" s="20" t="s">
        <v>16567</v>
      </c>
      <c r="C1107" s="20">
        <v>90146</v>
      </c>
      <c r="D1107" s="20" t="e">
        <f>VLOOKUP(C1107,[1]CHILDCARE_FACILITIES!AJ:AK,2,0)</f>
        <v>#N/A</v>
      </c>
      <c r="E1107" s="20" t="s">
        <v>15134</v>
      </c>
      <c r="F1107" s="20" t="s">
        <v>15135</v>
      </c>
      <c r="G1107" s="20">
        <v>73527002</v>
      </c>
      <c r="H1107" s="20" t="s">
        <v>15138</v>
      </c>
      <c r="I1107" s="20" t="b">
        <v>1</v>
      </c>
      <c r="J1107" s="20" t="s">
        <v>18030</v>
      </c>
      <c r="K1107" s="20">
        <v>90146</v>
      </c>
      <c r="L1107" s="20" t="s">
        <v>17433</v>
      </c>
      <c r="M1107" s="20" t="s">
        <v>18028</v>
      </c>
    </row>
    <row r="1108" spans="1:13" x14ac:dyDescent="0.25">
      <c r="A1108" s="20">
        <v>92809</v>
      </c>
      <c r="B1108" s="20" t="s">
        <v>16937</v>
      </c>
      <c r="C1108" s="20">
        <v>92809</v>
      </c>
      <c r="D1108" s="20" t="e">
        <f>VLOOKUP(C1108,[1]CHILDCARE_FACILITIES!AJ:AK,2,0)</f>
        <v>#N/A</v>
      </c>
      <c r="E1108" s="20" t="s">
        <v>15134</v>
      </c>
      <c r="F1108" s="20" t="s">
        <v>15135</v>
      </c>
      <c r="G1108" s="20">
        <v>72453000</v>
      </c>
      <c r="H1108" s="20" t="s">
        <v>15138</v>
      </c>
      <c r="I1108" s="20" t="b">
        <v>1</v>
      </c>
      <c r="J1108" s="20" t="s">
        <v>18031</v>
      </c>
      <c r="K1108" s="20">
        <v>92809</v>
      </c>
      <c r="L1108" s="20" t="s">
        <v>17213</v>
      </c>
      <c r="M1108" s="20" t="s">
        <v>18032</v>
      </c>
    </row>
    <row r="1109" spans="1:13" x14ac:dyDescent="0.25">
      <c r="A1109" s="20">
        <v>92809</v>
      </c>
      <c r="B1109" s="20" t="s">
        <v>16937</v>
      </c>
      <c r="C1109" s="20">
        <v>92809</v>
      </c>
      <c r="D1109" s="20" t="e">
        <f>VLOOKUP(C1109,[1]CHILDCARE_FACILITIES!AJ:AK,2,0)</f>
        <v>#N/A</v>
      </c>
      <c r="E1109" s="20" t="s">
        <v>15134</v>
      </c>
      <c r="F1109" s="20" t="s">
        <v>15135</v>
      </c>
      <c r="G1109" s="20">
        <v>72453000</v>
      </c>
      <c r="H1109" s="20" t="s">
        <v>15136</v>
      </c>
      <c r="I1109" s="20" t="b">
        <v>1</v>
      </c>
      <c r="J1109" s="20" t="s">
        <v>18031</v>
      </c>
      <c r="K1109" s="20">
        <v>92809</v>
      </c>
      <c r="L1109" s="20" t="s">
        <v>17213</v>
      </c>
      <c r="M1109" s="20" t="s">
        <v>18032</v>
      </c>
    </row>
    <row r="1110" spans="1:13" x14ac:dyDescent="0.25">
      <c r="A1110" s="20">
        <v>92810</v>
      </c>
      <c r="B1110" s="20" t="s">
        <v>16937</v>
      </c>
      <c r="C1110" s="20">
        <v>92810</v>
      </c>
      <c r="D1110" s="20" t="e">
        <f>VLOOKUP(C1110,[1]CHILDCARE_FACILITIES!AJ:AK,2,0)</f>
        <v>#N/A</v>
      </c>
      <c r="E1110" s="20" t="s">
        <v>15134</v>
      </c>
      <c r="F1110" s="20" t="s">
        <v>15135</v>
      </c>
      <c r="G1110" s="20">
        <v>72453001</v>
      </c>
      <c r="H1110" s="20" t="s">
        <v>15136</v>
      </c>
      <c r="I1110" s="20" t="b">
        <v>1</v>
      </c>
      <c r="J1110" s="20" t="s">
        <v>18031</v>
      </c>
      <c r="K1110" s="20">
        <v>92810</v>
      </c>
      <c r="L1110" s="20" t="s">
        <v>17213</v>
      </c>
      <c r="M1110" s="20" t="s">
        <v>18032</v>
      </c>
    </row>
    <row r="1111" spans="1:13" x14ac:dyDescent="0.25">
      <c r="A1111" s="20">
        <v>92810</v>
      </c>
      <c r="B1111" s="20" t="s">
        <v>16937</v>
      </c>
      <c r="C1111" s="20">
        <v>92810</v>
      </c>
      <c r="D1111" s="20" t="e">
        <f>VLOOKUP(C1111,[1]CHILDCARE_FACILITIES!AJ:AK,2,0)</f>
        <v>#N/A</v>
      </c>
      <c r="E1111" s="20" t="s">
        <v>15134</v>
      </c>
      <c r="F1111" s="20" t="s">
        <v>15135</v>
      </c>
      <c r="G1111" s="20">
        <v>72453001</v>
      </c>
      <c r="H1111" s="20" t="s">
        <v>15138</v>
      </c>
      <c r="I1111" s="20" t="b">
        <v>1</v>
      </c>
      <c r="J1111" s="20" t="s">
        <v>18031</v>
      </c>
      <c r="K1111" s="20">
        <v>92810</v>
      </c>
      <c r="L1111" s="20" t="s">
        <v>17213</v>
      </c>
      <c r="M1111" s="20" t="s">
        <v>18032</v>
      </c>
    </row>
    <row r="1112" spans="1:13" x14ac:dyDescent="0.25">
      <c r="A1112" s="20">
        <v>80507</v>
      </c>
      <c r="B1112" s="20" t="s">
        <v>16079</v>
      </c>
      <c r="C1112" s="20">
        <v>80507</v>
      </c>
      <c r="D1112" s="20" t="e">
        <f>VLOOKUP(C1112,[1]CHILDCARE_FACILITIES!AJ:AK,2,0)</f>
        <v>#N/A</v>
      </c>
      <c r="E1112" s="20" t="s">
        <v>15134</v>
      </c>
      <c r="F1112" s="20" t="s">
        <v>15135</v>
      </c>
      <c r="G1112" s="20">
        <v>32210005</v>
      </c>
      <c r="H1112" s="20" t="s">
        <v>15145</v>
      </c>
      <c r="I1112" s="20" t="b">
        <v>1</v>
      </c>
      <c r="J1112" s="20" t="s">
        <v>18033</v>
      </c>
      <c r="K1112" s="20">
        <v>80507</v>
      </c>
      <c r="L1112" s="20" t="s">
        <v>17715</v>
      </c>
      <c r="M1112" s="20" t="s">
        <v>18034</v>
      </c>
    </row>
    <row r="1113" spans="1:13" x14ac:dyDescent="0.25">
      <c r="A1113" s="20">
        <v>80507</v>
      </c>
      <c r="B1113" s="20" t="s">
        <v>16079</v>
      </c>
      <c r="C1113" s="20">
        <v>80507</v>
      </c>
      <c r="D1113" s="20" t="e">
        <f>VLOOKUP(C1113,[1]CHILDCARE_FACILITIES!AJ:AK,2,0)</f>
        <v>#N/A</v>
      </c>
      <c r="E1113" s="20" t="s">
        <v>15134</v>
      </c>
      <c r="F1113" s="20" t="s">
        <v>15135</v>
      </c>
      <c r="G1113" s="20">
        <v>32210005</v>
      </c>
      <c r="H1113" s="20" t="s">
        <v>15138</v>
      </c>
      <c r="I1113" s="20" t="b">
        <v>1</v>
      </c>
      <c r="J1113" s="20" t="s">
        <v>17719</v>
      </c>
      <c r="K1113" s="20">
        <v>80507</v>
      </c>
      <c r="L1113" s="20" t="s">
        <v>17715</v>
      </c>
      <c r="M1113" s="20" t="s">
        <v>17720</v>
      </c>
    </row>
    <row r="1114" spans="1:13" x14ac:dyDescent="0.25">
      <c r="A1114" s="20">
        <v>8501</v>
      </c>
      <c r="B1114" s="20" t="s">
        <v>15155</v>
      </c>
      <c r="C1114" s="20">
        <v>8501</v>
      </c>
      <c r="D1114" s="20" t="e">
        <f>VLOOKUP(C1114,[1]CHILDCARE_FACILITIES!AJ:AK,2,0)</f>
        <v>#N/A</v>
      </c>
      <c r="E1114" s="20" t="s">
        <v>15134</v>
      </c>
      <c r="F1114" s="20" t="s">
        <v>15135</v>
      </c>
      <c r="G1114" s="20">
        <v>23005001</v>
      </c>
      <c r="K1114" s="20">
        <v>8501</v>
      </c>
    </row>
    <row r="1115" spans="1:13" x14ac:dyDescent="0.25">
      <c r="A1115" s="20">
        <v>9171</v>
      </c>
      <c r="B1115" s="20" t="s">
        <v>15389</v>
      </c>
      <c r="C1115" s="20">
        <v>9171</v>
      </c>
      <c r="D1115" s="20" t="e">
        <f>VLOOKUP(C1115,[1]CHILDCARE_FACILITIES!AJ:AK,2,0)</f>
        <v>#N/A</v>
      </c>
      <c r="E1115" s="20" t="s">
        <v>15134</v>
      </c>
      <c r="F1115" s="20" t="s">
        <v>15135</v>
      </c>
      <c r="G1115" s="20">
        <v>73114000</v>
      </c>
      <c r="H1115" s="20" t="s">
        <v>15138</v>
      </c>
      <c r="I1115" s="20" t="b">
        <v>1</v>
      </c>
      <c r="J1115" s="20" t="s">
        <v>18035</v>
      </c>
      <c r="K1115" s="20">
        <v>9171</v>
      </c>
      <c r="L1115" s="20" t="s">
        <v>17213</v>
      </c>
      <c r="M1115" s="20" t="s">
        <v>18036</v>
      </c>
    </row>
    <row r="1116" spans="1:13" x14ac:dyDescent="0.25">
      <c r="A1116" s="20">
        <v>9171</v>
      </c>
      <c r="B1116" s="20" t="s">
        <v>15389</v>
      </c>
      <c r="C1116" s="20">
        <v>9171</v>
      </c>
      <c r="D1116" s="20" t="e">
        <f>VLOOKUP(C1116,[1]CHILDCARE_FACILITIES!AJ:AK,2,0)</f>
        <v>#N/A</v>
      </c>
      <c r="E1116" s="20" t="s">
        <v>15134</v>
      </c>
      <c r="F1116" s="20" t="s">
        <v>15135</v>
      </c>
      <c r="G1116" s="20">
        <v>73114000</v>
      </c>
      <c r="H1116" s="20" t="s">
        <v>15136</v>
      </c>
      <c r="I1116" s="20" t="b">
        <v>1</v>
      </c>
      <c r="J1116" s="20" t="s">
        <v>18035</v>
      </c>
      <c r="K1116" s="20">
        <v>9171</v>
      </c>
      <c r="L1116" s="20" t="s">
        <v>17213</v>
      </c>
      <c r="M1116" s="20" t="s">
        <v>18036</v>
      </c>
    </row>
    <row r="1117" spans="1:13" x14ac:dyDescent="0.25">
      <c r="A1117" s="20">
        <v>9172</v>
      </c>
      <c r="B1117" s="20" t="s">
        <v>15391</v>
      </c>
      <c r="C1117" s="20">
        <v>9172</v>
      </c>
      <c r="D1117" s="20" t="str">
        <f>VLOOKUP(C1117,[1]CHILDCARE_FACILITIES!AJ:AK,2,0)</f>
        <v>CDC-2100</v>
      </c>
      <c r="E1117" s="20" t="s">
        <v>15134</v>
      </c>
      <c r="F1117" s="20" t="s">
        <v>15135</v>
      </c>
      <c r="G1117" s="20">
        <v>73114001</v>
      </c>
      <c r="K1117" s="20">
        <v>9172</v>
      </c>
    </row>
    <row r="1118" spans="1:13" x14ac:dyDescent="0.25">
      <c r="A1118" s="20">
        <v>80836</v>
      </c>
      <c r="B1118" s="20" t="s">
        <v>16221</v>
      </c>
      <c r="C1118" s="20">
        <v>80836</v>
      </c>
      <c r="D1118" s="20" t="e">
        <f>VLOOKUP(C1118,[1]CHILDCARE_FACILITIES!AJ:AK,2,0)</f>
        <v>#N/A</v>
      </c>
      <c r="E1118" s="20" t="s">
        <v>15134</v>
      </c>
      <c r="F1118" s="20" t="s">
        <v>15135</v>
      </c>
      <c r="G1118" s="20">
        <v>103121001</v>
      </c>
      <c r="H1118" s="20" t="s">
        <v>15138</v>
      </c>
      <c r="I1118" s="20" t="b">
        <v>1</v>
      </c>
      <c r="J1118" s="20" t="s">
        <v>18037</v>
      </c>
      <c r="K1118" s="20">
        <v>80836</v>
      </c>
      <c r="L1118" s="20" t="s">
        <v>17271</v>
      </c>
      <c r="M1118" s="20" t="s">
        <v>18038</v>
      </c>
    </row>
    <row r="1119" spans="1:13" x14ac:dyDescent="0.25">
      <c r="A1119" s="20">
        <v>80836</v>
      </c>
      <c r="B1119" s="20" t="s">
        <v>16221</v>
      </c>
      <c r="C1119" s="20">
        <v>80836</v>
      </c>
      <c r="D1119" s="20" t="e">
        <f>VLOOKUP(C1119,[1]CHILDCARE_FACILITIES!AJ:AK,2,0)</f>
        <v>#N/A</v>
      </c>
      <c r="E1119" s="20" t="s">
        <v>15134</v>
      </c>
      <c r="F1119" s="20" t="s">
        <v>15135</v>
      </c>
      <c r="G1119" s="20">
        <v>103121001</v>
      </c>
      <c r="H1119" s="20" t="s">
        <v>15145</v>
      </c>
      <c r="I1119" s="20" t="b">
        <v>1</v>
      </c>
      <c r="J1119" s="20" t="s">
        <v>18037</v>
      </c>
      <c r="K1119" s="20">
        <v>80836</v>
      </c>
      <c r="L1119" s="20" t="s">
        <v>17271</v>
      </c>
      <c r="M1119" s="20" t="s">
        <v>18038</v>
      </c>
    </row>
    <row r="1120" spans="1:13" x14ac:dyDescent="0.25">
      <c r="A1120" s="20">
        <v>89735</v>
      </c>
      <c r="B1120" s="20" t="s">
        <v>16445</v>
      </c>
      <c r="C1120" s="20">
        <v>89735</v>
      </c>
      <c r="D1120" s="20" t="e">
        <f>VLOOKUP(C1120,[1]CHILDCARE_FACILITIES!AJ:AK,2,0)</f>
        <v>#N/A</v>
      </c>
      <c r="E1120" s="20" t="s">
        <v>15134</v>
      </c>
      <c r="F1120" s="20" t="s">
        <v>15135</v>
      </c>
      <c r="G1120" s="20">
        <v>103121004</v>
      </c>
      <c r="H1120" s="20" t="s">
        <v>15145</v>
      </c>
      <c r="I1120" s="20" t="b">
        <v>1</v>
      </c>
      <c r="J1120" s="20" t="s">
        <v>18039</v>
      </c>
      <c r="K1120" s="20">
        <v>89735</v>
      </c>
      <c r="L1120" s="20" t="s">
        <v>17271</v>
      </c>
      <c r="M1120" s="20" t="s">
        <v>18040</v>
      </c>
    </row>
    <row r="1121" spans="1:13" x14ac:dyDescent="0.25">
      <c r="A1121" s="20">
        <v>80835</v>
      </c>
      <c r="B1121" s="20" t="s">
        <v>16219</v>
      </c>
      <c r="C1121" s="20">
        <v>80835</v>
      </c>
      <c r="D1121" s="20" t="e">
        <f>VLOOKUP(C1121,[1]CHILDCARE_FACILITIES!AJ:AK,2,0)</f>
        <v>#N/A</v>
      </c>
      <c r="E1121" s="20" t="s">
        <v>15134</v>
      </c>
      <c r="F1121" s="20" t="s">
        <v>15135</v>
      </c>
      <c r="G1121" s="20">
        <v>103121000</v>
      </c>
      <c r="H1121" s="20" t="s">
        <v>15138</v>
      </c>
      <c r="I1121" s="20" t="b">
        <v>1</v>
      </c>
      <c r="J1121" s="20" t="s">
        <v>18037</v>
      </c>
      <c r="K1121" s="20">
        <v>80835</v>
      </c>
      <c r="L1121" s="20" t="s">
        <v>17271</v>
      </c>
      <c r="M1121" s="20" t="s">
        <v>18038</v>
      </c>
    </row>
    <row r="1122" spans="1:13" x14ac:dyDescent="0.25">
      <c r="A1122" s="20">
        <v>80835</v>
      </c>
      <c r="B1122" s="20" t="s">
        <v>16219</v>
      </c>
      <c r="C1122" s="20">
        <v>80835</v>
      </c>
      <c r="D1122" s="20" t="e">
        <f>VLOOKUP(C1122,[1]CHILDCARE_FACILITIES!AJ:AK,2,0)</f>
        <v>#N/A</v>
      </c>
      <c r="E1122" s="20" t="s">
        <v>15134</v>
      </c>
      <c r="F1122" s="20" t="s">
        <v>15135</v>
      </c>
      <c r="G1122" s="20">
        <v>103121000</v>
      </c>
      <c r="H1122" s="20" t="s">
        <v>15136</v>
      </c>
      <c r="I1122" s="20" t="b">
        <v>1</v>
      </c>
      <c r="J1122" s="20" t="s">
        <v>18037</v>
      </c>
      <c r="K1122" s="20">
        <v>80835</v>
      </c>
      <c r="L1122" s="20" t="s">
        <v>17271</v>
      </c>
      <c r="M1122" s="20" t="s">
        <v>18038</v>
      </c>
    </row>
    <row r="1123" spans="1:13" x14ac:dyDescent="0.25">
      <c r="A1123" s="20">
        <v>80837</v>
      </c>
      <c r="B1123" s="20" t="s">
        <v>16222</v>
      </c>
      <c r="C1123" s="20">
        <v>80837</v>
      </c>
      <c r="D1123" s="20" t="str">
        <f>VLOOKUP(C1123,[1]CHILDCARE_FACILITIES!AJ:AK,2,0)</f>
        <v>CDC-8884</v>
      </c>
      <c r="E1123" s="20" t="s">
        <v>15134</v>
      </c>
      <c r="F1123" s="20" t="s">
        <v>15135</v>
      </c>
      <c r="G1123" s="20">
        <v>103121002</v>
      </c>
      <c r="H1123" s="20" t="s">
        <v>15145</v>
      </c>
      <c r="I1123" s="20" t="b">
        <v>1</v>
      </c>
      <c r="J1123" s="20" t="s">
        <v>18039</v>
      </c>
      <c r="K1123" s="20">
        <v>80837</v>
      </c>
      <c r="L1123" s="20" t="s">
        <v>17271</v>
      </c>
      <c r="M1123" s="20" t="s">
        <v>18040</v>
      </c>
    </row>
    <row r="1124" spans="1:13" x14ac:dyDescent="0.25">
      <c r="A1124" s="20">
        <v>80838</v>
      </c>
      <c r="B1124" s="20" t="s">
        <v>16224</v>
      </c>
      <c r="C1124" s="20">
        <v>80838</v>
      </c>
      <c r="D1124" s="20" t="e">
        <f>VLOOKUP(C1124,[1]CHILDCARE_FACILITIES!AJ:AK,2,0)</f>
        <v>#N/A</v>
      </c>
      <c r="E1124" s="20" t="s">
        <v>15134</v>
      </c>
      <c r="F1124" s="20" t="s">
        <v>15135</v>
      </c>
      <c r="G1124" s="20">
        <v>103121003</v>
      </c>
      <c r="H1124" s="20" t="s">
        <v>15138</v>
      </c>
      <c r="I1124" s="20" t="b">
        <v>1</v>
      </c>
      <c r="J1124" s="20" t="s">
        <v>18037</v>
      </c>
      <c r="K1124" s="20">
        <v>80838</v>
      </c>
      <c r="L1124" s="20" t="s">
        <v>17271</v>
      </c>
      <c r="M1124" s="20" t="s">
        <v>18038</v>
      </c>
    </row>
    <row r="1125" spans="1:13" x14ac:dyDescent="0.25">
      <c r="A1125" s="20">
        <v>80838</v>
      </c>
      <c r="B1125" s="20" t="s">
        <v>16224</v>
      </c>
      <c r="C1125" s="20">
        <v>80838</v>
      </c>
      <c r="D1125" s="20" t="e">
        <f>VLOOKUP(C1125,[1]CHILDCARE_FACILITIES!AJ:AK,2,0)</f>
        <v>#N/A</v>
      </c>
      <c r="E1125" s="20" t="s">
        <v>15134</v>
      </c>
      <c r="F1125" s="20" t="s">
        <v>15135</v>
      </c>
      <c r="G1125" s="20">
        <v>103121003</v>
      </c>
      <c r="H1125" s="20" t="s">
        <v>15145</v>
      </c>
      <c r="I1125" s="20" t="b">
        <v>1</v>
      </c>
      <c r="J1125" s="20" t="s">
        <v>18041</v>
      </c>
      <c r="K1125" s="20">
        <v>80838</v>
      </c>
      <c r="L1125" s="20" t="s">
        <v>17271</v>
      </c>
      <c r="M1125" s="20" t="s">
        <v>18042</v>
      </c>
    </row>
    <row r="1126" spans="1:13" x14ac:dyDescent="0.25">
      <c r="A1126" s="20">
        <v>7921</v>
      </c>
      <c r="B1126" s="20" t="s">
        <v>15133</v>
      </c>
      <c r="C1126" s="20">
        <v>7921</v>
      </c>
      <c r="D1126" s="20" t="e">
        <f>VLOOKUP(C1126,[1]CHILDCARE_FACILITIES!AJ:AK,2,0)</f>
        <v>#N/A</v>
      </c>
      <c r="E1126" s="20" t="s">
        <v>15134</v>
      </c>
      <c r="F1126" s="20" t="s">
        <v>15135</v>
      </c>
      <c r="G1126" s="20">
        <v>102139000</v>
      </c>
      <c r="H1126" s="20" t="s">
        <v>15136</v>
      </c>
      <c r="I1126" s="20" t="b">
        <v>1</v>
      </c>
      <c r="J1126" s="20" t="s">
        <v>18043</v>
      </c>
      <c r="K1126" s="20">
        <v>7921</v>
      </c>
      <c r="L1126" s="20" t="s">
        <v>17271</v>
      </c>
      <c r="M1126" s="20" t="s">
        <v>18044</v>
      </c>
    </row>
    <row r="1127" spans="1:13" x14ac:dyDescent="0.25">
      <c r="A1127" s="20">
        <v>7921</v>
      </c>
      <c r="B1127" s="20" t="s">
        <v>15133</v>
      </c>
      <c r="C1127" s="20">
        <v>7921</v>
      </c>
      <c r="D1127" s="20" t="e">
        <f>VLOOKUP(C1127,[1]CHILDCARE_FACILITIES!AJ:AK,2,0)</f>
        <v>#N/A</v>
      </c>
      <c r="E1127" s="20" t="s">
        <v>15134</v>
      </c>
      <c r="F1127" s="20" t="s">
        <v>15135</v>
      </c>
      <c r="G1127" s="20">
        <v>102139000</v>
      </c>
      <c r="H1127" s="20" t="s">
        <v>15138</v>
      </c>
      <c r="I1127" s="20" t="b">
        <v>1</v>
      </c>
      <c r="J1127" s="20" t="s">
        <v>18045</v>
      </c>
      <c r="K1127" s="20">
        <v>7921</v>
      </c>
      <c r="L1127" s="20" t="s">
        <v>17271</v>
      </c>
      <c r="M1127" s="20" t="s">
        <v>18044</v>
      </c>
    </row>
    <row r="1128" spans="1:13" x14ac:dyDescent="0.25">
      <c r="A1128" s="20">
        <v>7922</v>
      </c>
      <c r="B1128" s="20" t="s">
        <v>15133</v>
      </c>
      <c r="C1128" s="20">
        <v>7922</v>
      </c>
      <c r="D1128" s="20" t="e">
        <f>VLOOKUP(C1128,[1]CHILDCARE_FACILITIES!AJ:AK,2,0)</f>
        <v>#N/A</v>
      </c>
      <c r="E1128" s="20" t="s">
        <v>15134</v>
      </c>
      <c r="F1128" s="20" t="s">
        <v>15135</v>
      </c>
      <c r="G1128" s="20">
        <v>102139001</v>
      </c>
      <c r="H1128" s="20" t="s">
        <v>15138</v>
      </c>
      <c r="I1128" s="20" t="b">
        <v>1</v>
      </c>
      <c r="J1128" s="20" t="s">
        <v>18045</v>
      </c>
      <c r="K1128" s="20">
        <v>7922</v>
      </c>
      <c r="L1128" s="20" t="s">
        <v>17271</v>
      </c>
      <c r="M1128" s="20" t="s">
        <v>18044</v>
      </c>
    </row>
    <row r="1129" spans="1:13" x14ac:dyDescent="0.25">
      <c r="A1129" s="20">
        <v>7922</v>
      </c>
      <c r="B1129" s="20" t="s">
        <v>15133</v>
      </c>
      <c r="C1129" s="20">
        <v>7922</v>
      </c>
      <c r="D1129" s="20" t="e">
        <f>VLOOKUP(C1129,[1]CHILDCARE_FACILITIES!AJ:AK,2,0)</f>
        <v>#N/A</v>
      </c>
      <c r="E1129" s="20" t="s">
        <v>15134</v>
      </c>
      <c r="F1129" s="20" t="s">
        <v>15135</v>
      </c>
      <c r="G1129" s="20">
        <v>102139001</v>
      </c>
      <c r="H1129" s="20" t="s">
        <v>15136</v>
      </c>
      <c r="I1129" s="20" t="b">
        <v>1</v>
      </c>
      <c r="J1129" s="20" t="s">
        <v>18045</v>
      </c>
      <c r="K1129" s="20">
        <v>7922</v>
      </c>
      <c r="L1129" s="20" t="s">
        <v>17271</v>
      </c>
      <c r="M1129" s="20" t="s">
        <v>18044</v>
      </c>
    </row>
    <row r="1130" spans="1:13" x14ac:dyDescent="0.25">
      <c r="A1130" s="20">
        <v>86676</v>
      </c>
      <c r="B1130" s="20" t="s">
        <v>16319</v>
      </c>
      <c r="C1130" s="20">
        <v>86676</v>
      </c>
      <c r="D1130" s="20" t="e">
        <f>VLOOKUP(C1130,[1]CHILDCARE_FACILITIES!AJ:AK,2,0)</f>
        <v>#N/A</v>
      </c>
      <c r="E1130" s="20" t="s">
        <v>15134</v>
      </c>
      <c r="F1130" s="20" t="s">
        <v>15135</v>
      </c>
      <c r="G1130" s="20">
        <v>73518000</v>
      </c>
      <c r="H1130" s="20" t="s">
        <v>15145</v>
      </c>
      <c r="I1130" s="20" t="b">
        <v>1</v>
      </c>
      <c r="J1130" s="20" t="s">
        <v>18046</v>
      </c>
      <c r="K1130" s="20">
        <v>86676</v>
      </c>
      <c r="L1130" s="20" t="s">
        <v>18047</v>
      </c>
      <c r="M1130" s="20" t="s">
        <v>18048</v>
      </c>
    </row>
    <row r="1131" spans="1:13" x14ac:dyDescent="0.25">
      <c r="A1131" s="20">
        <v>86676</v>
      </c>
      <c r="B1131" s="20" t="s">
        <v>16319</v>
      </c>
      <c r="C1131" s="20">
        <v>86676</v>
      </c>
      <c r="D1131" s="20" t="e">
        <f>VLOOKUP(C1131,[1]CHILDCARE_FACILITIES!AJ:AK,2,0)</f>
        <v>#N/A</v>
      </c>
      <c r="E1131" s="20" t="s">
        <v>15134</v>
      </c>
      <c r="F1131" s="20" t="s">
        <v>15135</v>
      </c>
      <c r="G1131" s="20">
        <v>73518000</v>
      </c>
      <c r="H1131" s="20" t="s">
        <v>15138</v>
      </c>
      <c r="I1131" s="20" t="b">
        <v>0</v>
      </c>
      <c r="J1131" s="20" t="s">
        <v>18049</v>
      </c>
      <c r="K1131" s="20">
        <v>86676</v>
      </c>
      <c r="L1131" s="20" t="s">
        <v>18050</v>
      </c>
      <c r="M1131" s="20" t="s">
        <v>18051</v>
      </c>
    </row>
    <row r="1132" spans="1:13" x14ac:dyDescent="0.25">
      <c r="A1132" s="20">
        <v>86677</v>
      </c>
      <c r="B1132" s="20" t="s">
        <v>16319</v>
      </c>
      <c r="C1132" s="20">
        <v>86677</v>
      </c>
      <c r="D1132" s="20" t="e">
        <f>VLOOKUP(C1132,[1]CHILDCARE_FACILITIES!AJ:AK,2,0)</f>
        <v>#N/A</v>
      </c>
      <c r="E1132" s="20" t="s">
        <v>15134</v>
      </c>
      <c r="F1132" s="20" t="s">
        <v>15135</v>
      </c>
      <c r="G1132" s="20">
        <v>73518001</v>
      </c>
      <c r="H1132" s="20" t="s">
        <v>15145</v>
      </c>
      <c r="I1132" s="20" t="b">
        <v>1</v>
      </c>
      <c r="J1132" s="20" t="s">
        <v>18046</v>
      </c>
      <c r="K1132" s="20">
        <v>86677</v>
      </c>
      <c r="L1132" s="20" t="s">
        <v>18047</v>
      </c>
      <c r="M1132" s="20" t="s">
        <v>18048</v>
      </c>
    </row>
    <row r="1133" spans="1:13" x14ac:dyDescent="0.25">
      <c r="A1133" s="20">
        <v>86677</v>
      </c>
      <c r="B1133" s="20" t="s">
        <v>16319</v>
      </c>
      <c r="C1133" s="20">
        <v>86677</v>
      </c>
      <c r="D1133" s="20" t="e">
        <f>VLOOKUP(C1133,[1]CHILDCARE_FACILITIES!AJ:AK,2,0)</f>
        <v>#N/A</v>
      </c>
      <c r="E1133" s="20" t="s">
        <v>15134</v>
      </c>
      <c r="F1133" s="20" t="s">
        <v>15135</v>
      </c>
      <c r="G1133" s="20">
        <v>73518001</v>
      </c>
      <c r="H1133" s="20" t="s">
        <v>15138</v>
      </c>
      <c r="I1133" s="20" t="b">
        <v>0</v>
      </c>
      <c r="J1133" s="20" t="s">
        <v>18049</v>
      </c>
      <c r="K1133" s="20">
        <v>86677</v>
      </c>
      <c r="L1133" s="20" t="s">
        <v>18050</v>
      </c>
      <c r="M1133" s="20" t="s">
        <v>18051</v>
      </c>
    </row>
    <row r="1134" spans="1:13" x14ac:dyDescent="0.25">
      <c r="A1134" s="20">
        <v>92701</v>
      </c>
      <c r="B1134" s="20" t="s">
        <v>16903</v>
      </c>
      <c r="C1134" s="20">
        <v>92701</v>
      </c>
      <c r="D1134" s="20" t="str">
        <f>VLOOKUP(C1134,[1]CHILDCARE_FACILITIES!AJ:AK,2,0)</f>
        <v>CDC-16851</v>
      </c>
      <c r="E1134" s="20" t="s">
        <v>15134</v>
      </c>
      <c r="F1134" s="20" t="s">
        <v>15135</v>
      </c>
      <c r="G1134" s="20">
        <v>73315001</v>
      </c>
      <c r="H1134" s="20" t="s">
        <v>15138</v>
      </c>
      <c r="I1134" s="20" t="b">
        <v>1</v>
      </c>
      <c r="J1134" s="20" t="s">
        <v>18052</v>
      </c>
      <c r="K1134" s="20">
        <v>92701</v>
      </c>
      <c r="L1134" s="20" t="s">
        <v>17236</v>
      </c>
      <c r="M1134" s="20" t="s">
        <v>18053</v>
      </c>
    </row>
    <row r="1135" spans="1:13" x14ac:dyDescent="0.25">
      <c r="A1135" s="20">
        <v>92700</v>
      </c>
      <c r="B1135" s="20" t="s">
        <v>16901</v>
      </c>
      <c r="C1135" s="20">
        <v>92700</v>
      </c>
      <c r="D1135" s="20" t="e">
        <f>VLOOKUP(C1135,[1]CHILDCARE_FACILITIES!AJ:AK,2,0)</f>
        <v>#N/A</v>
      </c>
      <c r="E1135" s="20" t="s">
        <v>15134</v>
      </c>
      <c r="F1135" s="20" t="s">
        <v>15135</v>
      </c>
      <c r="G1135" s="20">
        <v>73315000</v>
      </c>
      <c r="H1135" s="20" t="s">
        <v>15138</v>
      </c>
      <c r="I1135" s="20" t="b">
        <v>1</v>
      </c>
      <c r="J1135" s="20" t="s">
        <v>18052</v>
      </c>
      <c r="K1135" s="20">
        <v>92700</v>
      </c>
      <c r="L1135" s="20" t="s">
        <v>17236</v>
      </c>
      <c r="M1135" s="20" t="s">
        <v>18053</v>
      </c>
    </row>
    <row r="1136" spans="1:13" x14ac:dyDescent="0.25">
      <c r="A1136" s="20">
        <v>92700</v>
      </c>
      <c r="B1136" s="20" t="s">
        <v>16901</v>
      </c>
      <c r="C1136" s="20">
        <v>92700</v>
      </c>
      <c r="D1136" s="20" t="e">
        <f>VLOOKUP(C1136,[1]CHILDCARE_FACILITIES!AJ:AK,2,0)</f>
        <v>#N/A</v>
      </c>
      <c r="E1136" s="20" t="s">
        <v>15134</v>
      </c>
      <c r="F1136" s="20" t="s">
        <v>15135</v>
      </c>
      <c r="G1136" s="20">
        <v>73315000</v>
      </c>
      <c r="H1136" s="20" t="s">
        <v>15136</v>
      </c>
      <c r="I1136" s="20" t="b">
        <v>1</v>
      </c>
      <c r="J1136" s="20" t="s">
        <v>18052</v>
      </c>
      <c r="K1136" s="20">
        <v>92700</v>
      </c>
      <c r="L1136" s="20" t="s">
        <v>17236</v>
      </c>
      <c r="M1136" s="20" t="s">
        <v>18053</v>
      </c>
    </row>
    <row r="1137" spans="1:13" x14ac:dyDescent="0.25">
      <c r="A1137" s="20">
        <v>91880</v>
      </c>
      <c r="B1137" s="20" t="s">
        <v>16808</v>
      </c>
      <c r="C1137" s="20">
        <v>91880</v>
      </c>
      <c r="D1137" s="20" t="e">
        <f>VLOOKUP(C1137,[1]CHILDCARE_FACILITIES!AJ:AK,2,0)</f>
        <v>#N/A</v>
      </c>
      <c r="E1137" s="20" t="s">
        <v>15134</v>
      </c>
      <c r="F1137" s="20" t="s">
        <v>15135</v>
      </c>
      <c r="G1137" s="20">
        <v>72449000</v>
      </c>
      <c r="H1137" s="20" t="s">
        <v>15138</v>
      </c>
      <c r="I1137" s="20" t="b">
        <v>1</v>
      </c>
      <c r="J1137" s="20" t="s">
        <v>18054</v>
      </c>
      <c r="K1137" s="20">
        <v>91880</v>
      </c>
      <c r="L1137" s="20" t="s">
        <v>17964</v>
      </c>
      <c r="M1137" s="20" t="s">
        <v>18055</v>
      </c>
    </row>
    <row r="1138" spans="1:13" x14ac:dyDescent="0.25">
      <c r="A1138" s="20">
        <v>91880</v>
      </c>
      <c r="B1138" s="20" t="s">
        <v>16808</v>
      </c>
      <c r="C1138" s="20">
        <v>91880</v>
      </c>
      <c r="D1138" s="20" t="e">
        <f>VLOOKUP(C1138,[1]CHILDCARE_FACILITIES!AJ:AK,2,0)</f>
        <v>#N/A</v>
      </c>
      <c r="E1138" s="20" t="s">
        <v>15134</v>
      </c>
      <c r="F1138" s="20" t="s">
        <v>15135</v>
      </c>
      <c r="G1138" s="20">
        <v>72449000</v>
      </c>
      <c r="H1138" s="20" t="s">
        <v>15145</v>
      </c>
      <c r="I1138" s="20" t="b">
        <v>1</v>
      </c>
      <c r="J1138" s="20" t="s">
        <v>18056</v>
      </c>
      <c r="K1138" s="20">
        <v>91880</v>
      </c>
      <c r="L1138" s="20" t="s">
        <v>17213</v>
      </c>
      <c r="M1138" s="20" t="s">
        <v>18057</v>
      </c>
    </row>
    <row r="1139" spans="1:13" x14ac:dyDescent="0.25">
      <c r="A1139" s="20">
        <v>80501</v>
      </c>
      <c r="B1139" s="20" t="s">
        <v>16072</v>
      </c>
      <c r="C1139" s="20">
        <v>80501</v>
      </c>
      <c r="D1139" s="20" t="e">
        <f>VLOOKUP(C1139,[1]CHILDCARE_FACILITIES!AJ:AK,2,0)</f>
        <v>#N/A</v>
      </c>
      <c r="E1139" s="20" t="s">
        <v>15134</v>
      </c>
      <c r="F1139" s="20" t="s">
        <v>15135</v>
      </c>
      <c r="G1139" s="20">
        <v>103114005</v>
      </c>
      <c r="H1139" s="20" t="s">
        <v>15145</v>
      </c>
      <c r="I1139" s="20" t="b">
        <v>1</v>
      </c>
      <c r="J1139" s="20" t="s">
        <v>18058</v>
      </c>
      <c r="K1139" s="20">
        <v>80501</v>
      </c>
      <c r="L1139" s="20" t="s">
        <v>17213</v>
      </c>
      <c r="M1139" s="20" t="s">
        <v>18059</v>
      </c>
    </row>
    <row r="1140" spans="1:13" x14ac:dyDescent="0.25">
      <c r="A1140" s="20">
        <v>80501</v>
      </c>
      <c r="B1140" s="20" t="s">
        <v>16072</v>
      </c>
      <c r="C1140" s="20">
        <v>80501</v>
      </c>
      <c r="D1140" s="20" t="e">
        <f>VLOOKUP(C1140,[1]CHILDCARE_FACILITIES!AJ:AK,2,0)</f>
        <v>#N/A</v>
      </c>
      <c r="E1140" s="20" t="s">
        <v>15134</v>
      </c>
      <c r="F1140" s="20" t="s">
        <v>15135</v>
      </c>
      <c r="G1140" s="20">
        <v>103114005</v>
      </c>
      <c r="H1140" s="20" t="s">
        <v>15138</v>
      </c>
      <c r="I1140" s="20" t="b">
        <v>0</v>
      </c>
      <c r="J1140" s="20" t="s">
        <v>17284</v>
      </c>
      <c r="K1140" s="20">
        <v>80501</v>
      </c>
      <c r="L1140" s="20" t="s">
        <v>17279</v>
      </c>
      <c r="M1140" s="20" t="s">
        <v>17285</v>
      </c>
    </row>
    <row r="1141" spans="1:13" x14ac:dyDescent="0.25">
      <c r="A1141" s="20">
        <v>80502</v>
      </c>
      <c r="B1141" s="20" t="s">
        <v>16074</v>
      </c>
      <c r="C1141" s="20">
        <v>80502</v>
      </c>
      <c r="D1141" s="20" t="e">
        <f>VLOOKUP(C1141,[1]CHILDCARE_FACILITIES!AJ:AK,2,0)</f>
        <v>#N/A</v>
      </c>
      <c r="E1141" s="20" t="s">
        <v>15134</v>
      </c>
      <c r="F1141" s="20" t="s">
        <v>15135</v>
      </c>
      <c r="G1141" s="20">
        <v>103114006</v>
      </c>
      <c r="H1141" s="20" t="s">
        <v>15145</v>
      </c>
      <c r="I1141" s="20" t="b">
        <v>1</v>
      </c>
      <c r="J1141" s="20" t="s">
        <v>18060</v>
      </c>
      <c r="K1141" s="20">
        <v>80502</v>
      </c>
      <c r="L1141" s="20" t="s">
        <v>17216</v>
      </c>
      <c r="M1141" s="20" t="s">
        <v>18061</v>
      </c>
    </row>
    <row r="1142" spans="1:13" x14ac:dyDescent="0.25">
      <c r="A1142" s="20">
        <v>80502</v>
      </c>
      <c r="B1142" s="20" t="s">
        <v>16074</v>
      </c>
      <c r="C1142" s="20">
        <v>80502</v>
      </c>
      <c r="D1142" s="20" t="e">
        <f>VLOOKUP(C1142,[1]CHILDCARE_FACILITIES!AJ:AK,2,0)</f>
        <v>#N/A</v>
      </c>
      <c r="E1142" s="20" t="s">
        <v>15134</v>
      </c>
      <c r="F1142" s="20" t="s">
        <v>15135</v>
      </c>
      <c r="G1142" s="20">
        <v>103114006</v>
      </c>
      <c r="H1142" s="20" t="s">
        <v>15138</v>
      </c>
      <c r="I1142" s="20" t="b">
        <v>0</v>
      </c>
      <c r="J1142" s="20" t="s">
        <v>17284</v>
      </c>
      <c r="K1142" s="20">
        <v>80502</v>
      </c>
      <c r="L1142" s="20" t="s">
        <v>17279</v>
      </c>
      <c r="M1142" s="20" t="s">
        <v>17285</v>
      </c>
    </row>
    <row r="1143" spans="1:13" x14ac:dyDescent="0.25">
      <c r="A1143" s="20">
        <v>80503</v>
      </c>
      <c r="B1143" s="20" t="s">
        <v>16076</v>
      </c>
      <c r="C1143" s="20">
        <v>80503</v>
      </c>
      <c r="D1143" s="20" t="e">
        <f>VLOOKUP(C1143,[1]CHILDCARE_FACILITIES!AJ:AK,2,0)</f>
        <v>#N/A</v>
      </c>
      <c r="E1143" s="20" t="s">
        <v>15134</v>
      </c>
      <c r="F1143" s="20" t="s">
        <v>15135</v>
      </c>
      <c r="G1143" s="20">
        <v>103114007</v>
      </c>
      <c r="H1143" s="20" t="s">
        <v>15145</v>
      </c>
      <c r="I1143" s="20" t="b">
        <v>1</v>
      </c>
      <c r="J1143" s="20" t="s">
        <v>17925</v>
      </c>
      <c r="K1143" s="20">
        <v>80503</v>
      </c>
      <c r="L1143" s="20" t="s">
        <v>17271</v>
      </c>
      <c r="M1143" s="20" t="s">
        <v>17926</v>
      </c>
    </row>
    <row r="1144" spans="1:13" x14ac:dyDescent="0.25">
      <c r="A1144" s="20">
        <v>80503</v>
      </c>
      <c r="B1144" s="20" t="s">
        <v>16076</v>
      </c>
      <c r="C1144" s="20">
        <v>80503</v>
      </c>
      <c r="D1144" s="20" t="e">
        <f>VLOOKUP(C1144,[1]CHILDCARE_FACILITIES!AJ:AK,2,0)</f>
        <v>#N/A</v>
      </c>
      <c r="E1144" s="20" t="s">
        <v>15134</v>
      </c>
      <c r="F1144" s="20" t="s">
        <v>15135</v>
      </c>
      <c r="G1144" s="20">
        <v>103114007</v>
      </c>
      <c r="H1144" s="20" t="s">
        <v>15138</v>
      </c>
      <c r="I1144" s="20" t="b">
        <v>0</v>
      </c>
      <c r="J1144" s="20" t="s">
        <v>17284</v>
      </c>
      <c r="K1144" s="20">
        <v>80503</v>
      </c>
      <c r="L1144" s="20" t="s">
        <v>17279</v>
      </c>
      <c r="M1144" s="20" t="s">
        <v>17285</v>
      </c>
    </row>
    <row r="1145" spans="1:13" x14ac:dyDescent="0.25">
      <c r="A1145" s="20">
        <v>80496</v>
      </c>
      <c r="B1145" s="20" t="s">
        <v>16060</v>
      </c>
      <c r="C1145" s="20">
        <v>80496</v>
      </c>
      <c r="D1145" s="20" t="e">
        <f>VLOOKUP(C1145,[1]CHILDCARE_FACILITIES!AJ:AK,2,0)</f>
        <v>#N/A</v>
      </c>
      <c r="E1145" s="20" t="s">
        <v>15134</v>
      </c>
      <c r="F1145" s="20" t="s">
        <v>15135</v>
      </c>
      <c r="G1145" s="20">
        <v>103114000</v>
      </c>
      <c r="H1145" s="20" t="s">
        <v>15138</v>
      </c>
      <c r="I1145" s="20" t="b">
        <v>1</v>
      </c>
      <c r="J1145" s="20" t="s">
        <v>17276</v>
      </c>
      <c r="K1145" s="20">
        <v>80496</v>
      </c>
      <c r="L1145" s="20" t="s">
        <v>17271</v>
      </c>
      <c r="M1145" s="20" t="s">
        <v>17277</v>
      </c>
    </row>
    <row r="1146" spans="1:13" x14ac:dyDescent="0.25">
      <c r="A1146" s="20">
        <v>80496</v>
      </c>
      <c r="B1146" s="20" t="s">
        <v>16060</v>
      </c>
      <c r="C1146" s="20">
        <v>80496</v>
      </c>
      <c r="D1146" s="20" t="e">
        <f>VLOOKUP(C1146,[1]CHILDCARE_FACILITIES!AJ:AK,2,0)</f>
        <v>#N/A</v>
      </c>
      <c r="E1146" s="20" t="s">
        <v>15134</v>
      </c>
      <c r="F1146" s="20" t="s">
        <v>15135</v>
      </c>
      <c r="G1146" s="20">
        <v>103114000</v>
      </c>
      <c r="H1146" s="20" t="s">
        <v>15136</v>
      </c>
      <c r="I1146" s="20" t="b">
        <v>1</v>
      </c>
      <c r="J1146" s="20" t="s">
        <v>17273</v>
      </c>
      <c r="K1146" s="20">
        <v>80496</v>
      </c>
      <c r="L1146" s="20" t="s">
        <v>17274</v>
      </c>
      <c r="M1146" s="20" t="s">
        <v>17275</v>
      </c>
    </row>
    <row r="1147" spans="1:13" x14ac:dyDescent="0.25">
      <c r="A1147" s="20">
        <v>80866</v>
      </c>
      <c r="B1147" s="20" t="s">
        <v>16231</v>
      </c>
      <c r="C1147" s="20">
        <v>80866</v>
      </c>
      <c r="D1147" s="20" t="e">
        <f>VLOOKUP(C1147,[1]CHILDCARE_FACILITIES!AJ:AK,2,0)</f>
        <v>#N/A</v>
      </c>
      <c r="E1147" s="20" t="s">
        <v>15134</v>
      </c>
      <c r="F1147" s="20" t="s">
        <v>15135</v>
      </c>
      <c r="G1147" s="20">
        <v>142503001</v>
      </c>
      <c r="H1147" s="20" t="s">
        <v>15136</v>
      </c>
      <c r="I1147" s="20" t="b">
        <v>1</v>
      </c>
      <c r="J1147" s="20" t="s">
        <v>18062</v>
      </c>
      <c r="K1147" s="20">
        <v>80866</v>
      </c>
      <c r="L1147" s="20" t="s">
        <v>17407</v>
      </c>
      <c r="M1147" s="20" t="s">
        <v>18063</v>
      </c>
    </row>
    <row r="1148" spans="1:13" x14ac:dyDescent="0.25">
      <c r="A1148" s="20">
        <v>80866</v>
      </c>
      <c r="B1148" s="20" t="s">
        <v>16231</v>
      </c>
      <c r="C1148" s="20">
        <v>80866</v>
      </c>
      <c r="D1148" s="20" t="e">
        <f>VLOOKUP(C1148,[1]CHILDCARE_FACILITIES!AJ:AK,2,0)</f>
        <v>#N/A</v>
      </c>
      <c r="E1148" s="20" t="s">
        <v>15134</v>
      </c>
      <c r="F1148" s="20" t="s">
        <v>15135</v>
      </c>
      <c r="G1148" s="20">
        <v>142503001</v>
      </c>
      <c r="H1148" s="20" t="s">
        <v>15138</v>
      </c>
      <c r="I1148" s="20" t="b">
        <v>1</v>
      </c>
      <c r="J1148" s="20" t="s">
        <v>18062</v>
      </c>
      <c r="K1148" s="20">
        <v>80866</v>
      </c>
      <c r="L1148" s="20" t="s">
        <v>17407</v>
      </c>
      <c r="M1148" s="20" t="s">
        <v>18063</v>
      </c>
    </row>
    <row r="1149" spans="1:13" x14ac:dyDescent="0.25">
      <c r="A1149" s="20">
        <v>8978</v>
      </c>
      <c r="B1149" s="20" t="s">
        <v>15295</v>
      </c>
      <c r="C1149" s="20">
        <v>8978</v>
      </c>
      <c r="D1149" s="20" t="e">
        <f>VLOOKUP(C1149,[1]CHILDCARE_FACILITIES!AJ:AK,2,0)</f>
        <v>#N/A</v>
      </c>
      <c r="E1149" s="20" t="s">
        <v>15134</v>
      </c>
      <c r="F1149" s="20" t="s">
        <v>15135</v>
      </c>
      <c r="G1149" s="20">
        <v>73002001</v>
      </c>
      <c r="K1149" s="20">
        <v>8978</v>
      </c>
    </row>
    <row r="1150" spans="1:13" x14ac:dyDescent="0.25">
      <c r="A1150" s="20">
        <v>89875</v>
      </c>
      <c r="B1150" s="20" t="s">
        <v>16472</v>
      </c>
      <c r="C1150" s="20">
        <v>89875</v>
      </c>
      <c r="D1150" s="20" t="e">
        <f>VLOOKUP(C1150,[1]CHILDCARE_FACILITIES!AJ:AK,2,0)</f>
        <v>#N/A</v>
      </c>
      <c r="E1150" s="20" t="s">
        <v>15134</v>
      </c>
      <c r="F1150" s="20" t="s">
        <v>15135</v>
      </c>
      <c r="G1150" s="20">
        <v>103205000</v>
      </c>
      <c r="H1150" s="20" t="s">
        <v>15138</v>
      </c>
      <c r="I1150" s="20" t="b">
        <v>1</v>
      </c>
      <c r="J1150" s="20" t="s">
        <v>18064</v>
      </c>
      <c r="K1150" s="20">
        <v>89875</v>
      </c>
      <c r="L1150" s="20" t="s">
        <v>17271</v>
      </c>
      <c r="M1150" s="20" t="s">
        <v>18065</v>
      </c>
    </row>
    <row r="1151" spans="1:13" x14ac:dyDescent="0.25">
      <c r="A1151" s="20">
        <v>89875</v>
      </c>
      <c r="B1151" s="20" t="s">
        <v>16472</v>
      </c>
      <c r="C1151" s="20">
        <v>89875</v>
      </c>
      <c r="D1151" s="20" t="e">
        <f>VLOOKUP(C1151,[1]CHILDCARE_FACILITIES!AJ:AK,2,0)</f>
        <v>#N/A</v>
      </c>
      <c r="E1151" s="20" t="s">
        <v>15134</v>
      </c>
      <c r="F1151" s="20" t="s">
        <v>15135</v>
      </c>
      <c r="G1151" s="20">
        <v>103205000</v>
      </c>
      <c r="H1151" s="20" t="s">
        <v>15136</v>
      </c>
      <c r="I1151" s="20" t="b">
        <v>1</v>
      </c>
      <c r="J1151" s="20" t="s">
        <v>18066</v>
      </c>
      <c r="K1151" s="20">
        <v>89875</v>
      </c>
      <c r="L1151" s="20" t="s">
        <v>17271</v>
      </c>
      <c r="M1151" s="20" t="s">
        <v>18067</v>
      </c>
    </row>
    <row r="1152" spans="1:13" x14ac:dyDescent="0.25">
      <c r="A1152" s="20">
        <v>89876</v>
      </c>
      <c r="B1152" s="20" t="s">
        <v>16472</v>
      </c>
      <c r="C1152" s="20">
        <v>89876</v>
      </c>
      <c r="D1152" s="20" t="str">
        <f>VLOOKUP(C1152,[1]CHILDCARE_FACILITIES!AJ:AK,2,0)</f>
        <v>CDC-13511</v>
      </c>
      <c r="E1152" s="20" t="s">
        <v>15134</v>
      </c>
      <c r="F1152" s="20" t="s">
        <v>15135</v>
      </c>
      <c r="G1152" s="20">
        <v>103205001</v>
      </c>
      <c r="H1152" s="20" t="s">
        <v>15145</v>
      </c>
      <c r="I1152" s="20" t="b">
        <v>1</v>
      </c>
      <c r="J1152" s="20" t="s">
        <v>18064</v>
      </c>
      <c r="K1152" s="20">
        <v>89876</v>
      </c>
      <c r="L1152" s="20" t="s">
        <v>17271</v>
      </c>
      <c r="M1152" s="20" t="s">
        <v>18065</v>
      </c>
    </row>
    <row r="1153" spans="1:13" x14ac:dyDescent="0.25">
      <c r="A1153" s="20">
        <v>969135</v>
      </c>
      <c r="B1153" s="20" t="s">
        <v>17033</v>
      </c>
      <c r="C1153" s="20">
        <v>969135</v>
      </c>
      <c r="D1153" s="20" t="e">
        <f>VLOOKUP(C1153,[1]CHILDCARE_FACILITIES!AJ:AK,2,0)</f>
        <v>#N/A</v>
      </c>
      <c r="E1153" s="20" t="s">
        <v>15134</v>
      </c>
      <c r="F1153" s="20" t="s">
        <v>15135</v>
      </c>
      <c r="G1153" s="20">
        <v>73338000</v>
      </c>
      <c r="H1153" s="20" t="s">
        <v>15136</v>
      </c>
      <c r="I1153" s="20" t="b">
        <v>1</v>
      </c>
      <c r="J1153" s="20" t="s">
        <v>18068</v>
      </c>
      <c r="K1153" s="20">
        <v>969135</v>
      </c>
      <c r="L1153" s="20" t="s">
        <v>17213</v>
      </c>
      <c r="M1153" s="20" t="s">
        <v>18069</v>
      </c>
    </row>
    <row r="1154" spans="1:13" x14ac:dyDescent="0.25">
      <c r="A1154" s="20">
        <v>79916</v>
      </c>
      <c r="B1154" s="20" t="s">
        <v>16029</v>
      </c>
      <c r="C1154" s="20">
        <v>79916</v>
      </c>
      <c r="D1154" s="20" t="e">
        <f>VLOOKUP(C1154,[1]CHILDCARE_FACILITIES!AJ:AK,2,0)</f>
        <v>#N/A</v>
      </c>
      <c r="E1154" s="20" t="s">
        <v>15134</v>
      </c>
      <c r="F1154" s="20" t="s">
        <v>15135</v>
      </c>
      <c r="G1154" s="20">
        <v>103118000</v>
      </c>
      <c r="H1154" s="20" t="s">
        <v>15138</v>
      </c>
      <c r="I1154" s="20" t="b">
        <v>1</v>
      </c>
      <c r="J1154" s="20" t="s">
        <v>18070</v>
      </c>
      <c r="K1154" s="20">
        <v>79916</v>
      </c>
      <c r="L1154" s="20" t="s">
        <v>17271</v>
      </c>
      <c r="M1154" s="20" t="s">
        <v>18071</v>
      </c>
    </row>
    <row r="1155" spans="1:13" x14ac:dyDescent="0.25">
      <c r="A1155" s="20">
        <v>79916</v>
      </c>
      <c r="B1155" s="20" t="s">
        <v>16029</v>
      </c>
      <c r="C1155" s="20">
        <v>79916</v>
      </c>
      <c r="D1155" s="20" t="e">
        <f>VLOOKUP(C1155,[1]CHILDCARE_FACILITIES!AJ:AK,2,0)</f>
        <v>#N/A</v>
      </c>
      <c r="E1155" s="20" t="s">
        <v>15134</v>
      </c>
      <c r="F1155" s="20" t="s">
        <v>15135</v>
      </c>
      <c r="G1155" s="20">
        <v>103118000</v>
      </c>
      <c r="H1155" s="20" t="s">
        <v>15145</v>
      </c>
      <c r="I1155" s="20" t="b">
        <v>1</v>
      </c>
      <c r="J1155" s="20" t="s">
        <v>18072</v>
      </c>
      <c r="K1155" s="20">
        <v>79916</v>
      </c>
      <c r="L1155" s="20" t="s">
        <v>17271</v>
      </c>
      <c r="M1155" s="20" t="s">
        <v>18073</v>
      </c>
    </row>
    <row r="1156" spans="1:13" x14ac:dyDescent="0.25">
      <c r="A1156" s="20">
        <v>79917</v>
      </c>
      <c r="B1156" s="20" t="s">
        <v>16032</v>
      </c>
      <c r="C1156" s="20">
        <v>79917</v>
      </c>
      <c r="D1156" s="20" t="str">
        <f>VLOOKUP(C1156,[1]CHILDCARE_FACILITIES!AJ:AK,2,0)</f>
        <v>CDC-9675</v>
      </c>
      <c r="E1156" s="20" t="s">
        <v>15134</v>
      </c>
      <c r="F1156" s="20" t="s">
        <v>15135</v>
      </c>
      <c r="G1156" s="20">
        <v>103118001</v>
      </c>
      <c r="H1156" s="20" t="s">
        <v>15138</v>
      </c>
      <c r="I1156" s="20" t="b">
        <v>1</v>
      </c>
      <c r="J1156" s="20" t="s">
        <v>18070</v>
      </c>
      <c r="K1156" s="20">
        <v>79917</v>
      </c>
      <c r="L1156" s="20" t="s">
        <v>17271</v>
      </c>
      <c r="M1156" s="20" t="s">
        <v>18071</v>
      </c>
    </row>
    <row r="1157" spans="1:13" x14ac:dyDescent="0.25">
      <c r="A1157" s="20">
        <v>79917</v>
      </c>
      <c r="B1157" s="20" t="s">
        <v>16032</v>
      </c>
      <c r="C1157" s="20">
        <v>79917</v>
      </c>
      <c r="D1157" s="20" t="str">
        <f>VLOOKUP(C1157,[1]CHILDCARE_FACILITIES!AJ:AK,2,0)</f>
        <v>CDC-9675</v>
      </c>
      <c r="E1157" s="20" t="s">
        <v>15134</v>
      </c>
      <c r="F1157" s="20" t="s">
        <v>15135</v>
      </c>
      <c r="G1157" s="20">
        <v>103118001</v>
      </c>
      <c r="H1157" s="20" t="s">
        <v>15145</v>
      </c>
      <c r="I1157" s="20" t="b">
        <v>1</v>
      </c>
      <c r="J1157" s="20" t="s">
        <v>18072</v>
      </c>
      <c r="K1157" s="20">
        <v>79917</v>
      </c>
      <c r="L1157" s="20" t="s">
        <v>17271</v>
      </c>
      <c r="M1157" s="20" t="s">
        <v>18073</v>
      </c>
    </row>
    <row r="1158" spans="1:13" x14ac:dyDescent="0.25">
      <c r="A1158" s="20">
        <v>9933</v>
      </c>
      <c r="B1158" s="20" t="s">
        <v>15735</v>
      </c>
      <c r="C1158" s="20">
        <v>9933</v>
      </c>
      <c r="D1158" s="20" t="e">
        <f>VLOOKUP(C1158,[1]CHILDCARE_FACILITIES!AJ:AK,2,0)</f>
        <v>#N/A</v>
      </c>
      <c r="E1158" s="20" t="s">
        <v>15134</v>
      </c>
      <c r="F1158" s="20" t="s">
        <v>15135</v>
      </c>
      <c r="G1158" s="20">
        <v>103058001</v>
      </c>
      <c r="K1158" s="20">
        <v>9933</v>
      </c>
    </row>
    <row r="1159" spans="1:13" x14ac:dyDescent="0.25">
      <c r="A1159" s="20">
        <v>9193</v>
      </c>
      <c r="B1159" s="20" t="s">
        <v>15405</v>
      </c>
      <c r="C1159" s="20">
        <v>9193</v>
      </c>
      <c r="D1159" s="20" t="e">
        <f>VLOOKUP(C1159,[1]CHILDCARE_FACILITIES!AJ:AK,2,0)</f>
        <v>#N/A</v>
      </c>
      <c r="E1159" s="20" t="s">
        <v>15134</v>
      </c>
      <c r="F1159" s="20" t="s">
        <v>15135</v>
      </c>
      <c r="G1159" s="20">
        <v>73135000</v>
      </c>
      <c r="H1159" s="20" t="s">
        <v>15138</v>
      </c>
      <c r="I1159" s="20" t="b">
        <v>1</v>
      </c>
      <c r="J1159" s="20" t="s">
        <v>18074</v>
      </c>
      <c r="K1159" s="20">
        <v>9193</v>
      </c>
      <c r="L1159" s="20" t="s">
        <v>17233</v>
      </c>
      <c r="M1159" s="20" t="s">
        <v>18075</v>
      </c>
    </row>
    <row r="1160" spans="1:13" x14ac:dyDescent="0.25">
      <c r="A1160" s="20">
        <v>9193</v>
      </c>
      <c r="B1160" s="20" t="s">
        <v>15405</v>
      </c>
      <c r="C1160" s="20">
        <v>9193</v>
      </c>
      <c r="D1160" s="20" t="e">
        <f>VLOOKUP(C1160,[1]CHILDCARE_FACILITIES!AJ:AK,2,0)</f>
        <v>#N/A</v>
      </c>
      <c r="E1160" s="20" t="s">
        <v>15134</v>
      </c>
      <c r="F1160" s="20" t="s">
        <v>15135</v>
      </c>
      <c r="G1160" s="20">
        <v>73135000</v>
      </c>
      <c r="H1160" s="20" t="s">
        <v>15136</v>
      </c>
      <c r="I1160" s="20" t="b">
        <v>1</v>
      </c>
      <c r="J1160" s="20" t="s">
        <v>18074</v>
      </c>
      <c r="K1160" s="20">
        <v>9193</v>
      </c>
      <c r="L1160" s="20" t="s">
        <v>17233</v>
      </c>
      <c r="M1160" s="20" t="s">
        <v>18075</v>
      </c>
    </row>
    <row r="1161" spans="1:13" x14ac:dyDescent="0.25">
      <c r="A1161" s="20">
        <v>9194</v>
      </c>
      <c r="B1161" s="20" t="s">
        <v>15405</v>
      </c>
      <c r="C1161" s="20">
        <v>9194</v>
      </c>
      <c r="D1161" s="20" t="str">
        <f>VLOOKUP(C1161,[1]CHILDCARE_FACILITIES!AJ:AK,2,0)</f>
        <v>CDC-1025</v>
      </c>
      <c r="E1161" s="20" t="s">
        <v>15134</v>
      </c>
      <c r="F1161" s="20" t="s">
        <v>15135</v>
      </c>
      <c r="G1161" s="20">
        <v>73135001</v>
      </c>
      <c r="K1161" s="20">
        <v>9194</v>
      </c>
    </row>
    <row r="1162" spans="1:13" x14ac:dyDescent="0.25">
      <c r="A1162" s="20">
        <v>9107</v>
      </c>
      <c r="B1162" s="20" t="s">
        <v>15363</v>
      </c>
      <c r="C1162" s="20">
        <v>9107</v>
      </c>
      <c r="D1162" s="20" t="e">
        <f>VLOOKUP(C1162,[1]CHILDCARE_FACILITIES!AJ:AK,2,0)</f>
        <v>#N/A</v>
      </c>
      <c r="E1162" s="20" t="s">
        <v>15134</v>
      </c>
      <c r="F1162" s="20" t="s">
        <v>15135</v>
      </c>
      <c r="G1162" s="20">
        <v>73077001</v>
      </c>
      <c r="K1162" s="20">
        <v>9107</v>
      </c>
    </row>
    <row r="1163" spans="1:13" x14ac:dyDescent="0.25">
      <c r="A1163" s="20">
        <v>9349</v>
      </c>
      <c r="B1163" s="20" t="s">
        <v>15363</v>
      </c>
      <c r="C1163" s="20">
        <v>9349</v>
      </c>
      <c r="D1163" s="20" t="e">
        <f>VLOOKUP(C1163,[1]CHILDCARE_FACILITIES!AJ:AK,2,0)</f>
        <v>#N/A</v>
      </c>
      <c r="E1163" s="20" t="s">
        <v>15134</v>
      </c>
      <c r="F1163" s="20" t="s">
        <v>15135</v>
      </c>
      <c r="G1163" s="20">
        <v>73220001</v>
      </c>
      <c r="K1163" s="20">
        <v>9349</v>
      </c>
    </row>
    <row r="1164" spans="1:13" x14ac:dyDescent="0.25">
      <c r="A1164" s="20">
        <v>9276</v>
      </c>
      <c r="B1164" s="20" t="s">
        <v>15441</v>
      </c>
      <c r="C1164" s="20">
        <v>9276</v>
      </c>
      <c r="D1164" s="20" t="e">
        <f>VLOOKUP(C1164,[1]CHILDCARE_FACILITIES!AJ:AK,2,0)</f>
        <v>#N/A</v>
      </c>
      <c r="E1164" s="20" t="s">
        <v>15134</v>
      </c>
      <c r="F1164" s="20" t="s">
        <v>15135</v>
      </c>
      <c r="G1164" s="20">
        <v>73195001</v>
      </c>
      <c r="K1164" s="20">
        <v>9276</v>
      </c>
    </row>
    <row r="1165" spans="1:13" x14ac:dyDescent="0.25">
      <c r="A1165" s="20">
        <v>9277</v>
      </c>
      <c r="B1165" s="20" t="s">
        <v>15442</v>
      </c>
      <c r="C1165" s="20">
        <v>9277</v>
      </c>
      <c r="D1165" s="20" t="e">
        <f>VLOOKUP(C1165,[1]CHILDCARE_FACILITIES!AJ:AK,2,0)</f>
        <v>#N/A</v>
      </c>
      <c r="E1165" s="20" t="s">
        <v>15134</v>
      </c>
      <c r="F1165" s="20" t="s">
        <v>15135</v>
      </c>
      <c r="G1165" s="20">
        <v>73195002</v>
      </c>
      <c r="K1165" s="20">
        <v>9277</v>
      </c>
    </row>
    <row r="1166" spans="1:13" x14ac:dyDescent="0.25">
      <c r="A1166" s="20">
        <v>9188</v>
      </c>
      <c r="B1166" s="20" t="s">
        <v>15402</v>
      </c>
      <c r="C1166" s="20">
        <v>9188</v>
      </c>
      <c r="D1166" s="20" t="e">
        <f>VLOOKUP(C1166,[1]CHILDCARE_FACILITIES!AJ:AK,2,0)</f>
        <v>#N/A</v>
      </c>
      <c r="E1166" s="20" t="s">
        <v>15134</v>
      </c>
      <c r="F1166" s="20" t="s">
        <v>15135</v>
      </c>
      <c r="G1166" s="20">
        <v>73129001</v>
      </c>
      <c r="K1166" s="20">
        <v>9188</v>
      </c>
    </row>
    <row r="1167" spans="1:13" x14ac:dyDescent="0.25">
      <c r="A1167" s="20">
        <v>80727</v>
      </c>
      <c r="B1167" s="20" t="s">
        <v>16199</v>
      </c>
      <c r="C1167" s="20">
        <v>80727</v>
      </c>
      <c r="D1167" s="20" t="e">
        <f>VLOOKUP(C1167,[1]CHILDCARE_FACILITIES!AJ:AK,2,0)</f>
        <v>#N/A</v>
      </c>
      <c r="E1167" s="20" t="s">
        <v>15134</v>
      </c>
      <c r="F1167" s="20" t="s">
        <v>15135</v>
      </c>
      <c r="G1167" s="20">
        <v>32210010</v>
      </c>
      <c r="H1167" s="20" t="s">
        <v>15145</v>
      </c>
      <c r="I1167" s="20" t="b">
        <v>0</v>
      </c>
      <c r="J1167" s="20" t="s">
        <v>18076</v>
      </c>
      <c r="K1167" s="20">
        <v>80727</v>
      </c>
      <c r="L1167" s="20" t="s">
        <v>18077</v>
      </c>
      <c r="M1167" s="20" t="s">
        <v>18078</v>
      </c>
    </row>
    <row r="1168" spans="1:13" x14ac:dyDescent="0.25">
      <c r="A1168" s="20">
        <v>80727</v>
      </c>
      <c r="B1168" s="20" t="s">
        <v>16199</v>
      </c>
      <c r="C1168" s="20">
        <v>80727</v>
      </c>
      <c r="D1168" s="20" t="e">
        <f>VLOOKUP(C1168,[1]CHILDCARE_FACILITIES!AJ:AK,2,0)</f>
        <v>#N/A</v>
      </c>
      <c r="E1168" s="20" t="s">
        <v>15134</v>
      </c>
      <c r="F1168" s="20" t="s">
        <v>15135</v>
      </c>
      <c r="G1168" s="20">
        <v>32210010</v>
      </c>
      <c r="H1168" s="20" t="s">
        <v>15138</v>
      </c>
      <c r="I1168" s="20" t="b">
        <v>1</v>
      </c>
      <c r="J1168" s="20" t="s">
        <v>17719</v>
      </c>
      <c r="K1168" s="20">
        <v>80727</v>
      </c>
      <c r="L1168" s="20" t="s">
        <v>17715</v>
      </c>
      <c r="M1168" s="20" t="s">
        <v>17720</v>
      </c>
    </row>
    <row r="1169" spans="1:13" x14ac:dyDescent="0.25">
      <c r="A1169" s="20">
        <v>91236</v>
      </c>
      <c r="B1169" s="20" t="s">
        <v>16757</v>
      </c>
      <c r="C1169" s="20">
        <v>91236</v>
      </c>
      <c r="D1169" s="20" t="str">
        <f>VLOOKUP(C1169,[1]CHILDCARE_FACILITIES!AJ:AK,2,0)</f>
        <v>CDC-14909</v>
      </c>
      <c r="E1169" s="20" t="s">
        <v>15134</v>
      </c>
      <c r="F1169" s="20" t="s">
        <v>15135</v>
      </c>
      <c r="G1169" s="20">
        <v>72445001</v>
      </c>
      <c r="H1169" s="20" t="s">
        <v>15145</v>
      </c>
      <c r="I1169" s="20" t="b">
        <v>1</v>
      </c>
      <c r="J1169" s="20" t="s">
        <v>17684</v>
      </c>
      <c r="K1169" s="20">
        <v>91236</v>
      </c>
      <c r="L1169" s="20" t="s">
        <v>17239</v>
      </c>
      <c r="M1169" s="20" t="s">
        <v>17685</v>
      </c>
    </row>
    <row r="1170" spans="1:13" x14ac:dyDescent="0.25">
      <c r="A1170" s="20">
        <v>1000399</v>
      </c>
      <c r="B1170" s="20" t="s">
        <v>17163</v>
      </c>
      <c r="C1170" s="20">
        <v>1000399</v>
      </c>
      <c r="D1170" s="20" t="e">
        <f>VLOOKUP(C1170,[1]CHILDCARE_FACILITIES!AJ:AK,2,0)</f>
        <v>#N/A</v>
      </c>
      <c r="E1170" s="20" t="s">
        <v>15134</v>
      </c>
      <c r="F1170" s="20" t="s">
        <v>15135</v>
      </c>
      <c r="G1170" s="20">
        <v>73364001</v>
      </c>
      <c r="H1170" s="20" t="s">
        <v>15136</v>
      </c>
      <c r="I1170" s="20" t="b">
        <v>1</v>
      </c>
      <c r="J1170" s="20" t="s">
        <v>17675</v>
      </c>
      <c r="K1170" s="20">
        <v>1000399</v>
      </c>
      <c r="L1170" s="20" t="s">
        <v>17236</v>
      </c>
      <c r="M1170" s="20" t="s">
        <v>17676</v>
      </c>
    </row>
    <row r="1171" spans="1:13" x14ac:dyDescent="0.25">
      <c r="A1171" s="20">
        <v>1000399</v>
      </c>
      <c r="B1171" s="20" t="s">
        <v>17163</v>
      </c>
      <c r="C1171" s="20">
        <v>1000399</v>
      </c>
      <c r="D1171" s="20" t="e">
        <f>VLOOKUP(C1171,[1]CHILDCARE_FACILITIES!AJ:AK,2,0)</f>
        <v>#N/A</v>
      </c>
      <c r="E1171" s="20" t="s">
        <v>15134</v>
      </c>
      <c r="F1171" s="20" t="s">
        <v>15135</v>
      </c>
      <c r="G1171" s="20">
        <v>73364001</v>
      </c>
      <c r="H1171" s="20" t="s">
        <v>15138</v>
      </c>
      <c r="I1171" s="20" t="b">
        <v>1</v>
      </c>
      <c r="J1171" s="20" t="s">
        <v>17675</v>
      </c>
      <c r="K1171" s="20">
        <v>1000399</v>
      </c>
      <c r="L1171" s="20" t="s">
        <v>17236</v>
      </c>
      <c r="M1171" s="20" t="s">
        <v>17676</v>
      </c>
    </row>
    <row r="1172" spans="1:13" x14ac:dyDescent="0.25">
      <c r="A1172" s="20">
        <v>1000398</v>
      </c>
      <c r="B1172" s="20" t="s">
        <v>17162</v>
      </c>
      <c r="C1172" s="20">
        <v>1000398</v>
      </c>
      <c r="D1172" s="20" t="e">
        <f>VLOOKUP(C1172,[1]CHILDCARE_FACILITIES!AJ:AK,2,0)</f>
        <v>#N/A</v>
      </c>
      <c r="E1172" s="20" t="s">
        <v>15134</v>
      </c>
      <c r="F1172" s="20" t="s">
        <v>15135</v>
      </c>
      <c r="G1172" s="20">
        <v>73365001</v>
      </c>
      <c r="H1172" s="20" t="s">
        <v>15136</v>
      </c>
      <c r="I1172" s="20" t="b">
        <v>1</v>
      </c>
      <c r="J1172" s="20" t="s">
        <v>17673</v>
      </c>
      <c r="K1172" s="20">
        <v>1000398</v>
      </c>
      <c r="L1172" s="20" t="s">
        <v>17213</v>
      </c>
      <c r="M1172" s="20" t="s">
        <v>17674</v>
      </c>
    </row>
    <row r="1173" spans="1:13" x14ac:dyDescent="0.25">
      <c r="A1173" s="20">
        <v>1000398</v>
      </c>
      <c r="B1173" s="20" t="s">
        <v>17162</v>
      </c>
      <c r="C1173" s="20">
        <v>1000398</v>
      </c>
      <c r="D1173" s="20" t="e">
        <f>VLOOKUP(C1173,[1]CHILDCARE_FACILITIES!AJ:AK,2,0)</f>
        <v>#N/A</v>
      </c>
      <c r="E1173" s="20" t="s">
        <v>15134</v>
      </c>
      <c r="F1173" s="20" t="s">
        <v>15135</v>
      </c>
      <c r="G1173" s="20">
        <v>73365001</v>
      </c>
      <c r="H1173" s="20" t="s">
        <v>15138</v>
      </c>
      <c r="I1173" s="20" t="b">
        <v>1</v>
      </c>
      <c r="J1173" s="20" t="s">
        <v>17673</v>
      </c>
      <c r="K1173" s="20">
        <v>1000398</v>
      </c>
      <c r="L1173" s="20" t="s">
        <v>17213</v>
      </c>
      <c r="M1173" s="20" t="s">
        <v>17674</v>
      </c>
    </row>
    <row r="1174" spans="1:13" x14ac:dyDescent="0.25">
      <c r="A1174" s="20">
        <v>460999</v>
      </c>
      <c r="B1174" s="20" t="s">
        <v>16996</v>
      </c>
      <c r="C1174" s="20">
        <v>460999</v>
      </c>
      <c r="D1174" s="20" t="str">
        <f>VLOOKUP(C1174,[1]CHILDCARE_FACILITIES!AJ:AK,2,0)</f>
        <v>CDC-17520</v>
      </c>
      <c r="E1174" s="20" t="s">
        <v>15134</v>
      </c>
      <c r="F1174" s="20" t="s">
        <v>15135</v>
      </c>
      <c r="G1174" s="20">
        <v>73327001</v>
      </c>
      <c r="K1174" s="20">
        <v>460999</v>
      </c>
    </row>
    <row r="1175" spans="1:13" x14ac:dyDescent="0.25">
      <c r="A1175" s="20">
        <v>150723</v>
      </c>
      <c r="B1175" s="20" t="s">
        <v>16971</v>
      </c>
      <c r="C1175" s="20">
        <v>150723</v>
      </c>
      <c r="D1175" s="20" t="e">
        <f>VLOOKUP(C1175,[1]CHILDCARE_FACILITIES!AJ:AK,2,0)</f>
        <v>#N/A</v>
      </c>
      <c r="E1175" s="20" t="s">
        <v>15134</v>
      </c>
      <c r="F1175" s="20" t="s">
        <v>15135</v>
      </c>
      <c r="G1175" s="20">
        <v>73327000</v>
      </c>
      <c r="K1175" s="20">
        <v>150723</v>
      </c>
    </row>
    <row r="1176" spans="1:13" x14ac:dyDescent="0.25">
      <c r="A1176" s="20">
        <v>934629</v>
      </c>
      <c r="B1176" s="20" t="s">
        <v>17031</v>
      </c>
      <c r="C1176" s="20">
        <v>934629</v>
      </c>
      <c r="D1176" s="20" t="str">
        <f>VLOOKUP(C1176,[1]CHILDCARE_FACILITIES!AJ:AK,2,0)</f>
        <v>CDC-17834</v>
      </c>
      <c r="E1176" s="20" t="s">
        <v>15134</v>
      </c>
      <c r="F1176" s="20" t="s">
        <v>15135</v>
      </c>
      <c r="G1176" s="20">
        <v>113027001</v>
      </c>
      <c r="H1176" s="20" t="s">
        <v>15136</v>
      </c>
      <c r="I1176" s="20" t="b">
        <v>1</v>
      </c>
      <c r="J1176" s="20" t="s">
        <v>18079</v>
      </c>
      <c r="K1176" s="20">
        <v>934629</v>
      </c>
      <c r="L1176" s="20" t="s">
        <v>17305</v>
      </c>
      <c r="M1176" s="20" t="s">
        <v>18080</v>
      </c>
    </row>
    <row r="1177" spans="1:13" x14ac:dyDescent="0.25">
      <c r="A1177" s="20">
        <v>272472</v>
      </c>
      <c r="B1177" s="20" t="s">
        <v>16977</v>
      </c>
      <c r="C1177" s="20">
        <v>272472</v>
      </c>
      <c r="D1177" s="20" t="e">
        <f>VLOOKUP(C1177,[1]CHILDCARE_FACILITIES!AJ:AK,2,0)</f>
        <v>#N/A</v>
      </c>
      <c r="E1177" s="20" t="s">
        <v>15134</v>
      </c>
      <c r="F1177" s="20" t="s">
        <v>15135</v>
      </c>
      <c r="G1177" s="20">
        <v>113027000</v>
      </c>
      <c r="H1177" s="20" t="s">
        <v>15136</v>
      </c>
      <c r="I1177" s="20" t="b">
        <v>1</v>
      </c>
      <c r="J1177" s="20" t="s">
        <v>18079</v>
      </c>
      <c r="K1177" s="20">
        <v>272472</v>
      </c>
      <c r="L1177" s="20" t="s">
        <v>17305</v>
      </c>
      <c r="M1177" s="20" t="s">
        <v>18080</v>
      </c>
    </row>
    <row r="1178" spans="1:13" x14ac:dyDescent="0.25">
      <c r="A1178" s="20">
        <v>9679</v>
      </c>
      <c r="B1178" s="20" t="s">
        <v>15627</v>
      </c>
      <c r="C1178" s="20">
        <v>9679</v>
      </c>
      <c r="D1178" s="20" t="e">
        <f>VLOOKUP(C1178,[1]CHILDCARE_FACILITIES!AJ:AK,2,0)</f>
        <v>#N/A</v>
      </c>
      <c r="E1178" s="20" t="s">
        <v>15134</v>
      </c>
      <c r="F1178" s="20" t="s">
        <v>15135</v>
      </c>
      <c r="G1178" s="20">
        <v>93009001</v>
      </c>
      <c r="K1178" s="20">
        <v>9679</v>
      </c>
    </row>
    <row r="1179" spans="1:13" x14ac:dyDescent="0.25">
      <c r="A1179" s="20">
        <v>9687</v>
      </c>
      <c r="B1179" s="20" t="s">
        <v>15627</v>
      </c>
      <c r="C1179" s="20">
        <v>9687</v>
      </c>
      <c r="D1179" s="20" t="e">
        <f>VLOOKUP(C1179,[1]CHILDCARE_FACILITIES!AJ:AK,2,0)</f>
        <v>#N/A</v>
      </c>
      <c r="E1179" s="20" t="s">
        <v>15134</v>
      </c>
      <c r="F1179" s="20" t="s">
        <v>15135</v>
      </c>
      <c r="G1179" s="20">
        <v>93014001</v>
      </c>
      <c r="K1179" s="20">
        <v>9687</v>
      </c>
    </row>
    <row r="1180" spans="1:13" x14ac:dyDescent="0.25">
      <c r="A1180" s="20">
        <v>8664</v>
      </c>
      <c r="B1180" s="20" t="s">
        <v>15181</v>
      </c>
      <c r="C1180" s="20">
        <v>8664</v>
      </c>
      <c r="D1180" s="20" t="e">
        <f>VLOOKUP(C1180,[1]CHILDCARE_FACILITIES!AJ:AK,2,0)</f>
        <v>#N/A</v>
      </c>
      <c r="E1180" s="20" t="s">
        <v>15134</v>
      </c>
      <c r="F1180" s="20" t="s">
        <v>15135</v>
      </c>
      <c r="G1180" s="20">
        <v>72206000</v>
      </c>
      <c r="K1180" s="20">
        <v>8664</v>
      </c>
    </row>
    <row r="1181" spans="1:13" x14ac:dyDescent="0.25">
      <c r="A1181" s="20">
        <v>8665</v>
      </c>
      <c r="B1181" s="20" t="s">
        <v>15181</v>
      </c>
      <c r="C1181" s="20">
        <v>8665</v>
      </c>
      <c r="D1181" s="20" t="str">
        <f>VLOOKUP(C1181,[1]CHILDCARE_FACILITIES!AJ:AK,2,0)</f>
        <v>CDC-1869</v>
      </c>
      <c r="E1181" s="20" t="s">
        <v>15134</v>
      </c>
      <c r="F1181" s="20" t="s">
        <v>15135</v>
      </c>
      <c r="G1181" s="20">
        <v>72206001</v>
      </c>
      <c r="K1181" s="20">
        <v>8665</v>
      </c>
    </row>
    <row r="1182" spans="1:13" x14ac:dyDescent="0.25">
      <c r="A1182" s="20">
        <v>79867</v>
      </c>
      <c r="B1182" s="20" t="s">
        <v>16021</v>
      </c>
      <c r="C1182" s="20">
        <v>79867</v>
      </c>
      <c r="D1182" s="20" t="e">
        <f>VLOOKUP(C1182,[1]CHILDCARE_FACILITIES!AJ:AK,2,0)</f>
        <v>#N/A</v>
      </c>
      <c r="E1182" s="20" t="s">
        <v>15134</v>
      </c>
      <c r="F1182" s="20" t="s">
        <v>15135</v>
      </c>
      <c r="G1182" s="20">
        <v>73474000</v>
      </c>
      <c r="H1182" s="20" t="s">
        <v>15138</v>
      </c>
      <c r="I1182" s="20" t="b">
        <v>1</v>
      </c>
      <c r="J1182" s="20" t="s">
        <v>18081</v>
      </c>
      <c r="K1182" s="20">
        <v>79867</v>
      </c>
      <c r="L1182" s="20" t="s">
        <v>17213</v>
      </c>
      <c r="M1182" s="20" t="s">
        <v>18082</v>
      </c>
    </row>
    <row r="1183" spans="1:13" x14ac:dyDescent="0.25">
      <c r="A1183" s="20">
        <v>79867</v>
      </c>
      <c r="B1183" s="20" t="s">
        <v>16021</v>
      </c>
      <c r="C1183" s="20">
        <v>79867</v>
      </c>
      <c r="D1183" s="20" t="e">
        <f>VLOOKUP(C1183,[1]CHILDCARE_FACILITIES!AJ:AK,2,0)</f>
        <v>#N/A</v>
      </c>
      <c r="E1183" s="20" t="s">
        <v>15134</v>
      </c>
      <c r="F1183" s="20" t="s">
        <v>15135</v>
      </c>
      <c r="G1183" s="20">
        <v>73474000</v>
      </c>
      <c r="H1183" s="20" t="s">
        <v>15136</v>
      </c>
      <c r="I1183" s="20" t="b">
        <v>1</v>
      </c>
      <c r="J1183" s="20" t="s">
        <v>18083</v>
      </c>
      <c r="K1183" s="20">
        <v>79867</v>
      </c>
      <c r="L1183" s="20" t="s">
        <v>17213</v>
      </c>
      <c r="M1183" s="20" t="s">
        <v>18082</v>
      </c>
    </row>
    <row r="1184" spans="1:13" x14ac:dyDescent="0.25">
      <c r="A1184" s="20">
        <v>89268</v>
      </c>
      <c r="B1184" s="20" t="s">
        <v>16387</v>
      </c>
      <c r="C1184" s="20">
        <v>89268</v>
      </c>
      <c r="D1184" s="20" t="e">
        <f>VLOOKUP(C1184,[1]CHILDCARE_FACILITIES!AJ:AK,2,0)</f>
        <v>#N/A</v>
      </c>
      <c r="E1184" s="20" t="s">
        <v>15134</v>
      </c>
      <c r="F1184" s="20" t="s">
        <v>15135</v>
      </c>
      <c r="G1184" s="20">
        <v>73092001</v>
      </c>
      <c r="K1184" s="20">
        <v>89268</v>
      </c>
    </row>
    <row r="1185" spans="1:13" x14ac:dyDescent="0.25">
      <c r="A1185" s="20">
        <v>79868</v>
      </c>
      <c r="B1185" s="20" t="s">
        <v>16024</v>
      </c>
      <c r="C1185" s="20">
        <v>79868</v>
      </c>
      <c r="D1185" s="20" t="str">
        <f>VLOOKUP(C1185,[1]CHILDCARE_FACILITIES!AJ:AK,2,0)</f>
        <v>CDC-9322</v>
      </c>
      <c r="E1185" s="20" t="s">
        <v>15134</v>
      </c>
      <c r="F1185" s="20" t="s">
        <v>15135</v>
      </c>
      <c r="G1185" s="20">
        <v>73474001</v>
      </c>
      <c r="H1185" s="20" t="s">
        <v>15138</v>
      </c>
      <c r="I1185" s="20" t="b">
        <v>1</v>
      </c>
      <c r="J1185" s="20" t="s">
        <v>18083</v>
      </c>
      <c r="K1185" s="20">
        <v>79868</v>
      </c>
      <c r="L1185" s="20" t="s">
        <v>17213</v>
      </c>
      <c r="M1185" s="20" t="s">
        <v>18082</v>
      </c>
    </row>
    <row r="1186" spans="1:13" x14ac:dyDescent="0.25">
      <c r="A1186" s="20">
        <v>89831</v>
      </c>
      <c r="B1186" s="20" t="s">
        <v>16463</v>
      </c>
      <c r="C1186" s="20">
        <v>89831</v>
      </c>
      <c r="D1186" s="20" t="e">
        <f>VLOOKUP(C1186,[1]CHILDCARE_FACILITIES!AJ:AK,2,0)</f>
        <v>#N/A</v>
      </c>
      <c r="E1186" s="20" t="s">
        <v>15134</v>
      </c>
      <c r="F1186" s="20" t="s">
        <v>15135</v>
      </c>
      <c r="G1186" s="20">
        <v>103133003</v>
      </c>
      <c r="H1186" s="20" t="s">
        <v>15145</v>
      </c>
      <c r="I1186" s="20" t="b">
        <v>1</v>
      </c>
      <c r="J1186" s="20" t="s">
        <v>18084</v>
      </c>
      <c r="K1186" s="20">
        <v>89831</v>
      </c>
      <c r="L1186" s="20" t="s">
        <v>17271</v>
      </c>
      <c r="M1186" s="20" t="s">
        <v>18085</v>
      </c>
    </row>
    <row r="1187" spans="1:13" x14ac:dyDescent="0.25">
      <c r="A1187" s="20">
        <v>89675</v>
      </c>
      <c r="B1187" s="20" t="s">
        <v>16429</v>
      </c>
      <c r="C1187" s="20">
        <v>89675</v>
      </c>
      <c r="D1187" s="20" t="e">
        <f>VLOOKUP(C1187,[1]CHILDCARE_FACILITIES!AJ:AK,2,0)</f>
        <v>#N/A</v>
      </c>
      <c r="E1187" s="20" t="s">
        <v>15134</v>
      </c>
      <c r="F1187" s="20" t="s">
        <v>15135</v>
      </c>
      <c r="G1187" s="20">
        <v>103133001</v>
      </c>
      <c r="H1187" s="20" t="s">
        <v>15145</v>
      </c>
      <c r="I1187" s="20" t="b">
        <v>1</v>
      </c>
      <c r="J1187" s="20" t="s">
        <v>18086</v>
      </c>
      <c r="K1187" s="20">
        <v>89675</v>
      </c>
      <c r="L1187" s="20" t="s">
        <v>17271</v>
      </c>
      <c r="M1187" s="20" t="s">
        <v>18087</v>
      </c>
    </row>
    <row r="1188" spans="1:13" x14ac:dyDescent="0.25">
      <c r="A1188" s="20">
        <v>89751</v>
      </c>
      <c r="B1188" s="20" t="s">
        <v>16452</v>
      </c>
      <c r="C1188" s="20">
        <v>89751</v>
      </c>
      <c r="D1188" s="20" t="e">
        <f>VLOOKUP(C1188,[1]CHILDCARE_FACILITIES!AJ:AK,2,0)</f>
        <v>#N/A</v>
      </c>
      <c r="E1188" s="20" t="s">
        <v>15134</v>
      </c>
      <c r="F1188" s="20" t="s">
        <v>15135</v>
      </c>
      <c r="G1188" s="20">
        <v>103133002</v>
      </c>
      <c r="H1188" s="20" t="s">
        <v>15145</v>
      </c>
      <c r="I1188" s="20" t="b">
        <v>0</v>
      </c>
      <c r="J1188" s="20" t="s">
        <v>18088</v>
      </c>
      <c r="K1188" s="20">
        <v>89751</v>
      </c>
      <c r="L1188" s="20" t="s">
        <v>17282</v>
      </c>
      <c r="M1188" s="20" t="s">
        <v>17766</v>
      </c>
    </row>
    <row r="1189" spans="1:13" x14ac:dyDescent="0.25">
      <c r="A1189" s="20">
        <v>10120</v>
      </c>
      <c r="B1189" s="20" t="s">
        <v>15809</v>
      </c>
      <c r="C1189" s="20">
        <v>10120</v>
      </c>
      <c r="D1189" s="20" t="e">
        <f>VLOOKUP(C1189,[1]CHILDCARE_FACILITIES!AJ:AK,2,0)</f>
        <v>#N/A</v>
      </c>
      <c r="E1189" s="20" t="s">
        <v>15134</v>
      </c>
      <c r="F1189" s="20" t="s">
        <v>15135</v>
      </c>
      <c r="G1189" s="20">
        <v>113010000</v>
      </c>
      <c r="H1189" s="20" t="s">
        <v>15138</v>
      </c>
      <c r="I1189" s="20" t="b">
        <v>1</v>
      </c>
      <c r="J1189" s="20" t="s">
        <v>17437</v>
      </c>
      <c r="K1189" s="20">
        <v>10120</v>
      </c>
      <c r="L1189" s="20" t="s">
        <v>17308</v>
      </c>
      <c r="M1189" s="20" t="s">
        <v>17436</v>
      </c>
    </row>
    <row r="1190" spans="1:13" x14ac:dyDescent="0.25">
      <c r="A1190" s="20">
        <v>10120</v>
      </c>
      <c r="B1190" s="20" t="s">
        <v>15809</v>
      </c>
      <c r="C1190" s="20">
        <v>10120</v>
      </c>
      <c r="D1190" s="20" t="e">
        <f>VLOOKUP(C1190,[1]CHILDCARE_FACILITIES!AJ:AK,2,0)</f>
        <v>#N/A</v>
      </c>
      <c r="E1190" s="20" t="s">
        <v>15134</v>
      </c>
      <c r="F1190" s="20" t="s">
        <v>15135</v>
      </c>
      <c r="G1190" s="20">
        <v>113010000</v>
      </c>
      <c r="H1190" s="20" t="s">
        <v>15136</v>
      </c>
      <c r="I1190" s="20" t="b">
        <v>1</v>
      </c>
      <c r="J1190" s="20" t="s">
        <v>17437</v>
      </c>
      <c r="K1190" s="20">
        <v>10120</v>
      </c>
      <c r="L1190" s="20" t="s">
        <v>17308</v>
      </c>
      <c r="M1190" s="20" t="s">
        <v>17436</v>
      </c>
    </row>
    <row r="1191" spans="1:13" x14ac:dyDescent="0.25">
      <c r="A1191" s="20">
        <v>9965</v>
      </c>
      <c r="B1191" s="20" t="s">
        <v>15753</v>
      </c>
      <c r="C1191" s="20">
        <v>9965</v>
      </c>
      <c r="D1191" s="20" t="e">
        <f>VLOOKUP(C1191,[1]CHILDCARE_FACILITIES!AJ:AK,2,0)</f>
        <v>#N/A</v>
      </c>
      <c r="E1191" s="20" t="s">
        <v>15134</v>
      </c>
      <c r="F1191" s="20" t="s">
        <v>15135</v>
      </c>
      <c r="G1191" s="20">
        <v>103074001</v>
      </c>
      <c r="K1191" s="20">
        <v>9965</v>
      </c>
    </row>
    <row r="1192" spans="1:13" x14ac:dyDescent="0.25">
      <c r="A1192" s="20">
        <v>9368</v>
      </c>
      <c r="B1192" s="20" t="s">
        <v>15490</v>
      </c>
      <c r="C1192" s="20">
        <v>9368</v>
      </c>
      <c r="D1192" s="20" t="e">
        <f>VLOOKUP(C1192,[1]CHILDCARE_FACILITIES!AJ:AK,2,0)</f>
        <v>#N/A</v>
      </c>
      <c r="E1192" s="20" t="s">
        <v>15134</v>
      </c>
      <c r="F1192" s="20" t="s">
        <v>15135</v>
      </c>
      <c r="G1192" s="20">
        <v>73230000</v>
      </c>
      <c r="H1192" s="20" t="s">
        <v>15136</v>
      </c>
      <c r="I1192" s="20" t="b">
        <v>1</v>
      </c>
      <c r="J1192" s="20" t="s">
        <v>18089</v>
      </c>
      <c r="K1192" s="20">
        <v>9368</v>
      </c>
      <c r="L1192" s="20" t="s">
        <v>17213</v>
      </c>
      <c r="M1192" s="20" t="s">
        <v>18090</v>
      </c>
    </row>
    <row r="1193" spans="1:13" x14ac:dyDescent="0.25">
      <c r="A1193" s="20">
        <v>9368</v>
      </c>
      <c r="B1193" s="20" t="s">
        <v>15490</v>
      </c>
      <c r="C1193" s="20">
        <v>9368</v>
      </c>
      <c r="D1193" s="20" t="e">
        <f>VLOOKUP(C1193,[1]CHILDCARE_FACILITIES!AJ:AK,2,0)</f>
        <v>#N/A</v>
      </c>
      <c r="E1193" s="20" t="s">
        <v>15134</v>
      </c>
      <c r="F1193" s="20" t="s">
        <v>15135</v>
      </c>
      <c r="G1193" s="20">
        <v>73230000</v>
      </c>
      <c r="H1193" s="20" t="s">
        <v>15138</v>
      </c>
      <c r="I1193" s="20" t="b">
        <v>1</v>
      </c>
      <c r="J1193" s="20" t="s">
        <v>18091</v>
      </c>
      <c r="K1193" s="20">
        <v>9368</v>
      </c>
      <c r="L1193" s="20" t="s">
        <v>17236</v>
      </c>
      <c r="M1193" s="20" t="s">
        <v>18092</v>
      </c>
    </row>
    <row r="1194" spans="1:13" x14ac:dyDescent="0.25">
      <c r="A1194" s="20">
        <v>90495</v>
      </c>
      <c r="B1194" s="20" t="s">
        <v>16629</v>
      </c>
      <c r="C1194" s="20">
        <v>90495</v>
      </c>
      <c r="D1194" s="20" t="e">
        <f>VLOOKUP(C1194,[1]CHILDCARE_FACILITIES!AJ:AK,2,0)</f>
        <v>#N/A</v>
      </c>
      <c r="E1194" s="20" t="s">
        <v>15134</v>
      </c>
      <c r="F1194" s="20" t="s">
        <v>15135</v>
      </c>
      <c r="G1194" s="20">
        <v>103214001</v>
      </c>
      <c r="H1194" s="20" t="s">
        <v>15145</v>
      </c>
      <c r="I1194" s="20" t="b">
        <v>1</v>
      </c>
      <c r="J1194" s="20" t="s">
        <v>18093</v>
      </c>
      <c r="K1194" s="20">
        <v>90495</v>
      </c>
      <c r="L1194" s="20" t="s">
        <v>17271</v>
      </c>
      <c r="M1194" s="20" t="s">
        <v>18094</v>
      </c>
    </row>
    <row r="1195" spans="1:13" x14ac:dyDescent="0.25">
      <c r="A1195" s="20">
        <v>92710</v>
      </c>
      <c r="B1195" s="20" t="s">
        <v>16908</v>
      </c>
      <c r="C1195" s="20">
        <v>92710</v>
      </c>
      <c r="D1195" s="20" t="str">
        <f>VLOOKUP(C1195,[1]CHILDCARE_FACILITIES!AJ:AK,2,0)</f>
        <v>CDC-14072</v>
      </c>
      <c r="E1195" s="20" t="s">
        <v>15134</v>
      </c>
      <c r="F1195" s="20" t="s">
        <v>15135</v>
      </c>
      <c r="G1195" s="20">
        <v>103151001</v>
      </c>
      <c r="K1195" s="20">
        <v>92710</v>
      </c>
    </row>
    <row r="1196" spans="1:13" x14ac:dyDescent="0.25">
      <c r="A1196" s="20">
        <v>92709</v>
      </c>
      <c r="B1196" s="20" t="s">
        <v>16905</v>
      </c>
      <c r="C1196" s="20">
        <v>92709</v>
      </c>
      <c r="D1196" s="20" t="e">
        <f>VLOOKUP(C1196,[1]CHILDCARE_FACILITIES!AJ:AK,2,0)</f>
        <v>#N/A</v>
      </c>
      <c r="E1196" s="20" t="s">
        <v>15134</v>
      </c>
      <c r="F1196" s="20" t="s">
        <v>15135</v>
      </c>
      <c r="G1196" s="20">
        <v>103151000</v>
      </c>
      <c r="H1196" s="20" t="s">
        <v>15138</v>
      </c>
      <c r="I1196" s="20" t="b">
        <v>1</v>
      </c>
      <c r="J1196" s="20" t="s">
        <v>1197</v>
      </c>
      <c r="K1196" s="20">
        <v>92709</v>
      </c>
      <c r="L1196" s="20" t="s">
        <v>17271</v>
      </c>
      <c r="M1196" s="20" t="s">
        <v>17295</v>
      </c>
    </row>
    <row r="1197" spans="1:13" x14ac:dyDescent="0.25">
      <c r="A1197" s="20">
        <v>92709</v>
      </c>
      <c r="B1197" s="20" t="s">
        <v>16905</v>
      </c>
      <c r="C1197" s="20">
        <v>92709</v>
      </c>
      <c r="D1197" s="20" t="e">
        <f>VLOOKUP(C1197,[1]CHILDCARE_FACILITIES!AJ:AK,2,0)</f>
        <v>#N/A</v>
      </c>
      <c r="E1197" s="20" t="s">
        <v>15134</v>
      </c>
      <c r="F1197" s="20" t="s">
        <v>15135</v>
      </c>
      <c r="G1197" s="20">
        <v>103151000</v>
      </c>
      <c r="H1197" s="20" t="s">
        <v>15136</v>
      </c>
      <c r="I1197" s="20" t="b">
        <v>1</v>
      </c>
      <c r="J1197" s="20" t="s">
        <v>18095</v>
      </c>
      <c r="K1197" s="20">
        <v>92709</v>
      </c>
      <c r="L1197" s="20" t="s">
        <v>17271</v>
      </c>
      <c r="M1197" s="20" t="s">
        <v>18096</v>
      </c>
    </row>
    <row r="1198" spans="1:13" x14ac:dyDescent="0.25">
      <c r="A1198" s="20">
        <v>90494</v>
      </c>
      <c r="B1198" s="20" t="s">
        <v>16626</v>
      </c>
      <c r="C1198" s="20">
        <v>90494</v>
      </c>
      <c r="D1198" s="20" t="e">
        <f>VLOOKUP(C1198,[1]CHILDCARE_FACILITIES!AJ:AK,2,0)</f>
        <v>#N/A</v>
      </c>
      <c r="E1198" s="20" t="s">
        <v>15134</v>
      </c>
      <c r="F1198" s="20" t="s">
        <v>15135</v>
      </c>
      <c r="G1198" s="20">
        <v>103214000</v>
      </c>
      <c r="H1198" s="20" t="s">
        <v>15138</v>
      </c>
      <c r="I1198" s="20" t="b">
        <v>1</v>
      </c>
      <c r="J1198" s="20" t="s">
        <v>18093</v>
      </c>
      <c r="K1198" s="20">
        <v>90494</v>
      </c>
      <c r="L1198" s="20" t="s">
        <v>17271</v>
      </c>
      <c r="M1198" s="20" t="s">
        <v>18094</v>
      </c>
    </row>
    <row r="1199" spans="1:13" x14ac:dyDescent="0.25">
      <c r="A1199" s="20">
        <v>90494</v>
      </c>
      <c r="B1199" s="20" t="s">
        <v>16626</v>
      </c>
      <c r="C1199" s="20">
        <v>90494</v>
      </c>
      <c r="D1199" s="20" t="e">
        <f>VLOOKUP(C1199,[1]CHILDCARE_FACILITIES!AJ:AK,2,0)</f>
        <v>#N/A</v>
      </c>
      <c r="E1199" s="20" t="s">
        <v>15134</v>
      </c>
      <c r="F1199" s="20" t="s">
        <v>15135</v>
      </c>
      <c r="G1199" s="20">
        <v>103214000</v>
      </c>
      <c r="H1199" s="20" t="s">
        <v>15136</v>
      </c>
      <c r="I1199" s="20" t="b">
        <v>1</v>
      </c>
      <c r="J1199" s="20" t="s">
        <v>18097</v>
      </c>
      <c r="K1199" s="20">
        <v>90494</v>
      </c>
      <c r="L1199" s="20" t="s">
        <v>17271</v>
      </c>
      <c r="M1199" s="20" t="s">
        <v>18098</v>
      </c>
    </row>
    <row r="1200" spans="1:13" x14ac:dyDescent="0.25">
      <c r="A1200" s="20">
        <v>1000121</v>
      </c>
      <c r="B1200" s="20" t="s">
        <v>17091</v>
      </c>
      <c r="C1200" s="20">
        <v>1000121</v>
      </c>
      <c r="D1200" s="20" t="e">
        <f>VLOOKUP(C1200,[1]CHILDCARE_FACILITIES!AJ:AK,2,0)</f>
        <v>#N/A</v>
      </c>
      <c r="E1200" s="20" t="s">
        <v>15134</v>
      </c>
      <c r="F1200" s="20" t="s">
        <v>15135</v>
      </c>
      <c r="G1200" s="20">
        <v>103158001</v>
      </c>
      <c r="H1200" s="20" t="s">
        <v>15138</v>
      </c>
      <c r="I1200" s="20" t="b">
        <v>1</v>
      </c>
      <c r="J1200" s="20" t="s">
        <v>18099</v>
      </c>
      <c r="K1200" s="20">
        <v>1000121</v>
      </c>
      <c r="L1200" s="20" t="s">
        <v>17271</v>
      </c>
      <c r="M1200" s="20" t="s">
        <v>18100</v>
      </c>
    </row>
    <row r="1201" spans="1:13" x14ac:dyDescent="0.25">
      <c r="A1201" s="20">
        <v>1000121</v>
      </c>
      <c r="B1201" s="20" t="s">
        <v>17091</v>
      </c>
      <c r="C1201" s="20">
        <v>1000121</v>
      </c>
      <c r="D1201" s="20" t="e">
        <f>VLOOKUP(C1201,[1]CHILDCARE_FACILITIES!AJ:AK,2,0)</f>
        <v>#N/A</v>
      </c>
      <c r="E1201" s="20" t="s">
        <v>15134</v>
      </c>
      <c r="F1201" s="20" t="s">
        <v>15135</v>
      </c>
      <c r="G1201" s="20">
        <v>103158001</v>
      </c>
      <c r="H1201" s="20" t="s">
        <v>15136</v>
      </c>
      <c r="I1201" s="20" t="b">
        <v>1</v>
      </c>
      <c r="J1201" s="20" t="s">
        <v>18099</v>
      </c>
      <c r="K1201" s="20">
        <v>1000121</v>
      </c>
      <c r="L1201" s="20" t="s">
        <v>17271</v>
      </c>
      <c r="M1201" s="20" t="s">
        <v>18100</v>
      </c>
    </row>
    <row r="1202" spans="1:13" x14ac:dyDescent="0.25">
      <c r="A1202" s="20">
        <v>1000120</v>
      </c>
      <c r="B1202" s="20" t="s">
        <v>17089</v>
      </c>
      <c r="C1202" s="20">
        <v>1000120</v>
      </c>
      <c r="D1202" s="20" t="e">
        <f>VLOOKUP(C1202,[1]CHILDCARE_FACILITIES!AJ:AK,2,0)</f>
        <v>#N/A</v>
      </c>
      <c r="E1202" s="20" t="s">
        <v>15134</v>
      </c>
      <c r="F1202" s="20" t="s">
        <v>15135</v>
      </c>
      <c r="G1202" s="20">
        <v>103158000</v>
      </c>
      <c r="H1202" s="20" t="s">
        <v>15138</v>
      </c>
      <c r="I1202" s="20" t="b">
        <v>1</v>
      </c>
      <c r="J1202" s="20" t="s">
        <v>18099</v>
      </c>
      <c r="K1202" s="20">
        <v>1000120</v>
      </c>
      <c r="L1202" s="20" t="s">
        <v>17271</v>
      </c>
      <c r="M1202" s="20" t="s">
        <v>18100</v>
      </c>
    </row>
    <row r="1203" spans="1:13" x14ac:dyDescent="0.25">
      <c r="A1203" s="20">
        <v>1000120</v>
      </c>
      <c r="B1203" s="20" t="s">
        <v>17089</v>
      </c>
      <c r="C1203" s="20">
        <v>1000120</v>
      </c>
      <c r="D1203" s="20" t="e">
        <f>VLOOKUP(C1203,[1]CHILDCARE_FACILITIES!AJ:AK,2,0)</f>
        <v>#N/A</v>
      </c>
      <c r="E1203" s="20" t="s">
        <v>15134</v>
      </c>
      <c r="F1203" s="20" t="s">
        <v>15135</v>
      </c>
      <c r="G1203" s="20">
        <v>103158000</v>
      </c>
      <c r="H1203" s="20" t="s">
        <v>15136</v>
      </c>
      <c r="I1203" s="20" t="b">
        <v>1</v>
      </c>
      <c r="J1203" s="20" t="s">
        <v>18099</v>
      </c>
      <c r="K1203" s="20">
        <v>1000120</v>
      </c>
      <c r="L1203" s="20" t="s">
        <v>17271</v>
      </c>
      <c r="M1203" s="20" t="s">
        <v>18100</v>
      </c>
    </row>
    <row r="1204" spans="1:13" x14ac:dyDescent="0.25">
      <c r="A1204" s="20">
        <v>80917</v>
      </c>
      <c r="B1204" s="20" t="s">
        <v>16235</v>
      </c>
      <c r="C1204" s="20">
        <v>80917</v>
      </c>
      <c r="D1204" s="20" t="e">
        <f>VLOOKUP(C1204,[1]CHILDCARE_FACILITIES!AJ:AK,2,0)</f>
        <v>#N/A</v>
      </c>
      <c r="E1204" s="20" t="s">
        <v>15134</v>
      </c>
      <c r="F1204" s="20" t="s">
        <v>15135</v>
      </c>
      <c r="G1204" s="20">
        <v>73492000</v>
      </c>
      <c r="H1204" s="20" t="s">
        <v>15145</v>
      </c>
      <c r="I1204" s="20" t="b">
        <v>1</v>
      </c>
      <c r="J1204" s="20" t="s">
        <v>18101</v>
      </c>
      <c r="K1204" s="20">
        <v>80917</v>
      </c>
      <c r="L1204" s="20" t="s">
        <v>17213</v>
      </c>
      <c r="M1204" s="20" t="s">
        <v>18102</v>
      </c>
    </row>
    <row r="1205" spans="1:13" x14ac:dyDescent="0.25">
      <c r="A1205" s="20">
        <v>80918</v>
      </c>
      <c r="B1205" s="20" t="s">
        <v>16235</v>
      </c>
      <c r="C1205" s="20">
        <v>80918</v>
      </c>
      <c r="D1205" s="20" t="e">
        <f>VLOOKUP(C1205,[1]CHILDCARE_FACILITIES!AJ:AK,2,0)</f>
        <v>#N/A</v>
      </c>
      <c r="E1205" s="20" t="s">
        <v>15134</v>
      </c>
      <c r="F1205" s="20" t="s">
        <v>15135</v>
      </c>
      <c r="G1205" s="20">
        <v>73492001</v>
      </c>
      <c r="H1205" s="20" t="s">
        <v>15145</v>
      </c>
      <c r="I1205" s="20" t="b">
        <v>1</v>
      </c>
      <c r="J1205" s="20" t="s">
        <v>18101</v>
      </c>
      <c r="K1205" s="20">
        <v>80918</v>
      </c>
      <c r="L1205" s="20" t="s">
        <v>17213</v>
      </c>
      <c r="M1205" s="20" t="s">
        <v>18102</v>
      </c>
    </row>
    <row r="1206" spans="1:13" x14ac:dyDescent="0.25">
      <c r="A1206" s="20">
        <v>9795</v>
      </c>
      <c r="B1206" s="20" t="s">
        <v>15687</v>
      </c>
      <c r="C1206" s="20">
        <v>9795</v>
      </c>
      <c r="D1206" s="20" t="e">
        <f>VLOOKUP(C1206,[1]CHILDCARE_FACILITIES!AJ:AK,2,0)</f>
        <v>#N/A</v>
      </c>
      <c r="E1206" s="20" t="s">
        <v>15134</v>
      </c>
      <c r="F1206" s="20" t="s">
        <v>15135</v>
      </c>
      <c r="G1206" s="20">
        <v>102252001</v>
      </c>
      <c r="K1206" s="20">
        <v>9795</v>
      </c>
    </row>
    <row r="1207" spans="1:13" x14ac:dyDescent="0.25">
      <c r="A1207" s="20">
        <v>10155</v>
      </c>
      <c r="B1207" s="20" t="s">
        <v>15820</v>
      </c>
      <c r="C1207" s="20">
        <v>10155</v>
      </c>
      <c r="D1207" s="20" t="e">
        <f>VLOOKUP(C1207,[1]CHILDCARE_FACILITIES!AJ:AK,2,0)</f>
        <v>#N/A</v>
      </c>
      <c r="E1207" s="20" t="s">
        <v>15134</v>
      </c>
      <c r="F1207" s="20" t="s">
        <v>15135</v>
      </c>
      <c r="G1207" s="20">
        <v>133018001</v>
      </c>
      <c r="K1207" s="20">
        <v>10155</v>
      </c>
    </row>
    <row r="1208" spans="1:13" x14ac:dyDescent="0.25">
      <c r="A1208" s="20">
        <v>10149</v>
      </c>
      <c r="B1208" s="20" t="s">
        <v>15818</v>
      </c>
      <c r="C1208" s="20">
        <v>10149</v>
      </c>
      <c r="D1208" s="20" t="e">
        <f>VLOOKUP(C1208,[1]CHILDCARE_FACILITIES!AJ:AK,2,0)</f>
        <v>#N/A</v>
      </c>
      <c r="E1208" s="20" t="s">
        <v>15134</v>
      </c>
      <c r="F1208" s="20" t="s">
        <v>15135</v>
      </c>
      <c r="G1208" s="20">
        <v>133015001</v>
      </c>
      <c r="K1208" s="20">
        <v>10149</v>
      </c>
    </row>
    <row r="1209" spans="1:13" x14ac:dyDescent="0.25">
      <c r="A1209" s="20">
        <v>89841</v>
      </c>
      <c r="B1209" s="20" t="s">
        <v>16468</v>
      </c>
      <c r="C1209" s="20">
        <v>89841</v>
      </c>
      <c r="D1209" s="20" t="str">
        <f>VLOOKUP(C1209,[1]CHILDCARE_FACILITIES!AJ:AK,2,0)</f>
        <v>CDC-14021</v>
      </c>
      <c r="E1209" s="20" t="s">
        <v>15134</v>
      </c>
      <c r="F1209" s="20" t="s">
        <v>15135</v>
      </c>
      <c r="G1209" s="20">
        <v>83022001</v>
      </c>
      <c r="H1209" s="20" t="s">
        <v>15145</v>
      </c>
      <c r="I1209" s="20" t="b">
        <v>1</v>
      </c>
      <c r="J1209" s="20" t="s">
        <v>17401</v>
      </c>
      <c r="K1209" s="20">
        <v>89841</v>
      </c>
      <c r="L1209" s="20" t="s">
        <v>17402</v>
      </c>
      <c r="M1209" s="20" t="s">
        <v>17403</v>
      </c>
    </row>
    <row r="1210" spans="1:13" x14ac:dyDescent="0.25">
      <c r="A1210" s="20">
        <v>92406</v>
      </c>
      <c r="B1210" s="20" t="s">
        <v>16866</v>
      </c>
      <c r="C1210" s="20">
        <v>92406</v>
      </c>
      <c r="D1210" s="20" t="str">
        <f>VLOOKUP(C1210,[1]CHILDCARE_FACILITIES!AJ:AK,2,0)</f>
        <v>CDC-16839</v>
      </c>
      <c r="E1210" s="20" t="s">
        <v>15134</v>
      </c>
      <c r="F1210" s="20" t="s">
        <v>15135</v>
      </c>
      <c r="G1210" s="20">
        <v>73309001</v>
      </c>
      <c r="K1210" s="20">
        <v>92406</v>
      </c>
    </row>
    <row r="1211" spans="1:13" x14ac:dyDescent="0.25">
      <c r="A1211" s="20">
        <v>92962</v>
      </c>
      <c r="B1211" s="20" t="s">
        <v>16949</v>
      </c>
      <c r="C1211" s="20">
        <v>92962</v>
      </c>
      <c r="D1211" s="20" t="e">
        <f>VLOOKUP(C1211,[1]CHILDCARE_FACILITIES!AJ:AK,2,0)</f>
        <v>#N/A</v>
      </c>
      <c r="E1211" s="20" t="s">
        <v>15134</v>
      </c>
      <c r="F1211" s="20" t="s">
        <v>15135</v>
      </c>
      <c r="G1211" s="20">
        <v>73309002</v>
      </c>
      <c r="K1211" s="20">
        <v>92962</v>
      </c>
    </row>
    <row r="1212" spans="1:13" x14ac:dyDescent="0.25">
      <c r="A1212" s="20">
        <v>92405</v>
      </c>
      <c r="B1212" s="20" t="s">
        <v>16865</v>
      </c>
      <c r="C1212" s="20">
        <v>92405</v>
      </c>
      <c r="D1212" s="20" t="e">
        <f>VLOOKUP(C1212,[1]CHILDCARE_FACILITIES!AJ:AK,2,0)</f>
        <v>#N/A</v>
      </c>
      <c r="E1212" s="20" t="s">
        <v>15134</v>
      </c>
      <c r="F1212" s="20" t="s">
        <v>15135</v>
      </c>
      <c r="G1212" s="20">
        <v>73309000</v>
      </c>
      <c r="H1212" s="20" t="s">
        <v>15136</v>
      </c>
      <c r="I1212" s="20" t="b">
        <v>1</v>
      </c>
      <c r="J1212" s="20" t="s">
        <v>18060</v>
      </c>
      <c r="K1212" s="20">
        <v>92405</v>
      </c>
      <c r="L1212" s="20" t="s">
        <v>17216</v>
      </c>
      <c r="M1212" s="20" t="s">
        <v>18061</v>
      </c>
    </row>
    <row r="1213" spans="1:13" x14ac:dyDescent="0.25">
      <c r="A1213" s="20">
        <v>92405</v>
      </c>
      <c r="B1213" s="20" t="s">
        <v>16865</v>
      </c>
      <c r="C1213" s="20">
        <v>92405</v>
      </c>
      <c r="D1213" s="20" t="e">
        <f>VLOOKUP(C1213,[1]CHILDCARE_FACILITIES!AJ:AK,2,0)</f>
        <v>#N/A</v>
      </c>
      <c r="E1213" s="20" t="s">
        <v>15134</v>
      </c>
      <c r="F1213" s="20" t="s">
        <v>15135</v>
      </c>
      <c r="G1213" s="20">
        <v>73309000</v>
      </c>
      <c r="H1213" s="20" t="s">
        <v>15138</v>
      </c>
      <c r="I1213" s="20" t="b">
        <v>1</v>
      </c>
      <c r="J1213" s="20" t="s">
        <v>18060</v>
      </c>
      <c r="K1213" s="20">
        <v>92405</v>
      </c>
      <c r="L1213" s="20" t="s">
        <v>17216</v>
      </c>
      <c r="M1213" s="20" t="s">
        <v>18061</v>
      </c>
    </row>
    <row r="1214" spans="1:13" x14ac:dyDescent="0.25">
      <c r="A1214" s="20">
        <v>1000077</v>
      </c>
      <c r="B1214" s="20" t="s">
        <v>17056</v>
      </c>
      <c r="C1214" s="20">
        <v>1000077</v>
      </c>
      <c r="D1214" s="20" t="e">
        <f>VLOOKUP(C1214,[1]CHILDCARE_FACILITIES!AJ:AK,2,0)</f>
        <v>#N/A</v>
      </c>
      <c r="E1214" s="20" t="s">
        <v>15134</v>
      </c>
      <c r="F1214" s="20" t="s">
        <v>15135</v>
      </c>
      <c r="G1214" s="20">
        <v>73349001</v>
      </c>
      <c r="H1214" s="20" t="s">
        <v>15136</v>
      </c>
      <c r="I1214" s="20" t="b">
        <v>1</v>
      </c>
      <c r="J1214" s="20" t="s">
        <v>18103</v>
      </c>
      <c r="K1214" s="20">
        <v>1000077</v>
      </c>
      <c r="L1214" s="20" t="s">
        <v>17228</v>
      </c>
      <c r="M1214" s="20" t="s">
        <v>18104</v>
      </c>
    </row>
    <row r="1215" spans="1:13" x14ac:dyDescent="0.25">
      <c r="A1215" s="20">
        <v>1000077</v>
      </c>
      <c r="B1215" s="20" t="s">
        <v>17056</v>
      </c>
      <c r="C1215" s="20">
        <v>1000077</v>
      </c>
      <c r="D1215" s="20" t="e">
        <f>VLOOKUP(C1215,[1]CHILDCARE_FACILITIES!AJ:AK,2,0)</f>
        <v>#N/A</v>
      </c>
      <c r="E1215" s="20" t="s">
        <v>15134</v>
      </c>
      <c r="F1215" s="20" t="s">
        <v>15135</v>
      </c>
      <c r="G1215" s="20">
        <v>73349001</v>
      </c>
      <c r="H1215" s="20" t="s">
        <v>15138</v>
      </c>
      <c r="I1215" s="20" t="b">
        <v>1</v>
      </c>
      <c r="J1215" s="20" t="s">
        <v>18103</v>
      </c>
      <c r="K1215" s="20">
        <v>1000077</v>
      </c>
      <c r="L1215" s="20" t="s">
        <v>17228</v>
      </c>
      <c r="M1215" s="20" t="s">
        <v>18104</v>
      </c>
    </row>
    <row r="1216" spans="1:13" x14ac:dyDescent="0.25">
      <c r="A1216" s="20">
        <v>1000076</v>
      </c>
      <c r="B1216" s="20" t="s">
        <v>17054</v>
      </c>
      <c r="C1216" s="20">
        <v>1000076</v>
      </c>
      <c r="D1216" s="20" t="e">
        <f>VLOOKUP(C1216,[1]CHILDCARE_FACILITIES!AJ:AK,2,0)</f>
        <v>#N/A</v>
      </c>
      <c r="E1216" s="20" t="s">
        <v>15134</v>
      </c>
      <c r="F1216" s="20" t="s">
        <v>15135</v>
      </c>
      <c r="G1216" s="20">
        <v>73349000</v>
      </c>
      <c r="H1216" s="20" t="s">
        <v>15136</v>
      </c>
      <c r="I1216" s="20" t="b">
        <v>1</v>
      </c>
      <c r="J1216" s="20" t="s">
        <v>18103</v>
      </c>
      <c r="K1216" s="20">
        <v>1000076</v>
      </c>
      <c r="L1216" s="20" t="s">
        <v>17228</v>
      </c>
      <c r="M1216" s="20" t="s">
        <v>18104</v>
      </c>
    </row>
    <row r="1217" spans="1:13" x14ac:dyDescent="0.25">
      <c r="A1217" s="20">
        <v>1000076</v>
      </c>
      <c r="B1217" s="20" t="s">
        <v>17054</v>
      </c>
      <c r="C1217" s="20">
        <v>1000076</v>
      </c>
      <c r="D1217" s="20" t="e">
        <f>VLOOKUP(C1217,[1]CHILDCARE_FACILITIES!AJ:AK,2,0)</f>
        <v>#N/A</v>
      </c>
      <c r="E1217" s="20" t="s">
        <v>15134</v>
      </c>
      <c r="F1217" s="20" t="s">
        <v>15135</v>
      </c>
      <c r="G1217" s="20">
        <v>73349000</v>
      </c>
      <c r="H1217" s="20" t="s">
        <v>15138</v>
      </c>
      <c r="I1217" s="20" t="b">
        <v>1</v>
      </c>
      <c r="J1217" s="20" t="s">
        <v>18103</v>
      </c>
      <c r="K1217" s="20">
        <v>1000076</v>
      </c>
      <c r="L1217" s="20" t="s">
        <v>17228</v>
      </c>
      <c r="M1217" s="20" t="s">
        <v>18104</v>
      </c>
    </row>
    <row r="1218" spans="1:13" x14ac:dyDescent="0.25">
      <c r="A1218" s="20">
        <v>93787</v>
      </c>
      <c r="B1218" s="20" t="s">
        <v>16966</v>
      </c>
      <c r="C1218" s="20">
        <v>93787</v>
      </c>
      <c r="D1218" s="20" t="e">
        <f>VLOOKUP(C1218,[1]CHILDCARE_FACILITIES!AJ:AK,2,0)</f>
        <v>#N/A</v>
      </c>
      <c r="E1218" s="20" t="s">
        <v>15134</v>
      </c>
      <c r="F1218" s="20" t="s">
        <v>15135</v>
      </c>
      <c r="G1218" s="20">
        <v>73341000</v>
      </c>
      <c r="H1218" s="20" t="s">
        <v>15138</v>
      </c>
      <c r="I1218" s="20" t="b">
        <v>1</v>
      </c>
      <c r="J1218" s="20" t="s">
        <v>18105</v>
      </c>
      <c r="K1218" s="20">
        <v>93787</v>
      </c>
      <c r="L1218" s="20" t="s">
        <v>17213</v>
      </c>
      <c r="M1218" s="20" t="s">
        <v>18106</v>
      </c>
    </row>
    <row r="1219" spans="1:13" x14ac:dyDescent="0.25">
      <c r="A1219" s="20">
        <v>93787</v>
      </c>
      <c r="B1219" s="20" t="s">
        <v>16966</v>
      </c>
      <c r="C1219" s="20">
        <v>93787</v>
      </c>
      <c r="D1219" s="20" t="e">
        <f>VLOOKUP(C1219,[1]CHILDCARE_FACILITIES!AJ:AK,2,0)</f>
        <v>#N/A</v>
      </c>
      <c r="E1219" s="20" t="s">
        <v>15134</v>
      </c>
      <c r="F1219" s="20" t="s">
        <v>15135</v>
      </c>
      <c r="G1219" s="20">
        <v>73341000</v>
      </c>
      <c r="H1219" s="20" t="s">
        <v>15136</v>
      </c>
      <c r="I1219" s="20" t="b">
        <v>1</v>
      </c>
      <c r="J1219" s="20" t="s">
        <v>18107</v>
      </c>
      <c r="K1219" s="20">
        <v>93787</v>
      </c>
      <c r="L1219" s="20" t="s">
        <v>17639</v>
      </c>
      <c r="M1219" s="20" t="s">
        <v>18108</v>
      </c>
    </row>
    <row r="1220" spans="1:13" x14ac:dyDescent="0.25">
      <c r="A1220" s="20">
        <v>79350</v>
      </c>
      <c r="B1220" s="20" t="s">
        <v>15952</v>
      </c>
      <c r="C1220" s="20">
        <v>79350</v>
      </c>
      <c r="D1220" s="20" t="e">
        <f>VLOOKUP(C1220,[1]CHILDCARE_FACILITIES!AJ:AK,2,0)</f>
        <v>#N/A</v>
      </c>
      <c r="E1220" s="20" t="s">
        <v>15134</v>
      </c>
      <c r="F1220" s="20" t="s">
        <v>15135</v>
      </c>
      <c r="G1220" s="20">
        <v>73455001</v>
      </c>
      <c r="H1220" s="20" t="s">
        <v>15145</v>
      </c>
      <c r="I1220" s="20" t="b">
        <v>1</v>
      </c>
      <c r="J1220" s="20" t="s">
        <v>17366</v>
      </c>
      <c r="K1220" s="20">
        <v>79350</v>
      </c>
      <c r="L1220" s="20" t="s">
        <v>17367</v>
      </c>
      <c r="M1220" s="20" t="s">
        <v>17368</v>
      </c>
    </row>
    <row r="1221" spans="1:13" x14ac:dyDescent="0.25">
      <c r="A1221" s="20">
        <v>79350</v>
      </c>
      <c r="B1221" s="20" t="s">
        <v>15952</v>
      </c>
      <c r="C1221" s="20">
        <v>79350</v>
      </c>
      <c r="D1221" s="20" t="e">
        <f>VLOOKUP(C1221,[1]CHILDCARE_FACILITIES!AJ:AK,2,0)</f>
        <v>#N/A</v>
      </c>
      <c r="E1221" s="20" t="s">
        <v>15134</v>
      </c>
      <c r="F1221" s="20" t="s">
        <v>15135</v>
      </c>
      <c r="G1221" s="20">
        <v>73455001</v>
      </c>
      <c r="H1221" s="20" t="s">
        <v>15138</v>
      </c>
      <c r="I1221" s="20" t="b">
        <v>1</v>
      </c>
      <c r="J1221" s="20" t="s">
        <v>17366</v>
      </c>
      <c r="K1221" s="20">
        <v>79350</v>
      </c>
      <c r="L1221" s="20" t="s">
        <v>17367</v>
      </c>
      <c r="M1221" s="20" t="s">
        <v>17368</v>
      </c>
    </row>
    <row r="1222" spans="1:13" x14ac:dyDescent="0.25">
      <c r="A1222" s="20">
        <v>79033</v>
      </c>
      <c r="B1222" s="20" t="s">
        <v>15894</v>
      </c>
      <c r="C1222" s="20">
        <v>79033</v>
      </c>
      <c r="D1222" s="20" t="e">
        <f>VLOOKUP(C1222,[1]CHILDCARE_FACILITIES!AJ:AK,2,0)</f>
        <v>#N/A</v>
      </c>
      <c r="E1222" s="20" t="s">
        <v>15134</v>
      </c>
      <c r="F1222" s="20" t="s">
        <v>15135</v>
      </c>
      <c r="G1222" s="20">
        <v>73448001</v>
      </c>
      <c r="H1222" s="20" t="s">
        <v>15145</v>
      </c>
      <c r="I1222" s="20" t="b">
        <v>1</v>
      </c>
      <c r="J1222" s="20" t="s">
        <v>18109</v>
      </c>
      <c r="K1222" s="20">
        <v>79033</v>
      </c>
      <c r="L1222" s="20" t="s">
        <v>17239</v>
      </c>
      <c r="M1222" s="20" t="s">
        <v>18110</v>
      </c>
    </row>
    <row r="1223" spans="1:13" x14ac:dyDescent="0.25">
      <c r="A1223" s="20">
        <v>79033</v>
      </c>
      <c r="B1223" s="20" t="s">
        <v>15894</v>
      </c>
      <c r="C1223" s="20">
        <v>79033</v>
      </c>
      <c r="D1223" s="20" t="e">
        <f>VLOOKUP(C1223,[1]CHILDCARE_FACILITIES!AJ:AK,2,0)</f>
        <v>#N/A</v>
      </c>
      <c r="E1223" s="20" t="s">
        <v>15134</v>
      </c>
      <c r="F1223" s="20" t="s">
        <v>15135</v>
      </c>
      <c r="G1223" s="20">
        <v>73448001</v>
      </c>
      <c r="H1223" s="20" t="s">
        <v>15138</v>
      </c>
      <c r="I1223" s="20" t="b">
        <v>1</v>
      </c>
      <c r="J1223" s="20" t="s">
        <v>18111</v>
      </c>
      <c r="K1223" s="20">
        <v>79033</v>
      </c>
      <c r="L1223" s="20" t="s">
        <v>17251</v>
      </c>
      <c r="M1223" s="20" t="s">
        <v>18112</v>
      </c>
    </row>
    <row r="1224" spans="1:13" x14ac:dyDescent="0.25">
      <c r="A1224" s="20">
        <v>8470</v>
      </c>
      <c r="B1224" s="20" t="s">
        <v>15142</v>
      </c>
      <c r="C1224" s="20">
        <v>8470</v>
      </c>
      <c r="D1224" s="20" t="e">
        <f>VLOOKUP(C1224,[1]CHILDCARE_FACILITIES!AJ:AK,2,0)</f>
        <v>#N/A</v>
      </c>
      <c r="E1224" s="20" t="s">
        <v>15134</v>
      </c>
      <c r="F1224" s="20" t="s">
        <v>15135</v>
      </c>
      <c r="G1224" s="20">
        <v>13002001</v>
      </c>
      <c r="K1224" s="20">
        <v>8470</v>
      </c>
    </row>
    <row r="1225" spans="1:13" x14ac:dyDescent="0.25">
      <c r="A1225" s="20">
        <v>1000125</v>
      </c>
      <c r="B1225" s="20" t="s">
        <v>17096</v>
      </c>
      <c r="C1225" s="20">
        <v>1000125</v>
      </c>
      <c r="D1225" s="20" t="str">
        <f>VLOOKUP(C1225,[1]CHILDCARE_FACILITIES!AJ:AK,2,0)</f>
        <v>CDC-17216</v>
      </c>
      <c r="E1225" s="20" t="s">
        <v>15134</v>
      </c>
      <c r="F1225" s="20" t="s">
        <v>15135</v>
      </c>
      <c r="G1225" s="20">
        <v>103159001</v>
      </c>
      <c r="H1225" s="20" t="s">
        <v>15136</v>
      </c>
      <c r="I1225" s="20" t="b">
        <v>1</v>
      </c>
      <c r="J1225" s="20" t="s">
        <v>18113</v>
      </c>
      <c r="K1225" s="20">
        <v>1000125</v>
      </c>
      <c r="L1225" s="20" t="s">
        <v>17271</v>
      </c>
      <c r="M1225" s="20" t="s">
        <v>18114</v>
      </c>
    </row>
    <row r="1226" spans="1:13" x14ac:dyDescent="0.25">
      <c r="A1226" s="20">
        <v>1000125</v>
      </c>
      <c r="B1226" s="20" t="s">
        <v>17096</v>
      </c>
      <c r="C1226" s="20">
        <v>1000125</v>
      </c>
      <c r="D1226" s="20" t="str">
        <f>VLOOKUP(C1226,[1]CHILDCARE_FACILITIES!AJ:AK,2,0)</f>
        <v>CDC-17216</v>
      </c>
      <c r="E1226" s="20" t="s">
        <v>15134</v>
      </c>
      <c r="F1226" s="20" t="s">
        <v>15135</v>
      </c>
      <c r="G1226" s="20">
        <v>103159001</v>
      </c>
      <c r="H1226" s="20" t="s">
        <v>15138</v>
      </c>
      <c r="I1226" s="20" t="b">
        <v>1</v>
      </c>
      <c r="J1226" s="20" t="s">
        <v>18113</v>
      </c>
      <c r="K1226" s="20">
        <v>1000125</v>
      </c>
      <c r="L1226" s="20" t="s">
        <v>17271</v>
      </c>
      <c r="M1226" s="20" t="s">
        <v>18114</v>
      </c>
    </row>
    <row r="1227" spans="1:13" x14ac:dyDescent="0.25">
      <c r="A1227" s="20">
        <v>1000124</v>
      </c>
      <c r="B1227" s="20" t="s">
        <v>17094</v>
      </c>
      <c r="C1227" s="20">
        <v>1000124</v>
      </c>
      <c r="D1227" s="20" t="e">
        <f>VLOOKUP(C1227,[1]CHILDCARE_FACILITIES!AJ:AK,2,0)</f>
        <v>#N/A</v>
      </c>
      <c r="E1227" s="20" t="s">
        <v>15134</v>
      </c>
      <c r="F1227" s="20" t="s">
        <v>15135</v>
      </c>
      <c r="G1227" s="20">
        <v>103159000</v>
      </c>
      <c r="H1227" s="20" t="s">
        <v>15138</v>
      </c>
      <c r="I1227" s="20" t="b">
        <v>1</v>
      </c>
      <c r="J1227" s="20" t="s">
        <v>18113</v>
      </c>
      <c r="K1227" s="20">
        <v>1000124</v>
      </c>
      <c r="L1227" s="20" t="s">
        <v>17271</v>
      </c>
      <c r="M1227" s="20" t="s">
        <v>18114</v>
      </c>
    </row>
    <row r="1228" spans="1:13" x14ac:dyDescent="0.25">
      <c r="A1228" s="20">
        <v>1000124</v>
      </c>
      <c r="B1228" s="20" t="s">
        <v>17094</v>
      </c>
      <c r="C1228" s="20">
        <v>1000124</v>
      </c>
      <c r="D1228" s="20" t="e">
        <f>VLOOKUP(C1228,[1]CHILDCARE_FACILITIES!AJ:AK,2,0)</f>
        <v>#N/A</v>
      </c>
      <c r="E1228" s="20" t="s">
        <v>15134</v>
      </c>
      <c r="F1228" s="20" t="s">
        <v>15135</v>
      </c>
      <c r="G1228" s="20">
        <v>103159000</v>
      </c>
      <c r="H1228" s="20" t="s">
        <v>15136</v>
      </c>
      <c r="I1228" s="20" t="b">
        <v>1</v>
      </c>
      <c r="J1228" s="20" t="s">
        <v>18113</v>
      </c>
      <c r="K1228" s="20">
        <v>1000124</v>
      </c>
      <c r="L1228" s="20" t="s">
        <v>17271</v>
      </c>
      <c r="M1228" s="20" t="s">
        <v>18114</v>
      </c>
    </row>
    <row r="1229" spans="1:13" x14ac:dyDescent="0.25">
      <c r="A1229" s="20">
        <v>61230</v>
      </c>
      <c r="B1229" s="20" t="s">
        <v>15872</v>
      </c>
      <c r="C1229" s="20">
        <v>61230</v>
      </c>
      <c r="D1229" s="20" t="e">
        <f>VLOOKUP(C1229,[1]CHILDCARE_FACILITIES!AJ:AK,2,0)</f>
        <v>#N/A</v>
      </c>
      <c r="E1229" s="20" t="s">
        <v>15134</v>
      </c>
      <c r="F1229" s="20" t="s">
        <v>15135</v>
      </c>
      <c r="G1229" s="20">
        <v>73334001</v>
      </c>
      <c r="K1229" s="20">
        <v>61230</v>
      </c>
    </row>
    <row r="1230" spans="1:13" x14ac:dyDescent="0.25">
      <c r="A1230" s="20">
        <v>36972</v>
      </c>
      <c r="B1230" s="20" t="s">
        <v>15867</v>
      </c>
      <c r="C1230" s="20">
        <v>36972</v>
      </c>
      <c r="D1230" s="20" t="e">
        <f>VLOOKUP(C1230,[1]CHILDCARE_FACILITIES!AJ:AK,2,0)</f>
        <v>#N/A</v>
      </c>
      <c r="E1230" s="20" t="s">
        <v>15134</v>
      </c>
      <c r="F1230" s="20" t="s">
        <v>15135</v>
      </c>
      <c r="G1230" s="20">
        <v>73334000</v>
      </c>
      <c r="K1230" s="20">
        <v>36972</v>
      </c>
    </row>
    <row r="1231" spans="1:13" x14ac:dyDescent="0.25">
      <c r="A1231" s="20">
        <v>91923</v>
      </c>
      <c r="B1231" s="20" t="s">
        <v>16824</v>
      </c>
      <c r="C1231" s="20">
        <v>91923</v>
      </c>
      <c r="D1231" s="20" t="e">
        <f>VLOOKUP(C1231,[1]CHILDCARE_FACILITIES!AJ:AK,2,0)</f>
        <v>#N/A</v>
      </c>
      <c r="E1231" s="20" t="s">
        <v>15134</v>
      </c>
      <c r="F1231" s="20" t="s">
        <v>15135</v>
      </c>
      <c r="G1231" s="20">
        <v>103230000</v>
      </c>
      <c r="H1231" s="20" t="s">
        <v>15138</v>
      </c>
      <c r="I1231" s="20" t="b">
        <v>1</v>
      </c>
      <c r="J1231" s="20" t="s">
        <v>18037</v>
      </c>
      <c r="K1231" s="20">
        <v>91923</v>
      </c>
      <c r="L1231" s="20" t="s">
        <v>17271</v>
      </c>
      <c r="M1231" s="20" t="s">
        <v>18038</v>
      </c>
    </row>
    <row r="1232" spans="1:13" x14ac:dyDescent="0.25">
      <c r="A1232" s="20">
        <v>91923</v>
      </c>
      <c r="B1232" s="20" t="s">
        <v>16824</v>
      </c>
      <c r="C1232" s="20">
        <v>91923</v>
      </c>
      <c r="D1232" s="20" t="e">
        <f>VLOOKUP(C1232,[1]CHILDCARE_FACILITIES!AJ:AK,2,0)</f>
        <v>#N/A</v>
      </c>
      <c r="E1232" s="20" t="s">
        <v>15134</v>
      </c>
      <c r="F1232" s="20" t="s">
        <v>15135</v>
      </c>
      <c r="G1232" s="20">
        <v>103230000</v>
      </c>
      <c r="H1232" s="20" t="s">
        <v>15136</v>
      </c>
      <c r="I1232" s="20" t="b">
        <v>1</v>
      </c>
      <c r="J1232" s="20" t="s">
        <v>18115</v>
      </c>
      <c r="K1232" s="20">
        <v>91923</v>
      </c>
      <c r="L1232" s="20" t="s">
        <v>17271</v>
      </c>
      <c r="M1232" s="20" t="s">
        <v>18038</v>
      </c>
    </row>
    <row r="1233" spans="1:13" x14ac:dyDescent="0.25">
      <c r="A1233" s="20">
        <v>91924</v>
      </c>
      <c r="B1233" s="20" t="s">
        <v>16826</v>
      </c>
      <c r="C1233" s="20">
        <v>91924</v>
      </c>
      <c r="D1233" s="20" t="str">
        <f>VLOOKUP(C1233,[1]CHILDCARE_FACILITIES!AJ:AK,2,0)</f>
        <v>CDC-18272</v>
      </c>
      <c r="E1233" s="20" t="s">
        <v>15134</v>
      </c>
      <c r="F1233" s="20" t="s">
        <v>15135</v>
      </c>
      <c r="G1233" s="20">
        <v>103230001</v>
      </c>
      <c r="H1233" s="20" t="s">
        <v>15138</v>
      </c>
      <c r="I1233" s="20" t="b">
        <v>1</v>
      </c>
      <c r="J1233" s="20" t="s">
        <v>18115</v>
      </c>
      <c r="K1233" s="20">
        <v>91924</v>
      </c>
      <c r="L1233" s="20" t="s">
        <v>17271</v>
      </c>
      <c r="M1233" s="20" t="s">
        <v>18038</v>
      </c>
    </row>
    <row r="1234" spans="1:13" x14ac:dyDescent="0.25">
      <c r="A1234" s="20">
        <v>91924</v>
      </c>
      <c r="B1234" s="20" t="s">
        <v>16826</v>
      </c>
      <c r="C1234" s="20">
        <v>91924</v>
      </c>
      <c r="D1234" s="20" t="str">
        <f>VLOOKUP(C1234,[1]CHILDCARE_FACILITIES!AJ:AK,2,0)</f>
        <v>CDC-18272</v>
      </c>
      <c r="E1234" s="20" t="s">
        <v>15134</v>
      </c>
      <c r="F1234" s="20" t="s">
        <v>15135</v>
      </c>
      <c r="G1234" s="20">
        <v>103230001</v>
      </c>
      <c r="H1234" s="20" t="s">
        <v>15136</v>
      </c>
      <c r="I1234" s="20" t="b">
        <v>1</v>
      </c>
      <c r="J1234" s="20" t="s">
        <v>18115</v>
      </c>
      <c r="K1234" s="20">
        <v>91924</v>
      </c>
      <c r="L1234" s="20" t="s">
        <v>17271</v>
      </c>
      <c r="M1234" s="20" t="s">
        <v>18038</v>
      </c>
    </row>
    <row r="1235" spans="1:13" x14ac:dyDescent="0.25">
      <c r="A1235" s="20">
        <v>9556</v>
      </c>
      <c r="B1235" s="20" t="s">
        <v>15591</v>
      </c>
      <c r="C1235" s="20">
        <v>9556</v>
      </c>
      <c r="D1235" s="20" t="e">
        <f>VLOOKUP(C1235,[1]CHILDCARE_FACILITIES!AJ:AK,2,0)</f>
        <v>#N/A</v>
      </c>
      <c r="E1235" s="20" t="s">
        <v>15134</v>
      </c>
      <c r="F1235" s="20" t="s">
        <v>15135</v>
      </c>
      <c r="G1235" s="20">
        <v>73415000</v>
      </c>
      <c r="H1235" s="20" t="s">
        <v>15136</v>
      </c>
      <c r="I1235" s="20" t="b">
        <v>1</v>
      </c>
      <c r="J1235" s="20" t="s">
        <v>18116</v>
      </c>
      <c r="K1235" s="20">
        <v>9556</v>
      </c>
      <c r="L1235" s="20" t="s">
        <v>17228</v>
      </c>
      <c r="M1235" s="20" t="s">
        <v>18117</v>
      </c>
    </row>
    <row r="1236" spans="1:13" x14ac:dyDescent="0.25">
      <c r="A1236" s="20">
        <v>9556</v>
      </c>
      <c r="B1236" s="20" t="s">
        <v>15591</v>
      </c>
      <c r="C1236" s="20">
        <v>9556</v>
      </c>
      <c r="D1236" s="20" t="e">
        <f>VLOOKUP(C1236,[1]CHILDCARE_FACILITIES!AJ:AK,2,0)</f>
        <v>#N/A</v>
      </c>
      <c r="E1236" s="20" t="s">
        <v>15134</v>
      </c>
      <c r="F1236" s="20" t="s">
        <v>15135</v>
      </c>
      <c r="G1236" s="20">
        <v>73415000</v>
      </c>
      <c r="H1236" s="20" t="s">
        <v>15138</v>
      </c>
      <c r="I1236" s="20" t="b">
        <v>1</v>
      </c>
      <c r="J1236" s="20" t="s">
        <v>18116</v>
      </c>
      <c r="K1236" s="20">
        <v>9556</v>
      </c>
      <c r="L1236" s="20" t="s">
        <v>17228</v>
      </c>
      <c r="M1236" s="20" t="s">
        <v>18117</v>
      </c>
    </row>
    <row r="1237" spans="1:13" x14ac:dyDescent="0.25">
      <c r="A1237" s="20">
        <v>10362</v>
      </c>
      <c r="B1237" s="20" t="s">
        <v>15851</v>
      </c>
      <c r="C1237" s="20">
        <v>10362</v>
      </c>
      <c r="D1237" s="20" t="e">
        <f>VLOOKUP(C1237,[1]CHILDCARE_FACILITIES!AJ:AK,2,0)</f>
        <v>#N/A</v>
      </c>
      <c r="E1237" s="20" t="s">
        <v>15134</v>
      </c>
      <c r="F1237" s="20" t="s">
        <v>15135</v>
      </c>
      <c r="G1237" s="20">
        <v>73414001</v>
      </c>
      <c r="H1237" s="20" t="s">
        <v>15136</v>
      </c>
      <c r="I1237" s="20" t="b">
        <v>1</v>
      </c>
      <c r="J1237" s="20" t="s">
        <v>18118</v>
      </c>
      <c r="K1237" s="20">
        <v>10362</v>
      </c>
      <c r="L1237" s="20" t="s">
        <v>17367</v>
      </c>
      <c r="M1237" s="20" t="s">
        <v>18119</v>
      </c>
    </row>
    <row r="1238" spans="1:13" x14ac:dyDescent="0.25">
      <c r="A1238" s="20">
        <v>10362</v>
      </c>
      <c r="B1238" s="20" t="s">
        <v>15851</v>
      </c>
      <c r="C1238" s="20">
        <v>10362</v>
      </c>
      <c r="D1238" s="20" t="e">
        <f>VLOOKUP(C1238,[1]CHILDCARE_FACILITIES!AJ:AK,2,0)</f>
        <v>#N/A</v>
      </c>
      <c r="E1238" s="20" t="s">
        <v>15134</v>
      </c>
      <c r="F1238" s="20" t="s">
        <v>15135</v>
      </c>
      <c r="G1238" s="20">
        <v>73414001</v>
      </c>
      <c r="H1238" s="20" t="s">
        <v>15138</v>
      </c>
      <c r="I1238" s="20" t="b">
        <v>1</v>
      </c>
      <c r="J1238" s="20" t="s">
        <v>18118</v>
      </c>
      <c r="K1238" s="20">
        <v>10362</v>
      </c>
      <c r="L1238" s="20" t="s">
        <v>17367</v>
      </c>
      <c r="M1238" s="20" t="s">
        <v>18119</v>
      </c>
    </row>
    <row r="1239" spans="1:13" x14ac:dyDescent="0.25">
      <c r="A1239" s="20">
        <v>1000370</v>
      </c>
      <c r="B1239" s="20" t="s">
        <v>17152</v>
      </c>
      <c r="C1239" s="20">
        <v>1000370</v>
      </c>
      <c r="D1239" s="20" t="e">
        <f>VLOOKUP(C1239,[1]CHILDCARE_FACILITIES!AJ:AK,2,0)</f>
        <v>#N/A</v>
      </c>
      <c r="E1239" s="20" t="s">
        <v>15134</v>
      </c>
      <c r="F1239" s="20" t="s">
        <v>15135</v>
      </c>
      <c r="G1239" s="20">
        <v>83029000</v>
      </c>
      <c r="H1239" s="20" t="s">
        <v>15136</v>
      </c>
      <c r="I1239" s="20" t="b">
        <v>1</v>
      </c>
      <c r="J1239" s="20" t="s">
        <v>18120</v>
      </c>
      <c r="K1239" s="20">
        <v>1000370</v>
      </c>
      <c r="L1239" s="20" t="s">
        <v>17402</v>
      </c>
      <c r="M1239" s="20" t="s">
        <v>18121</v>
      </c>
    </row>
    <row r="1240" spans="1:13" x14ac:dyDescent="0.25">
      <c r="A1240" s="20">
        <v>1000370</v>
      </c>
      <c r="B1240" s="20" t="s">
        <v>17152</v>
      </c>
      <c r="C1240" s="20">
        <v>1000370</v>
      </c>
      <c r="D1240" s="20" t="e">
        <f>VLOOKUP(C1240,[1]CHILDCARE_FACILITIES!AJ:AK,2,0)</f>
        <v>#N/A</v>
      </c>
      <c r="E1240" s="20" t="s">
        <v>15134</v>
      </c>
      <c r="F1240" s="20" t="s">
        <v>15135</v>
      </c>
      <c r="G1240" s="20">
        <v>83029000</v>
      </c>
      <c r="H1240" s="20" t="s">
        <v>15138</v>
      </c>
      <c r="I1240" s="20" t="b">
        <v>1</v>
      </c>
      <c r="J1240" s="20" t="s">
        <v>18120</v>
      </c>
      <c r="K1240" s="20">
        <v>1000370</v>
      </c>
      <c r="L1240" s="20" t="s">
        <v>17402</v>
      </c>
      <c r="M1240" s="20" t="s">
        <v>18121</v>
      </c>
    </row>
    <row r="1241" spans="1:13" x14ac:dyDescent="0.25">
      <c r="A1241" s="20">
        <v>1000371</v>
      </c>
      <c r="B1241" s="20" t="s">
        <v>17152</v>
      </c>
      <c r="C1241" s="20">
        <v>1000371</v>
      </c>
      <c r="D1241" s="20" t="e">
        <f>VLOOKUP(C1241,[1]CHILDCARE_FACILITIES!AJ:AK,2,0)</f>
        <v>#N/A</v>
      </c>
      <c r="E1241" s="20" t="s">
        <v>15134</v>
      </c>
      <c r="F1241" s="20" t="s">
        <v>15135</v>
      </c>
      <c r="G1241" s="20">
        <v>83029001</v>
      </c>
      <c r="H1241" s="20" t="s">
        <v>15136</v>
      </c>
      <c r="I1241" s="20" t="b">
        <v>1</v>
      </c>
      <c r="J1241" s="20" t="s">
        <v>18120</v>
      </c>
      <c r="K1241" s="20">
        <v>1000371</v>
      </c>
      <c r="L1241" s="20" t="s">
        <v>17402</v>
      </c>
      <c r="M1241" s="20" t="s">
        <v>18121</v>
      </c>
    </row>
    <row r="1242" spans="1:13" x14ac:dyDescent="0.25">
      <c r="A1242" s="20">
        <v>1000371</v>
      </c>
      <c r="B1242" s="20" t="s">
        <v>17152</v>
      </c>
      <c r="C1242" s="20">
        <v>1000371</v>
      </c>
      <c r="D1242" s="20" t="e">
        <f>VLOOKUP(C1242,[1]CHILDCARE_FACILITIES!AJ:AK,2,0)</f>
        <v>#N/A</v>
      </c>
      <c r="E1242" s="20" t="s">
        <v>15134</v>
      </c>
      <c r="F1242" s="20" t="s">
        <v>15135</v>
      </c>
      <c r="G1242" s="20">
        <v>83029001</v>
      </c>
      <c r="H1242" s="20" t="s">
        <v>15138</v>
      </c>
      <c r="I1242" s="20" t="b">
        <v>1</v>
      </c>
      <c r="J1242" s="20" t="s">
        <v>18120</v>
      </c>
      <c r="K1242" s="20">
        <v>1000371</v>
      </c>
      <c r="L1242" s="20" t="s">
        <v>17402</v>
      </c>
      <c r="M1242" s="20" t="s">
        <v>18121</v>
      </c>
    </row>
    <row r="1243" spans="1:13" x14ac:dyDescent="0.25">
      <c r="A1243" s="20">
        <v>9260</v>
      </c>
      <c r="B1243" s="20" t="s">
        <v>15436</v>
      </c>
      <c r="C1243" s="20">
        <v>9260</v>
      </c>
      <c r="D1243" s="20" t="e">
        <f>VLOOKUP(C1243,[1]CHILDCARE_FACILITIES!AJ:AK,2,0)</f>
        <v>#N/A</v>
      </c>
      <c r="E1243" s="20" t="s">
        <v>15134</v>
      </c>
      <c r="F1243" s="20" t="s">
        <v>15135</v>
      </c>
      <c r="G1243" s="20">
        <v>73187001</v>
      </c>
      <c r="K1243" s="20">
        <v>9260</v>
      </c>
    </row>
    <row r="1244" spans="1:13" x14ac:dyDescent="0.25">
      <c r="A1244" s="20">
        <v>80021</v>
      </c>
      <c r="B1244" s="20" t="s">
        <v>16033</v>
      </c>
      <c r="C1244" s="20">
        <v>80021</v>
      </c>
      <c r="D1244" s="20" t="e">
        <f>VLOOKUP(C1244,[1]CHILDCARE_FACILITIES!AJ:AK,2,0)</f>
        <v>#N/A</v>
      </c>
      <c r="E1244" s="20" t="s">
        <v>15134</v>
      </c>
      <c r="F1244" s="20" t="s">
        <v>15135</v>
      </c>
      <c r="G1244" s="20">
        <v>73481000</v>
      </c>
      <c r="H1244" s="20" t="s">
        <v>15145</v>
      </c>
      <c r="I1244" s="20" t="b">
        <v>0</v>
      </c>
      <c r="J1244" s="20" t="s">
        <v>18122</v>
      </c>
      <c r="K1244" s="20">
        <v>80021</v>
      </c>
      <c r="L1244" s="20" t="s">
        <v>17381</v>
      </c>
      <c r="M1244" s="20" t="s">
        <v>17382</v>
      </c>
    </row>
    <row r="1245" spans="1:13" x14ac:dyDescent="0.25">
      <c r="A1245" s="20">
        <v>80022</v>
      </c>
      <c r="B1245" s="20" t="s">
        <v>16033</v>
      </c>
      <c r="C1245" s="20">
        <v>80022</v>
      </c>
      <c r="D1245" s="20" t="e">
        <f>VLOOKUP(C1245,[1]CHILDCARE_FACILITIES!AJ:AK,2,0)</f>
        <v>#N/A</v>
      </c>
      <c r="E1245" s="20" t="s">
        <v>15134</v>
      </c>
      <c r="F1245" s="20" t="s">
        <v>15135</v>
      </c>
      <c r="G1245" s="20">
        <v>73481001</v>
      </c>
      <c r="H1245" s="20" t="s">
        <v>15145</v>
      </c>
      <c r="I1245" s="20" t="b">
        <v>0</v>
      </c>
      <c r="J1245" s="20" t="s">
        <v>18122</v>
      </c>
      <c r="K1245" s="20">
        <v>80022</v>
      </c>
      <c r="L1245" s="20" t="s">
        <v>17381</v>
      </c>
      <c r="M1245" s="20" t="s">
        <v>17382</v>
      </c>
    </row>
    <row r="1246" spans="1:13" x14ac:dyDescent="0.25">
      <c r="A1246" s="20">
        <v>9202</v>
      </c>
      <c r="B1246" s="20" t="s">
        <v>15411</v>
      </c>
      <c r="C1246" s="20">
        <v>9202</v>
      </c>
      <c r="D1246" s="20" t="e">
        <f>VLOOKUP(C1246,[1]CHILDCARE_FACILITIES!AJ:AK,2,0)</f>
        <v>#N/A</v>
      </c>
      <c r="E1246" s="20" t="s">
        <v>15134</v>
      </c>
      <c r="F1246" s="20" t="s">
        <v>15135</v>
      </c>
      <c r="G1246" s="20">
        <v>73141001</v>
      </c>
      <c r="K1246" s="20">
        <v>9202</v>
      </c>
    </row>
    <row r="1247" spans="1:13" x14ac:dyDescent="0.25">
      <c r="A1247" s="20">
        <v>9497</v>
      </c>
      <c r="B1247" s="20" t="s">
        <v>15571</v>
      </c>
      <c r="C1247" s="20">
        <v>9497</v>
      </c>
      <c r="D1247" s="20" t="e">
        <f>VLOOKUP(C1247,[1]CHILDCARE_FACILITIES!AJ:AK,2,0)</f>
        <v>#N/A</v>
      </c>
      <c r="E1247" s="20" t="s">
        <v>15134</v>
      </c>
      <c r="F1247" s="20" t="s">
        <v>15135</v>
      </c>
      <c r="G1247" s="20">
        <v>73277002</v>
      </c>
      <c r="K1247" s="20">
        <v>9497</v>
      </c>
    </row>
    <row r="1248" spans="1:13" x14ac:dyDescent="0.25">
      <c r="A1248" s="20">
        <v>9379</v>
      </c>
      <c r="B1248" s="20" t="s">
        <v>15500</v>
      </c>
      <c r="C1248" s="20">
        <v>9379</v>
      </c>
      <c r="D1248" s="20" t="e">
        <f>VLOOKUP(C1248,[1]CHILDCARE_FACILITIES!AJ:AK,2,0)</f>
        <v>#N/A</v>
      </c>
      <c r="E1248" s="20" t="s">
        <v>15134</v>
      </c>
      <c r="F1248" s="20" t="s">
        <v>15135</v>
      </c>
      <c r="G1248" s="20">
        <v>73235001</v>
      </c>
      <c r="K1248" s="20">
        <v>9379</v>
      </c>
    </row>
    <row r="1249" spans="1:13" x14ac:dyDescent="0.25">
      <c r="A1249" s="20">
        <v>8997</v>
      </c>
      <c r="B1249" s="20" t="s">
        <v>15305</v>
      </c>
      <c r="C1249" s="20">
        <v>8997</v>
      </c>
      <c r="D1249" s="20" t="e">
        <f>VLOOKUP(C1249,[1]CHILDCARE_FACILITIES!AJ:AK,2,0)</f>
        <v>#N/A</v>
      </c>
      <c r="E1249" s="20" t="s">
        <v>15134</v>
      </c>
      <c r="F1249" s="20" t="s">
        <v>15135</v>
      </c>
      <c r="G1249" s="20">
        <v>73012001</v>
      </c>
      <c r="K1249" s="20">
        <v>8997</v>
      </c>
    </row>
    <row r="1250" spans="1:13" x14ac:dyDescent="0.25">
      <c r="A1250" s="20">
        <v>9131</v>
      </c>
      <c r="B1250" s="20" t="s">
        <v>15305</v>
      </c>
      <c r="C1250" s="20">
        <v>9131</v>
      </c>
      <c r="D1250" s="20" t="e">
        <f>VLOOKUP(C1250,[1]CHILDCARE_FACILITIES!AJ:AK,2,0)</f>
        <v>#N/A</v>
      </c>
      <c r="E1250" s="20" t="s">
        <v>15134</v>
      </c>
      <c r="F1250" s="20" t="s">
        <v>15135</v>
      </c>
      <c r="G1250" s="20">
        <v>73090001</v>
      </c>
      <c r="K1250" s="20">
        <v>9131</v>
      </c>
    </row>
    <row r="1251" spans="1:13" x14ac:dyDescent="0.25">
      <c r="A1251" s="20">
        <v>9881</v>
      </c>
      <c r="B1251" s="20" t="s">
        <v>15713</v>
      </c>
      <c r="C1251" s="20">
        <v>9881</v>
      </c>
      <c r="D1251" s="20" t="e">
        <f>VLOOKUP(C1251,[1]CHILDCARE_FACILITIES!AJ:AK,2,0)</f>
        <v>#N/A</v>
      </c>
      <c r="E1251" s="20" t="s">
        <v>15134</v>
      </c>
      <c r="F1251" s="20" t="s">
        <v>15135</v>
      </c>
      <c r="G1251" s="20">
        <v>103017001</v>
      </c>
      <c r="K1251" s="20">
        <v>9881</v>
      </c>
    </row>
    <row r="1252" spans="1:13" x14ac:dyDescent="0.25">
      <c r="A1252" s="20">
        <v>10036</v>
      </c>
      <c r="B1252" s="20" t="s">
        <v>15713</v>
      </c>
      <c r="C1252" s="20">
        <v>10036</v>
      </c>
      <c r="D1252" s="20" t="e">
        <f>VLOOKUP(C1252,[1]CHILDCARE_FACILITIES!AJ:AK,2,0)</f>
        <v>#N/A</v>
      </c>
      <c r="E1252" s="20" t="s">
        <v>15134</v>
      </c>
      <c r="F1252" s="20" t="s">
        <v>15135</v>
      </c>
      <c r="G1252" s="20">
        <v>103103002</v>
      </c>
      <c r="K1252" s="20">
        <v>10036</v>
      </c>
    </row>
    <row r="1253" spans="1:13" x14ac:dyDescent="0.25">
      <c r="A1253" s="20">
        <v>90513</v>
      </c>
      <c r="B1253" s="20" t="s">
        <v>18123</v>
      </c>
      <c r="C1253" s="20">
        <v>90513</v>
      </c>
      <c r="D1253" s="20" t="str">
        <f>VLOOKUP(C1253,[1]CHILDCARE_FACILITIES!AJ:AK,2,0)</f>
        <v>CDC-14984</v>
      </c>
      <c r="E1253" s="20" t="s">
        <v>15134</v>
      </c>
      <c r="F1253" s="20" t="s">
        <v>15135</v>
      </c>
      <c r="G1253" s="20">
        <v>103218001</v>
      </c>
      <c r="H1253" s="20" t="s">
        <v>15145</v>
      </c>
      <c r="I1253" s="20" t="b">
        <v>1</v>
      </c>
      <c r="J1253" s="20" t="s">
        <v>18124</v>
      </c>
      <c r="K1253" s="20">
        <v>90513</v>
      </c>
      <c r="L1253" s="20" t="s">
        <v>17271</v>
      </c>
      <c r="M1253" s="20" t="s">
        <v>18125</v>
      </c>
    </row>
    <row r="1254" spans="1:13" x14ac:dyDescent="0.25">
      <c r="A1254" s="20">
        <v>90512</v>
      </c>
      <c r="B1254" s="20" t="s">
        <v>16638</v>
      </c>
      <c r="C1254" s="20">
        <v>90512</v>
      </c>
      <c r="D1254" s="20" t="e">
        <f>VLOOKUP(C1254,[1]CHILDCARE_FACILITIES!AJ:AK,2,0)</f>
        <v>#N/A</v>
      </c>
      <c r="E1254" s="20" t="s">
        <v>15134</v>
      </c>
      <c r="F1254" s="20" t="s">
        <v>15135</v>
      </c>
      <c r="G1254" s="20">
        <v>103218000</v>
      </c>
      <c r="H1254" s="20" t="s">
        <v>15138</v>
      </c>
      <c r="I1254" s="20" t="b">
        <v>1</v>
      </c>
      <c r="J1254" s="20" t="s">
        <v>18124</v>
      </c>
      <c r="K1254" s="20">
        <v>90512</v>
      </c>
      <c r="L1254" s="20" t="s">
        <v>17271</v>
      </c>
      <c r="M1254" s="20" t="s">
        <v>18125</v>
      </c>
    </row>
    <row r="1255" spans="1:13" x14ac:dyDescent="0.25">
      <c r="A1255" s="20">
        <v>90512</v>
      </c>
      <c r="B1255" s="20" t="s">
        <v>16638</v>
      </c>
      <c r="C1255" s="20">
        <v>90512</v>
      </c>
      <c r="D1255" s="20" t="e">
        <f>VLOOKUP(C1255,[1]CHILDCARE_FACILITIES!AJ:AK,2,0)</f>
        <v>#N/A</v>
      </c>
      <c r="E1255" s="20" t="s">
        <v>15134</v>
      </c>
      <c r="F1255" s="20" t="s">
        <v>15135</v>
      </c>
      <c r="G1255" s="20">
        <v>103218000</v>
      </c>
      <c r="H1255" s="20" t="s">
        <v>15136</v>
      </c>
      <c r="I1255" s="20" t="b">
        <v>1</v>
      </c>
      <c r="J1255" s="20" t="s">
        <v>18126</v>
      </c>
      <c r="K1255" s="20">
        <v>90512</v>
      </c>
      <c r="L1255" s="20" t="s">
        <v>17980</v>
      </c>
      <c r="M1255" s="20" t="s">
        <v>18127</v>
      </c>
    </row>
    <row r="1256" spans="1:13" x14ac:dyDescent="0.25">
      <c r="A1256" s="20">
        <v>92712</v>
      </c>
      <c r="B1256" s="20" t="s">
        <v>16911</v>
      </c>
      <c r="C1256" s="20">
        <v>92712</v>
      </c>
      <c r="D1256" s="20" t="str">
        <f>VLOOKUP(C1256,[1]CHILDCARE_FACILITIES!AJ:AK,2,0)</f>
        <v>CDC-16478</v>
      </c>
      <c r="E1256" s="20" t="s">
        <v>15134</v>
      </c>
      <c r="F1256" s="20" t="s">
        <v>15135</v>
      </c>
      <c r="G1256" s="20">
        <v>73316001</v>
      </c>
      <c r="K1256" s="20">
        <v>92712</v>
      </c>
    </row>
    <row r="1257" spans="1:13" x14ac:dyDescent="0.25">
      <c r="A1257" s="20">
        <v>92960</v>
      </c>
      <c r="B1257" s="20" t="s">
        <v>16947</v>
      </c>
      <c r="C1257" s="20">
        <v>92960</v>
      </c>
      <c r="D1257" s="20" t="str">
        <f>VLOOKUP(C1257,[1]CHILDCARE_FACILITIES!AJ:AK,2,0)</f>
        <v>CDC-17228</v>
      </c>
      <c r="E1257" s="20" t="s">
        <v>15134</v>
      </c>
      <c r="F1257" s="20" t="s">
        <v>15135</v>
      </c>
      <c r="G1257" s="20">
        <v>73316002</v>
      </c>
      <c r="H1257" s="20" t="s">
        <v>15138</v>
      </c>
      <c r="I1257" s="20" t="b">
        <v>1</v>
      </c>
      <c r="J1257" s="20" t="s">
        <v>18128</v>
      </c>
      <c r="K1257" s="20">
        <v>92960</v>
      </c>
      <c r="L1257" s="20" t="s">
        <v>17312</v>
      </c>
      <c r="M1257" s="20" t="s">
        <v>18129</v>
      </c>
    </row>
    <row r="1258" spans="1:13" x14ac:dyDescent="0.25">
      <c r="A1258" s="20">
        <v>92711</v>
      </c>
      <c r="B1258" s="20" t="s">
        <v>16909</v>
      </c>
      <c r="C1258" s="20">
        <v>92711</v>
      </c>
      <c r="D1258" s="20" t="e">
        <f>VLOOKUP(C1258,[1]CHILDCARE_FACILITIES!AJ:AK,2,0)</f>
        <v>#N/A</v>
      </c>
      <c r="E1258" s="20" t="s">
        <v>15134</v>
      </c>
      <c r="F1258" s="20" t="s">
        <v>15135</v>
      </c>
      <c r="G1258" s="20">
        <v>73316000</v>
      </c>
      <c r="H1258" s="20" t="s">
        <v>15136</v>
      </c>
      <c r="I1258" s="20" t="b">
        <v>1</v>
      </c>
      <c r="J1258" s="20" t="s">
        <v>18130</v>
      </c>
      <c r="K1258" s="20">
        <v>92711</v>
      </c>
      <c r="L1258" s="20" t="s">
        <v>17312</v>
      </c>
      <c r="M1258" s="20" t="s">
        <v>18131</v>
      </c>
    </row>
    <row r="1259" spans="1:13" x14ac:dyDescent="0.25">
      <c r="A1259" s="20">
        <v>92711</v>
      </c>
      <c r="B1259" s="20" t="s">
        <v>16909</v>
      </c>
      <c r="C1259" s="20">
        <v>92711</v>
      </c>
      <c r="D1259" s="20" t="e">
        <f>VLOOKUP(C1259,[1]CHILDCARE_FACILITIES!AJ:AK,2,0)</f>
        <v>#N/A</v>
      </c>
      <c r="E1259" s="20" t="s">
        <v>15134</v>
      </c>
      <c r="F1259" s="20" t="s">
        <v>15135</v>
      </c>
      <c r="G1259" s="20">
        <v>73316000</v>
      </c>
      <c r="H1259" s="20" t="s">
        <v>15138</v>
      </c>
      <c r="I1259" s="20" t="b">
        <v>1</v>
      </c>
      <c r="J1259" s="20" t="s">
        <v>18130</v>
      </c>
      <c r="K1259" s="20">
        <v>92711</v>
      </c>
      <c r="L1259" s="20" t="s">
        <v>17312</v>
      </c>
      <c r="M1259" s="20" t="s">
        <v>18131</v>
      </c>
    </row>
    <row r="1260" spans="1:13" x14ac:dyDescent="0.25">
      <c r="A1260" s="20">
        <v>90703</v>
      </c>
      <c r="B1260" s="20" t="s">
        <v>16667</v>
      </c>
      <c r="C1260" s="20">
        <v>90703</v>
      </c>
      <c r="D1260" s="20" t="str">
        <f>VLOOKUP(C1260,[1]CHILDCARE_FACILITIES!AJ:AK,2,0)</f>
        <v>CDC-13870</v>
      </c>
      <c r="E1260" s="20" t="s">
        <v>15134</v>
      </c>
      <c r="F1260" s="20" t="s">
        <v>15135</v>
      </c>
      <c r="G1260" s="20">
        <v>73706002</v>
      </c>
      <c r="H1260" s="20" t="s">
        <v>15145</v>
      </c>
      <c r="I1260" s="20" t="b">
        <v>1</v>
      </c>
      <c r="J1260" s="20" t="s">
        <v>18132</v>
      </c>
      <c r="K1260" s="20">
        <v>90703</v>
      </c>
      <c r="L1260" s="20" t="s">
        <v>17236</v>
      </c>
      <c r="M1260" s="20" t="s">
        <v>18133</v>
      </c>
    </row>
    <row r="1261" spans="1:13" x14ac:dyDescent="0.25">
      <c r="A1261" s="20">
        <v>90702</v>
      </c>
      <c r="B1261" s="20" t="s">
        <v>16665</v>
      </c>
      <c r="C1261" s="20">
        <v>90702</v>
      </c>
      <c r="D1261" s="20" t="str">
        <f>VLOOKUP(C1261,[1]CHILDCARE_FACILITIES!AJ:AK,2,0)</f>
        <v>CDC-15172</v>
      </c>
      <c r="E1261" s="20" t="s">
        <v>15134</v>
      </c>
      <c r="F1261" s="20" t="s">
        <v>15135</v>
      </c>
      <c r="G1261" s="20">
        <v>73706001</v>
      </c>
      <c r="H1261" s="20" t="s">
        <v>15145</v>
      </c>
      <c r="I1261" s="20" t="b">
        <v>1</v>
      </c>
      <c r="J1261" s="20" t="s">
        <v>18134</v>
      </c>
      <c r="K1261" s="20">
        <v>90702</v>
      </c>
      <c r="L1261" s="20" t="s">
        <v>17233</v>
      </c>
      <c r="M1261" s="20" t="s">
        <v>18135</v>
      </c>
    </row>
    <row r="1262" spans="1:13" x14ac:dyDescent="0.25">
      <c r="A1262" s="20">
        <v>90701</v>
      </c>
      <c r="B1262" s="20" t="s">
        <v>16662</v>
      </c>
      <c r="C1262" s="20">
        <v>90701</v>
      </c>
      <c r="D1262" s="20" t="e">
        <f>VLOOKUP(C1262,[1]CHILDCARE_FACILITIES!AJ:AK,2,0)</f>
        <v>#N/A</v>
      </c>
      <c r="E1262" s="20" t="s">
        <v>15134</v>
      </c>
      <c r="F1262" s="20" t="s">
        <v>15135</v>
      </c>
      <c r="G1262" s="20">
        <v>73706000</v>
      </c>
      <c r="H1262" s="20" t="s">
        <v>15138</v>
      </c>
      <c r="I1262" s="20" t="b">
        <v>0</v>
      </c>
      <c r="J1262" s="20" t="s">
        <v>18136</v>
      </c>
      <c r="K1262" s="20">
        <v>90701</v>
      </c>
      <c r="L1262" s="20" t="s">
        <v>17381</v>
      </c>
      <c r="M1262" s="20" t="s">
        <v>18137</v>
      </c>
    </row>
    <row r="1263" spans="1:13" x14ac:dyDescent="0.25">
      <c r="A1263" s="20">
        <v>90701</v>
      </c>
      <c r="B1263" s="20" t="s">
        <v>16662</v>
      </c>
      <c r="C1263" s="20">
        <v>90701</v>
      </c>
      <c r="D1263" s="20" t="e">
        <f>VLOOKUP(C1263,[1]CHILDCARE_FACILITIES!AJ:AK,2,0)</f>
        <v>#N/A</v>
      </c>
      <c r="E1263" s="20" t="s">
        <v>15134</v>
      </c>
      <c r="F1263" s="20" t="s">
        <v>15135</v>
      </c>
      <c r="G1263" s="20">
        <v>73706000</v>
      </c>
      <c r="H1263" s="20" t="s">
        <v>15136</v>
      </c>
      <c r="I1263" s="20" t="b">
        <v>1</v>
      </c>
      <c r="J1263" s="20" t="s">
        <v>18138</v>
      </c>
      <c r="K1263" s="20">
        <v>90701</v>
      </c>
      <c r="L1263" s="20" t="s">
        <v>17236</v>
      </c>
      <c r="M1263" s="20" t="s">
        <v>18133</v>
      </c>
    </row>
    <row r="1264" spans="1:13" x14ac:dyDescent="0.25">
      <c r="A1264" s="20">
        <v>89933</v>
      </c>
      <c r="B1264" s="20" t="s">
        <v>16506</v>
      </c>
      <c r="C1264" s="20">
        <v>89933</v>
      </c>
      <c r="D1264" s="20" t="str">
        <f>VLOOKUP(C1264,[1]CHILDCARE_FACILITIES!AJ:AK,2,0)</f>
        <v>CDC-15776</v>
      </c>
      <c r="E1264" s="20" t="s">
        <v>15134</v>
      </c>
      <c r="F1264" s="20" t="s">
        <v>15135</v>
      </c>
      <c r="G1264" s="20">
        <v>83023001</v>
      </c>
      <c r="H1264" s="20" t="s">
        <v>15145</v>
      </c>
      <c r="I1264" s="20" t="b">
        <v>1</v>
      </c>
      <c r="J1264" s="20" t="s">
        <v>18139</v>
      </c>
      <c r="K1264" s="20">
        <v>89933</v>
      </c>
      <c r="L1264" s="20" t="s">
        <v>18140</v>
      </c>
      <c r="M1264" s="20" t="s">
        <v>18141</v>
      </c>
    </row>
    <row r="1265" spans="1:13" x14ac:dyDescent="0.25">
      <c r="A1265" s="20">
        <v>89933</v>
      </c>
      <c r="B1265" s="20" t="s">
        <v>16506</v>
      </c>
      <c r="C1265" s="20">
        <v>89933</v>
      </c>
      <c r="D1265" s="20" t="str">
        <f>VLOOKUP(C1265,[1]CHILDCARE_FACILITIES!AJ:AK,2,0)</f>
        <v>CDC-15776</v>
      </c>
      <c r="E1265" s="20" t="s">
        <v>15134</v>
      </c>
      <c r="F1265" s="20" t="s">
        <v>15135</v>
      </c>
      <c r="G1265" s="20">
        <v>83023001</v>
      </c>
      <c r="H1265" s="20" t="s">
        <v>15138</v>
      </c>
      <c r="I1265" s="20" t="b">
        <v>1</v>
      </c>
      <c r="J1265" s="20" t="s">
        <v>18139</v>
      </c>
      <c r="K1265" s="20">
        <v>89933</v>
      </c>
      <c r="L1265" s="20" t="s">
        <v>18140</v>
      </c>
      <c r="M1265" s="20" t="s">
        <v>18141</v>
      </c>
    </row>
    <row r="1266" spans="1:13" x14ac:dyDescent="0.25">
      <c r="A1266" s="20">
        <v>89932</v>
      </c>
      <c r="B1266" s="20" t="s">
        <v>16503</v>
      </c>
      <c r="C1266" s="20">
        <v>89932</v>
      </c>
      <c r="D1266" s="20" t="e">
        <f>VLOOKUP(C1266,[1]CHILDCARE_FACILITIES!AJ:AK,2,0)</f>
        <v>#N/A</v>
      </c>
      <c r="E1266" s="20" t="s">
        <v>15134</v>
      </c>
      <c r="F1266" s="20" t="s">
        <v>15135</v>
      </c>
      <c r="G1266" s="20">
        <v>83023000</v>
      </c>
      <c r="H1266" s="20" t="s">
        <v>15138</v>
      </c>
      <c r="I1266" s="20" t="b">
        <v>1</v>
      </c>
      <c r="J1266" s="20" t="s">
        <v>18139</v>
      </c>
      <c r="K1266" s="20">
        <v>89932</v>
      </c>
      <c r="L1266" s="20" t="s">
        <v>18140</v>
      </c>
      <c r="M1266" s="20" t="s">
        <v>18141</v>
      </c>
    </row>
    <row r="1267" spans="1:13" x14ac:dyDescent="0.25">
      <c r="A1267" s="20">
        <v>89932</v>
      </c>
      <c r="B1267" s="20" t="s">
        <v>16503</v>
      </c>
      <c r="C1267" s="20">
        <v>89932</v>
      </c>
      <c r="D1267" s="20" t="e">
        <f>VLOOKUP(C1267,[1]CHILDCARE_FACILITIES!AJ:AK,2,0)</f>
        <v>#N/A</v>
      </c>
      <c r="E1267" s="20" t="s">
        <v>15134</v>
      </c>
      <c r="F1267" s="20" t="s">
        <v>15135</v>
      </c>
      <c r="G1267" s="20">
        <v>83023000</v>
      </c>
      <c r="H1267" s="20" t="s">
        <v>15136</v>
      </c>
      <c r="I1267" s="20" t="b">
        <v>1</v>
      </c>
      <c r="J1267" s="20" t="s">
        <v>18142</v>
      </c>
      <c r="K1267" s="20">
        <v>89932</v>
      </c>
      <c r="L1267" s="20" t="s">
        <v>18143</v>
      </c>
      <c r="M1267" s="20" t="s">
        <v>18144</v>
      </c>
    </row>
    <row r="1268" spans="1:13" x14ac:dyDescent="0.25">
      <c r="A1268" s="20">
        <v>9199</v>
      </c>
      <c r="B1268" s="20" t="s">
        <v>15409</v>
      </c>
      <c r="C1268" s="20">
        <v>9199</v>
      </c>
      <c r="D1268" s="20" t="e">
        <f>VLOOKUP(C1268,[1]CHILDCARE_FACILITIES!AJ:AK,2,0)</f>
        <v>#N/A</v>
      </c>
      <c r="E1268" s="20" t="s">
        <v>15134</v>
      </c>
      <c r="F1268" s="20" t="s">
        <v>15135</v>
      </c>
      <c r="G1268" s="20">
        <v>73140000</v>
      </c>
      <c r="H1268" s="20" t="s">
        <v>15136</v>
      </c>
      <c r="I1268" s="20" t="b">
        <v>1</v>
      </c>
      <c r="J1268" s="20" t="s">
        <v>18145</v>
      </c>
      <c r="K1268" s="20">
        <v>9199</v>
      </c>
      <c r="L1268" s="20" t="s">
        <v>17213</v>
      </c>
      <c r="M1268" s="20" t="s">
        <v>18146</v>
      </c>
    </row>
    <row r="1269" spans="1:13" x14ac:dyDescent="0.25">
      <c r="A1269" s="20">
        <v>9199</v>
      </c>
      <c r="B1269" s="20" t="s">
        <v>15409</v>
      </c>
      <c r="C1269" s="20">
        <v>9199</v>
      </c>
      <c r="D1269" s="20" t="e">
        <f>VLOOKUP(C1269,[1]CHILDCARE_FACILITIES!AJ:AK,2,0)</f>
        <v>#N/A</v>
      </c>
      <c r="E1269" s="20" t="s">
        <v>15134</v>
      </c>
      <c r="F1269" s="20" t="s">
        <v>15135</v>
      </c>
      <c r="G1269" s="20">
        <v>73140000</v>
      </c>
      <c r="H1269" s="20" t="s">
        <v>15138</v>
      </c>
      <c r="I1269" s="20" t="b">
        <v>1</v>
      </c>
      <c r="J1269" s="20" t="s">
        <v>18145</v>
      </c>
      <c r="K1269" s="20">
        <v>9199</v>
      </c>
      <c r="L1269" s="20" t="s">
        <v>17213</v>
      </c>
      <c r="M1269" s="20" t="s">
        <v>18146</v>
      </c>
    </row>
    <row r="1270" spans="1:13" x14ac:dyDescent="0.25">
      <c r="A1270" s="20">
        <v>9200</v>
      </c>
      <c r="B1270" s="20" t="s">
        <v>15409</v>
      </c>
      <c r="C1270" s="20">
        <v>9200</v>
      </c>
      <c r="D1270" s="20" t="str">
        <f>VLOOKUP(C1270,[1]CHILDCARE_FACILITIES!AJ:AK,2,0)</f>
        <v>CDC-18546</v>
      </c>
      <c r="E1270" s="20" t="s">
        <v>15134</v>
      </c>
      <c r="F1270" s="20" t="s">
        <v>15135</v>
      </c>
      <c r="G1270" s="20">
        <v>73140001</v>
      </c>
      <c r="K1270" s="20">
        <v>9200</v>
      </c>
    </row>
    <row r="1271" spans="1:13" x14ac:dyDescent="0.25">
      <c r="A1271" s="20">
        <v>9974</v>
      </c>
      <c r="B1271" s="20" t="s">
        <v>15760</v>
      </c>
      <c r="C1271" s="20">
        <v>9974</v>
      </c>
      <c r="D1271" s="20" t="e">
        <f>VLOOKUP(C1271,[1]CHILDCARE_FACILITIES!AJ:AK,2,0)</f>
        <v>#N/A</v>
      </c>
      <c r="E1271" s="20" t="s">
        <v>15134</v>
      </c>
      <c r="F1271" s="20" t="s">
        <v>15135</v>
      </c>
      <c r="G1271" s="20">
        <v>103079000</v>
      </c>
      <c r="H1271" s="20" t="s">
        <v>15138</v>
      </c>
      <c r="I1271" s="20" t="b">
        <v>0</v>
      </c>
      <c r="J1271" s="20" t="s">
        <v>18147</v>
      </c>
      <c r="K1271" s="20">
        <v>9974</v>
      </c>
      <c r="L1271" s="20" t="s">
        <v>17282</v>
      </c>
      <c r="M1271" s="20" t="s">
        <v>18148</v>
      </c>
    </row>
    <row r="1272" spans="1:13" x14ac:dyDescent="0.25">
      <c r="A1272" s="20">
        <v>9974</v>
      </c>
      <c r="B1272" s="20" t="s">
        <v>15760</v>
      </c>
      <c r="C1272" s="20">
        <v>9974</v>
      </c>
      <c r="D1272" s="20" t="e">
        <f>VLOOKUP(C1272,[1]CHILDCARE_FACILITIES!AJ:AK,2,0)</f>
        <v>#N/A</v>
      </c>
      <c r="E1272" s="20" t="s">
        <v>15134</v>
      </c>
      <c r="F1272" s="20" t="s">
        <v>15135</v>
      </c>
      <c r="G1272" s="20">
        <v>103079000</v>
      </c>
      <c r="H1272" s="20" t="s">
        <v>15136</v>
      </c>
      <c r="I1272" s="20" t="b">
        <v>0</v>
      </c>
      <c r="J1272" s="20" t="s">
        <v>18147</v>
      </c>
      <c r="K1272" s="20">
        <v>9974</v>
      </c>
      <c r="L1272" s="20" t="s">
        <v>17282</v>
      </c>
      <c r="M1272" s="20" t="s">
        <v>18148</v>
      </c>
    </row>
    <row r="1273" spans="1:13" x14ac:dyDescent="0.25">
      <c r="A1273" s="20">
        <v>9975</v>
      </c>
      <c r="B1273" s="20" t="s">
        <v>15762</v>
      </c>
      <c r="C1273" s="20">
        <v>9975</v>
      </c>
      <c r="D1273" s="20" t="e">
        <f>VLOOKUP(C1273,[1]CHILDCARE_FACILITIES!AJ:AK,2,0)</f>
        <v>#N/A</v>
      </c>
      <c r="E1273" s="20" t="s">
        <v>15134</v>
      </c>
      <c r="F1273" s="20" t="s">
        <v>15135</v>
      </c>
      <c r="G1273" s="20">
        <v>103079001</v>
      </c>
      <c r="K1273" s="20">
        <v>9975</v>
      </c>
    </row>
    <row r="1274" spans="1:13" x14ac:dyDescent="0.25">
      <c r="A1274" s="20">
        <v>80545</v>
      </c>
      <c r="B1274" s="20" t="s">
        <v>16112</v>
      </c>
      <c r="C1274" s="20">
        <v>80545</v>
      </c>
      <c r="D1274" s="20" t="e">
        <f>VLOOKUP(C1274,[1]CHILDCARE_FACILITIES!AJ:AK,2,0)</f>
        <v>#N/A</v>
      </c>
      <c r="E1274" s="20" t="s">
        <v>15134</v>
      </c>
      <c r="F1274" s="20" t="s">
        <v>15135</v>
      </c>
      <c r="G1274" s="20">
        <v>73434001</v>
      </c>
      <c r="H1274" s="20" t="s">
        <v>15138</v>
      </c>
      <c r="I1274" s="20" t="b">
        <v>1</v>
      </c>
      <c r="J1274" s="20" t="s">
        <v>18149</v>
      </c>
      <c r="K1274" s="20">
        <v>80545</v>
      </c>
      <c r="L1274" s="20" t="s">
        <v>17213</v>
      </c>
      <c r="M1274" s="20" t="s">
        <v>18150</v>
      </c>
    </row>
    <row r="1275" spans="1:13" x14ac:dyDescent="0.25">
      <c r="A1275" s="20">
        <v>80545</v>
      </c>
      <c r="B1275" s="20" t="s">
        <v>16112</v>
      </c>
      <c r="C1275" s="20">
        <v>80545</v>
      </c>
      <c r="D1275" s="20" t="e">
        <f>VLOOKUP(C1275,[1]CHILDCARE_FACILITIES!AJ:AK,2,0)</f>
        <v>#N/A</v>
      </c>
      <c r="E1275" s="20" t="s">
        <v>15134</v>
      </c>
      <c r="F1275" s="20" t="s">
        <v>15135</v>
      </c>
      <c r="G1275" s="20">
        <v>73434001</v>
      </c>
      <c r="H1275" s="20" t="s">
        <v>15145</v>
      </c>
      <c r="I1275" s="20" t="b">
        <v>1</v>
      </c>
      <c r="J1275" s="20" t="s">
        <v>18149</v>
      </c>
      <c r="K1275" s="20">
        <v>80545</v>
      </c>
      <c r="L1275" s="20" t="s">
        <v>17213</v>
      </c>
      <c r="M1275" s="20" t="s">
        <v>18150</v>
      </c>
    </row>
    <row r="1276" spans="1:13" x14ac:dyDescent="0.25">
      <c r="A1276" s="20">
        <v>9097</v>
      </c>
      <c r="B1276" s="20" t="s">
        <v>15358</v>
      </c>
      <c r="C1276" s="20">
        <v>9097</v>
      </c>
      <c r="D1276" s="20" t="e">
        <f>VLOOKUP(C1276,[1]CHILDCARE_FACILITIES!AJ:AK,2,0)</f>
        <v>#N/A</v>
      </c>
      <c r="E1276" s="20" t="s">
        <v>15134</v>
      </c>
      <c r="F1276" s="20" t="s">
        <v>15135</v>
      </c>
      <c r="G1276" s="20">
        <v>73072001</v>
      </c>
      <c r="K1276" s="20">
        <v>9097</v>
      </c>
    </row>
    <row r="1277" spans="1:13" x14ac:dyDescent="0.25">
      <c r="A1277" s="20">
        <v>9209</v>
      </c>
      <c r="B1277" s="20" t="s">
        <v>15413</v>
      </c>
      <c r="C1277" s="20">
        <v>9209</v>
      </c>
      <c r="D1277" s="20" t="e">
        <f>VLOOKUP(C1277,[1]CHILDCARE_FACILITIES!AJ:AK,2,0)</f>
        <v>#N/A</v>
      </c>
      <c r="E1277" s="20" t="s">
        <v>15134</v>
      </c>
      <c r="F1277" s="20" t="s">
        <v>15135</v>
      </c>
      <c r="G1277" s="20">
        <v>73147001</v>
      </c>
      <c r="K1277" s="20">
        <v>9209</v>
      </c>
    </row>
    <row r="1278" spans="1:13" x14ac:dyDescent="0.25">
      <c r="A1278" s="20">
        <v>9210</v>
      </c>
      <c r="B1278" s="20" t="s">
        <v>15414</v>
      </c>
      <c r="C1278" s="20">
        <v>9210</v>
      </c>
      <c r="D1278" s="20" t="e">
        <f>VLOOKUP(C1278,[1]CHILDCARE_FACILITIES!AJ:AK,2,0)</f>
        <v>#N/A</v>
      </c>
      <c r="E1278" s="20" t="s">
        <v>15134</v>
      </c>
      <c r="F1278" s="20" t="s">
        <v>15135</v>
      </c>
      <c r="G1278" s="20">
        <v>73147002</v>
      </c>
      <c r="K1278" s="20">
        <v>9210</v>
      </c>
    </row>
    <row r="1279" spans="1:13" x14ac:dyDescent="0.25">
      <c r="A1279" s="20">
        <v>518521</v>
      </c>
      <c r="B1279" s="20" t="s">
        <v>17004</v>
      </c>
      <c r="C1279" s="20">
        <v>518521</v>
      </c>
      <c r="D1279" s="20" t="e">
        <f>VLOOKUP(C1279,[1]CHILDCARE_FACILITIES!AJ:AK,2,0)</f>
        <v>#N/A</v>
      </c>
      <c r="E1279" s="20" t="s">
        <v>15134</v>
      </c>
      <c r="F1279" s="20" t="s">
        <v>15135</v>
      </c>
      <c r="G1279" s="20">
        <v>103154000</v>
      </c>
      <c r="H1279" s="20" t="s">
        <v>15136</v>
      </c>
      <c r="I1279" s="20" t="b">
        <v>1</v>
      </c>
      <c r="J1279" s="20" t="s">
        <v>18151</v>
      </c>
      <c r="K1279" s="20">
        <v>518521</v>
      </c>
      <c r="L1279" s="20" t="s">
        <v>17271</v>
      </c>
      <c r="M1279" s="20" t="s">
        <v>18152</v>
      </c>
    </row>
    <row r="1280" spans="1:13" x14ac:dyDescent="0.25">
      <c r="A1280" s="20">
        <v>815714</v>
      </c>
      <c r="B1280" s="20" t="s">
        <v>17025</v>
      </c>
      <c r="C1280" s="20">
        <v>815714</v>
      </c>
      <c r="D1280" s="20" t="e">
        <f>VLOOKUP(C1280,[1]CHILDCARE_FACILITIES!AJ:AK,2,0)</f>
        <v>#N/A</v>
      </c>
      <c r="E1280" s="20" t="s">
        <v>15134</v>
      </c>
      <c r="F1280" s="20" t="s">
        <v>15135</v>
      </c>
      <c r="G1280" s="20">
        <v>73339001</v>
      </c>
      <c r="H1280" s="20" t="s">
        <v>15136</v>
      </c>
      <c r="I1280" s="20" t="b">
        <v>1</v>
      </c>
      <c r="J1280" s="20" t="s">
        <v>18153</v>
      </c>
      <c r="K1280" s="20">
        <v>815714</v>
      </c>
      <c r="L1280" s="20" t="s">
        <v>17312</v>
      </c>
      <c r="M1280" s="20" t="s">
        <v>18154</v>
      </c>
    </row>
    <row r="1281" spans="1:13" x14ac:dyDescent="0.25">
      <c r="A1281" s="20">
        <v>50949</v>
      </c>
      <c r="B1281" s="20" t="s">
        <v>15870</v>
      </c>
      <c r="C1281" s="20">
        <v>50949</v>
      </c>
      <c r="D1281" s="20" t="e">
        <f>VLOOKUP(C1281,[1]CHILDCARE_FACILITIES!AJ:AK,2,0)</f>
        <v>#N/A</v>
      </c>
      <c r="E1281" s="20" t="s">
        <v>15134</v>
      </c>
      <c r="F1281" s="20" t="s">
        <v>15135</v>
      </c>
      <c r="G1281" s="20">
        <v>73339000</v>
      </c>
      <c r="H1281" s="20" t="s">
        <v>15136</v>
      </c>
      <c r="I1281" s="20" t="b">
        <v>1</v>
      </c>
      <c r="J1281" s="20" t="s">
        <v>18153</v>
      </c>
      <c r="K1281" s="20">
        <v>50949</v>
      </c>
      <c r="L1281" s="20" t="s">
        <v>17312</v>
      </c>
      <c r="M1281" s="20" t="s">
        <v>18154</v>
      </c>
    </row>
    <row r="1282" spans="1:13" x14ac:dyDescent="0.25">
      <c r="A1282" s="20">
        <v>79752</v>
      </c>
      <c r="B1282" s="20" t="s">
        <v>15988</v>
      </c>
      <c r="C1282" s="20">
        <v>79752</v>
      </c>
      <c r="D1282" s="20" t="e">
        <f>VLOOKUP(C1282,[1]CHILDCARE_FACILITIES!AJ:AK,2,0)</f>
        <v>#N/A</v>
      </c>
      <c r="E1282" s="20" t="s">
        <v>15134</v>
      </c>
      <c r="F1282" s="20" t="s">
        <v>15135</v>
      </c>
      <c r="G1282" s="20">
        <v>73463001</v>
      </c>
      <c r="H1282" s="20" t="s">
        <v>15145</v>
      </c>
      <c r="I1282" s="20" t="b">
        <v>1</v>
      </c>
      <c r="J1282" s="20" t="s">
        <v>17324</v>
      </c>
      <c r="K1282" s="20">
        <v>79752</v>
      </c>
      <c r="L1282" s="20" t="s">
        <v>17213</v>
      </c>
      <c r="M1282" s="20" t="s">
        <v>17325</v>
      </c>
    </row>
    <row r="1283" spans="1:13" x14ac:dyDescent="0.25">
      <c r="A1283" s="20">
        <v>79752</v>
      </c>
      <c r="B1283" s="20" t="s">
        <v>15988</v>
      </c>
      <c r="C1283" s="20">
        <v>79752</v>
      </c>
      <c r="D1283" s="20" t="e">
        <f>VLOOKUP(C1283,[1]CHILDCARE_FACILITIES!AJ:AK,2,0)</f>
        <v>#N/A</v>
      </c>
      <c r="E1283" s="20" t="s">
        <v>15134</v>
      </c>
      <c r="F1283" s="20" t="s">
        <v>15135</v>
      </c>
      <c r="G1283" s="20">
        <v>73463001</v>
      </c>
      <c r="H1283" s="20" t="s">
        <v>15138</v>
      </c>
      <c r="I1283" s="20" t="b">
        <v>1</v>
      </c>
      <c r="J1283" s="20" t="s">
        <v>18155</v>
      </c>
      <c r="K1283" s="20">
        <v>79752</v>
      </c>
      <c r="L1283" s="20" t="s">
        <v>17213</v>
      </c>
      <c r="M1283" s="20" t="s">
        <v>18156</v>
      </c>
    </row>
    <row r="1284" spans="1:13" x14ac:dyDescent="0.25">
      <c r="A1284" s="20">
        <v>89642</v>
      </c>
      <c r="B1284" s="20" t="s">
        <v>16417</v>
      </c>
      <c r="C1284" s="20">
        <v>89642</v>
      </c>
      <c r="D1284" s="20" t="e">
        <f>VLOOKUP(C1284,[1]CHILDCARE_FACILITIES!AJ:AK,2,0)</f>
        <v>#N/A</v>
      </c>
      <c r="E1284" s="20" t="s">
        <v>15134</v>
      </c>
      <c r="F1284" s="20" t="s">
        <v>15135</v>
      </c>
      <c r="G1284" s="20">
        <v>23014001</v>
      </c>
      <c r="H1284" s="20" t="s">
        <v>15145</v>
      </c>
      <c r="I1284" s="20" t="b">
        <v>1</v>
      </c>
      <c r="J1284" s="20" t="s">
        <v>18157</v>
      </c>
      <c r="K1284" s="20">
        <v>89642</v>
      </c>
      <c r="L1284" s="20" t="s">
        <v>18158</v>
      </c>
      <c r="M1284" s="20" t="s">
        <v>18159</v>
      </c>
    </row>
    <row r="1285" spans="1:13" x14ac:dyDescent="0.25">
      <c r="A1285" s="20">
        <v>89642</v>
      </c>
      <c r="B1285" s="20" t="s">
        <v>16417</v>
      </c>
      <c r="C1285" s="20">
        <v>89642</v>
      </c>
      <c r="D1285" s="20" t="e">
        <f>VLOOKUP(C1285,[1]CHILDCARE_FACILITIES!AJ:AK,2,0)</f>
        <v>#N/A</v>
      </c>
      <c r="E1285" s="20" t="s">
        <v>15134</v>
      </c>
      <c r="F1285" s="20" t="s">
        <v>15135</v>
      </c>
      <c r="G1285" s="20">
        <v>23014001</v>
      </c>
      <c r="H1285" s="20" t="s">
        <v>15138</v>
      </c>
      <c r="I1285" s="20" t="b">
        <v>1</v>
      </c>
      <c r="J1285" s="20" t="s">
        <v>18157</v>
      </c>
      <c r="K1285" s="20">
        <v>89642</v>
      </c>
      <c r="L1285" s="20" t="s">
        <v>18158</v>
      </c>
      <c r="M1285" s="20" t="s">
        <v>18159</v>
      </c>
    </row>
    <row r="1286" spans="1:13" x14ac:dyDescent="0.25">
      <c r="A1286" s="20">
        <v>92307</v>
      </c>
      <c r="B1286" s="20" t="s">
        <v>16849</v>
      </c>
      <c r="C1286" s="20">
        <v>92307</v>
      </c>
      <c r="D1286" s="20" t="e">
        <f>VLOOKUP(C1286,[1]CHILDCARE_FACILITIES!AJ:AK,2,0)</f>
        <v>#N/A</v>
      </c>
      <c r="E1286" s="20" t="s">
        <v>15134</v>
      </c>
      <c r="F1286" s="20" t="s">
        <v>15135</v>
      </c>
      <c r="G1286" s="20">
        <v>23014002</v>
      </c>
      <c r="K1286" s="20">
        <v>92307</v>
      </c>
    </row>
    <row r="1287" spans="1:13" x14ac:dyDescent="0.25">
      <c r="A1287" s="20">
        <v>89737</v>
      </c>
      <c r="B1287" s="20" t="s">
        <v>16446</v>
      </c>
      <c r="C1287" s="20">
        <v>89737</v>
      </c>
      <c r="D1287" s="20" t="e">
        <f>VLOOKUP(C1287,[1]CHILDCARE_FACILITIES!AJ:AK,2,0)</f>
        <v>#N/A</v>
      </c>
      <c r="E1287" s="20" t="s">
        <v>15134</v>
      </c>
      <c r="F1287" s="20" t="s">
        <v>15135</v>
      </c>
      <c r="G1287" s="20">
        <v>83021001</v>
      </c>
      <c r="H1287" s="20" t="s">
        <v>15145</v>
      </c>
      <c r="I1287" s="20" t="b">
        <v>1</v>
      </c>
      <c r="J1287" s="20" t="s">
        <v>18160</v>
      </c>
      <c r="K1287" s="20">
        <v>89737</v>
      </c>
      <c r="L1287" s="20" t="s">
        <v>18161</v>
      </c>
      <c r="M1287" s="20" t="s">
        <v>18162</v>
      </c>
    </row>
    <row r="1288" spans="1:13" x14ac:dyDescent="0.25">
      <c r="A1288" s="20">
        <v>89737</v>
      </c>
      <c r="B1288" s="20" t="s">
        <v>16446</v>
      </c>
      <c r="C1288" s="20">
        <v>89737</v>
      </c>
      <c r="D1288" s="20" t="e">
        <f>VLOOKUP(C1288,[1]CHILDCARE_FACILITIES!AJ:AK,2,0)</f>
        <v>#N/A</v>
      </c>
      <c r="E1288" s="20" t="s">
        <v>15134</v>
      </c>
      <c r="F1288" s="20" t="s">
        <v>15135</v>
      </c>
      <c r="G1288" s="20">
        <v>83021001</v>
      </c>
      <c r="H1288" s="20" t="s">
        <v>15138</v>
      </c>
      <c r="I1288" s="20" t="b">
        <v>1</v>
      </c>
      <c r="J1288" s="20" t="s">
        <v>18160</v>
      </c>
      <c r="K1288" s="20">
        <v>89737</v>
      </c>
      <c r="L1288" s="20" t="s">
        <v>18161</v>
      </c>
      <c r="M1288" s="20" t="s">
        <v>18162</v>
      </c>
    </row>
    <row r="1289" spans="1:13" x14ac:dyDescent="0.25">
      <c r="A1289" s="20">
        <v>90940</v>
      </c>
      <c r="B1289" s="20" t="s">
        <v>16736</v>
      </c>
      <c r="C1289" s="20">
        <v>90940</v>
      </c>
      <c r="D1289" s="20" t="e">
        <f>VLOOKUP(C1289,[1]CHILDCARE_FACILITIES!AJ:AK,2,0)</f>
        <v>#N/A</v>
      </c>
      <c r="E1289" s="20" t="s">
        <v>15134</v>
      </c>
      <c r="F1289" s="20" t="s">
        <v>15135</v>
      </c>
      <c r="G1289" s="20">
        <v>103222000</v>
      </c>
      <c r="H1289" s="20" t="s">
        <v>15136</v>
      </c>
      <c r="I1289" s="20" t="b">
        <v>0</v>
      </c>
      <c r="J1289" s="20" t="s">
        <v>18163</v>
      </c>
      <c r="K1289" s="20">
        <v>90940</v>
      </c>
      <c r="L1289" s="20" t="s">
        <v>17282</v>
      </c>
      <c r="M1289" s="20" t="s">
        <v>18164</v>
      </c>
    </row>
    <row r="1290" spans="1:13" x14ac:dyDescent="0.25">
      <c r="A1290" s="20">
        <v>90940</v>
      </c>
      <c r="B1290" s="20" t="s">
        <v>16736</v>
      </c>
      <c r="C1290" s="20">
        <v>90940</v>
      </c>
      <c r="D1290" s="20" t="e">
        <f>VLOOKUP(C1290,[1]CHILDCARE_FACILITIES!AJ:AK,2,0)</f>
        <v>#N/A</v>
      </c>
      <c r="E1290" s="20" t="s">
        <v>15134</v>
      </c>
      <c r="F1290" s="20" t="s">
        <v>15135</v>
      </c>
      <c r="G1290" s="20">
        <v>103222000</v>
      </c>
      <c r="H1290" s="20" t="s">
        <v>15138</v>
      </c>
      <c r="I1290" s="20" t="b">
        <v>0</v>
      </c>
      <c r="J1290" s="20" t="s">
        <v>18165</v>
      </c>
      <c r="K1290" s="20">
        <v>90940</v>
      </c>
      <c r="L1290" s="20" t="s">
        <v>17282</v>
      </c>
      <c r="M1290" s="20" t="s">
        <v>18164</v>
      </c>
    </row>
    <row r="1291" spans="1:13" x14ac:dyDescent="0.25">
      <c r="A1291" s="20">
        <v>90941</v>
      </c>
      <c r="B1291" s="20" t="s">
        <v>16736</v>
      </c>
      <c r="C1291" s="20">
        <v>90941</v>
      </c>
      <c r="D1291" s="20" t="e">
        <f>VLOOKUP(C1291,[1]CHILDCARE_FACILITIES!AJ:AK,2,0)</f>
        <v>#N/A</v>
      </c>
      <c r="E1291" s="20" t="s">
        <v>15134</v>
      </c>
      <c r="F1291" s="20" t="s">
        <v>15135</v>
      </c>
      <c r="G1291" s="20">
        <v>103222001</v>
      </c>
      <c r="H1291" s="20" t="s">
        <v>15136</v>
      </c>
      <c r="I1291" s="20" t="b">
        <v>0</v>
      </c>
      <c r="J1291" s="20" t="s">
        <v>18163</v>
      </c>
      <c r="K1291" s="20">
        <v>90941</v>
      </c>
      <c r="L1291" s="20" t="s">
        <v>17282</v>
      </c>
      <c r="M1291" s="20" t="s">
        <v>18164</v>
      </c>
    </row>
    <row r="1292" spans="1:13" x14ac:dyDescent="0.25">
      <c r="A1292" s="20">
        <v>90941</v>
      </c>
      <c r="B1292" s="20" t="s">
        <v>16736</v>
      </c>
      <c r="C1292" s="20">
        <v>90941</v>
      </c>
      <c r="D1292" s="20" t="e">
        <f>VLOOKUP(C1292,[1]CHILDCARE_FACILITIES!AJ:AK,2,0)</f>
        <v>#N/A</v>
      </c>
      <c r="E1292" s="20" t="s">
        <v>15134</v>
      </c>
      <c r="F1292" s="20" t="s">
        <v>15135</v>
      </c>
      <c r="G1292" s="20">
        <v>103222001</v>
      </c>
      <c r="H1292" s="20" t="s">
        <v>15145</v>
      </c>
      <c r="I1292" s="20" t="b">
        <v>0</v>
      </c>
      <c r="J1292" s="20" t="s">
        <v>18165</v>
      </c>
      <c r="K1292" s="20">
        <v>90941</v>
      </c>
      <c r="L1292" s="20" t="s">
        <v>17282</v>
      </c>
      <c r="M1292" s="20" t="s">
        <v>18164</v>
      </c>
    </row>
    <row r="1293" spans="1:13" x14ac:dyDescent="0.25">
      <c r="A1293" s="20">
        <v>90941</v>
      </c>
      <c r="B1293" s="20" t="s">
        <v>16736</v>
      </c>
      <c r="C1293" s="20">
        <v>90941</v>
      </c>
      <c r="D1293" s="20" t="e">
        <f>VLOOKUP(C1293,[1]CHILDCARE_FACILITIES!AJ:AK,2,0)</f>
        <v>#N/A</v>
      </c>
      <c r="E1293" s="20" t="s">
        <v>15134</v>
      </c>
      <c r="F1293" s="20" t="s">
        <v>15135</v>
      </c>
      <c r="G1293" s="20">
        <v>103222001</v>
      </c>
      <c r="H1293" s="20" t="s">
        <v>15138</v>
      </c>
      <c r="I1293" s="20" t="b">
        <v>0</v>
      </c>
      <c r="J1293" s="20" t="s">
        <v>18163</v>
      </c>
      <c r="K1293" s="20">
        <v>90941</v>
      </c>
      <c r="L1293" s="20" t="s">
        <v>17282</v>
      </c>
      <c r="M1293" s="20" t="s">
        <v>18164</v>
      </c>
    </row>
    <row r="1294" spans="1:13" x14ac:dyDescent="0.25">
      <c r="A1294" s="20">
        <v>91347</v>
      </c>
      <c r="B1294" s="20" t="s">
        <v>16784</v>
      </c>
      <c r="C1294" s="20">
        <v>91347</v>
      </c>
      <c r="D1294" s="20" t="e">
        <f>VLOOKUP(C1294,[1]CHILDCARE_FACILITIES!AJ:AK,2,0)</f>
        <v>#N/A</v>
      </c>
      <c r="E1294" s="20" t="s">
        <v>15134</v>
      </c>
      <c r="F1294" s="20" t="s">
        <v>15135</v>
      </c>
      <c r="G1294" s="20">
        <v>103226002</v>
      </c>
      <c r="H1294" s="20" t="s">
        <v>15145</v>
      </c>
      <c r="I1294" s="20" t="b">
        <v>1</v>
      </c>
      <c r="J1294" s="20" t="s">
        <v>18166</v>
      </c>
      <c r="K1294" s="20">
        <v>91347</v>
      </c>
      <c r="L1294" s="20" t="s">
        <v>18167</v>
      </c>
      <c r="M1294" s="20" t="s">
        <v>18168</v>
      </c>
    </row>
    <row r="1295" spans="1:13" x14ac:dyDescent="0.25">
      <c r="A1295" s="20">
        <v>91336</v>
      </c>
      <c r="B1295" s="20" t="s">
        <v>16778</v>
      </c>
      <c r="C1295" s="20">
        <v>91336</v>
      </c>
      <c r="D1295" s="20" t="e">
        <f>VLOOKUP(C1295,[1]CHILDCARE_FACILITIES!AJ:AK,2,0)</f>
        <v>#N/A</v>
      </c>
      <c r="E1295" s="20" t="s">
        <v>15134</v>
      </c>
      <c r="F1295" s="20" t="s">
        <v>15135</v>
      </c>
      <c r="G1295" s="20">
        <v>103226000</v>
      </c>
      <c r="H1295" s="20" t="s">
        <v>15138</v>
      </c>
      <c r="I1295" s="20" t="b">
        <v>1</v>
      </c>
      <c r="J1295" s="20" t="s">
        <v>18166</v>
      </c>
      <c r="K1295" s="20">
        <v>91336</v>
      </c>
      <c r="L1295" s="20" t="s">
        <v>18167</v>
      </c>
      <c r="M1295" s="20" t="s">
        <v>18168</v>
      </c>
    </row>
    <row r="1296" spans="1:13" x14ac:dyDescent="0.25">
      <c r="A1296" s="20">
        <v>91336</v>
      </c>
      <c r="B1296" s="20" t="s">
        <v>16778</v>
      </c>
      <c r="C1296" s="20">
        <v>91336</v>
      </c>
      <c r="D1296" s="20" t="e">
        <f>VLOOKUP(C1296,[1]CHILDCARE_FACILITIES!AJ:AK,2,0)</f>
        <v>#N/A</v>
      </c>
      <c r="E1296" s="20" t="s">
        <v>15134</v>
      </c>
      <c r="F1296" s="20" t="s">
        <v>15135</v>
      </c>
      <c r="G1296" s="20">
        <v>103226000</v>
      </c>
      <c r="H1296" s="20" t="s">
        <v>15136</v>
      </c>
      <c r="I1296" s="20" t="b">
        <v>1</v>
      </c>
      <c r="J1296" s="20" t="s">
        <v>18169</v>
      </c>
      <c r="K1296" s="20">
        <v>91336</v>
      </c>
      <c r="L1296" s="20" t="s">
        <v>18167</v>
      </c>
      <c r="M1296" s="20" t="s">
        <v>18170</v>
      </c>
    </row>
    <row r="1297" spans="1:13" x14ac:dyDescent="0.25">
      <c r="A1297" s="20">
        <v>91337</v>
      </c>
      <c r="B1297" s="20" t="s">
        <v>16778</v>
      </c>
      <c r="C1297" s="20">
        <v>91337</v>
      </c>
      <c r="D1297" s="20" t="e">
        <f>VLOOKUP(C1297,[1]CHILDCARE_FACILITIES!AJ:AK,2,0)</f>
        <v>#N/A</v>
      </c>
      <c r="E1297" s="20" t="s">
        <v>15134</v>
      </c>
      <c r="F1297" s="20" t="s">
        <v>15135</v>
      </c>
      <c r="G1297" s="20">
        <v>103226001</v>
      </c>
      <c r="H1297" s="20" t="s">
        <v>15145</v>
      </c>
      <c r="I1297" s="20" t="b">
        <v>1</v>
      </c>
      <c r="J1297" s="20" t="s">
        <v>18171</v>
      </c>
      <c r="K1297" s="20">
        <v>91337</v>
      </c>
      <c r="L1297" s="20" t="s">
        <v>17271</v>
      </c>
      <c r="M1297" s="20" t="s">
        <v>18172</v>
      </c>
    </row>
    <row r="1298" spans="1:13" x14ac:dyDescent="0.25">
      <c r="A1298" s="20">
        <v>91337</v>
      </c>
      <c r="B1298" s="20" t="s">
        <v>16778</v>
      </c>
      <c r="C1298" s="20">
        <v>91337</v>
      </c>
      <c r="D1298" s="20" t="e">
        <f>VLOOKUP(C1298,[1]CHILDCARE_FACILITIES!AJ:AK,2,0)</f>
        <v>#N/A</v>
      </c>
      <c r="E1298" s="20" t="s">
        <v>15134</v>
      </c>
      <c r="F1298" s="20" t="s">
        <v>15135</v>
      </c>
      <c r="G1298" s="20">
        <v>103226001</v>
      </c>
      <c r="H1298" s="20" t="s">
        <v>15138</v>
      </c>
      <c r="I1298" s="20" t="b">
        <v>1</v>
      </c>
      <c r="J1298" s="20" t="s">
        <v>18171</v>
      </c>
      <c r="K1298" s="20">
        <v>91337</v>
      </c>
      <c r="L1298" s="20" t="s">
        <v>17271</v>
      </c>
      <c r="M1298" s="20" t="s">
        <v>18172</v>
      </c>
    </row>
    <row r="1299" spans="1:13" x14ac:dyDescent="0.25">
      <c r="A1299" s="20">
        <v>555412</v>
      </c>
      <c r="B1299" s="20" t="s">
        <v>17008</v>
      </c>
      <c r="C1299" s="20">
        <v>555412</v>
      </c>
      <c r="D1299" s="20" t="e">
        <f>VLOOKUP(C1299,[1]CHILDCARE_FACILITIES!AJ:AK,2,0)</f>
        <v>#N/A</v>
      </c>
      <c r="E1299" s="20" t="s">
        <v>15134</v>
      </c>
      <c r="F1299" s="20" t="s">
        <v>15135</v>
      </c>
      <c r="G1299" s="20">
        <v>73721000</v>
      </c>
      <c r="H1299" s="20" t="s">
        <v>15138</v>
      </c>
      <c r="I1299" s="20" t="b">
        <v>1</v>
      </c>
      <c r="J1299" s="20" t="s">
        <v>18173</v>
      </c>
      <c r="K1299" s="20">
        <v>555412</v>
      </c>
      <c r="L1299" s="20" t="s">
        <v>17213</v>
      </c>
      <c r="M1299" s="20" t="s">
        <v>18174</v>
      </c>
    </row>
    <row r="1300" spans="1:13" x14ac:dyDescent="0.25">
      <c r="A1300" s="20">
        <v>555412</v>
      </c>
      <c r="B1300" s="20" t="s">
        <v>17008</v>
      </c>
      <c r="C1300" s="20">
        <v>555412</v>
      </c>
      <c r="D1300" s="20" t="e">
        <f>VLOOKUP(C1300,[1]CHILDCARE_FACILITIES!AJ:AK,2,0)</f>
        <v>#N/A</v>
      </c>
      <c r="E1300" s="20" t="s">
        <v>15134</v>
      </c>
      <c r="F1300" s="20" t="s">
        <v>15135</v>
      </c>
      <c r="G1300" s="20">
        <v>73721000</v>
      </c>
      <c r="H1300" s="20" t="s">
        <v>15136</v>
      </c>
      <c r="I1300" s="20" t="b">
        <v>1</v>
      </c>
      <c r="J1300" s="20" t="s">
        <v>18175</v>
      </c>
      <c r="K1300" s="20">
        <v>555412</v>
      </c>
      <c r="L1300" s="20" t="s">
        <v>18176</v>
      </c>
      <c r="M1300" s="20" t="s">
        <v>18177</v>
      </c>
    </row>
    <row r="1301" spans="1:13" x14ac:dyDescent="0.25">
      <c r="A1301" s="20">
        <v>1000141</v>
      </c>
      <c r="B1301" s="20" t="s">
        <v>17105</v>
      </c>
      <c r="C1301" s="20">
        <v>1000141</v>
      </c>
      <c r="D1301" s="20" t="e">
        <f>VLOOKUP(C1301,[1]CHILDCARE_FACILITIES!AJ:AK,2,0)</f>
        <v>#N/A</v>
      </c>
      <c r="E1301" s="20" t="s">
        <v>15134</v>
      </c>
      <c r="F1301" s="20" t="s">
        <v>15135</v>
      </c>
      <c r="G1301" s="20">
        <v>73721002</v>
      </c>
      <c r="H1301" s="20" t="s">
        <v>15136</v>
      </c>
      <c r="I1301" s="20" t="b">
        <v>1</v>
      </c>
      <c r="J1301" s="20" t="s">
        <v>18178</v>
      </c>
      <c r="K1301" s="20">
        <v>1000141</v>
      </c>
      <c r="L1301" s="20" t="s">
        <v>17216</v>
      </c>
      <c r="M1301" s="20" t="s">
        <v>18179</v>
      </c>
    </row>
    <row r="1302" spans="1:13" x14ac:dyDescent="0.25">
      <c r="A1302" s="20">
        <v>1000141</v>
      </c>
      <c r="B1302" s="20" t="s">
        <v>17105</v>
      </c>
      <c r="C1302" s="20">
        <v>1000141</v>
      </c>
      <c r="D1302" s="20" t="e">
        <f>VLOOKUP(C1302,[1]CHILDCARE_FACILITIES!AJ:AK,2,0)</f>
        <v>#N/A</v>
      </c>
      <c r="E1302" s="20" t="s">
        <v>15134</v>
      </c>
      <c r="F1302" s="20" t="s">
        <v>15135</v>
      </c>
      <c r="G1302" s="20">
        <v>73721002</v>
      </c>
      <c r="H1302" s="20" t="s">
        <v>15138</v>
      </c>
      <c r="I1302" s="20" t="b">
        <v>1</v>
      </c>
      <c r="J1302" s="20" t="s">
        <v>18178</v>
      </c>
      <c r="K1302" s="20">
        <v>1000141</v>
      </c>
      <c r="L1302" s="20" t="s">
        <v>17216</v>
      </c>
      <c r="M1302" s="20" t="s">
        <v>18179</v>
      </c>
    </row>
    <row r="1303" spans="1:13" x14ac:dyDescent="0.25">
      <c r="A1303" s="20">
        <v>9021</v>
      </c>
      <c r="B1303" s="20" t="s">
        <v>15319</v>
      </c>
      <c r="C1303" s="20">
        <v>9021</v>
      </c>
      <c r="D1303" s="20" t="e">
        <f>VLOOKUP(C1303,[1]CHILDCARE_FACILITIES!AJ:AK,2,0)</f>
        <v>#N/A</v>
      </c>
      <c r="E1303" s="20" t="s">
        <v>15134</v>
      </c>
      <c r="F1303" s="20" t="s">
        <v>15135</v>
      </c>
      <c r="G1303" s="20">
        <v>73025001</v>
      </c>
      <c r="K1303" s="20">
        <v>9021</v>
      </c>
    </row>
    <row r="1304" spans="1:13" x14ac:dyDescent="0.25">
      <c r="A1304" s="20">
        <v>89671</v>
      </c>
      <c r="B1304" s="20" t="s">
        <v>16428</v>
      </c>
      <c r="C1304" s="20">
        <v>89671</v>
      </c>
      <c r="D1304" s="20" t="str">
        <f>VLOOKUP(C1304,[1]CHILDCARE_FACILITIES!AJ:AK,2,0)</f>
        <v>CDC-13041</v>
      </c>
      <c r="E1304" s="20" t="s">
        <v>15134</v>
      </c>
      <c r="F1304" s="20" t="s">
        <v>15135</v>
      </c>
      <c r="G1304" s="20">
        <v>73556001</v>
      </c>
      <c r="H1304" s="20" t="s">
        <v>15138</v>
      </c>
      <c r="I1304" s="20" t="b">
        <v>1</v>
      </c>
      <c r="J1304" s="20" t="s">
        <v>18180</v>
      </c>
      <c r="K1304" s="20">
        <v>89671</v>
      </c>
      <c r="L1304" s="20" t="s">
        <v>17216</v>
      </c>
      <c r="M1304" s="20" t="s">
        <v>18181</v>
      </c>
    </row>
    <row r="1305" spans="1:13" x14ac:dyDescent="0.25">
      <c r="A1305" s="20">
        <v>89671</v>
      </c>
      <c r="B1305" s="20" t="s">
        <v>16428</v>
      </c>
      <c r="C1305" s="20">
        <v>89671</v>
      </c>
      <c r="D1305" s="20" t="str">
        <f>VLOOKUP(C1305,[1]CHILDCARE_FACILITIES!AJ:AK,2,0)</f>
        <v>CDC-13041</v>
      </c>
      <c r="E1305" s="20" t="s">
        <v>15134</v>
      </c>
      <c r="F1305" s="20" t="s">
        <v>15135</v>
      </c>
      <c r="G1305" s="20">
        <v>73556001</v>
      </c>
      <c r="H1305" s="20" t="s">
        <v>15145</v>
      </c>
      <c r="I1305" s="20" t="b">
        <v>1</v>
      </c>
      <c r="J1305" s="20" t="s">
        <v>18180</v>
      </c>
      <c r="K1305" s="20">
        <v>89671</v>
      </c>
      <c r="L1305" s="20" t="s">
        <v>17216</v>
      </c>
      <c r="M1305" s="20" t="s">
        <v>18181</v>
      </c>
    </row>
    <row r="1306" spans="1:13" x14ac:dyDescent="0.25">
      <c r="A1306" s="20">
        <v>89670</v>
      </c>
      <c r="B1306" s="20" t="s">
        <v>16426</v>
      </c>
      <c r="C1306" s="20">
        <v>89670</v>
      </c>
      <c r="D1306" s="20" t="e">
        <f>VLOOKUP(C1306,[1]CHILDCARE_FACILITIES!AJ:AK,2,0)</f>
        <v>#N/A</v>
      </c>
      <c r="E1306" s="20" t="s">
        <v>15134</v>
      </c>
      <c r="F1306" s="20" t="s">
        <v>15135</v>
      </c>
      <c r="G1306" s="20">
        <v>73556000</v>
      </c>
      <c r="H1306" s="20" t="s">
        <v>15136</v>
      </c>
      <c r="I1306" s="20" t="b">
        <v>1</v>
      </c>
      <c r="J1306" s="20" t="s">
        <v>18180</v>
      </c>
      <c r="K1306" s="20">
        <v>89670</v>
      </c>
      <c r="L1306" s="20" t="s">
        <v>17216</v>
      </c>
      <c r="M1306" s="20" t="s">
        <v>18181</v>
      </c>
    </row>
    <row r="1307" spans="1:13" x14ac:dyDescent="0.25">
      <c r="A1307" s="20">
        <v>89670</v>
      </c>
      <c r="B1307" s="20" t="s">
        <v>16426</v>
      </c>
      <c r="C1307" s="20">
        <v>89670</v>
      </c>
      <c r="D1307" s="20" t="e">
        <f>VLOOKUP(C1307,[1]CHILDCARE_FACILITIES!AJ:AK,2,0)</f>
        <v>#N/A</v>
      </c>
      <c r="E1307" s="20" t="s">
        <v>15134</v>
      </c>
      <c r="F1307" s="20" t="s">
        <v>15135</v>
      </c>
      <c r="G1307" s="20">
        <v>73556000</v>
      </c>
      <c r="H1307" s="20" t="s">
        <v>15138</v>
      </c>
      <c r="I1307" s="20" t="b">
        <v>1</v>
      </c>
      <c r="J1307" s="20" t="s">
        <v>18180</v>
      </c>
      <c r="K1307" s="20">
        <v>89670</v>
      </c>
      <c r="L1307" s="20" t="s">
        <v>17216</v>
      </c>
      <c r="M1307" s="20" t="s">
        <v>18181</v>
      </c>
    </row>
    <row r="1308" spans="1:13" x14ac:dyDescent="0.25">
      <c r="A1308" s="20">
        <v>142280</v>
      </c>
      <c r="B1308" s="20" t="s">
        <v>16970</v>
      </c>
      <c r="C1308" s="20">
        <v>142280</v>
      </c>
      <c r="D1308" s="20" t="str">
        <f>VLOOKUP(C1308,[1]CHILDCARE_FACILITIES!AJ:AK,2,0)</f>
        <v>CDC-17635</v>
      </c>
      <c r="E1308" s="20" t="s">
        <v>15134</v>
      </c>
      <c r="F1308" s="20" t="s">
        <v>15135</v>
      </c>
      <c r="G1308" s="20">
        <v>103207006</v>
      </c>
      <c r="K1308" s="20">
        <v>142280</v>
      </c>
    </row>
    <row r="1309" spans="1:13" x14ac:dyDescent="0.25">
      <c r="A1309" s="20">
        <v>9417</v>
      </c>
      <c r="B1309" s="20" t="s">
        <v>15519</v>
      </c>
      <c r="C1309" s="20">
        <v>9417</v>
      </c>
      <c r="D1309" s="20" t="str">
        <f>VLOOKUP(C1309,[1]CHILDCARE_FACILITIES!AJ:AK,2,0)</f>
        <v>CDC-10913</v>
      </c>
      <c r="E1309" s="20" t="s">
        <v>15134</v>
      </c>
      <c r="F1309" s="20" t="s">
        <v>15135</v>
      </c>
      <c r="G1309" s="20">
        <v>73254001</v>
      </c>
      <c r="K1309" s="20">
        <v>9417</v>
      </c>
    </row>
    <row r="1310" spans="1:13" x14ac:dyDescent="0.25">
      <c r="A1310" s="20">
        <v>9416</v>
      </c>
      <c r="B1310" s="20" t="s">
        <v>15516</v>
      </c>
      <c r="C1310" s="20">
        <v>9416</v>
      </c>
      <c r="D1310" s="20" t="e">
        <f>VLOOKUP(C1310,[1]CHILDCARE_FACILITIES!AJ:AK,2,0)</f>
        <v>#N/A</v>
      </c>
      <c r="E1310" s="20" t="s">
        <v>15134</v>
      </c>
      <c r="F1310" s="20" t="s">
        <v>15135</v>
      </c>
      <c r="G1310" s="20">
        <v>73254000</v>
      </c>
      <c r="H1310" s="20" t="s">
        <v>15136</v>
      </c>
      <c r="I1310" s="20" t="b">
        <v>1</v>
      </c>
      <c r="J1310" s="20" t="s">
        <v>18182</v>
      </c>
      <c r="K1310" s="20">
        <v>9416</v>
      </c>
      <c r="L1310" s="20" t="s">
        <v>17700</v>
      </c>
      <c r="M1310" s="20" t="s">
        <v>18183</v>
      </c>
    </row>
    <row r="1311" spans="1:13" x14ac:dyDescent="0.25">
      <c r="A1311" s="20">
        <v>9416</v>
      </c>
      <c r="B1311" s="20" t="s">
        <v>15516</v>
      </c>
      <c r="C1311" s="20">
        <v>9416</v>
      </c>
      <c r="D1311" s="20" t="e">
        <f>VLOOKUP(C1311,[1]CHILDCARE_FACILITIES!AJ:AK,2,0)</f>
        <v>#N/A</v>
      </c>
      <c r="E1311" s="20" t="s">
        <v>15134</v>
      </c>
      <c r="F1311" s="20" t="s">
        <v>15135</v>
      </c>
      <c r="G1311" s="20">
        <v>73254000</v>
      </c>
      <c r="H1311" s="20" t="s">
        <v>15138</v>
      </c>
      <c r="I1311" s="20" t="b">
        <v>1</v>
      </c>
      <c r="J1311" s="20" t="s">
        <v>18184</v>
      </c>
      <c r="K1311" s="20">
        <v>9416</v>
      </c>
      <c r="L1311" s="20" t="s">
        <v>17262</v>
      </c>
      <c r="M1311" s="20" t="s">
        <v>18185</v>
      </c>
    </row>
    <row r="1312" spans="1:13" x14ac:dyDescent="0.25">
      <c r="A1312" s="20">
        <v>80657</v>
      </c>
      <c r="B1312" s="20" t="s">
        <v>16158</v>
      </c>
      <c r="C1312" s="20">
        <v>80657</v>
      </c>
      <c r="D1312" s="20" t="str">
        <f>VLOOKUP(C1312,[1]CHILDCARE_FACILITIES!AJ:AK,2,0)</f>
        <v>CDC-9141</v>
      </c>
      <c r="E1312" s="20" t="s">
        <v>15134</v>
      </c>
      <c r="F1312" s="20" t="s">
        <v>15135</v>
      </c>
      <c r="G1312" s="20">
        <v>73254002</v>
      </c>
      <c r="H1312" s="20" t="s">
        <v>15138</v>
      </c>
      <c r="I1312" s="20" t="b">
        <v>0</v>
      </c>
      <c r="J1312" s="20" t="s">
        <v>17699</v>
      </c>
      <c r="K1312" s="20">
        <v>80657</v>
      </c>
      <c r="L1312" s="20" t="s">
        <v>17700</v>
      </c>
      <c r="M1312" s="20" t="s">
        <v>17701</v>
      </c>
    </row>
    <row r="1313" spans="1:13" x14ac:dyDescent="0.25">
      <c r="A1313" s="20">
        <v>80657</v>
      </c>
      <c r="B1313" s="20" t="s">
        <v>16158</v>
      </c>
      <c r="C1313" s="20">
        <v>80657</v>
      </c>
      <c r="D1313" s="20" t="str">
        <f>VLOOKUP(C1313,[1]CHILDCARE_FACILITIES!AJ:AK,2,0)</f>
        <v>CDC-9141</v>
      </c>
      <c r="E1313" s="20" t="s">
        <v>15134</v>
      </c>
      <c r="F1313" s="20" t="s">
        <v>15135</v>
      </c>
      <c r="G1313" s="20">
        <v>73254002</v>
      </c>
      <c r="H1313" s="20" t="s">
        <v>15145</v>
      </c>
      <c r="I1313" s="20" t="b">
        <v>1</v>
      </c>
      <c r="J1313" s="20" t="s">
        <v>18186</v>
      </c>
      <c r="K1313" s="20">
        <v>80657</v>
      </c>
      <c r="L1313" s="20" t="s">
        <v>17262</v>
      </c>
      <c r="M1313" s="20" t="s">
        <v>18187</v>
      </c>
    </row>
    <row r="1314" spans="1:13" x14ac:dyDescent="0.25">
      <c r="A1314" s="20">
        <v>92675</v>
      </c>
      <c r="B1314" s="20" t="s">
        <v>16888</v>
      </c>
      <c r="C1314" s="20">
        <v>92675</v>
      </c>
      <c r="D1314" s="20" t="e">
        <f>VLOOKUP(C1314,[1]CHILDCARE_FACILITIES!AJ:AK,2,0)</f>
        <v>#N/A</v>
      </c>
      <c r="E1314" s="20" t="s">
        <v>15134</v>
      </c>
      <c r="F1314" s="20" t="s">
        <v>15135</v>
      </c>
      <c r="G1314" s="20">
        <v>72451006</v>
      </c>
      <c r="H1314" s="20" t="s">
        <v>15138</v>
      </c>
      <c r="I1314" s="20" t="b">
        <v>1</v>
      </c>
      <c r="J1314" s="20" t="s">
        <v>18188</v>
      </c>
      <c r="K1314" s="20">
        <v>92675</v>
      </c>
      <c r="L1314" s="20" t="s">
        <v>17639</v>
      </c>
      <c r="M1314" s="20" t="s">
        <v>18189</v>
      </c>
    </row>
    <row r="1315" spans="1:13" x14ac:dyDescent="0.25">
      <c r="A1315" s="20">
        <v>8700</v>
      </c>
      <c r="B1315" s="20" t="s">
        <v>15210</v>
      </c>
      <c r="C1315" s="20">
        <v>8700</v>
      </c>
      <c r="D1315" s="20" t="e">
        <f>VLOOKUP(C1315,[1]CHILDCARE_FACILITIES!AJ:AK,2,0)</f>
        <v>#N/A</v>
      </c>
      <c r="E1315" s="20" t="s">
        <v>15134</v>
      </c>
      <c r="F1315" s="20" t="s">
        <v>15135</v>
      </c>
      <c r="G1315" s="20">
        <v>72251000</v>
      </c>
      <c r="K1315" s="20">
        <v>8700</v>
      </c>
    </row>
    <row r="1316" spans="1:13" x14ac:dyDescent="0.25">
      <c r="A1316" s="20">
        <v>8701</v>
      </c>
      <c r="B1316" s="20" t="s">
        <v>15211</v>
      </c>
      <c r="C1316" s="20">
        <v>8701</v>
      </c>
      <c r="D1316" s="20" t="e">
        <f>VLOOKUP(C1316,[1]CHILDCARE_FACILITIES!AJ:AK,2,0)</f>
        <v>#N/A</v>
      </c>
      <c r="E1316" s="20" t="s">
        <v>15134</v>
      </c>
      <c r="F1316" s="20" t="s">
        <v>15135</v>
      </c>
      <c r="G1316" s="20">
        <v>72251001</v>
      </c>
      <c r="K1316" s="20">
        <v>8701</v>
      </c>
    </row>
    <row r="1317" spans="1:13" x14ac:dyDescent="0.25">
      <c r="A1317" s="20">
        <v>8795</v>
      </c>
      <c r="B1317" s="20" t="s">
        <v>15287</v>
      </c>
      <c r="C1317" s="20">
        <v>8795</v>
      </c>
      <c r="D1317" s="20" t="e">
        <f>VLOOKUP(C1317,[1]CHILDCARE_FACILITIES!AJ:AK,2,0)</f>
        <v>#N/A</v>
      </c>
      <c r="E1317" s="20" t="s">
        <v>15134</v>
      </c>
      <c r="F1317" s="20" t="s">
        <v>15135</v>
      </c>
      <c r="G1317" s="20">
        <v>72515000</v>
      </c>
      <c r="H1317" s="20" t="s">
        <v>15136</v>
      </c>
      <c r="I1317" s="20" t="b">
        <v>1</v>
      </c>
      <c r="J1317" s="20" t="s">
        <v>18190</v>
      </c>
      <c r="K1317" s="20">
        <v>8795</v>
      </c>
      <c r="L1317" s="20" t="s">
        <v>17236</v>
      </c>
      <c r="M1317" s="20" t="s">
        <v>18191</v>
      </c>
    </row>
    <row r="1318" spans="1:13" x14ac:dyDescent="0.25">
      <c r="A1318" s="20">
        <v>8795</v>
      </c>
      <c r="B1318" s="20" t="s">
        <v>15287</v>
      </c>
      <c r="C1318" s="20">
        <v>8795</v>
      </c>
      <c r="D1318" s="20" t="e">
        <f>VLOOKUP(C1318,[1]CHILDCARE_FACILITIES!AJ:AK,2,0)</f>
        <v>#N/A</v>
      </c>
      <c r="E1318" s="20" t="s">
        <v>15134</v>
      </c>
      <c r="F1318" s="20" t="s">
        <v>15135</v>
      </c>
      <c r="G1318" s="20">
        <v>72515000</v>
      </c>
      <c r="H1318" s="20" t="s">
        <v>15138</v>
      </c>
      <c r="I1318" s="20" t="b">
        <v>1</v>
      </c>
      <c r="J1318" s="20" t="s">
        <v>18192</v>
      </c>
      <c r="K1318" s="20">
        <v>8795</v>
      </c>
      <c r="L1318" s="20" t="s">
        <v>18193</v>
      </c>
      <c r="M1318" s="20" t="s">
        <v>18194</v>
      </c>
    </row>
    <row r="1319" spans="1:13" x14ac:dyDescent="0.25">
      <c r="A1319" s="20">
        <v>8712</v>
      </c>
      <c r="B1319" s="20" t="s">
        <v>15220</v>
      </c>
      <c r="C1319" s="20">
        <v>8712</v>
      </c>
      <c r="D1319" s="20" t="e">
        <f>VLOOKUP(C1319,[1]CHILDCARE_FACILITIES!AJ:AK,2,0)</f>
        <v>#N/A</v>
      </c>
      <c r="E1319" s="20" t="s">
        <v>15134</v>
      </c>
      <c r="F1319" s="20" t="s">
        <v>15135</v>
      </c>
      <c r="G1319" s="20">
        <v>72281000</v>
      </c>
      <c r="K1319" s="20">
        <v>8712</v>
      </c>
    </row>
    <row r="1320" spans="1:13" x14ac:dyDescent="0.25">
      <c r="A1320" s="20">
        <v>8713</v>
      </c>
      <c r="B1320" s="20" t="s">
        <v>15221</v>
      </c>
      <c r="C1320" s="20">
        <v>8713</v>
      </c>
      <c r="D1320" s="20" t="e">
        <f>VLOOKUP(C1320,[1]CHILDCARE_FACILITIES!AJ:AK,2,0)</f>
        <v>#N/A</v>
      </c>
      <c r="E1320" s="20" t="s">
        <v>15134</v>
      </c>
      <c r="F1320" s="20" t="s">
        <v>15135</v>
      </c>
      <c r="G1320" s="20">
        <v>72281001</v>
      </c>
      <c r="K1320" s="20">
        <v>8713</v>
      </c>
    </row>
    <row r="1321" spans="1:13" x14ac:dyDescent="0.25">
      <c r="A1321" s="20">
        <v>79340</v>
      </c>
      <c r="B1321" s="20" t="s">
        <v>5149</v>
      </c>
      <c r="C1321" s="20">
        <v>79340</v>
      </c>
      <c r="D1321" s="20" t="e">
        <f>VLOOKUP(C1321,[1]CHILDCARE_FACILITIES!AJ:AK,2,0)</f>
        <v>#N/A</v>
      </c>
      <c r="E1321" s="20" t="s">
        <v>15134</v>
      </c>
      <c r="F1321" s="20" t="s">
        <v>15135</v>
      </c>
      <c r="G1321" s="20">
        <v>72425017</v>
      </c>
      <c r="H1321" s="20" t="s">
        <v>15138</v>
      </c>
      <c r="I1321" s="20" t="b">
        <v>1</v>
      </c>
      <c r="J1321" s="20" t="s">
        <v>18195</v>
      </c>
      <c r="K1321" s="20">
        <v>79340</v>
      </c>
      <c r="L1321" s="20" t="s">
        <v>17236</v>
      </c>
      <c r="M1321" s="20" t="s">
        <v>18196</v>
      </c>
    </row>
    <row r="1322" spans="1:13" x14ac:dyDescent="0.25">
      <c r="A1322" s="20">
        <v>79340</v>
      </c>
      <c r="B1322" s="20" t="s">
        <v>5149</v>
      </c>
      <c r="C1322" s="20">
        <v>79340</v>
      </c>
      <c r="D1322" s="20" t="e">
        <f>VLOOKUP(C1322,[1]CHILDCARE_FACILITIES!AJ:AK,2,0)</f>
        <v>#N/A</v>
      </c>
      <c r="E1322" s="20" t="s">
        <v>15134</v>
      </c>
      <c r="F1322" s="20" t="s">
        <v>15135</v>
      </c>
      <c r="G1322" s="20">
        <v>72425017</v>
      </c>
      <c r="H1322" s="20" t="s">
        <v>15145</v>
      </c>
      <c r="I1322" s="20" t="b">
        <v>1</v>
      </c>
      <c r="J1322" s="20" t="s">
        <v>18195</v>
      </c>
      <c r="K1322" s="20">
        <v>79340</v>
      </c>
      <c r="L1322" s="20" t="s">
        <v>17236</v>
      </c>
      <c r="M1322" s="20" t="s">
        <v>18196</v>
      </c>
    </row>
    <row r="1323" spans="1:13" x14ac:dyDescent="0.25">
      <c r="A1323" s="20">
        <v>8710</v>
      </c>
      <c r="B1323" s="20" t="s">
        <v>15218</v>
      </c>
      <c r="C1323" s="20">
        <v>8710</v>
      </c>
      <c r="D1323" s="20" t="e">
        <f>VLOOKUP(C1323,[1]CHILDCARE_FACILITIES!AJ:AK,2,0)</f>
        <v>#N/A</v>
      </c>
      <c r="E1323" s="20" t="s">
        <v>15134</v>
      </c>
      <c r="F1323" s="20" t="s">
        <v>15135</v>
      </c>
      <c r="G1323" s="20">
        <v>72279000</v>
      </c>
      <c r="K1323" s="20">
        <v>8710</v>
      </c>
    </row>
    <row r="1324" spans="1:13" x14ac:dyDescent="0.25">
      <c r="A1324" s="20">
        <v>1000072</v>
      </c>
      <c r="B1324" s="20" t="s">
        <v>17048</v>
      </c>
      <c r="C1324" s="20">
        <v>1000072</v>
      </c>
      <c r="D1324" s="20" t="e">
        <f>VLOOKUP(C1324,[1]CHILDCARE_FACILITIES!AJ:AK,2,0)</f>
        <v>#N/A</v>
      </c>
      <c r="E1324" s="20" t="s">
        <v>15134</v>
      </c>
      <c r="F1324" s="20" t="s">
        <v>15135</v>
      </c>
      <c r="G1324" s="20">
        <v>72456000</v>
      </c>
      <c r="H1324" s="20" t="s">
        <v>15136</v>
      </c>
      <c r="I1324" s="20" t="b">
        <v>1</v>
      </c>
      <c r="J1324" s="20" t="s">
        <v>18197</v>
      </c>
      <c r="K1324" s="20">
        <v>1000072</v>
      </c>
      <c r="L1324" s="20" t="s">
        <v>17228</v>
      </c>
      <c r="M1324" s="20" t="s">
        <v>18198</v>
      </c>
    </row>
    <row r="1325" spans="1:13" x14ac:dyDescent="0.25">
      <c r="A1325" s="20">
        <v>1000072</v>
      </c>
      <c r="B1325" s="20" t="s">
        <v>17048</v>
      </c>
      <c r="C1325" s="20">
        <v>1000072</v>
      </c>
      <c r="D1325" s="20" t="e">
        <f>VLOOKUP(C1325,[1]CHILDCARE_FACILITIES!AJ:AK,2,0)</f>
        <v>#N/A</v>
      </c>
      <c r="E1325" s="20" t="s">
        <v>15134</v>
      </c>
      <c r="F1325" s="20" t="s">
        <v>15135</v>
      </c>
      <c r="G1325" s="20">
        <v>72456000</v>
      </c>
      <c r="H1325" s="20" t="s">
        <v>15138</v>
      </c>
      <c r="I1325" s="20" t="b">
        <v>1</v>
      </c>
      <c r="J1325" s="20" t="s">
        <v>18197</v>
      </c>
      <c r="K1325" s="20">
        <v>1000072</v>
      </c>
      <c r="L1325" s="20" t="s">
        <v>17228</v>
      </c>
      <c r="M1325" s="20" t="s">
        <v>18198</v>
      </c>
    </row>
    <row r="1326" spans="1:13" x14ac:dyDescent="0.25">
      <c r="A1326" s="20">
        <v>1000073</v>
      </c>
      <c r="B1326" s="20" t="s">
        <v>17050</v>
      </c>
      <c r="C1326" s="20">
        <v>1000073</v>
      </c>
      <c r="D1326" s="20" t="str">
        <f>VLOOKUP(C1326,[1]CHILDCARE_FACILITIES!AJ:AK,2,0)</f>
        <v>CDC-0739</v>
      </c>
      <c r="E1326" s="20" t="s">
        <v>15134</v>
      </c>
      <c r="F1326" s="20" t="s">
        <v>15135</v>
      </c>
      <c r="G1326" s="20">
        <v>72456001</v>
      </c>
      <c r="H1326" s="20" t="s">
        <v>15136</v>
      </c>
      <c r="I1326" s="20" t="b">
        <v>1</v>
      </c>
      <c r="J1326" s="20" t="s">
        <v>18197</v>
      </c>
      <c r="K1326" s="20">
        <v>1000073</v>
      </c>
      <c r="L1326" s="20" t="s">
        <v>17228</v>
      </c>
      <c r="M1326" s="20" t="s">
        <v>18198</v>
      </c>
    </row>
    <row r="1327" spans="1:13" x14ac:dyDescent="0.25">
      <c r="A1327" s="20">
        <v>1000073</v>
      </c>
      <c r="B1327" s="20" t="s">
        <v>17050</v>
      </c>
      <c r="C1327" s="20">
        <v>1000073</v>
      </c>
      <c r="D1327" s="20" t="str">
        <f>VLOOKUP(C1327,[1]CHILDCARE_FACILITIES!AJ:AK,2,0)</f>
        <v>CDC-0739</v>
      </c>
      <c r="E1327" s="20" t="s">
        <v>15134</v>
      </c>
      <c r="F1327" s="20" t="s">
        <v>15135</v>
      </c>
      <c r="G1327" s="20">
        <v>72456001</v>
      </c>
      <c r="H1327" s="20" t="s">
        <v>15138</v>
      </c>
      <c r="I1327" s="20" t="b">
        <v>1</v>
      </c>
      <c r="J1327" s="20" t="s">
        <v>18197</v>
      </c>
      <c r="K1327" s="20">
        <v>1000073</v>
      </c>
      <c r="L1327" s="20" t="s">
        <v>17228</v>
      </c>
      <c r="M1327" s="20" t="s">
        <v>18198</v>
      </c>
    </row>
    <row r="1328" spans="1:13" x14ac:dyDescent="0.25">
      <c r="A1328" s="20">
        <v>1000090</v>
      </c>
      <c r="B1328" s="20" t="s">
        <v>17070</v>
      </c>
      <c r="C1328" s="20">
        <v>1000090</v>
      </c>
      <c r="D1328" s="20" t="e">
        <f>VLOOKUP(C1328,[1]CHILDCARE_FACILITIES!AJ:AK,2,0)</f>
        <v>#N/A</v>
      </c>
      <c r="E1328" s="20" t="s">
        <v>15134</v>
      </c>
      <c r="F1328" s="20" t="s">
        <v>15135</v>
      </c>
      <c r="G1328" s="20">
        <v>72468001</v>
      </c>
      <c r="H1328" s="20" t="s">
        <v>15138</v>
      </c>
      <c r="I1328" s="20" t="b">
        <v>1</v>
      </c>
      <c r="J1328" s="20" t="s">
        <v>868</v>
      </c>
      <c r="K1328" s="20">
        <v>1000090</v>
      </c>
      <c r="L1328" s="20" t="s">
        <v>17228</v>
      </c>
      <c r="M1328" s="20" t="s">
        <v>18199</v>
      </c>
    </row>
    <row r="1329" spans="1:13" x14ac:dyDescent="0.25">
      <c r="A1329" s="20">
        <v>1000090</v>
      </c>
      <c r="B1329" s="20" t="s">
        <v>17070</v>
      </c>
      <c r="C1329" s="20">
        <v>1000090</v>
      </c>
      <c r="D1329" s="20" t="e">
        <f>VLOOKUP(C1329,[1]CHILDCARE_FACILITIES!AJ:AK,2,0)</f>
        <v>#N/A</v>
      </c>
      <c r="E1329" s="20" t="s">
        <v>15134</v>
      </c>
      <c r="F1329" s="20" t="s">
        <v>15135</v>
      </c>
      <c r="G1329" s="20">
        <v>72468001</v>
      </c>
      <c r="H1329" s="20" t="s">
        <v>15136</v>
      </c>
      <c r="I1329" s="20" t="b">
        <v>1</v>
      </c>
      <c r="J1329" s="20" t="s">
        <v>17302</v>
      </c>
      <c r="K1329" s="20">
        <v>1000090</v>
      </c>
      <c r="L1329" s="20" t="s">
        <v>17228</v>
      </c>
      <c r="M1329" s="20" t="s">
        <v>17303</v>
      </c>
    </row>
    <row r="1330" spans="1:13" x14ac:dyDescent="0.25">
      <c r="A1330" s="20">
        <v>92720</v>
      </c>
      <c r="B1330" s="20" t="s">
        <v>16914</v>
      </c>
      <c r="C1330" s="20">
        <v>92720</v>
      </c>
      <c r="D1330" s="20" t="e">
        <f>VLOOKUP(C1330,[1]CHILDCARE_FACILITIES!AJ:AK,2,0)</f>
        <v>#N/A</v>
      </c>
      <c r="E1330" s="20" t="s">
        <v>15134</v>
      </c>
      <c r="F1330" s="20" t="s">
        <v>15135</v>
      </c>
      <c r="G1330" s="20">
        <v>73317001</v>
      </c>
      <c r="H1330" s="20" t="s">
        <v>15136</v>
      </c>
      <c r="I1330" s="20" t="b">
        <v>1</v>
      </c>
      <c r="J1330" s="20" t="s">
        <v>17743</v>
      </c>
      <c r="K1330" s="20">
        <v>92720</v>
      </c>
      <c r="L1330" s="20" t="s">
        <v>17213</v>
      </c>
      <c r="M1330" s="20" t="s">
        <v>17744</v>
      </c>
    </row>
    <row r="1331" spans="1:13" x14ac:dyDescent="0.25">
      <c r="A1331" s="20">
        <v>92720</v>
      </c>
      <c r="B1331" s="20" t="s">
        <v>16914</v>
      </c>
      <c r="C1331" s="20">
        <v>92720</v>
      </c>
      <c r="D1331" s="20" t="e">
        <f>VLOOKUP(C1331,[1]CHILDCARE_FACILITIES!AJ:AK,2,0)</f>
        <v>#N/A</v>
      </c>
      <c r="E1331" s="20" t="s">
        <v>15134</v>
      </c>
      <c r="F1331" s="20" t="s">
        <v>15135</v>
      </c>
      <c r="G1331" s="20">
        <v>73317001</v>
      </c>
      <c r="H1331" s="20" t="s">
        <v>15138</v>
      </c>
      <c r="I1331" s="20" t="b">
        <v>1</v>
      </c>
      <c r="J1331" s="20" t="s">
        <v>17743</v>
      </c>
      <c r="K1331" s="20">
        <v>92720</v>
      </c>
      <c r="L1331" s="20" t="s">
        <v>17213</v>
      </c>
      <c r="M1331" s="20" t="s">
        <v>17744</v>
      </c>
    </row>
    <row r="1332" spans="1:13" x14ac:dyDescent="0.25">
      <c r="A1332" s="20">
        <v>10035</v>
      </c>
      <c r="B1332" s="20" t="s">
        <v>15789</v>
      </c>
      <c r="C1332" s="20">
        <v>10035</v>
      </c>
      <c r="D1332" s="20" t="e">
        <f>VLOOKUP(C1332,[1]CHILDCARE_FACILITIES!AJ:AK,2,0)</f>
        <v>#N/A</v>
      </c>
      <c r="E1332" s="20" t="s">
        <v>15134</v>
      </c>
      <c r="F1332" s="20" t="s">
        <v>15135</v>
      </c>
      <c r="G1332" s="20">
        <v>103103001</v>
      </c>
      <c r="K1332" s="20">
        <v>10035</v>
      </c>
    </row>
    <row r="1333" spans="1:13" x14ac:dyDescent="0.25">
      <c r="A1333" s="20">
        <v>9409</v>
      </c>
      <c r="B1333" s="20" t="s">
        <v>15513</v>
      </c>
      <c r="C1333" s="20">
        <v>9409</v>
      </c>
      <c r="D1333" s="20" t="e">
        <f>VLOOKUP(C1333,[1]CHILDCARE_FACILITIES!AJ:AK,2,0)</f>
        <v>#N/A</v>
      </c>
      <c r="E1333" s="20" t="s">
        <v>15134</v>
      </c>
      <c r="F1333" s="20" t="s">
        <v>15135</v>
      </c>
      <c r="G1333" s="20">
        <v>73250001</v>
      </c>
      <c r="K1333" s="20">
        <v>9409</v>
      </c>
    </row>
    <row r="1334" spans="1:13" x14ac:dyDescent="0.25">
      <c r="A1334" s="20">
        <v>89874</v>
      </c>
      <c r="B1334" s="20" t="s">
        <v>16471</v>
      </c>
      <c r="C1334" s="20">
        <v>89874</v>
      </c>
      <c r="D1334" s="20" t="str">
        <f>VLOOKUP(C1334,[1]CHILDCARE_FACILITIES!AJ:AK,2,0)</f>
        <v>CDC-13919</v>
      </c>
      <c r="E1334" s="20" t="s">
        <v>15134</v>
      </c>
      <c r="F1334" s="20" t="s">
        <v>15135</v>
      </c>
      <c r="G1334" s="20">
        <v>73564001</v>
      </c>
      <c r="H1334" s="20" t="s">
        <v>15145</v>
      </c>
      <c r="I1334" s="20" t="b">
        <v>1</v>
      </c>
      <c r="J1334" s="20" t="s">
        <v>18200</v>
      </c>
      <c r="K1334" s="20">
        <v>89874</v>
      </c>
      <c r="L1334" s="20" t="s">
        <v>17213</v>
      </c>
      <c r="M1334" s="20" t="s">
        <v>18201</v>
      </c>
    </row>
    <row r="1335" spans="1:13" x14ac:dyDescent="0.25">
      <c r="A1335" s="20">
        <v>89874</v>
      </c>
      <c r="B1335" s="20" t="s">
        <v>16471</v>
      </c>
      <c r="C1335" s="20">
        <v>89874</v>
      </c>
      <c r="D1335" s="20" t="str">
        <f>VLOOKUP(C1335,[1]CHILDCARE_FACILITIES!AJ:AK,2,0)</f>
        <v>CDC-13919</v>
      </c>
      <c r="E1335" s="20" t="s">
        <v>15134</v>
      </c>
      <c r="F1335" s="20" t="s">
        <v>15135</v>
      </c>
      <c r="G1335" s="20">
        <v>73564001</v>
      </c>
      <c r="H1335" s="20" t="s">
        <v>15138</v>
      </c>
      <c r="I1335" s="20" t="b">
        <v>1</v>
      </c>
      <c r="J1335" s="20" t="s">
        <v>18200</v>
      </c>
      <c r="K1335" s="20">
        <v>89874</v>
      </c>
      <c r="L1335" s="20" t="s">
        <v>17213</v>
      </c>
      <c r="M1335" s="20" t="s">
        <v>18201</v>
      </c>
    </row>
    <row r="1336" spans="1:13" x14ac:dyDescent="0.25">
      <c r="A1336" s="20">
        <v>89873</v>
      </c>
      <c r="B1336" s="20" t="s">
        <v>16469</v>
      </c>
      <c r="C1336" s="20">
        <v>89873</v>
      </c>
      <c r="D1336" s="20" t="e">
        <f>VLOOKUP(C1336,[1]CHILDCARE_FACILITIES!AJ:AK,2,0)</f>
        <v>#N/A</v>
      </c>
      <c r="E1336" s="20" t="s">
        <v>15134</v>
      </c>
      <c r="F1336" s="20" t="s">
        <v>15135</v>
      </c>
      <c r="G1336" s="20">
        <v>73564000</v>
      </c>
      <c r="H1336" s="20" t="s">
        <v>15138</v>
      </c>
      <c r="I1336" s="20" t="b">
        <v>1</v>
      </c>
      <c r="J1336" s="20" t="s">
        <v>18200</v>
      </c>
      <c r="K1336" s="20">
        <v>89873</v>
      </c>
      <c r="L1336" s="20" t="s">
        <v>17213</v>
      </c>
      <c r="M1336" s="20" t="s">
        <v>18201</v>
      </c>
    </row>
    <row r="1337" spans="1:13" x14ac:dyDescent="0.25">
      <c r="A1337" s="20">
        <v>89873</v>
      </c>
      <c r="B1337" s="20" t="s">
        <v>16469</v>
      </c>
      <c r="C1337" s="20">
        <v>89873</v>
      </c>
      <c r="D1337" s="20" t="e">
        <f>VLOOKUP(C1337,[1]CHILDCARE_FACILITIES!AJ:AK,2,0)</f>
        <v>#N/A</v>
      </c>
      <c r="E1337" s="20" t="s">
        <v>15134</v>
      </c>
      <c r="F1337" s="20" t="s">
        <v>15135</v>
      </c>
      <c r="G1337" s="20">
        <v>73564000</v>
      </c>
      <c r="H1337" s="20" t="s">
        <v>15136</v>
      </c>
      <c r="I1337" s="20" t="b">
        <v>1</v>
      </c>
      <c r="J1337" s="20" t="s">
        <v>18200</v>
      </c>
      <c r="K1337" s="20">
        <v>89873</v>
      </c>
      <c r="L1337" s="20" t="s">
        <v>17213</v>
      </c>
      <c r="M1337" s="20" t="s">
        <v>18201</v>
      </c>
    </row>
    <row r="1338" spans="1:13" x14ac:dyDescent="0.25">
      <c r="A1338" s="20">
        <v>9527</v>
      </c>
      <c r="B1338" s="20" t="s">
        <v>15580</v>
      </c>
      <c r="C1338" s="20">
        <v>9527</v>
      </c>
      <c r="D1338" s="20" t="e">
        <f>VLOOKUP(C1338,[1]CHILDCARE_FACILITIES!AJ:AK,2,0)</f>
        <v>#N/A</v>
      </c>
      <c r="E1338" s="20" t="s">
        <v>15134</v>
      </c>
      <c r="F1338" s="20" t="s">
        <v>15135</v>
      </c>
      <c r="G1338" s="20">
        <v>73289001</v>
      </c>
      <c r="K1338" s="20">
        <v>9527</v>
      </c>
    </row>
    <row r="1339" spans="1:13" x14ac:dyDescent="0.25">
      <c r="A1339" s="20">
        <v>85861</v>
      </c>
      <c r="B1339" s="20" t="s">
        <v>16309</v>
      </c>
      <c r="C1339" s="20">
        <v>85861</v>
      </c>
      <c r="D1339" s="20" t="e">
        <f>VLOOKUP(C1339,[1]CHILDCARE_FACILITIES!AJ:AK,2,0)</f>
        <v>#N/A</v>
      </c>
      <c r="E1339" s="20" t="s">
        <v>15134</v>
      </c>
      <c r="F1339" s="20" t="s">
        <v>15135</v>
      </c>
      <c r="G1339" s="20">
        <v>71435001</v>
      </c>
      <c r="K1339" s="20">
        <v>85861</v>
      </c>
    </row>
    <row r="1340" spans="1:13" x14ac:dyDescent="0.25">
      <c r="A1340" s="20">
        <v>80478</v>
      </c>
      <c r="B1340" s="20" t="s">
        <v>16051</v>
      </c>
      <c r="C1340" s="20">
        <v>80478</v>
      </c>
      <c r="D1340" s="20" t="e">
        <f>VLOOKUP(C1340,[1]CHILDCARE_FACILITIES!AJ:AK,2,0)</f>
        <v>#N/A</v>
      </c>
      <c r="E1340" s="20" t="s">
        <v>15134</v>
      </c>
      <c r="F1340" s="20" t="s">
        <v>15135</v>
      </c>
      <c r="G1340" s="20">
        <v>102504000</v>
      </c>
      <c r="H1340" s="20" t="s">
        <v>15138</v>
      </c>
      <c r="I1340" s="20" t="b">
        <v>1</v>
      </c>
      <c r="J1340" s="20" t="s">
        <v>18202</v>
      </c>
      <c r="K1340" s="20">
        <v>80478</v>
      </c>
      <c r="L1340" s="20" t="s">
        <v>17271</v>
      </c>
      <c r="M1340" s="20" t="s">
        <v>18203</v>
      </c>
    </row>
    <row r="1341" spans="1:13" x14ac:dyDescent="0.25">
      <c r="A1341" s="20">
        <v>80478</v>
      </c>
      <c r="B1341" s="20" t="s">
        <v>16051</v>
      </c>
      <c r="C1341" s="20">
        <v>80478</v>
      </c>
      <c r="D1341" s="20" t="e">
        <f>VLOOKUP(C1341,[1]CHILDCARE_FACILITIES!AJ:AK,2,0)</f>
        <v>#N/A</v>
      </c>
      <c r="E1341" s="20" t="s">
        <v>15134</v>
      </c>
      <c r="F1341" s="20" t="s">
        <v>15135</v>
      </c>
      <c r="G1341" s="20">
        <v>102504000</v>
      </c>
      <c r="H1341" s="20" t="s">
        <v>15136</v>
      </c>
      <c r="I1341" s="20" t="b">
        <v>1</v>
      </c>
      <c r="J1341" s="20" t="s">
        <v>18202</v>
      </c>
      <c r="K1341" s="20">
        <v>80478</v>
      </c>
      <c r="L1341" s="20" t="s">
        <v>17271</v>
      </c>
      <c r="M1341" s="20" t="s">
        <v>18203</v>
      </c>
    </row>
    <row r="1342" spans="1:13" x14ac:dyDescent="0.25">
      <c r="A1342" s="20">
        <v>90496</v>
      </c>
      <c r="B1342" s="20" t="s">
        <v>16630</v>
      </c>
      <c r="C1342" s="20">
        <v>90496</v>
      </c>
      <c r="D1342" s="20" t="e">
        <f>VLOOKUP(C1342,[1]CHILDCARE_FACILITIES!AJ:AK,2,0)</f>
        <v>#N/A</v>
      </c>
      <c r="E1342" s="20" t="s">
        <v>15134</v>
      </c>
      <c r="F1342" s="20" t="s">
        <v>15135</v>
      </c>
      <c r="G1342" s="20">
        <v>103215000</v>
      </c>
      <c r="H1342" s="20" t="s">
        <v>15138</v>
      </c>
      <c r="I1342" s="20" t="b">
        <v>1</v>
      </c>
      <c r="J1342" s="20" t="s">
        <v>17925</v>
      </c>
      <c r="K1342" s="20">
        <v>90496</v>
      </c>
      <c r="L1342" s="20" t="s">
        <v>17271</v>
      </c>
      <c r="M1342" s="20" t="s">
        <v>17926</v>
      </c>
    </row>
    <row r="1343" spans="1:13" x14ac:dyDescent="0.25">
      <c r="A1343" s="20">
        <v>90496</v>
      </c>
      <c r="B1343" s="20" t="s">
        <v>16630</v>
      </c>
      <c r="C1343" s="20">
        <v>90496</v>
      </c>
      <c r="D1343" s="20" t="e">
        <f>VLOOKUP(C1343,[1]CHILDCARE_FACILITIES!AJ:AK,2,0)</f>
        <v>#N/A</v>
      </c>
      <c r="E1343" s="20" t="s">
        <v>15134</v>
      </c>
      <c r="F1343" s="20" t="s">
        <v>15135</v>
      </c>
      <c r="G1343" s="20">
        <v>103215000</v>
      </c>
      <c r="H1343" s="20" t="s">
        <v>15136</v>
      </c>
      <c r="I1343" s="20" t="b">
        <v>1</v>
      </c>
      <c r="J1343" s="20" t="s">
        <v>18204</v>
      </c>
      <c r="K1343" s="20">
        <v>90496</v>
      </c>
      <c r="L1343" s="20" t="s">
        <v>17271</v>
      </c>
      <c r="M1343" s="20" t="s">
        <v>17852</v>
      </c>
    </row>
    <row r="1344" spans="1:13" x14ac:dyDescent="0.25">
      <c r="A1344" s="20">
        <v>78773</v>
      </c>
      <c r="B1344" s="20" t="s">
        <v>15889</v>
      </c>
      <c r="C1344" s="20">
        <v>78773</v>
      </c>
      <c r="D1344" s="20" t="e">
        <f>VLOOKUP(C1344,[1]CHILDCARE_FACILITIES!AJ:AK,2,0)</f>
        <v>#N/A</v>
      </c>
      <c r="E1344" s="20" t="s">
        <v>15134</v>
      </c>
      <c r="F1344" s="20" t="s">
        <v>15135</v>
      </c>
      <c r="G1344" s="20">
        <v>113013001</v>
      </c>
      <c r="K1344" s="20">
        <v>78773</v>
      </c>
    </row>
    <row r="1345" spans="1:13" x14ac:dyDescent="0.25">
      <c r="A1345" s="20">
        <v>90463</v>
      </c>
      <c r="B1345" s="20" t="s">
        <v>16620</v>
      </c>
      <c r="C1345" s="20">
        <v>90463</v>
      </c>
      <c r="D1345" s="20" t="str">
        <f>VLOOKUP(C1345,[1]CHILDCARE_FACILITIES!AJ:AK,2,0)</f>
        <v>CDC-14048</v>
      </c>
      <c r="E1345" s="20" t="s">
        <v>15134</v>
      </c>
      <c r="F1345" s="20" t="s">
        <v>15135</v>
      </c>
      <c r="G1345" s="20">
        <v>72432002</v>
      </c>
      <c r="H1345" s="20" t="s">
        <v>15145</v>
      </c>
      <c r="I1345" s="20" t="b">
        <v>1</v>
      </c>
      <c r="J1345" s="20" t="s">
        <v>18205</v>
      </c>
      <c r="K1345" s="20">
        <v>90463</v>
      </c>
      <c r="L1345" s="20" t="s">
        <v>17213</v>
      </c>
      <c r="M1345" s="20" t="s">
        <v>18206</v>
      </c>
    </row>
    <row r="1346" spans="1:13" x14ac:dyDescent="0.25">
      <c r="A1346" s="20">
        <v>79828</v>
      </c>
      <c r="B1346" s="20" t="s">
        <v>16019</v>
      </c>
      <c r="C1346" s="20">
        <v>79828</v>
      </c>
      <c r="D1346" s="20" t="str">
        <f>VLOOKUP(C1346,[1]CHILDCARE_FACILITIES!AJ:AK,2,0)</f>
        <v>CDC-9349</v>
      </c>
      <c r="E1346" s="20" t="s">
        <v>15134</v>
      </c>
      <c r="F1346" s="20" t="s">
        <v>15135</v>
      </c>
      <c r="G1346" s="20">
        <v>72432001</v>
      </c>
      <c r="H1346" s="20" t="s">
        <v>15138</v>
      </c>
      <c r="I1346" s="20" t="b">
        <v>1</v>
      </c>
      <c r="J1346" s="20" t="s">
        <v>18207</v>
      </c>
      <c r="K1346" s="20">
        <v>79828</v>
      </c>
      <c r="L1346" s="20" t="s">
        <v>17213</v>
      </c>
      <c r="M1346" s="20" t="s">
        <v>18208</v>
      </c>
    </row>
    <row r="1347" spans="1:13" x14ac:dyDescent="0.25">
      <c r="A1347" s="20">
        <v>79828</v>
      </c>
      <c r="B1347" s="20" t="s">
        <v>16019</v>
      </c>
      <c r="C1347" s="20">
        <v>79828</v>
      </c>
      <c r="D1347" s="20" t="str">
        <f>VLOOKUP(C1347,[1]CHILDCARE_FACILITIES!AJ:AK,2,0)</f>
        <v>CDC-9349</v>
      </c>
      <c r="E1347" s="20" t="s">
        <v>15134</v>
      </c>
      <c r="F1347" s="20" t="s">
        <v>15135</v>
      </c>
      <c r="G1347" s="20">
        <v>72432001</v>
      </c>
      <c r="H1347" s="20" t="s">
        <v>15145</v>
      </c>
      <c r="I1347" s="20" t="b">
        <v>1</v>
      </c>
      <c r="J1347" s="20" t="s">
        <v>18207</v>
      </c>
      <c r="K1347" s="20">
        <v>79828</v>
      </c>
      <c r="L1347" s="20" t="s">
        <v>17213</v>
      </c>
      <c r="M1347" s="20" t="s">
        <v>18208</v>
      </c>
    </row>
    <row r="1348" spans="1:13" x14ac:dyDescent="0.25">
      <c r="A1348" s="20">
        <v>79369</v>
      </c>
      <c r="B1348" s="20" t="s">
        <v>15961</v>
      </c>
      <c r="C1348" s="20">
        <v>79369</v>
      </c>
      <c r="D1348" s="20" t="e">
        <f>VLOOKUP(C1348,[1]CHILDCARE_FACILITIES!AJ:AK,2,0)</f>
        <v>#N/A</v>
      </c>
      <c r="E1348" s="20" t="s">
        <v>15134</v>
      </c>
      <c r="F1348" s="20" t="s">
        <v>15135</v>
      </c>
      <c r="G1348" s="20">
        <v>72427000</v>
      </c>
      <c r="H1348" s="20" t="s">
        <v>15145</v>
      </c>
      <c r="I1348" s="20" t="b">
        <v>1</v>
      </c>
      <c r="J1348" s="20" t="s">
        <v>18209</v>
      </c>
      <c r="K1348" s="20">
        <v>79369</v>
      </c>
      <c r="L1348" s="20" t="s">
        <v>17213</v>
      </c>
      <c r="M1348" s="20" t="s">
        <v>18210</v>
      </c>
    </row>
    <row r="1349" spans="1:13" x14ac:dyDescent="0.25">
      <c r="A1349" s="20">
        <v>79369</v>
      </c>
      <c r="B1349" s="20" t="s">
        <v>15961</v>
      </c>
      <c r="C1349" s="20">
        <v>79369</v>
      </c>
      <c r="D1349" s="20" t="e">
        <f>VLOOKUP(C1349,[1]CHILDCARE_FACILITIES!AJ:AK,2,0)</f>
        <v>#N/A</v>
      </c>
      <c r="E1349" s="20" t="s">
        <v>15134</v>
      </c>
      <c r="F1349" s="20" t="s">
        <v>15135</v>
      </c>
      <c r="G1349" s="20">
        <v>72427000</v>
      </c>
      <c r="H1349" s="20" t="s">
        <v>15138</v>
      </c>
      <c r="I1349" s="20" t="b">
        <v>1</v>
      </c>
      <c r="J1349" s="20" t="s">
        <v>18209</v>
      </c>
      <c r="K1349" s="20">
        <v>79369</v>
      </c>
      <c r="L1349" s="20" t="s">
        <v>17213</v>
      </c>
      <c r="M1349" s="20" t="s">
        <v>18210</v>
      </c>
    </row>
    <row r="1350" spans="1:13" x14ac:dyDescent="0.25">
      <c r="A1350" s="20">
        <v>10177</v>
      </c>
      <c r="B1350" s="20" t="s">
        <v>15829</v>
      </c>
      <c r="C1350" s="20">
        <v>10177</v>
      </c>
      <c r="D1350" s="20" t="e">
        <f>VLOOKUP(C1350,[1]CHILDCARE_FACILITIES!AJ:AK,2,0)</f>
        <v>#N/A</v>
      </c>
      <c r="E1350" s="20" t="s">
        <v>15134</v>
      </c>
      <c r="F1350" s="20" t="s">
        <v>15135</v>
      </c>
      <c r="G1350" s="20">
        <v>142204001</v>
      </c>
      <c r="K1350" s="20">
        <v>10177</v>
      </c>
    </row>
    <row r="1351" spans="1:13" x14ac:dyDescent="0.25">
      <c r="A1351" s="20">
        <v>80508</v>
      </c>
      <c r="B1351" s="20" t="s">
        <v>16081</v>
      </c>
      <c r="C1351" s="20">
        <v>80508</v>
      </c>
      <c r="D1351" s="20" t="e">
        <f>VLOOKUP(C1351,[1]CHILDCARE_FACILITIES!AJ:AK,2,0)</f>
        <v>#N/A</v>
      </c>
      <c r="E1351" s="20" t="s">
        <v>15134</v>
      </c>
      <c r="F1351" s="20" t="s">
        <v>15135</v>
      </c>
      <c r="G1351" s="20">
        <v>32210006</v>
      </c>
      <c r="H1351" s="20" t="s">
        <v>15138</v>
      </c>
      <c r="I1351" s="20" t="b">
        <v>1</v>
      </c>
      <c r="J1351" s="20" t="s">
        <v>17719</v>
      </c>
      <c r="K1351" s="20">
        <v>80508</v>
      </c>
      <c r="L1351" s="20" t="s">
        <v>17715</v>
      </c>
      <c r="M1351" s="20" t="s">
        <v>17720</v>
      </c>
    </row>
    <row r="1352" spans="1:13" x14ac:dyDescent="0.25">
      <c r="A1352" s="20">
        <v>80508</v>
      </c>
      <c r="B1352" s="20" t="s">
        <v>16081</v>
      </c>
      <c r="C1352" s="20">
        <v>80508</v>
      </c>
      <c r="D1352" s="20" t="e">
        <f>VLOOKUP(C1352,[1]CHILDCARE_FACILITIES!AJ:AK,2,0)</f>
        <v>#N/A</v>
      </c>
      <c r="E1352" s="20" t="s">
        <v>15134</v>
      </c>
      <c r="F1352" s="20" t="s">
        <v>15135</v>
      </c>
      <c r="G1352" s="20">
        <v>32210006</v>
      </c>
      <c r="H1352" s="20" t="s">
        <v>15145</v>
      </c>
      <c r="I1352" s="20" t="b">
        <v>1</v>
      </c>
      <c r="J1352" s="20" t="s">
        <v>17714</v>
      </c>
      <c r="K1352" s="20">
        <v>80508</v>
      </c>
      <c r="L1352" s="20" t="s">
        <v>17715</v>
      </c>
      <c r="M1352" s="20" t="s">
        <v>17716</v>
      </c>
    </row>
    <row r="1353" spans="1:13" x14ac:dyDescent="0.25">
      <c r="A1353" s="20">
        <v>91885</v>
      </c>
      <c r="B1353" s="20" t="s">
        <v>16811</v>
      </c>
      <c r="C1353" s="20">
        <v>91885</v>
      </c>
      <c r="D1353" s="20" t="e">
        <f>VLOOKUP(C1353,[1]CHILDCARE_FACILITIES!AJ:AK,2,0)</f>
        <v>#N/A</v>
      </c>
      <c r="E1353" s="20" t="s">
        <v>15134</v>
      </c>
      <c r="F1353" s="20" t="s">
        <v>15135</v>
      </c>
      <c r="G1353" s="20">
        <v>73301000</v>
      </c>
      <c r="H1353" s="20" t="s">
        <v>15136</v>
      </c>
      <c r="I1353" s="20" t="b">
        <v>1</v>
      </c>
      <c r="J1353" s="20" t="s">
        <v>18089</v>
      </c>
      <c r="K1353" s="20">
        <v>91885</v>
      </c>
      <c r="L1353" s="20" t="s">
        <v>17213</v>
      </c>
      <c r="M1353" s="20" t="s">
        <v>18090</v>
      </c>
    </row>
    <row r="1354" spans="1:13" x14ac:dyDescent="0.25">
      <c r="A1354" s="20">
        <v>91885</v>
      </c>
      <c r="B1354" s="20" t="s">
        <v>16811</v>
      </c>
      <c r="C1354" s="20">
        <v>91885</v>
      </c>
      <c r="D1354" s="20" t="e">
        <f>VLOOKUP(C1354,[1]CHILDCARE_FACILITIES!AJ:AK,2,0)</f>
        <v>#N/A</v>
      </c>
      <c r="E1354" s="20" t="s">
        <v>15134</v>
      </c>
      <c r="F1354" s="20" t="s">
        <v>15135</v>
      </c>
      <c r="G1354" s="20">
        <v>73301000</v>
      </c>
      <c r="H1354" s="20" t="s">
        <v>15138</v>
      </c>
      <c r="I1354" s="20" t="b">
        <v>1</v>
      </c>
      <c r="J1354" s="20" t="s">
        <v>17362</v>
      </c>
      <c r="K1354" s="20">
        <v>91885</v>
      </c>
      <c r="L1354" s="20" t="s">
        <v>17213</v>
      </c>
      <c r="M1354" s="20" t="s">
        <v>17363</v>
      </c>
    </row>
    <row r="1355" spans="1:13" x14ac:dyDescent="0.25">
      <c r="A1355" s="20">
        <v>9262</v>
      </c>
      <c r="B1355" s="20" t="s">
        <v>15437</v>
      </c>
      <c r="C1355" s="20">
        <v>9262</v>
      </c>
      <c r="D1355" s="20" t="e">
        <f>VLOOKUP(C1355,[1]CHILDCARE_FACILITIES!AJ:AK,2,0)</f>
        <v>#N/A</v>
      </c>
      <c r="E1355" s="20" t="s">
        <v>15134</v>
      </c>
      <c r="F1355" s="20" t="s">
        <v>15135</v>
      </c>
      <c r="G1355" s="20">
        <v>73188001</v>
      </c>
      <c r="K1355" s="20">
        <v>9262</v>
      </c>
    </row>
    <row r="1356" spans="1:13" x14ac:dyDescent="0.25">
      <c r="A1356" s="20">
        <v>84271</v>
      </c>
      <c r="B1356" s="20" t="s">
        <v>16270</v>
      </c>
      <c r="C1356" s="20">
        <v>84271</v>
      </c>
      <c r="D1356" s="20" t="e">
        <f>VLOOKUP(C1356,[1]CHILDCARE_FACILITIES!AJ:AK,2,0)</f>
        <v>#N/A</v>
      </c>
      <c r="E1356" s="20" t="s">
        <v>15134</v>
      </c>
      <c r="F1356" s="20" t="s">
        <v>15135</v>
      </c>
      <c r="G1356" s="20">
        <v>33201000</v>
      </c>
      <c r="H1356" s="20" t="s">
        <v>15138</v>
      </c>
      <c r="I1356" s="20" t="b">
        <v>1</v>
      </c>
      <c r="J1356" s="20" t="s">
        <v>18211</v>
      </c>
      <c r="K1356" s="20">
        <v>84271</v>
      </c>
      <c r="L1356" s="20" t="s">
        <v>17809</v>
      </c>
      <c r="M1356" s="20" t="s">
        <v>18212</v>
      </c>
    </row>
    <row r="1357" spans="1:13" x14ac:dyDescent="0.25">
      <c r="A1357" s="20">
        <v>84271</v>
      </c>
      <c r="B1357" s="20" t="s">
        <v>16270</v>
      </c>
      <c r="C1357" s="20">
        <v>84271</v>
      </c>
      <c r="D1357" s="20" t="e">
        <f>VLOOKUP(C1357,[1]CHILDCARE_FACILITIES!AJ:AK,2,0)</f>
        <v>#N/A</v>
      </c>
      <c r="E1357" s="20" t="s">
        <v>15134</v>
      </c>
      <c r="F1357" s="20" t="s">
        <v>15135</v>
      </c>
      <c r="G1357" s="20">
        <v>33201000</v>
      </c>
      <c r="H1357" s="20" t="s">
        <v>15136</v>
      </c>
      <c r="I1357" s="20" t="b">
        <v>1</v>
      </c>
      <c r="J1357" s="20" t="s">
        <v>18213</v>
      </c>
      <c r="K1357" s="20">
        <v>84271</v>
      </c>
      <c r="L1357" s="20" t="s">
        <v>17809</v>
      </c>
      <c r="M1357" s="20" t="s">
        <v>18214</v>
      </c>
    </row>
    <row r="1358" spans="1:13" x14ac:dyDescent="0.25">
      <c r="A1358" s="20">
        <v>84272</v>
      </c>
      <c r="B1358" s="20" t="s">
        <v>16270</v>
      </c>
      <c r="C1358" s="20">
        <v>84272</v>
      </c>
      <c r="D1358" s="20" t="str">
        <f>VLOOKUP(C1358,[1]CHILDCARE_FACILITIES!AJ:AK,2,0)</f>
        <v>CDC-10968</v>
      </c>
      <c r="E1358" s="20" t="s">
        <v>15134</v>
      </c>
      <c r="F1358" s="20" t="s">
        <v>15135</v>
      </c>
      <c r="G1358" s="20">
        <v>33201001</v>
      </c>
      <c r="H1358" s="20" t="s">
        <v>15138</v>
      </c>
      <c r="I1358" s="20" t="b">
        <v>0</v>
      </c>
      <c r="J1358" s="20" t="s">
        <v>18215</v>
      </c>
      <c r="K1358" s="20">
        <v>84272</v>
      </c>
      <c r="L1358" s="20" t="s">
        <v>18216</v>
      </c>
      <c r="M1358" s="20" t="s">
        <v>18217</v>
      </c>
    </row>
    <row r="1359" spans="1:13" x14ac:dyDescent="0.25">
      <c r="A1359" s="20">
        <v>84272</v>
      </c>
      <c r="B1359" s="20" t="s">
        <v>16270</v>
      </c>
      <c r="C1359" s="20">
        <v>84272</v>
      </c>
      <c r="D1359" s="20" t="str">
        <f>VLOOKUP(C1359,[1]CHILDCARE_FACILITIES!AJ:AK,2,0)</f>
        <v>CDC-10968</v>
      </c>
      <c r="E1359" s="20" t="s">
        <v>15134</v>
      </c>
      <c r="F1359" s="20" t="s">
        <v>15135</v>
      </c>
      <c r="G1359" s="20">
        <v>33201001</v>
      </c>
      <c r="H1359" s="20" t="s">
        <v>15145</v>
      </c>
      <c r="I1359" s="20" t="b">
        <v>1</v>
      </c>
      <c r="J1359" s="20" t="s">
        <v>18211</v>
      </c>
      <c r="K1359" s="20">
        <v>84272</v>
      </c>
      <c r="L1359" s="20" t="s">
        <v>17809</v>
      </c>
      <c r="M1359" s="20" t="s">
        <v>18212</v>
      </c>
    </row>
    <row r="1360" spans="1:13" x14ac:dyDescent="0.25">
      <c r="A1360" s="20">
        <v>90379</v>
      </c>
      <c r="B1360" s="20" t="s">
        <v>16603</v>
      </c>
      <c r="C1360" s="20">
        <v>90379</v>
      </c>
      <c r="D1360" s="20" t="e">
        <f>VLOOKUP(C1360,[1]CHILDCARE_FACILITIES!AJ:AK,2,0)</f>
        <v>#N/A</v>
      </c>
      <c r="E1360" s="20" t="s">
        <v>15134</v>
      </c>
      <c r="F1360" s="20" t="s">
        <v>15135</v>
      </c>
      <c r="G1360" s="20">
        <v>73590001</v>
      </c>
      <c r="H1360" s="20" t="s">
        <v>15145</v>
      </c>
      <c r="I1360" s="20" t="b">
        <v>1</v>
      </c>
      <c r="J1360" s="20" t="s">
        <v>18218</v>
      </c>
      <c r="K1360" s="20">
        <v>90379</v>
      </c>
      <c r="L1360" s="20" t="s">
        <v>18219</v>
      </c>
      <c r="M1360" s="20" t="s">
        <v>18220</v>
      </c>
    </row>
    <row r="1361" spans="1:13" x14ac:dyDescent="0.25">
      <c r="A1361" s="20">
        <v>90378</v>
      </c>
      <c r="B1361" s="20" t="s">
        <v>16600</v>
      </c>
      <c r="C1361" s="20">
        <v>90378</v>
      </c>
      <c r="D1361" s="20" t="e">
        <f>VLOOKUP(C1361,[1]CHILDCARE_FACILITIES!AJ:AK,2,0)</f>
        <v>#N/A</v>
      </c>
      <c r="E1361" s="20" t="s">
        <v>15134</v>
      </c>
      <c r="F1361" s="20" t="s">
        <v>15135</v>
      </c>
      <c r="G1361" s="20">
        <v>73590000</v>
      </c>
      <c r="H1361" s="20" t="s">
        <v>15136</v>
      </c>
      <c r="I1361" s="20" t="b">
        <v>1</v>
      </c>
      <c r="J1361" s="20" t="s">
        <v>18221</v>
      </c>
      <c r="K1361" s="20">
        <v>90378</v>
      </c>
      <c r="L1361" s="20" t="s">
        <v>18222</v>
      </c>
      <c r="M1361" s="20" t="s">
        <v>18220</v>
      </c>
    </row>
    <row r="1362" spans="1:13" x14ac:dyDescent="0.25">
      <c r="A1362" s="20">
        <v>90378</v>
      </c>
      <c r="B1362" s="20" t="s">
        <v>16600</v>
      </c>
      <c r="C1362" s="20">
        <v>90378</v>
      </c>
      <c r="D1362" s="20" t="e">
        <f>VLOOKUP(C1362,[1]CHILDCARE_FACILITIES!AJ:AK,2,0)</f>
        <v>#N/A</v>
      </c>
      <c r="E1362" s="20" t="s">
        <v>15134</v>
      </c>
      <c r="F1362" s="20" t="s">
        <v>15135</v>
      </c>
      <c r="G1362" s="20">
        <v>73590000</v>
      </c>
      <c r="H1362" s="20" t="s">
        <v>15138</v>
      </c>
      <c r="I1362" s="20" t="b">
        <v>1</v>
      </c>
      <c r="J1362" s="20" t="s">
        <v>18221</v>
      </c>
      <c r="K1362" s="20">
        <v>90378</v>
      </c>
      <c r="L1362" s="20" t="s">
        <v>18219</v>
      </c>
      <c r="M1362" s="20" t="s">
        <v>18220</v>
      </c>
    </row>
    <row r="1363" spans="1:13" x14ac:dyDescent="0.25">
      <c r="A1363" s="20">
        <v>90664</v>
      </c>
      <c r="B1363" s="20" t="s">
        <v>16658</v>
      </c>
      <c r="C1363" s="20">
        <v>90664</v>
      </c>
      <c r="D1363" s="20" t="e">
        <f>VLOOKUP(C1363,[1]CHILDCARE_FACILITIES!AJ:AK,2,0)</f>
        <v>#N/A</v>
      </c>
      <c r="E1363" s="20" t="s">
        <v>15134</v>
      </c>
      <c r="F1363" s="20" t="s">
        <v>15135</v>
      </c>
      <c r="G1363" s="20">
        <v>73705000</v>
      </c>
      <c r="H1363" s="20" t="s">
        <v>15138</v>
      </c>
      <c r="I1363" s="20" t="b">
        <v>0</v>
      </c>
      <c r="J1363" s="20" t="s">
        <v>18223</v>
      </c>
      <c r="K1363" s="20">
        <v>90664</v>
      </c>
      <c r="L1363" s="20" t="s">
        <v>17216</v>
      </c>
      <c r="M1363" s="20" t="s">
        <v>18224</v>
      </c>
    </row>
    <row r="1364" spans="1:13" x14ac:dyDescent="0.25">
      <c r="A1364" s="20">
        <v>90664</v>
      </c>
      <c r="B1364" s="20" t="s">
        <v>16658</v>
      </c>
      <c r="C1364" s="20">
        <v>90664</v>
      </c>
      <c r="D1364" s="20" t="e">
        <f>VLOOKUP(C1364,[1]CHILDCARE_FACILITIES!AJ:AK,2,0)</f>
        <v>#N/A</v>
      </c>
      <c r="E1364" s="20" t="s">
        <v>15134</v>
      </c>
      <c r="F1364" s="20" t="s">
        <v>15135</v>
      </c>
      <c r="G1364" s="20">
        <v>73705000</v>
      </c>
      <c r="H1364" s="20" t="s">
        <v>15136</v>
      </c>
      <c r="I1364" s="20" t="b">
        <v>0</v>
      </c>
      <c r="J1364" s="20" t="s">
        <v>18225</v>
      </c>
      <c r="K1364" s="20">
        <v>90664</v>
      </c>
      <c r="L1364" s="20" t="s">
        <v>17433</v>
      </c>
      <c r="M1364" s="20" t="s">
        <v>18224</v>
      </c>
    </row>
    <row r="1365" spans="1:13" x14ac:dyDescent="0.25">
      <c r="A1365" s="20">
        <v>90665</v>
      </c>
      <c r="B1365" s="20" t="s">
        <v>16658</v>
      </c>
      <c r="C1365" s="20">
        <v>90665</v>
      </c>
      <c r="D1365" s="20" t="str">
        <f>VLOOKUP(C1365,[1]CHILDCARE_FACILITIES!AJ:AK,2,0)</f>
        <v>CDC-14615</v>
      </c>
      <c r="E1365" s="20" t="s">
        <v>15134</v>
      </c>
      <c r="F1365" s="20" t="s">
        <v>15135</v>
      </c>
      <c r="G1365" s="20">
        <v>73705001</v>
      </c>
      <c r="H1365" s="20" t="s">
        <v>15145</v>
      </c>
      <c r="I1365" s="20" t="b">
        <v>1</v>
      </c>
      <c r="J1365" s="20" t="s">
        <v>18226</v>
      </c>
      <c r="K1365" s="20">
        <v>90665</v>
      </c>
      <c r="L1365" s="20" t="s">
        <v>17216</v>
      </c>
      <c r="M1365" s="20" t="s">
        <v>18227</v>
      </c>
    </row>
    <row r="1366" spans="1:13" x14ac:dyDescent="0.25">
      <c r="A1366" s="20">
        <v>268365</v>
      </c>
      <c r="B1366" s="20" t="s">
        <v>16975</v>
      </c>
      <c r="C1366" s="20">
        <v>268365</v>
      </c>
      <c r="D1366" s="20" t="e">
        <f>VLOOKUP(C1366,[1]CHILDCARE_FACILITIES!AJ:AK,2,0)</f>
        <v>#N/A</v>
      </c>
      <c r="E1366" s="20" t="s">
        <v>15134</v>
      </c>
      <c r="F1366" s="20" t="s">
        <v>15135</v>
      </c>
      <c r="G1366" s="20">
        <v>73722001</v>
      </c>
      <c r="H1366" s="20" t="s">
        <v>15136</v>
      </c>
      <c r="I1366" s="20" t="b">
        <v>0</v>
      </c>
      <c r="J1366" s="20" t="s">
        <v>18228</v>
      </c>
      <c r="K1366" s="20">
        <v>268365</v>
      </c>
      <c r="L1366" s="20" t="s">
        <v>17433</v>
      </c>
      <c r="M1366" s="20" t="s">
        <v>18229</v>
      </c>
    </row>
    <row r="1367" spans="1:13" x14ac:dyDescent="0.25">
      <c r="A1367" s="20">
        <v>671386</v>
      </c>
      <c r="B1367" s="20" t="s">
        <v>16975</v>
      </c>
      <c r="C1367" s="20">
        <v>671386</v>
      </c>
      <c r="D1367" s="20" t="e">
        <f>VLOOKUP(C1367,[1]CHILDCARE_FACILITIES!AJ:AK,2,0)</f>
        <v>#N/A</v>
      </c>
      <c r="E1367" s="20" t="s">
        <v>15134</v>
      </c>
      <c r="F1367" s="20" t="s">
        <v>15135</v>
      </c>
      <c r="G1367" s="20">
        <v>73722000</v>
      </c>
      <c r="H1367" s="20" t="s">
        <v>15136</v>
      </c>
      <c r="I1367" s="20" t="b">
        <v>0</v>
      </c>
      <c r="J1367" s="20" t="s">
        <v>18228</v>
      </c>
      <c r="K1367" s="20">
        <v>671386</v>
      </c>
      <c r="L1367" s="20" t="s">
        <v>17433</v>
      </c>
      <c r="M1367" s="20" t="s">
        <v>18229</v>
      </c>
    </row>
    <row r="1368" spans="1:13" x14ac:dyDescent="0.25">
      <c r="A1368" s="20">
        <v>9192</v>
      </c>
      <c r="B1368" s="20" t="s">
        <v>15404</v>
      </c>
      <c r="C1368" s="20">
        <v>9192</v>
      </c>
      <c r="D1368" s="20" t="str">
        <f>VLOOKUP(C1368,[1]CHILDCARE_FACILITIES!AJ:AK,2,0)</f>
        <v>CDC-3824</v>
      </c>
      <c r="E1368" s="20" t="s">
        <v>15134</v>
      </c>
      <c r="F1368" s="20" t="s">
        <v>15135</v>
      </c>
      <c r="G1368" s="20">
        <v>73134001</v>
      </c>
      <c r="K1368" s="20">
        <v>9192</v>
      </c>
    </row>
    <row r="1369" spans="1:13" x14ac:dyDescent="0.25">
      <c r="A1369" s="20">
        <v>9141</v>
      </c>
      <c r="B1369" s="20" t="s">
        <v>15376</v>
      </c>
      <c r="C1369" s="20">
        <v>9141</v>
      </c>
      <c r="D1369" s="20" t="e">
        <f>VLOOKUP(C1369,[1]CHILDCARE_FACILITIES!AJ:AK,2,0)</f>
        <v>#N/A</v>
      </c>
      <c r="E1369" s="20" t="s">
        <v>15134</v>
      </c>
      <c r="F1369" s="20" t="s">
        <v>15135</v>
      </c>
      <c r="G1369" s="20">
        <v>73094001</v>
      </c>
      <c r="K1369" s="20">
        <v>9141</v>
      </c>
    </row>
    <row r="1370" spans="1:13" x14ac:dyDescent="0.25">
      <c r="A1370" s="20">
        <v>9212</v>
      </c>
      <c r="B1370" s="20" t="s">
        <v>15415</v>
      </c>
      <c r="C1370" s="20">
        <v>9212</v>
      </c>
      <c r="D1370" s="20" t="e">
        <f>VLOOKUP(C1370,[1]CHILDCARE_FACILITIES!AJ:AK,2,0)</f>
        <v>#N/A</v>
      </c>
      <c r="E1370" s="20" t="s">
        <v>15134</v>
      </c>
      <c r="F1370" s="20" t="s">
        <v>15135</v>
      </c>
      <c r="G1370" s="20">
        <v>73148001</v>
      </c>
      <c r="K1370" s="20">
        <v>9212</v>
      </c>
    </row>
    <row r="1371" spans="1:13" x14ac:dyDescent="0.25">
      <c r="A1371" s="20">
        <v>9754</v>
      </c>
      <c r="B1371" s="20" t="s">
        <v>15650</v>
      </c>
      <c r="C1371" s="20">
        <v>9754</v>
      </c>
      <c r="D1371" s="20" t="e">
        <f>VLOOKUP(C1371,[1]CHILDCARE_FACILITIES!AJ:AK,2,0)</f>
        <v>#N/A</v>
      </c>
      <c r="E1371" s="20" t="s">
        <v>15134</v>
      </c>
      <c r="F1371" s="20" t="s">
        <v>15135</v>
      </c>
      <c r="G1371" s="20">
        <v>102230000</v>
      </c>
      <c r="K1371" s="20">
        <v>9754</v>
      </c>
    </row>
    <row r="1372" spans="1:13" x14ac:dyDescent="0.25">
      <c r="A1372" s="20">
        <v>9755</v>
      </c>
      <c r="B1372" s="20" t="s">
        <v>15650</v>
      </c>
      <c r="C1372" s="20">
        <v>9755</v>
      </c>
      <c r="D1372" s="20" t="e">
        <f>VLOOKUP(C1372,[1]CHILDCARE_FACILITIES!AJ:AK,2,0)</f>
        <v>#N/A</v>
      </c>
      <c r="E1372" s="20" t="s">
        <v>15134</v>
      </c>
      <c r="F1372" s="20" t="s">
        <v>15135</v>
      </c>
      <c r="G1372" s="20">
        <v>102230001</v>
      </c>
      <c r="K1372" s="20">
        <v>9755</v>
      </c>
    </row>
    <row r="1373" spans="1:13" x14ac:dyDescent="0.25">
      <c r="A1373" s="20">
        <v>1001404</v>
      </c>
      <c r="B1373" s="20" t="s">
        <v>17190</v>
      </c>
      <c r="C1373" s="20">
        <v>1001404</v>
      </c>
      <c r="D1373" s="20" t="e">
        <f>VLOOKUP(C1373,[1]CHILDCARE_FACILITIES!AJ:AK,2,0)</f>
        <v>#N/A</v>
      </c>
      <c r="E1373" s="20" t="s">
        <v>15134</v>
      </c>
      <c r="F1373" s="20" t="s">
        <v>15135</v>
      </c>
      <c r="G1373" s="20">
        <v>73725000</v>
      </c>
      <c r="H1373" s="20" t="s">
        <v>15138</v>
      </c>
      <c r="I1373" s="20" t="b">
        <v>1</v>
      </c>
      <c r="J1373" s="20" t="s">
        <v>18230</v>
      </c>
      <c r="K1373" s="20">
        <v>1001404</v>
      </c>
      <c r="L1373" s="20" t="s">
        <v>17216</v>
      </c>
      <c r="M1373" s="20" t="s">
        <v>17265</v>
      </c>
    </row>
    <row r="1374" spans="1:13" x14ac:dyDescent="0.25">
      <c r="A1374" s="20">
        <v>1001404</v>
      </c>
      <c r="B1374" s="20" t="s">
        <v>17190</v>
      </c>
      <c r="C1374" s="20">
        <v>1001404</v>
      </c>
      <c r="D1374" s="20" t="e">
        <f>VLOOKUP(C1374,[1]CHILDCARE_FACILITIES!AJ:AK,2,0)</f>
        <v>#N/A</v>
      </c>
      <c r="E1374" s="20" t="s">
        <v>15134</v>
      </c>
      <c r="F1374" s="20" t="s">
        <v>15135</v>
      </c>
      <c r="G1374" s="20">
        <v>73725000</v>
      </c>
      <c r="H1374" s="20" t="s">
        <v>15136</v>
      </c>
      <c r="I1374" s="20" t="b">
        <v>1</v>
      </c>
      <c r="J1374" s="20" t="s">
        <v>18230</v>
      </c>
      <c r="K1374" s="20">
        <v>1001404</v>
      </c>
      <c r="L1374" s="20" t="s">
        <v>17216</v>
      </c>
      <c r="M1374" s="20" t="s">
        <v>17265</v>
      </c>
    </row>
    <row r="1375" spans="1:13" x14ac:dyDescent="0.25">
      <c r="A1375" s="20">
        <v>9788</v>
      </c>
      <c r="B1375" s="20" t="s">
        <v>15680</v>
      </c>
      <c r="C1375" s="20">
        <v>9788</v>
      </c>
      <c r="D1375" s="20" t="e">
        <f>VLOOKUP(C1375,[1]CHILDCARE_FACILITIES!AJ:AK,2,0)</f>
        <v>#N/A</v>
      </c>
      <c r="E1375" s="20" t="s">
        <v>15134</v>
      </c>
      <c r="F1375" s="20" t="s">
        <v>15135</v>
      </c>
      <c r="G1375" s="20">
        <v>102250006</v>
      </c>
      <c r="K1375" s="20">
        <v>9788</v>
      </c>
    </row>
    <row r="1376" spans="1:13" x14ac:dyDescent="0.25">
      <c r="A1376" s="20">
        <v>93006</v>
      </c>
      <c r="B1376" s="20" t="s">
        <v>16953</v>
      </c>
      <c r="C1376" s="20">
        <v>93006</v>
      </c>
      <c r="D1376" s="20" t="e">
        <f>VLOOKUP(C1376,[1]CHILDCARE_FACILITIES!AJ:AK,2,0)</f>
        <v>#N/A</v>
      </c>
      <c r="E1376" s="20" t="s">
        <v>15134</v>
      </c>
      <c r="F1376" s="20" t="s">
        <v>15135</v>
      </c>
      <c r="G1376" s="20">
        <v>73324001</v>
      </c>
      <c r="K1376" s="20">
        <v>93006</v>
      </c>
    </row>
    <row r="1377" spans="1:13" x14ac:dyDescent="0.25">
      <c r="A1377" s="20">
        <v>93005</v>
      </c>
      <c r="B1377" s="20" t="s">
        <v>16951</v>
      </c>
      <c r="C1377" s="20">
        <v>93005</v>
      </c>
      <c r="D1377" s="20" t="e">
        <f>VLOOKUP(C1377,[1]CHILDCARE_FACILITIES!AJ:AK,2,0)</f>
        <v>#N/A</v>
      </c>
      <c r="E1377" s="20" t="s">
        <v>15134</v>
      </c>
      <c r="F1377" s="20" t="s">
        <v>15135</v>
      </c>
      <c r="G1377" s="20">
        <v>73324000</v>
      </c>
      <c r="H1377" s="20" t="s">
        <v>15136</v>
      </c>
      <c r="I1377" s="20" t="b">
        <v>1</v>
      </c>
      <c r="J1377" s="20" t="s">
        <v>18231</v>
      </c>
      <c r="K1377" s="20">
        <v>93005</v>
      </c>
      <c r="L1377" s="20" t="s">
        <v>17312</v>
      </c>
      <c r="M1377" s="20" t="s">
        <v>17952</v>
      </c>
    </row>
    <row r="1378" spans="1:13" x14ac:dyDescent="0.25">
      <c r="A1378" s="20">
        <v>93005</v>
      </c>
      <c r="B1378" s="20" t="s">
        <v>16951</v>
      </c>
      <c r="C1378" s="20">
        <v>93005</v>
      </c>
      <c r="D1378" s="20" t="e">
        <f>VLOOKUP(C1378,[1]CHILDCARE_FACILITIES!AJ:AK,2,0)</f>
        <v>#N/A</v>
      </c>
      <c r="E1378" s="20" t="s">
        <v>15134</v>
      </c>
      <c r="F1378" s="20" t="s">
        <v>15135</v>
      </c>
      <c r="G1378" s="20">
        <v>73324000</v>
      </c>
      <c r="H1378" s="20" t="s">
        <v>15138</v>
      </c>
      <c r="I1378" s="20" t="b">
        <v>1</v>
      </c>
      <c r="J1378" s="20" t="s">
        <v>18231</v>
      </c>
      <c r="K1378" s="20">
        <v>93005</v>
      </c>
      <c r="L1378" s="20" t="s">
        <v>17312</v>
      </c>
      <c r="M1378" s="20" t="s">
        <v>17952</v>
      </c>
    </row>
    <row r="1379" spans="1:13" x14ac:dyDescent="0.25">
      <c r="A1379" s="20">
        <v>8586</v>
      </c>
      <c r="B1379" s="20" t="s">
        <v>15166</v>
      </c>
      <c r="C1379" s="20">
        <v>8586</v>
      </c>
      <c r="D1379" s="20" t="e">
        <f>VLOOKUP(C1379,[1]CHILDCARE_FACILITIES!AJ:AK,2,0)</f>
        <v>#N/A</v>
      </c>
      <c r="E1379" s="20" t="s">
        <v>15134</v>
      </c>
      <c r="F1379" s="20" t="s">
        <v>15135</v>
      </c>
      <c r="G1379" s="20">
        <v>42501000</v>
      </c>
      <c r="H1379" s="20" t="s">
        <v>15138</v>
      </c>
      <c r="I1379" s="20" t="b">
        <v>1</v>
      </c>
      <c r="J1379" s="20" t="s">
        <v>18232</v>
      </c>
      <c r="K1379" s="20">
        <v>8586</v>
      </c>
      <c r="L1379" s="20" t="s">
        <v>18233</v>
      </c>
      <c r="M1379" s="20" t="s">
        <v>18234</v>
      </c>
    </row>
    <row r="1380" spans="1:13" x14ac:dyDescent="0.25">
      <c r="A1380" s="20">
        <v>8586</v>
      </c>
      <c r="B1380" s="20" t="s">
        <v>15166</v>
      </c>
      <c r="C1380" s="20">
        <v>8586</v>
      </c>
      <c r="D1380" s="20" t="e">
        <f>VLOOKUP(C1380,[1]CHILDCARE_FACILITIES!AJ:AK,2,0)</f>
        <v>#N/A</v>
      </c>
      <c r="E1380" s="20" t="s">
        <v>15134</v>
      </c>
      <c r="F1380" s="20" t="s">
        <v>15135</v>
      </c>
      <c r="G1380" s="20">
        <v>42501000</v>
      </c>
      <c r="H1380" s="20" t="s">
        <v>15136</v>
      </c>
      <c r="I1380" s="20" t="b">
        <v>1</v>
      </c>
      <c r="J1380" s="20" t="s">
        <v>18235</v>
      </c>
      <c r="K1380" s="20">
        <v>8586</v>
      </c>
      <c r="L1380" s="20" t="s">
        <v>18236</v>
      </c>
      <c r="M1380" s="20" t="s">
        <v>18237</v>
      </c>
    </row>
    <row r="1381" spans="1:13" x14ac:dyDescent="0.25">
      <c r="A1381" s="20">
        <v>93024</v>
      </c>
      <c r="B1381" s="20" t="s">
        <v>16964</v>
      </c>
      <c r="C1381" s="20">
        <v>93024</v>
      </c>
      <c r="D1381" s="20" t="e">
        <f>VLOOKUP(C1381,[1]CHILDCARE_FACILITIES!AJ:AK,2,0)</f>
        <v>#N/A</v>
      </c>
      <c r="E1381" s="20" t="s">
        <v>15134</v>
      </c>
      <c r="F1381" s="20" t="s">
        <v>15135</v>
      </c>
      <c r="G1381" s="20">
        <v>73326000</v>
      </c>
      <c r="H1381" s="20" t="s">
        <v>15138</v>
      </c>
      <c r="I1381" s="20" t="b">
        <v>1</v>
      </c>
      <c r="J1381" s="20" t="s">
        <v>18238</v>
      </c>
      <c r="K1381" s="20">
        <v>93024</v>
      </c>
      <c r="L1381" s="20" t="s">
        <v>17216</v>
      </c>
      <c r="M1381" s="20" t="s">
        <v>18239</v>
      </c>
    </row>
    <row r="1382" spans="1:13" x14ac:dyDescent="0.25">
      <c r="A1382" s="20">
        <v>93024</v>
      </c>
      <c r="B1382" s="20" t="s">
        <v>16964</v>
      </c>
      <c r="C1382" s="20">
        <v>93024</v>
      </c>
      <c r="D1382" s="20" t="e">
        <f>VLOOKUP(C1382,[1]CHILDCARE_FACILITIES!AJ:AK,2,0)</f>
        <v>#N/A</v>
      </c>
      <c r="E1382" s="20" t="s">
        <v>15134</v>
      </c>
      <c r="F1382" s="20" t="s">
        <v>15135</v>
      </c>
      <c r="G1382" s="20">
        <v>73326000</v>
      </c>
      <c r="H1382" s="20" t="s">
        <v>15136</v>
      </c>
      <c r="I1382" s="20" t="b">
        <v>1</v>
      </c>
      <c r="J1382" s="20" t="s">
        <v>18238</v>
      </c>
      <c r="K1382" s="20">
        <v>93024</v>
      </c>
      <c r="L1382" s="20" t="s">
        <v>17216</v>
      </c>
      <c r="M1382" s="20" t="s">
        <v>18239</v>
      </c>
    </row>
    <row r="1383" spans="1:13" x14ac:dyDescent="0.25">
      <c r="A1383" s="20">
        <v>93025</v>
      </c>
      <c r="B1383" s="20" t="s">
        <v>16964</v>
      </c>
      <c r="C1383" s="20">
        <v>93025</v>
      </c>
      <c r="D1383" s="20" t="str">
        <f>VLOOKUP(C1383,[1]CHILDCARE_FACILITIES!AJ:AK,2,0)</f>
        <v>CDC-17284</v>
      </c>
      <c r="E1383" s="20" t="s">
        <v>15134</v>
      </c>
      <c r="F1383" s="20" t="s">
        <v>15135</v>
      </c>
      <c r="G1383" s="20">
        <v>73326001</v>
      </c>
      <c r="K1383" s="20">
        <v>93025</v>
      </c>
    </row>
    <row r="1384" spans="1:13" x14ac:dyDescent="0.25">
      <c r="A1384" s="20">
        <v>1000373</v>
      </c>
      <c r="B1384" s="20" t="s">
        <v>17154</v>
      </c>
      <c r="C1384" s="20">
        <v>1000373</v>
      </c>
      <c r="D1384" s="20" t="e">
        <f>VLOOKUP(C1384,[1]CHILDCARE_FACILITIES!AJ:AK,2,0)</f>
        <v>#N/A</v>
      </c>
      <c r="E1384" s="20" t="s">
        <v>15134</v>
      </c>
      <c r="F1384" s="20" t="s">
        <v>15135</v>
      </c>
      <c r="G1384" s="20">
        <v>143033000</v>
      </c>
      <c r="H1384" s="20" t="s">
        <v>15138</v>
      </c>
      <c r="I1384" s="20" t="b">
        <v>1</v>
      </c>
      <c r="J1384" s="20" t="s">
        <v>18240</v>
      </c>
      <c r="K1384" s="20">
        <v>1000373</v>
      </c>
      <c r="L1384" s="20" t="s">
        <v>17335</v>
      </c>
      <c r="M1384" s="20" t="s">
        <v>18241</v>
      </c>
    </row>
    <row r="1385" spans="1:13" x14ac:dyDescent="0.25">
      <c r="A1385" s="20">
        <v>1000373</v>
      </c>
      <c r="B1385" s="20" t="s">
        <v>17154</v>
      </c>
      <c r="C1385" s="20">
        <v>1000373</v>
      </c>
      <c r="D1385" s="20" t="e">
        <f>VLOOKUP(C1385,[1]CHILDCARE_FACILITIES!AJ:AK,2,0)</f>
        <v>#N/A</v>
      </c>
      <c r="E1385" s="20" t="s">
        <v>15134</v>
      </c>
      <c r="F1385" s="20" t="s">
        <v>15135</v>
      </c>
      <c r="G1385" s="20">
        <v>143033000</v>
      </c>
      <c r="H1385" s="20" t="s">
        <v>15136</v>
      </c>
      <c r="I1385" s="20" t="b">
        <v>1</v>
      </c>
      <c r="J1385" s="20" t="s">
        <v>18240</v>
      </c>
      <c r="K1385" s="20">
        <v>1000373</v>
      </c>
      <c r="L1385" s="20" t="s">
        <v>17335</v>
      </c>
      <c r="M1385" s="20" t="s">
        <v>18241</v>
      </c>
    </row>
    <row r="1386" spans="1:13" x14ac:dyDescent="0.25">
      <c r="A1386" s="20">
        <v>1000374</v>
      </c>
      <c r="B1386" s="20" t="s">
        <v>17154</v>
      </c>
      <c r="C1386" s="20">
        <v>1000374</v>
      </c>
      <c r="D1386" s="20" t="e">
        <f>VLOOKUP(C1386,[1]CHILDCARE_FACILITIES!AJ:AK,2,0)</f>
        <v>#N/A</v>
      </c>
      <c r="E1386" s="20" t="s">
        <v>15134</v>
      </c>
      <c r="F1386" s="20" t="s">
        <v>15135</v>
      </c>
      <c r="G1386" s="20">
        <v>143033001</v>
      </c>
      <c r="H1386" s="20" t="s">
        <v>15136</v>
      </c>
      <c r="I1386" s="20" t="b">
        <v>1</v>
      </c>
      <c r="J1386" s="20" t="s">
        <v>18240</v>
      </c>
      <c r="K1386" s="20">
        <v>1000374</v>
      </c>
      <c r="L1386" s="20" t="s">
        <v>17335</v>
      </c>
      <c r="M1386" s="20" t="s">
        <v>18241</v>
      </c>
    </row>
    <row r="1387" spans="1:13" x14ac:dyDescent="0.25">
      <c r="A1387" s="20">
        <v>1000374</v>
      </c>
      <c r="B1387" s="20" t="s">
        <v>17154</v>
      </c>
      <c r="C1387" s="20">
        <v>1000374</v>
      </c>
      <c r="D1387" s="20" t="e">
        <f>VLOOKUP(C1387,[1]CHILDCARE_FACILITIES!AJ:AK,2,0)</f>
        <v>#N/A</v>
      </c>
      <c r="E1387" s="20" t="s">
        <v>15134</v>
      </c>
      <c r="F1387" s="20" t="s">
        <v>15135</v>
      </c>
      <c r="G1387" s="20">
        <v>143033001</v>
      </c>
      <c r="H1387" s="20" t="s">
        <v>15138</v>
      </c>
      <c r="I1387" s="20" t="b">
        <v>1</v>
      </c>
      <c r="J1387" s="20" t="s">
        <v>18240</v>
      </c>
      <c r="K1387" s="20">
        <v>1000374</v>
      </c>
      <c r="L1387" s="20" t="s">
        <v>17335</v>
      </c>
      <c r="M1387" s="20" t="s">
        <v>18241</v>
      </c>
    </row>
    <row r="1388" spans="1:13" x14ac:dyDescent="0.25">
      <c r="A1388" s="20">
        <v>90517</v>
      </c>
      <c r="B1388" s="20" t="s">
        <v>16648</v>
      </c>
      <c r="C1388" s="20">
        <v>90517</v>
      </c>
      <c r="D1388" s="20" t="str">
        <f>VLOOKUP(C1388,[1]CHILDCARE_FACILITIES!AJ:AK,2,0)</f>
        <v>CDC-15000</v>
      </c>
      <c r="E1388" s="20" t="s">
        <v>15134</v>
      </c>
      <c r="F1388" s="20" t="s">
        <v>15135</v>
      </c>
      <c r="G1388" s="20">
        <v>73599001</v>
      </c>
      <c r="H1388" s="20" t="s">
        <v>15145</v>
      </c>
      <c r="I1388" s="20" t="b">
        <v>1</v>
      </c>
      <c r="J1388" s="20" t="s">
        <v>18242</v>
      </c>
      <c r="K1388" s="20">
        <v>90517</v>
      </c>
      <c r="L1388" s="20" t="s">
        <v>17312</v>
      </c>
      <c r="M1388" s="20" t="s">
        <v>18243</v>
      </c>
    </row>
    <row r="1389" spans="1:13" x14ac:dyDescent="0.25">
      <c r="A1389" s="20">
        <v>90516</v>
      </c>
      <c r="B1389" s="20" t="s">
        <v>16646</v>
      </c>
      <c r="C1389" s="20">
        <v>90516</v>
      </c>
      <c r="D1389" s="20" t="e">
        <f>VLOOKUP(C1389,[1]CHILDCARE_FACILITIES!AJ:AK,2,0)</f>
        <v>#N/A</v>
      </c>
      <c r="E1389" s="20" t="s">
        <v>15134</v>
      </c>
      <c r="F1389" s="20" t="s">
        <v>15135</v>
      </c>
      <c r="G1389" s="20">
        <v>73599000</v>
      </c>
      <c r="H1389" s="20" t="s">
        <v>15136</v>
      </c>
      <c r="I1389" s="20" t="b">
        <v>1</v>
      </c>
      <c r="J1389" s="20" t="s">
        <v>18126</v>
      </c>
      <c r="K1389" s="20">
        <v>90516</v>
      </c>
      <c r="L1389" s="20" t="s">
        <v>17980</v>
      </c>
      <c r="M1389" s="20" t="s">
        <v>18127</v>
      </c>
    </row>
    <row r="1390" spans="1:13" x14ac:dyDescent="0.25">
      <c r="A1390" s="20">
        <v>90516</v>
      </c>
      <c r="B1390" s="20" t="s">
        <v>16646</v>
      </c>
      <c r="C1390" s="20">
        <v>90516</v>
      </c>
      <c r="D1390" s="20" t="e">
        <f>VLOOKUP(C1390,[1]CHILDCARE_FACILITIES!AJ:AK,2,0)</f>
        <v>#N/A</v>
      </c>
      <c r="E1390" s="20" t="s">
        <v>15134</v>
      </c>
      <c r="F1390" s="20" t="s">
        <v>15135</v>
      </c>
      <c r="G1390" s="20">
        <v>73599000</v>
      </c>
      <c r="H1390" s="20" t="s">
        <v>15138</v>
      </c>
      <c r="I1390" s="20" t="b">
        <v>1</v>
      </c>
      <c r="J1390" s="20" t="s">
        <v>18244</v>
      </c>
      <c r="K1390" s="20">
        <v>90516</v>
      </c>
      <c r="L1390" s="20" t="s">
        <v>17312</v>
      </c>
      <c r="M1390" s="20" t="s">
        <v>18243</v>
      </c>
    </row>
    <row r="1391" spans="1:13" x14ac:dyDescent="0.25">
      <c r="A1391" s="20">
        <v>9989</v>
      </c>
      <c r="B1391" s="20" t="s">
        <v>15766</v>
      </c>
      <c r="C1391" s="20">
        <v>9989</v>
      </c>
      <c r="D1391" s="20" t="str">
        <f>VLOOKUP(C1391,[1]CHILDCARE_FACILITIES!AJ:AK,2,0)</f>
        <v>CDC-5679</v>
      </c>
      <c r="E1391" s="20" t="s">
        <v>15134</v>
      </c>
      <c r="F1391" s="20" t="s">
        <v>15135</v>
      </c>
      <c r="G1391" s="20">
        <v>103082001</v>
      </c>
      <c r="K1391" s="20">
        <v>9989</v>
      </c>
    </row>
    <row r="1392" spans="1:13" x14ac:dyDescent="0.25">
      <c r="A1392" s="20">
        <v>9990</v>
      </c>
      <c r="B1392" s="20" t="s">
        <v>15767</v>
      </c>
      <c r="C1392" s="20">
        <v>9990</v>
      </c>
      <c r="D1392" s="20" t="e">
        <f>VLOOKUP(C1392,[1]CHILDCARE_FACILITIES!AJ:AK,2,0)</f>
        <v>#N/A</v>
      </c>
      <c r="E1392" s="20" t="s">
        <v>15134</v>
      </c>
      <c r="F1392" s="20" t="s">
        <v>15135</v>
      </c>
      <c r="G1392" s="20">
        <v>103082002</v>
      </c>
      <c r="K1392" s="20">
        <v>9990</v>
      </c>
    </row>
    <row r="1393" spans="1:13" x14ac:dyDescent="0.25">
      <c r="A1393" s="20">
        <v>9991</v>
      </c>
      <c r="B1393" s="20" t="s">
        <v>15768</v>
      </c>
      <c r="C1393" s="20">
        <v>9991</v>
      </c>
      <c r="D1393" s="20" t="e">
        <f>VLOOKUP(C1393,[1]CHILDCARE_FACILITIES!AJ:AK,2,0)</f>
        <v>#N/A</v>
      </c>
      <c r="E1393" s="20" t="s">
        <v>15134</v>
      </c>
      <c r="F1393" s="20" t="s">
        <v>15135</v>
      </c>
      <c r="G1393" s="20">
        <v>103082003</v>
      </c>
      <c r="K1393" s="20">
        <v>9991</v>
      </c>
    </row>
    <row r="1394" spans="1:13" x14ac:dyDescent="0.25">
      <c r="A1394" s="20">
        <v>9992</v>
      </c>
      <c r="B1394" s="20" t="s">
        <v>15769</v>
      </c>
      <c r="C1394" s="20">
        <v>9992</v>
      </c>
      <c r="D1394" s="20" t="e">
        <f>VLOOKUP(C1394,[1]CHILDCARE_FACILITIES!AJ:AK,2,0)</f>
        <v>#N/A</v>
      </c>
      <c r="E1394" s="20" t="s">
        <v>15134</v>
      </c>
      <c r="F1394" s="20" t="s">
        <v>15135</v>
      </c>
      <c r="G1394" s="20">
        <v>103082004</v>
      </c>
      <c r="K1394" s="20">
        <v>9992</v>
      </c>
    </row>
    <row r="1395" spans="1:13" x14ac:dyDescent="0.25">
      <c r="A1395" s="20">
        <v>9993</v>
      </c>
      <c r="B1395" s="20" t="s">
        <v>15770</v>
      </c>
      <c r="C1395" s="20">
        <v>9993</v>
      </c>
      <c r="D1395" s="20" t="e">
        <f>VLOOKUP(C1395,[1]CHILDCARE_FACILITIES!AJ:AK,2,0)</f>
        <v>#N/A</v>
      </c>
      <c r="E1395" s="20" t="s">
        <v>15134</v>
      </c>
      <c r="F1395" s="20" t="s">
        <v>15135</v>
      </c>
      <c r="G1395" s="20">
        <v>103082005</v>
      </c>
      <c r="K1395" s="20">
        <v>9993</v>
      </c>
    </row>
    <row r="1396" spans="1:13" x14ac:dyDescent="0.25">
      <c r="A1396" s="20">
        <v>9994</v>
      </c>
      <c r="B1396" s="20" t="s">
        <v>15771</v>
      </c>
      <c r="C1396" s="20">
        <v>9994</v>
      </c>
      <c r="D1396" s="20" t="e">
        <f>VLOOKUP(C1396,[1]CHILDCARE_FACILITIES!AJ:AK,2,0)</f>
        <v>#N/A</v>
      </c>
      <c r="E1396" s="20" t="s">
        <v>15134</v>
      </c>
      <c r="F1396" s="20" t="s">
        <v>15135</v>
      </c>
      <c r="G1396" s="20">
        <v>103082006</v>
      </c>
      <c r="K1396" s="20">
        <v>9994</v>
      </c>
    </row>
    <row r="1397" spans="1:13" x14ac:dyDescent="0.25">
      <c r="A1397" s="20">
        <v>9995</v>
      </c>
      <c r="B1397" s="20" t="s">
        <v>15772</v>
      </c>
      <c r="C1397" s="20">
        <v>9995</v>
      </c>
      <c r="D1397" s="20" t="e">
        <f>VLOOKUP(C1397,[1]CHILDCARE_FACILITIES!AJ:AK,2,0)</f>
        <v>#N/A</v>
      </c>
      <c r="E1397" s="20" t="s">
        <v>15134</v>
      </c>
      <c r="F1397" s="20" t="s">
        <v>15135</v>
      </c>
      <c r="G1397" s="20">
        <v>103082007</v>
      </c>
      <c r="K1397" s="20">
        <v>9995</v>
      </c>
    </row>
    <row r="1398" spans="1:13" x14ac:dyDescent="0.25">
      <c r="A1398" s="20">
        <v>273404</v>
      </c>
      <c r="B1398" s="20" t="s">
        <v>16979</v>
      </c>
      <c r="C1398" s="20">
        <v>273404</v>
      </c>
      <c r="D1398" s="20" t="str">
        <f>VLOOKUP(C1398,[1]CHILDCARE_FACILITIES!AJ:AK,2,0)</f>
        <v>CDC-17636</v>
      </c>
      <c r="E1398" s="20" t="s">
        <v>15134</v>
      </c>
      <c r="F1398" s="20" t="s">
        <v>15135</v>
      </c>
      <c r="G1398" s="20">
        <v>103207004</v>
      </c>
      <c r="K1398" s="20">
        <v>273404</v>
      </c>
    </row>
    <row r="1399" spans="1:13" x14ac:dyDescent="0.25">
      <c r="A1399" s="20">
        <v>9907</v>
      </c>
      <c r="B1399" s="20" t="s">
        <v>15723</v>
      </c>
      <c r="C1399" s="20">
        <v>9907</v>
      </c>
      <c r="D1399" s="20" t="e">
        <f>VLOOKUP(C1399,[1]CHILDCARE_FACILITIES!AJ:AK,2,0)</f>
        <v>#N/A</v>
      </c>
      <c r="E1399" s="20" t="s">
        <v>15134</v>
      </c>
      <c r="F1399" s="20" t="s">
        <v>15135</v>
      </c>
      <c r="G1399" s="20">
        <v>103043001</v>
      </c>
      <c r="K1399" s="20">
        <v>9907</v>
      </c>
    </row>
    <row r="1400" spans="1:13" x14ac:dyDescent="0.25">
      <c r="A1400" s="20">
        <v>9997</v>
      </c>
      <c r="B1400" s="20" t="s">
        <v>15773</v>
      </c>
      <c r="C1400" s="20">
        <v>9997</v>
      </c>
      <c r="D1400" s="20" t="e">
        <f>VLOOKUP(C1400,[1]CHILDCARE_FACILITIES!AJ:AK,2,0)</f>
        <v>#N/A</v>
      </c>
      <c r="E1400" s="20" t="s">
        <v>15134</v>
      </c>
      <c r="F1400" s="20" t="s">
        <v>15135</v>
      </c>
      <c r="G1400" s="20">
        <v>103083001</v>
      </c>
      <c r="K1400" s="20">
        <v>9997</v>
      </c>
    </row>
    <row r="1401" spans="1:13" x14ac:dyDescent="0.25">
      <c r="A1401" s="20">
        <v>10058</v>
      </c>
      <c r="B1401" s="20" t="s">
        <v>15797</v>
      </c>
      <c r="C1401" s="20">
        <v>10058</v>
      </c>
      <c r="D1401" s="20" t="e">
        <f>VLOOKUP(C1401,[1]CHILDCARE_FACILITIES!AJ:AK,2,0)</f>
        <v>#N/A</v>
      </c>
      <c r="E1401" s="20" t="s">
        <v>15134</v>
      </c>
      <c r="F1401" s="20" t="s">
        <v>15135</v>
      </c>
      <c r="G1401" s="20">
        <v>103109001</v>
      </c>
      <c r="H1401" s="20" t="s">
        <v>15145</v>
      </c>
      <c r="I1401" s="20" t="b">
        <v>1</v>
      </c>
      <c r="J1401" s="20" t="s">
        <v>18245</v>
      </c>
      <c r="K1401" s="20">
        <v>10058</v>
      </c>
      <c r="L1401" s="20" t="s">
        <v>17271</v>
      </c>
      <c r="M1401" s="20" t="s">
        <v>18246</v>
      </c>
    </row>
    <row r="1402" spans="1:13" x14ac:dyDescent="0.25">
      <c r="A1402" s="20">
        <v>10373</v>
      </c>
      <c r="B1402" s="20" t="s">
        <v>15854</v>
      </c>
      <c r="C1402" s="20">
        <v>10373</v>
      </c>
      <c r="D1402" s="20" t="e">
        <f>VLOOKUP(C1402,[1]CHILDCARE_FACILITIES!AJ:AK,2,0)</f>
        <v>#N/A</v>
      </c>
      <c r="E1402" s="20" t="s">
        <v>15134</v>
      </c>
      <c r="F1402" s="20" t="s">
        <v>15135</v>
      </c>
      <c r="G1402" s="20">
        <v>103109002</v>
      </c>
      <c r="H1402" s="20" t="s">
        <v>15138</v>
      </c>
      <c r="I1402" s="20" t="b">
        <v>1</v>
      </c>
      <c r="J1402" s="20" t="s">
        <v>18247</v>
      </c>
      <c r="K1402" s="20">
        <v>10373</v>
      </c>
      <c r="L1402" s="20" t="s">
        <v>17271</v>
      </c>
      <c r="M1402" s="20" t="s">
        <v>18248</v>
      </c>
    </row>
    <row r="1403" spans="1:13" x14ac:dyDescent="0.25">
      <c r="A1403" s="20">
        <v>10373</v>
      </c>
      <c r="B1403" s="20" t="s">
        <v>15854</v>
      </c>
      <c r="C1403" s="20">
        <v>10373</v>
      </c>
      <c r="D1403" s="20" t="e">
        <f>VLOOKUP(C1403,[1]CHILDCARE_FACILITIES!AJ:AK,2,0)</f>
        <v>#N/A</v>
      </c>
      <c r="E1403" s="20" t="s">
        <v>15134</v>
      </c>
      <c r="F1403" s="20" t="s">
        <v>15135</v>
      </c>
      <c r="G1403" s="20">
        <v>103109002</v>
      </c>
      <c r="H1403" s="20" t="s">
        <v>15145</v>
      </c>
      <c r="I1403" s="20" t="b">
        <v>1</v>
      </c>
      <c r="J1403" s="20" t="s">
        <v>18249</v>
      </c>
      <c r="K1403" s="20">
        <v>10373</v>
      </c>
      <c r="L1403" s="20" t="s">
        <v>17271</v>
      </c>
      <c r="M1403" s="20" t="s">
        <v>18250</v>
      </c>
    </row>
    <row r="1404" spans="1:13" x14ac:dyDescent="0.25">
      <c r="A1404" s="20">
        <v>80547</v>
      </c>
      <c r="B1404" s="20" t="s">
        <v>16114</v>
      </c>
      <c r="C1404" s="20">
        <v>80547</v>
      </c>
      <c r="D1404" s="20" t="e">
        <f>VLOOKUP(C1404,[1]CHILDCARE_FACILITIES!AJ:AK,2,0)</f>
        <v>#N/A</v>
      </c>
      <c r="E1404" s="20" t="s">
        <v>15134</v>
      </c>
      <c r="F1404" s="20" t="s">
        <v>15135</v>
      </c>
      <c r="G1404" s="20">
        <v>103109003</v>
      </c>
      <c r="H1404" s="20" t="s">
        <v>15138</v>
      </c>
      <c r="I1404" s="20" t="b">
        <v>1</v>
      </c>
      <c r="J1404" s="20" t="s">
        <v>18251</v>
      </c>
      <c r="K1404" s="20">
        <v>80547</v>
      </c>
      <c r="L1404" s="20" t="s">
        <v>17271</v>
      </c>
      <c r="M1404" s="20" t="s">
        <v>18252</v>
      </c>
    </row>
    <row r="1405" spans="1:13" x14ac:dyDescent="0.25">
      <c r="A1405" s="20">
        <v>80547</v>
      </c>
      <c r="B1405" s="20" t="s">
        <v>16114</v>
      </c>
      <c r="C1405" s="20">
        <v>80547</v>
      </c>
      <c r="D1405" s="20" t="e">
        <f>VLOOKUP(C1405,[1]CHILDCARE_FACILITIES!AJ:AK,2,0)</f>
        <v>#N/A</v>
      </c>
      <c r="E1405" s="20" t="s">
        <v>15134</v>
      </c>
      <c r="F1405" s="20" t="s">
        <v>15135</v>
      </c>
      <c r="G1405" s="20">
        <v>103109003</v>
      </c>
      <c r="H1405" s="20" t="s">
        <v>15145</v>
      </c>
      <c r="I1405" s="20" t="b">
        <v>1</v>
      </c>
      <c r="J1405" s="20" t="s">
        <v>18253</v>
      </c>
      <c r="K1405" s="20">
        <v>80547</v>
      </c>
      <c r="L1405" s="20" t="s">
        <v>17271</v>
      </c>
      <c r="M1405" s="20" t="s">
        <v>18254</v>
      </c>
    </row>
    <row r="1406" spans="1:13" x14ac:dyDescent="0.25">
      <c r="A1406" s="20">
        <v>9683</v>
      </c>
      <c r="B1406" s="20" t="s">
        <v>15629</v>
      </c>
      <c r="C1406" s="20">
        <v>9683</v>
      </c>
      <c r="D1406" s="20" t="e">
        <f>VLOOKUP(C1406,[1]CHILDCARE_FACILITIES!AJ:AK,2,0)</f>
        <v>#N/A</v>
      </c>
      <c r="E1406" s="20" t="s">
        <v>15134</v>
      </c>
      <c r="F1406" s="20" t="s">
        <v>15135</v>
      </c>
      <c r="G1406" s="20">
        <v>93012001</v>
      </c>
      <c r="K1406" s="20">
        <v>9683</v>
      </c>
    </row>
    <row r="1407" spans="1:13" x14ac:dyDescent="0.25">
      <c r="A1407" s="20">
        <v>9685</v>
      </c>
      <c r="B1407" s="20" t="s">
        <v>15629</v>
      </c>
      <c r="C1407" s="20">
        <v>9685</v>
      </c>
      <c r="D1407" s="20" t="str">
        <f>VLOOKUP(C1407,[1]CHILDCARE_FACILITIES!AJ:AK,2,0)</f>
        <v>CDC-6923</v>
      </c>
      <c r="E1407" s="20" t="s">
        <v>15134</v>
      </c>
      <c r="F1407" s="20" t="s">
        <v>15135</v>
      </c>
      <c r="G1407" s="20">
        <v>93013001</v>
      </c>
      <c r="K1407" s="20">
        <v>9685</v>
      </c>
    </row>
    <row r="1408" spans="1:13" x14ac:dyDescent="0.25">
      <c r="A1408" s="20">
        <v>80825</v>
      </c>
      <c r="B1408" s="20" t="s">
        <v>16217</v>
      </c>
      <c r="C1408" s="20">
        <v>80825</v>
      </c>
      <c r="D1408" s="20" t="e">
        <f>VLOOKUP(C1408,[1]CHILDCARE_FACILITIES!AJ:AK,2,0)</f>
        <v>#N/A</v>
      </c>
      <c r="E1408" s="20" t="s">
        <v>15134</v>
      </c>
      <c r="F1408" s="20" t="s">
        <v>15135</v>
      </c>
      <c r="G1408" s="20">
        <v>93013002</v>
      </c>
      <c r="H1408" s="20" t="s">
        <v>15138</v>
      </c>
      <c r="I1408" s="20" t="b">
        <v>1</v>
      </c>
      <c r="J1408" s="20" t="s">
        <v>18255</v>
      </c>
      <c r="K1408" s="20">
        <v>80825</v>
      </c>
      <c r="L1408" s="20" t="s">
        <v>17809</v>
      </c>
      <c r="M1408" s="20" t="s">
        <v>18256</v>
      </c>
    </row>
    <row r="1409" spans="1:13" x14ac:dyDescent="0.25">
      <c r="A1409" s="20">
        <v>80825</v>
      </c>
      <c r="B1409" s="20" t="s">
        <v>16217</v>
      </c>
      <c r="C1409" s="20">
        <v>80825</v>
      </c>
      <c r="D1409" s="20" t="e">
        <f>VLOOKUP(C1409,[1]CHILDCARE_FACILITIES!AJ:AK,2,0)</f>
        <v>#N/A</v>
      </c>
      <c r="E1409" s="20" t="s">
        <v>15134</v>
      </c>
      <c r="F1409" s="20" t="s">
        <v>15135</v>
      </c>
      <c r="G1409" s="20">
        <v>93013002</v>
      </c>
      <c r="H1409" s="20" t="s">
        <v>15145</v>
      </c>
      <c r="I1409" s="20" t="b">
        <v>1</v>
      </c>
      <c r="J1409" s="20" t="s">
        <v>18255</v>
      </c>
      <c r="K1409" s="20">
        <v>80825</v>
      </c>
      <c r="L1409" s="20" t="s">
        <v>17809</v>
      </c>
      <c r="M1409" s="20" t="s">
        <v>18256</v>
      </c>
    </row>
    <row r="1410" spans="1:13" x14ac:dyDescent="0.25">
      <c r="A1410" s="20">
        <v>87070</v>
      </c>
      <c r="B1410" s="20" t="s">
        <v>16331</v>
      </c>
      <c r="C1410" s="20">
        <v>87070</v>
      </c>
      <c r="D1410" s="20" t="e">
        <f>VLOOKUP(C1410,[1]CHILDCARE_FACILITIES!AJ:AK,2,0)</f>
        <v>#N/A</v>
      </c>
      <c r="E1410" s="20" t="s">
        <v>15134</v>
      </c>
      <c r="F1410" s="20" t="s">
        <v>15135</v>
      </c>
      <c r="G1410" s="20">
        <v>73524001</v>
      </c>
      <c r="H1410" s="20" t="s">
        <v>15138</v>
      </c>
      <c r="I1410" s="20" t="b">
        <v>1</v>
      </c>
      <c r="J1410" s="20" t="s">
        <v>18257</v>
      </c>
      <c r="K1410" s="20">
        <v>87070</v>
      </c>
      <c r="L1410" s="20" t="s">
        <v>17236</v>
      </c>
      <c r="M1410" s="20" t="s">
        <v>18258</v>
      </c>
    </row>
    <row r="1411" spans="1:13" x14ac:dyDescent="0.25">
      <c r="A1411" s="20">
        <v>87070</v>
      </c>
      <c r="B1411" s="20" t="s">
        <v>16331</v>
      </c>
      <c r="C1411" s="20">
        <v>87070</v>
      </c>
      <c r="D1411" s="20" t="e">
        <f>VLOOKUP(C1411,[1]CHILDCARE_FACILITIES!AJ:AK,2,0)</f>
        <v>#N/A</v>
      </c>
      <c r="E1411" s="20" t="s">
        <v>15134</v>
      </c>
      <c r="F1411" s="20" t="s">
        <v>15135</v>
      </c>
      <c r="G1411" s="20">
        <v>73524001</v>
      </c>
      <c r="H1411" s="20" t="s">
        <v>15145</v>
      </c>
      <c r="I1411" s="20" t="b">
        <v>1</v>
      </c>
      <c r="J1411" s="20" t="s">
        <v>18257</v>
      </c>
      <c r="K1411" s="20">
        <v>87070</v>
      </c>
      <c r="L1411" s="20" t="s">
        <v>17236</v>
      </c>
      <c r="M1411" s="20" t="s">
        <v>18258</v>
      </c>
    </row>
    <row r="1412" spans="1:13" x14ac:dyDescent="0.25">
      <c r="A1412" s="20">
        <v>9049</v>
      </c>
      <c r="B1412" s="20" t="s">
        <v>15337</v>
      </c>
      <c r="C1412" s="20">
        <v>9049</v>
      </c>
      <c r="D1412" s="20" t="e">
        <f>VLOOKUP(C1412,[1]CHILDCARE_FACILITIES!AJ:AK,2,0)</f>
        <v>#N/A</v>
      </c>
      <c r="E1412" s="20" t="s">
        <v>15134</v>
      </c>
      <c r="F1412" s="20" t="s">
        <v>15135</v>
      </c>
      <c r="G1412" s="20">
        <v>73042001</v>
      </c>
      <c r="K1412" s="20">
        <v>9049</v>
      </c>
    </row>
    <row r="1413" spans="1:13" x14ac:dyDescent="0.25">
      <c r="A1413" s="20">
        <v>9517</v>
      </c>
      <c r="B1413" s="20" t="s">
        <v>15337</v>
      </c>
      <c r="C1413" s="20">
        <v>9517</v>
      </c>
      <c r="D1413" s="20" t="e">
        <f>VLOOKUP(C1413,[1]CHILDCARE_FACILITIES!AJ:AK,2,0)</f>
        <v>#N/A</v>
      </c>
      <c r="E1413" s="20" t="s">
        <v>15134</v>
      </c>
      <c r="F1413" s="20" t="s">
        <v>15135</v>
      </c>
      <c r="G1413" s="20">
        <v>73284001</v>
      </c>
      <c r="K1413" s="20">
        <v>9517</v>
      </c>
    </row>
    <row r="1414" spans="1:13" x14ac:dyDescent="0.25">
      <c r="A1414" s="20">
        <v>9061</v>
      </c>
      <c r="B1414" s="20" t="s">
        <v>15343</v>
      </c>
      <c r="C1414" s="20">
        <v>9061</v>
      </c>
      <c r="D1414" s="20" t="e">
        <f>VLOOKUP(C1414,[1]CHILDCARE_FACILITIES!AJ:AK,2,0)</f>
        <v>#N/A</v>
      </c>
      <c r="E1414" s="20" t="s">
        <v>15134</v>
      </c>
      <c r="F1414" s="20" t="s">
        <v>15135</v>
      </c>
      <c r="G1414" s="20">
        <v>73051001</v>
      </c>
      <c r="K1414" s="20">
        <v>9061</v>
      </c>
    </row>
    <row r="1415" spans="1:13" x14ac:dyDescent="0.25">
      <c r="A1415" s="20">
        <v>9022</v>
      </c>
      <c r="B1415" s="20" t="s">
        <v>15320</v>
      </c>
      <c r="C1415" s="20">
        <v>9022</v>
      </c>
      <c r="D1415" s="20" t="e">
        <f>VLOOKUP(C1415,[1]CHILDCARE_FACILITIES!AJ:AK,2,0)</f>
        <v>#N/A</v>
      </c>
      <c r="E1415" s="20" t="s">
        <v>15134</v>
      </c>
      <c r="F1415" s="20" t="s">
        <v>15135</v>
      </c>
      <c r="G1415" s="20">
        <v>73025002</v>
      </c>
      <c r="K1415" s="20">
        <v>9022</v>
      </c>
    </row>
    <row r="1416" spans="1:13" x14ac:dyDescent="0.25">
      <c r="A1416" s="20">
        <v>9023</v>
      </c>
      <c r="B1416" s="20" t="s">
        <v>15321</v>
      </c>
      <c r="C1416" s="20">
        <v>9023</v>
      </c>
      <c r="D1416" s="20" t="e">
        <f>VLOOKUP(C1416,[1]CHILDCARE_FACILITIES!AJ:AK,2,0)</f>
        <v>#N/A</v>
      </c>
      <c r="E1416" s="20" t="s">
        <v>15134</v>
      </c>
      <c r="F1416" s="20" t="s">
        <v>15135</v>
      </c>
      <c r="G1416" s="20">
        <v>73025003</v>
      </c>
      <c r="K1416" s="20">
        <v>9023</v>
      </c>
    </row>
    <row r="1417" spans="1:13" x14ac:dyDescent="0.25">
      <c r="A1417" s="20">
        <v>8763</v>
      </c>
      <c r="B1417" s="20" t="s">
        <v>15257</v>
      </c>
      <c r="C1417" s="20">
        <v>8763</v>
      </c>
      <c r="D1417" s="20" t="e">
        <f>VLOOKUP(C1417,[1]CHILDCARE_FACILITIES!AJ:AK,2,0)</f>
        <v>#N/A</v>
      </c>
      <c r="E1417" s="20" t="s">
        <v>15134</v>
      </c>
      <c r="F1417" s="20" t="s">
        <v>15135</v>
      </c>
      <c r="G1417" s="20">
        <v>72404001</v>
      </c>
      <c r="K1417" s="20">
        <v>8763</v>
      </c>
    </row>
    <row r="1418" spans="1:13" x14ac:dyDescent="0.25">
      <c r="A1418" s="20">
        <v>88455</v>
      </c>
      <c r="B1418" s="20" t="s">
        <v>16379</v>
      </c>
      <c r="C1418" s="20">
        <v>88455</v>
      </c>
      <c r="D1418" s="20" t="e">
        <f>VLOOKUP(C1418,[1]CHILDCARE_FACILITIES!AJ:AK,2,0)</f>
        <v>#N/A</v>
      </c>
      <c r="E1418" s="20" t="s">
        <v>15134</v>
      </c>
      <c r="F1418" s="20" t="s">
        <v>15135</v>
      </c>
      <c r="G1418" s="20">
        <v>99108000</v>
      </c>
      <c r="H1418" s="20" t="s">
        <v>15136</v>
      </c>
      <c r="I1418" s="20" t="b">
        <v>0</v>
      </c>
      <c r="J1418" s="20" t="s">
        <v>18259</v>
      </c>
      <c r="K1418" s="20">
        <v>88455</v>
      </c>
      <c r="L1418" s="20" t="s">
        <v>18260</v>
      </c>
      <c r="M1418" s="20" t="s">
        <v>18261</v>
      </c>
    </row>
    <row r="1419" spans="1:13" x14ac:dyDescent="0.25">
      <c r="A1419" s="20">
        <v>88455</v>
      </c>
      <c r="B1419" s="20" t="s">
        <v>16379</v>
      </c>
      <c r="C1419" s="20">
        <v>88455</v>
      </c>
      <c r="D1419" s="20" t="e">
        <f>VLOOKUP(C1419,[1]CHILDCARE_FACILITIES!AJ:AK,2,0)</f>
        <v>#N/A</v>
      </c>
      <c r="E1419" s="20" t="s">
        <v>15134</v>
      </c>
      <c r="F1419" s="20" t="s">
        <v>15135</v>
      </c>
      <c r="G1419" s="20">
        <v>99108000</v>
      </c>
      <c r="H1419" s="20" t="s">
        <v>15138</v>
      </c>
      <c r="I1419" s="20" t="b">
        <v>0</v>
      </c>
      <c r="J1419" s="20" t="s">
        <v>18259</v>
      </c>
      <c r="K1419" s="20">
        <v>88455</v>
      </c>
      <c r="L1419" s="20" t="s">
        <v>18260</v>
      </c>
      <c r="M1419" s="20" t="s">
        <v>18261</v>
      </c>
    </row>
    <row r="1420" spans="1:13" x14ac:dyDescent="0.25">
      <c r="A1420" s="20">
        <v>93004</v>
      </c>
      <c r="B1420" s="20" t="s">
        <v>16950</v>
      </c>
      <c r="C1420" s="20">
        <v>93004</v>
      </c>
      <c r="D1420" s="20" t="e">
        <f>VLOOKUP(C1420,[1]CHILDCARE_FACILITIES!AJ:AK,2,0)</f>
        <v>#N/A</v>
      </c>
      <c r="E1420" s="20" t="s">
        <v>15134</v>
      </c>
      <c r="F1420" s="20" t="s">
        <v>15135</v>
      </c>
      <c r="G1420" s="20">
        <v>73323001</v>
      </c>
      <c r="K1420" s="20">
        <v>93004</v>
      </c>
    </row>
    <row r="1421" spans="1:13" x14ac:dyDescent="0.25">
      <c r="A1421" s="20">
        <v>89720</v>
      </c>
      <c r="B1421" s="20" t="s">
        <v>16436</v>
      </c>
      <c r="C1421" s="20">
        <v>89720</v>
      </c>
      <c r="D1421" s="20" t="e">
        <f>VLOOKUP(C1421,[1]CHILDCARE_FACILITIES!AJ:AK,2,0)</f>
        <v>#N/A</v>
      </c>
      <c r="E1421" s="20" t="s">
        <v>15134</v>
      </c>
      <c r="F1421" s="20" t="s">
        <v>15135</v>
      </c>
      <c r="G1421" s="20">
        <v>83020001</v>
      </c>
      <c r="H1421" s="20" t="s">
        <v>15145</v>
      </c>
      <c r="I1421" s="20" t="b">
        <v>0</v>
      </c>
      <c r="J1421" s="20" t="s">
        <v>18262</v>
      </c>
      <c r="K1421" s="20">
        <v>89720</v>
      </c>
      <c r="L1421" s="20" t="s">
        <v>18263</v>
      </c>
      <c r="M1421" s="20" t="s">
        <v>18264</v>
      </c>
    </row>
    <row r="1422" spans="1:13" x14ac:dyDescent="0.25">
      <c r="A1422" s="20">
        <v>92952</v>
      </c>
      <c r="B1422" s="20" t="s">
        <v>16945</v>
      </c>
      <c r="C1422" s="20">
        <v>92952</v>
      </c>
      <c r="D1422" s="20" t="e">
        <f>VLOOKUP(C1422,[1]CHILDCARE_FACILITIES!AJ:AK,2,0)</f>
        <v>#N/A</v>
      </c>
      <c r="E1422" s="20" t="s">
        <v>15134</v>
      </c>
      <c r="F1422" s="20" t="s">
        <v>15135</v>
      </c>
      <c r="G1422" s="20">
        <v>73322001</v>
      </c>
      <c r="H1422" s="20" t="s">
        <v>15138</v>
      </c>
      <c r="I1422" s="20" t="b">
        <v>1</v>
      </c>
      <c r="J1422" s="20" t="s">
        <v>18265</v>
      </c>
      <c r="K1422" s="20">
        <v>92952</v>
      </c>
      <c r="L1422" s="20" t="s">
        <v>17213</v>
      </c>
      <c r="M1422" s="20" t="s">
        <v>18266</v>
      </c>
    </row>
    <row r="1423" spans="1:13" x14ac:dyDescent="0.25">
      <c r="A1423" s="20">
        <v>92952</v>
      </c>
      <c r="B1423" s="20" t="s">
        <v>16945</v>
      </c>
      <c r="C1423" s="20">
        <v>92952</v>
      </c>
      <c r="D1423" s="20" t="e">
        <f>VLOOKUP(C1423,[1]CHILDCARE_FACILITIES!AJ:AK,2,0)</f>
        <v>#N/A</v>
      </c>
      <c r="E1423" s="20" t="s">
        <v>15134</v>
      </c>
      <c r="F1423" s="20" t="s">
        <v>15135</v>
      </c>
      <c r="G1423" s="20">
        <v>73322001</v>
      </c>
      <c r="H1423" s="20" t="s">
        <v>15136</v>
      </c>
      <c r="I1423" s="20" t="b">
        <v>1</v>
      </c>
      <c r="J1423" s="20" t="s">
        <v>18265</v>
      </c>
      <c r="K1423" s="20">
        <v>92952</v>
      </c>
      <c r="L1423" s="20" t="s">
        <v>17213</v>
      </c>
      <c r="M1423" s="20" t="s">
        <v>18266</v>
      </c>
    </row>
    <row r="1424" spans="1:13" x14ac:dyDescent="0.25">
      <c r="A1424" s="20">
        <v>646114</v>
      </c>
      <c r="B1424" s="20" t="s">
        <v>17017</v>
      </c>
      <c r="C1424" s="20">
        <v>646114</v>
      </c>
      <c r="D1424" s="20" t="e">
        <f>VLOOKUP(C1424,[1]CHILDCARE_FACILITIES!AJ:AK,2,0)</f>
        <v>#N/A</v>
      </c>
      <c r="E1424" s="20" t="s">
        <v>15134</v>
      </c>
      <c r="F1424" s="20" t="s">
        <v>15135</v>
      </c>
      <c r="G1424" s="20">
        <v>73328000</v>
      </c>
      <c r="K1424" s="20">
        <v>646114</v>
      </c>
    </row>
    <row r="1425" spans="1:13" x14ac:dyDescent="0.25">
      <c r="A1425" s="20">
        <v>921113</v>
      </c>
      <c r="B1425" s="20" t="s">
        <v>17017</v>
      </c>
      <c r="C1425" s="20">
        <v>921113</v>
      </c>
      <c r="D1425" s="20" t="str">
        <f>VLOOKUP(C1425,[1]CHILDCARE_FACILITIES!AJ:AK,2,0)</f>
        <v>CDC-18668</v>
      </c>
      <c r="E1425" s="20" t="s">
        <v>15134</v>
      </c>
      <c r="F1425" s="20" t="s">
        <v>15135</v>
      </c>
      <c r="G1425" s="20">
        <v>73328001</v>
      </c>
      <c r="K1425" s="20">
        <v>921113</v>
      </c>
    </row>
    <row r="1426" spans="1:13" x14ac:dyDescent="0.25">
      <c r="A1426" s="20">
        <v>176634</v>
      </c>
      <c r="B1426" s="20" t="s">
        <v>16973</v>
      </c>
      <c r="C1426" s="20">
        <v>176634</v>
      </c>
      <c r="D1426" s="20" t="str">
        <f>VLOOKUP(C1426,[1]CHILDCARE_FACILITIES!AJ:AK,2,0)</f>
        <v>CDC-17687</v>
      </c>
      <c r="E1426" s="20" t="s">
        <v>15134</v>
      </c>
      <c r="F1426" s="20" t="s">
        <v>15135</v>
      </c>
      <c r="G1426" s="20">
        <v>73329001</v>
      </c>
      <c r="K1426" s="20">
        <v>176634</v>
      </c>
    </row>
    <row r="1427" spans="1:13" x14ac:dyDescent="0.25">
      <c r="A1427" s="20">
        <v>958412</v>
      </c>
      <c r="B1427" s="20" t="s">
        <v>16973</v>
      </c>
      <c r="C1427" s="20">
        <v>958412</v>
      </c>
      <c r="D1427" s="20" t="e">
        <f>VLOOKUP(C1427,[1]CHILDCARE_FACILITIES!AJ:AK,2,0)</f>
        <v>#N/A</v>
      </c>
      <c r="E1427" s="20" t="s">
        <v>15134</v>
      </c>
      <c r="F1427" s="20" t="s">
        <v>15135</v>
      </c>
      <c r="G1427" s="20">
        <v>73329000</v>
      </c>
      <c r="K1427" s="20">
        <v>958412</v>
      </c>
    </row>
    <row r="1428" spans="1:13" x14ac:dyDescent="0.25">
      <c r="A1428" s="20">
        <v>9727</v>
      </c>
      <c r="B1428" s="20" t="s">
        <v>15636</v>
      </c>
      <c r="C1428" s="20">
        <v>9727</v>
      </c>
      <c r="D1428" s="20" t="e">
        <f>VLOOKUP(C1428,[1]CHILDCARE_FACILITIES!AJ:AK,2,0)</f>
        <v>#N/A</v>
      </c>
      <c r="E1428" s="20" t="s">
        <v>15134</v>
      </c>
      <c r="F1428" s="20" t="s">
        <v>15135</v>
      </c>
      <c r="G1428" s="20">
        <v>102203000</v>
      </c>
      <c r="K1428" s="20">
        <v>9727</v>
      </c>
    </row>
    <row r="1429" spans="1:13" x14ac:dyDescent="0.25">
      <c r="A1429" s="20">
        <v>9728</v>
      </c>
      <c r="B1429" s="20" t="s">
        <v>15636</v>
      </c>
      <c r="C1429" s="20">
        <v>9728</v>
      </c>
      <c r="D1429" s="20" t="e">
        <f>VLOOKUP(C1429,[1]CHILDCARE_FACILITIES!AJ:AK,2,0)</f>
        <v>#N/A</v>
      </c>
      <c r="E1429" s="20" t="s">
        <v>15134</v>
      </c>
      <c r="F1429" s="20" t="s">
        <v>15135</v>
      </c>
      <c r="G1429" s="20">
        <v>102203001</v>
      </c>
      <c r="K1429" s="20">
        <v>9728</v>
      </c>
    </row>
    <row r="1430" spans="1:13" x14ac:dyDescent="0.25">
      <c r="A1430" s="20">
        <v>8726</v>
      </c>
      <c r="B1430" s="20" t="s">
        <v>15227</v>
      </c>
      <c r="C1430" s="20">
        <v>8726</v>
      </c>
      <c r="D1430" s="20" t="e">
        <f>VLOOKUP(C1430,[1]CHILDCARE_FACILITIES!AJ:AK,2,0)</f>
        <v>#N/A</v>
      </c>
      <c r="E1430" s="20" t="s">
        <v>15134</v>
      </c>
      <c r="F1430" s="20" t="s">
        <v>15135</v>
      </c>
      <c r="G1430" s="20">
        <v>72289000</v>
      </c>
      <c r="K1430" s="20">
        <v>8726</v>
      </c>
    </row>
    <row r="1431" spans="1:13" x14ac:dyDescent="0.25">
      <c r="A1431" s="20">
        <v>79659</v>
      </c>
      <c r="B1431" s="20" t="s">
        <v>15976</v>
      </c>
      <c r="C1431" s="20">
        <v>79659</v>
      </c>
      <c r="D1431" s="20" t="e">
        <f>VLOOKUP(C1431,[1]CHILDCARE_FACILITIES!AJ:AK,2,0)</f>
        <v>#N/A</v>
      </c>
      <c r="E1431" s="20" t="s">
        <v>15134</v>
      </c>
      <c r="F1431" s="20" t="s">
        <v>15135</v>
      </c>
      <c r="G1431" s="20">
        <v>52204001</v>
      </c>
      <c r="H1431" s="20" t="s">
        <v>15138</v>
      </c>
      <c r="I1431" s="20" t="b">
        <v>0</v>
      </c>
      <c r="J1431" s="20" t="s">
        <v>18267</v>
      </c>
      <c r="K1431" s="20">
        <v>79659</v>
      </c>
      <c r="L1431" s="20" t="s">
        <v>18268</v>
      </c>
      <c r="M1431" s="20" t="s">
        <v>18269</v>
      </c>
    </row>
    <row r="1432" spans="1:13" x14ac:dyDescent="0.25">
      <c r="A1432" s="20">
        <v>79659</v>
      </c>
      <c r="B1432" s="20" t="s">
        <v>15976</v>
      </c>
      <c r="C1432" s="20">
        <v>79659</v>
      </c>
      <c r="D1432" s="20" t="e">
        <f>VLOOKUP(C1432,[1]CHILDCARE_FACILITIES!AJ:AK,2,0)</f>
        <v>#N/A</v>
      </c>
      <c r="E1432" s="20" t="s">
        <v>15134</v>
      </c>
      <c r="F1432" s="20" t="s">
        <v>15135</v>
      </c>
      <c r="G1432" s="20">
        <v>52204001</v>
      </c>
      <c r="H1432" s="20" t="s">
        <v>15145</v>
      </c>
      <c r="I1432" s="20" t="b">
        <v>1</v>
      </c>
      <c r="J1432" s="20" t="s">
        <v>18270</v>
      </c>
      <c r="K1432" s="20">
        <v>79659</v>
      </c>
      <c r="L1432" s="20" t="s">
        <v>18271</v>
      </c>
      <c r="M1432" s="20" t="s">
        <v>18272</v>
      </c>
    </row>
    <row r="1433" spans="1:13" x14ac:dyDescent="0.25">
      <c r="A1433" s="20">
        <v>9748</v>
      </c>
      <c r="B1433" s="20" t="s">
        <v>15649</v>
      </c>
      <c r="C1433" s="20">
        <v>9748</v>
      </c>
      <c r="D1433" s="20" t="e">
        <f>VLOOKUP(C1433,[1]CHILDCARE_FACILITIES!AJ:AK,2,0)</f>
        <v>#N/A</v>
      </c>
      <c r="E1433" s="20" t="s">
        <v>15134</v>
      </c>
      <c r="F1433" s="20" t="s">
        <v>15135</v>
      </c>
      <c r="G1433" s="20">
        <v>102222000</v>
      </c>
      <c r="K1433" s="20">
        <v>9748</v>
      </c>
    </row>
    <row r="1434" spans="1:13" x14ac:dyDescent="0.25">
      <c r="A1434" s="20">
        <v>9749</v>
      </c>
      <c r="B1434" s="20" t="s">
        <v>15649</v>
      </c>
      <c r="C1434" s="20">
        <v>9749</v>
      </c>
      <c r="D1434" s="20" t="e">
        <f>VLOOKUP(C1434,[1]CHILDCARE_FACILITIES!AJ:AK,2,0)</f>
        <v>#N/A</v>
      </c>
      <c r="E1434" s="20" t="s">
        <v>15134</v>
      </c>
      <c r="F1434" s="20" t="s">
        <v>15135</v>
      </c>
      <c r="G1434" s="20">
        <v>102222001</v>
      </c>
      <c r="K1434" s="20">
        <v>9749</v>
      </c>
    </row>
    <row r="1435" spans="1:13" x14ac:dyDescent="0.25">
      <c r="A1435" s="20">
        <v>9806</v>
      </c>
      <c r="B1435" s="20" t="s">
        <v>15694</v>
      </c>
      <c r="C1435" s="20">
        <v>9806</v>
      </c>
      <c r="D1435" s="20" t="str">
        <f>VLOOKUP(C1435,[1]CHILDCARE_FACILITIES!AJ:AK,2,0)</f>
        <v>CDC-3120</v>
      </c>
      <c r="E1435" s="20" t="s">
        <v>15134</v>
      </c>
      <c r="F1435" s="20" t="s">
        <v>15135</v>
      </c>
      <c r="G1435" s="20">
        <v>102256005</v>
      </c>
      <c r="H1435" s="20" t="s">
        <v>15138</v>
      </c>
      <c r="I1435" s="20" t="b">
        <v>1</v>
      </c>
      <c r="J1435" s="20" t="s">
        <v>18273</v>
      </c>
      <c r="K1435" s="20">
        <v>9806</v>
      </c>
      <c r="L1435" s="20" t="s">
        <v>17271</v>
      </c>
      <c r="M1435" s="20" t="s">
        <v>18274</v>
      </c>
    </row>
    <row r="1436" spans="1:13" x14ac:dyDescent="0.25">
      <c r="A1436" s="20">
        <v>9806</v>
      </c>
      <c r="B1436" s="20" t="s">
        <v>15694</v>
      </c>
      <c r="C1436" s="20">
        <v>9806</v>
      </c>
      <c r="D1436" s="20" t="str">
        <f>VLOOKUP(C1436,[1]CHILDCARE_FACILITIES!AJ:AK,2,0)</f>
        <v>CDC-3120</v>
      </c>
      <c r="E1436" s="20" t="s">
        <v>15134</v>
      </c>
      <c r="F1436" s="20" t="s">
        <v>15135</v>
      </c>
      <c r="G1436" s="20">
        <v>102256005</v>
      </c>
      <c r="H1436" s="20" t="s">
        <v>15136</v>
      </c>
      <c r="I1436" s="20" t="b">
        <v>0</v>
      </c>
      <c r="J1436" s="20" t="s">
        <v>17826</v>
      </c>
      <c r="K1436" s="20">
        <v>9806</v>
      </c>
      <c r="L1436" s="20" t="s">
        <v>17271</v>
      </c>
      <c r="M1436" s="20" t="s">
        <v>17827</v>
      </c>
    </row>
    <row r="1437" spans="1:13" x14ac:dyDescent="0.25">
      <c r="A1437" s="20">
        <v>92625</v>
      </c>
      <c r="B1437" s="20" t="s">
        <v>16877</v>
      </c>
      <c r="C1437" s="20">
        <v>92625</v>
      </c>
      <c r="D1437" s="20" t="str">
        <f>VLOOKUP(C1437,[1]CHILDCARE_FACILITIES!AJ:AK,2,0)</f>
        <v>CDC-16861</v>
      </c>
      <c r="E1437" s="20" t="s">
        <v>15134</v>
      </c>
      <c r="F1437" s="20" t="s">
        <v>15135</v>
      </c>
      <c r="G1437" s="20">
        <v>73312001</v>
      </c>
      <c r="K1437" s="20">
        <v>92625</v>
      </c>
    </row>
    <row r="1438" spans="1:13" x14ac:dyDescent="0.25">
      <c r="A1438" s="20">
        <v>92624</v>
      </c>
      <c r="B1438" s="20" t="s">
        <v>16874</v>
      </c>
      <c r="C1438" s="20">
        <v>92624</v>
      </c>
      <c r="D1438" s="20" t="e">
        <f>VLOOKUP(C1438,[1]CHILDCARE_FACILITIES!AJ:AK,2,0)</f>
        <v>#N/A</v>
      </c>
      <c r="E1438" s="20" t="s">
        <v>15134</v>
      </c>
      <c r="F1438" s="20" t="s">
        <v>15135</v>
      </c>
      <c r="G1438" s="20">
        <v>73312000</v>
      </c>
      <c r="H1438" s="20" t="s">
        <v>15136</v>
      </c>
      <c r="I1438" s="20" t="b">
        <v>1</v>
      </c>
      <c r="J1438" s="20" t="s">
        <v>18275</v>
      </c>
      <c r="K1438" s="20">
        <v>92624</v>
      </c>
      <c r="L1438" s="20" t="s">
        <v>17216</v>
      </c>
      <c r="M1438" s="20" t="s">
        <v>18276</v>
      </c>
    </row>
    <row r="1439" spans="1:13" x14ac:dyDescent="0.25">
      <c r="A1439" s="20">
        <v>92624</v>
      </c>
      <c r="B1439" s="20" t="s">
        <v>16874</v>
      </c>
      <c r="C1439" s="20">
        <v>92624</v>
      </c>
      <c r="D1439" s="20" t="e">
        <f>VLOOKUP(C1439,[1]CHILDCARE_FACILITIES!AJ:AK,2,0)</f>
        <v>#N/A</v>
      </c>
      <c r="E1439" s="20" t="s">
        <v>15134</v>
      </c>
      <c r="F1439" s="20" t="s">
        <v>15135</v>
      </c>
      <c r="G1439" s="20">
        <v>73312000</v>
      </c>
      <c r="H1439" s="20" t="s">
        <v>15138</v>
      </c>
      <c r="I1439" s="20" t="b">
        <v>1</v>
      </c>
      <c r="J1439" s="20" t="s">
        <v>18277</v>
      </c>
      <c r="K1439" s="20">
        <v>92624</v>
      </c>
      <c r="L1439" s="20" t="s">
        <v>17216</v>
      </c>
      <c r="M1439" s="20" t="s">
        <v>18276</v>
      </c>
    </row>
    <row r="1440" spans="1:13" x14ac:dyDescent="0.25">
      <c r="A1440" s="20">
        <v>9925</v>
      </c>
      <c r="B1440" s="20" t="s">
        <v>15731</v>
      </c>
      <c r="C1440" s="20">
        <v>9925</v>
      </c>
      <c r="D1440" s="20" t="e">
        <f>VLOOKUP(C1440,[1]CHILDCARE_FACILITIES!AJ:AK,2,0)</f>
        <v>#N/A</v>
      </c>
      <c r="E1440" s="20" t="s">
        <v>15134</v>
      </c>
      <c r="F1440" s="20" t="s">
        <v>15135</v>
      </c>
      <c r="G1440" s="20">
        <v>103054001</v>
      </c>
      <c r="K1440" s="20">
        <v>9925</v>
      </c>
    </row>
    <row r="1441" spans="1:13" x14ac:dyDescent="0.25">
      <c r="A1441" s="20">
        <v>1000079</v>
      </c>
      <c r="B1441" s="20" t="s">
        <v>17057</v>
      </c>
      <c r="C1441" s="20">
        <v>1000079</v>
      </c>
      <c r="D1441" s="20" t="e">
        <f>VLOOKUP(C1441,[1]CHILDCARE_FACILITIES!AJ:AK,2,0)</f>
        <v>#N/A</v>
      </c>
      <c r="E1441" s="20" t="s">
        <v>15134</v>
      </c>
      <c r="F1441" s="20" t="s">
        <v>15135</v>
      </c>
      <c r="G1441" s="20">
        <v>103221003</v>
      </c>
      <c r="H1441" s="20" t="s">
        <v>15136</v>
      </c>
      <c r="I1441" s="20" t="b">
        <v>1</v>
      </c>
      <c r="J1441" s="20" t="s">
        <v>18278</v>
      </c>
      <c r="K1441" s="20">
        <v>1000079</v>
      </c>
      <c r="L1441" s="20" t="s">
        <v>17282</v>
      </c>
      <c r="M1441" s="20" t="s">
        <v>18279</v>
      </c>
    </row>
    <row r="1442" spans="1:13" x14ac:dyDescent="0.25">
      <c r="A1442" s="20">
        <v>1000079</v>
      </c>
      <c r="B1442" s="20" t="s">
        <v>17057</v>
      </c>
      <c r="C1442" s="20">
        <v>1000079</v>
      </c>
      <c r="D1442" s="20" t="e">
        <f>VLOOKUP(C1442,[1]CHILDCARE_FACILITIES!AJ:AK,2,0)</f>
        <v>#N/A</v>
      </c>
      <c r="E1442" s="20" t="s">
        <v>15134</v>
      </c>
      <c r="F1442" s="20" t="s">
        <v>15135</v>
      </c>
      <c r="G1442" s="20">
        <v>103221003</v>
      </c>
      <c r="H1442" s="20" t="s">
        <v>15138</v>
      </c>
      <c r="I1442" s="20" t="b">
        <v>1</v>
      </c>
      <c r="J1442" s="20" t="s">
        <v>18280</v>
      </c>
      <c r="K1442" s="20">
        <v>1000079</v>
      </c>
      <c r="L1442" s="20" t="s">
        <v>17282</v>
      </c>
      <c r="M1442" s="20" t="s">
        <v>18281</v>
      </c>
    </row>
    <row r="1443" spans="1:13" x14ac:dyDescent="0.25">
      <c r="A1443" s="20">
        <v>91273</v>
      </c>
      <c r="B1443" s="20" t="s">
        <v>16761</v>
      </c>
      <c r="C1443" s="20">
        <v>91273</v>
      </c>
      <c r="D1443" s="20" t="e">
        <f>VLOOKUP(C1443,[1]CHILDCARE_FACILITIES!AJ:AK,2,0)</f>
        <v>#N/A</v>
      </c>
      <c r="E1443" s="20" t="s">
        <v>15134</v>
      </c>
      <c r="F1443" s="20" t="s">
        <v>15135</v>
      </c>
      <c r="G1443" s="20">
        <v>103221002</v>
      </c>
      <c r="K1443" s="20">
        <v>91273</v>
      </c>
    </row>
    <row r="1444" spans="1:13" x14ac:dyDescent="0.25">
      <c r="A1444" s="20">
        <v>90828</v>
      </c>
      <c r="B1444" s="20" t="s">
        <v>16694</v>
      </c>
      <c r="C1444" s="20">
        <v>90828</v>
      </c>
      <c r="D1444" s="20" t="e">
        <f>VLOOKUP(C1444,[1]CHILDCARE_FACILITIES!AJ:AK,2,0)</f>
        <v>#N/A</v>
      </c>
      <c r="E1444" s="20" t="s">
        <v>15134</v>
      </c>
      <c r="F1444" s="20" t="s">
        <v>15135</v>
      </c>
      <c r="G1444" s="20">
        <v>103221001</v>
      </c>
      <c r="H1444" s="20" t="s">
        <v>15145</v>
      </c>
      <c r="I1444" s="20" t="b">
        <v>1</v>
      </c>
      <c r="J1444" s="20" t="s">
        <v>18282</v>
      </c>
      <c r="K1444" s="20">
        <v>90828</v>
      </c>
      <c r="L1444" s="20" t="s">
        <v>17271</v>
      </c>
      <c r="M1444" s="20" t="s">
        <v>18279</v>
      </c>
    </row>
    <row r="1445" spans="1:13" x14ac:dyDescent="0.25">
      <c r="A1445" s="20">
        <v>90827</v>
      </c>
      <c r="B1445" s="20" t="s">
        <v>16691</v>
      </c>
      <c r="C1445" s="20">
        <v>90827</v>
      </c>
      <c r="D1445" s="20" t="e">
        <f>VLOOKUP(C1445,[1]CHILDCARE_FACILITIES!AJ:AK,2,0)</f>
        <v>#N/A</v>
      </c>
      <c r="E1445" s="20" t="s">
        <v>15134</v>
      </c>
      <c r="F1445" s="20" t="s">
        <v>15135</v>
      </c>
      <c r="G1445" s="20">
        <v>103221000</v>
      </c>
      <c r="H1445" s="20" t="s">
        <v>15136</v>
      </c>
      <c r="I1445" s="20" t="b">
        <v>1</v>
      </c>
      <c r="J1445" s="20" t="s">
        <v>18278</v>
      </c>
      <c r="K1445" s="20">
        <v>90827</v>
      </c>
      <c r="L1445" s="20" t="s">
        <v>17282</v>
      </c>
      <c r="M1445" s="20" t="s">
        <v>18279</v>
      </c>
    </row>
    <row r="1446" spans="1:13" x14ac:dyDescent="0.25">
      <c r="A1446" s="20">
        <v>90827</v>
      </c>
      <c r="B1446" s="20" t="s">
        <v>16691</v>
      </c>
      <c r="C1446" s="20">
        <v>90827</v>
      </c>
      <c r="D1446" s="20" t="e">
        <f>VLOOKUP(C1446,[1]CHILDCARE_FACILITIES!AJ:AK,2,0)</f>
        <v>#N/A</v>
      </c>
      <c r="E1446" s="20" t="s">
        <v>15134</v>
      </c>
      <c r="F1446" s="20" t="s">
        <v>15135</v>
      </c>
      <c r="G1446" s="20">
        <v>103221000</v>
      </c>
      <c r="H1446" s="20" t="s">
        <v>15138</v>
      </c>
      <c r="I1446" s="20" t="b">
        <v>1</v>
      </c>
      <c r="J1446" s="20" t="s">
        <v>18282</v>
      </c>
      <c r="K1446" s="20">
        <v>90827</v>
      </c>
      <c r="L1446" s="20" t="s">
        <v>17271</v>
      </c>
      <c r="M1446" s="20" t="s">
        <v>18279</v>
      </c>
    </row>
    <row r="1447" spans="1:13" x14ac:dyDescent="0.25">
      <c r="A1447" s="20">
        <v>79345</v>
      </c>
      <c r="B1447" s="20" t="s">
        <v>1512</v>
      </c>
      <c r="C1447" s="20">
        <v>79345</v>
      </c>
      <c r="D1447" s="20" t="e">
        <f>VLOOKUP(C1447,[1]CHILDCARE_FACILITIES!AJ:AK,2,0)</f>
        <v>#N/A</v>
      </c>
      <c r="E1447" s="20" t="s">
        <v>15134</v>
      </c>
      <c r="F1447" s="20" t="s">
        <v>15135</v>
      </c>
      <c r="G1447" s="20">
        <v>72425010</v>
      </c>
      <c r="H1447" s="20" t="s">
        <v>15145</v>
      </c>
      <c r="I1447" s="20" t="b">
        <v>0</v>
      </c>
      <c r="J1447" s="20" t="s">
        <v>18283</v>
      </c>
      <c r="K1447" s="20">
        <v>79345</v>
      </c>
      <c r="L1447" s="20" t="s">
        <v>18284</v>
      </c>
      <c r="M1447" s="20" t="s">
        <v>18285</v>
      </c>
    </row>
    <row r="1448" spans="1:13" x14ac:dyDescent="0.25">
      <c r="A1448" s="20">
        <v>79346</v>
      </c>
      <c r="B1448" s="20" t="s">
        <v>1512</v>
      </c>
      <c r="C1448" s="20">
        <v>79346</v>
      </c>
      <c r="D1448" s="20" t="e">
        <f>VLOOKUP(C1448,[1]CHILDCARE_FACILITIES!AJ:AK,2,0)</f>
        <v>#N/A</v>
      </c>
      <c r="E1448" s="20" t="s">
        <v>15134</v>
      </c>
      <c r="F1448" s="20" t="s">
        <v>15135</v>
      </c>
      <c r="G1448" s="20">
        <v>72425009</v>
      </c>
      <c r="H1448" s="20" t="s">
        <v>15138</v>
      </c>
      <c r="I1448" s="20" t="b">
        <v>0</v>
      </c>
      <c r="J1448" s="20" t="s">
        <v>18286</v>
      </c>
      <c r="K1448" s="20">
        <v>79346</v>
      </c>
      <c r="L1448" s="20" t="s">
        <v>18287</v>
      </c>
      <c r="M1448" s="20" t="s">
        <v>18288</v>
      </c>
    </row>
    <row r="1449" spans="1:13" x14ac:dyDescent="0.25">
      <c r="A1449" s="20">
        <v>79346</v>
      </c>
      <c r="B1449" s="20" t="s">
        <v>1512</v>
      </c>
      <c r="C1449" s="20">
        <v>79346</v>
      </c>
      <c r="D1449" s="20" t="e">
        <f>VLOOKUP(C1449,[1]CHILDCARE_FACILITIES!AJ:AK,2,0)</f>
        <v>#N/A</v>
      </c>
      <c r="E1449" s="20" t="s">
        <v>15134</v>
      </c>
      <c r="F1449" s="20" t="s">
        <v>15135</v>
      </c>
      <c r="G1449" s="20">
        <v>72425009</v>
      </c>
      <c r="H1449" s="20" t="s">
        <v>15145</v>
      </c>
      <c r="I1449" s="20" t="b">
        <v>1</v>
      </c>
      <c r="J1449" s="20" t="s">
        <v>18289</v>
      </c>
      <c r="K1449" s="20">
        <v>79346</v>
      </c>
      <c r="L1449" s="20" t="s">
        <v>18290</v>
      </c>
      <c r="M1449" s="20" t="s">
        <v>18291</v>
      </c>
    </row>
    <row r="1450" spans="1:13" x14ac:dyDescent="0.25">
      <c r="A1450" s="20">
        <v>80927</v>
      </c>
      <c r="B1450" s="20" t="s">
        <v>16250</v>
      </c>
      <c r="C1450" s="20">
        <v>80927</v>
      </c>
      <c r="D1450" s="20" t="e">
        <f>VLOOKUP(C1450,[1]CHILDCARE_FACILITIES!AJ:AK,2,0)</f>
        <v>#N/A</v>
      </c>
      <c r="E1450" s="20" t="s">
        <v>15134</v>
      </c>
      <c r="F1450" s="20" t="s">
        <v>15135</v>
      </c>
      <c r="G1450" s="20">
        <v>73495001</v>
      </c>
      <c r="H1450" s="20" t="s">
        <v>15145</v>
      </c>
      <c r="I1450" s="20" t="b">
        <v>1</v>
      </c>
      <c r="J1450" s="20" t="s">
        <v>18292</v>
      </c>
      <c r="K1450" s="20">
        <v>80927</v>
      </c>
      <c r="L1450" s="20" t="s">
        <v>17213</v>
      </c>
      <c r="M1450" s="20" t="s">
        <v>18293</v>
      </c>
    </row>
    <row r="1451" spans="1:13" x14ac:dyDescent="0.25">
      <c r="A1451" s="20">
        <v>80927</v>
      </c>
      <c r="B1451" s="20" t="s">
        <v>16250</v>
      </c>
      <c r="C1451" s="20">
        <v>80927</v>
      </c>
      <c r="D1451" s="20" t="e">
        <f>VLOOKUP(C1451,[1]CHILDCARE_FACILITIES!AJ:AK,2,0)</f>
        <v>#N/A</v>
      </c>
      <c r="E1451" s="20" t="s">
        <v>15134</v>
      </c>
      <c r="F1451" s="20" t="s">
        <v>15135</v>
      </c>
      <c r="G1451" s="20">
        <v>73495001</v>
      </c>
      <c r="H1451" s="20" t="s">
        <v>15138</v>
      </c>
      <c r="I1451" s="20" t="b">
        <v>1</v>
      </c>
      <c r="J1451" s="20" t="s">
        <v>18292</v>
      </c>
      <c r="K1451" s="20">
        <v>80927</v>
      </c>
      <c r="L1451" s="20" t="s">
        <v>17213</v>
      </c>
      <c r="M1451" s="20" t="s">
        <v>18293</v>
      </c>
    </row>
    <row r="1452" spans="1:13" x14ac:dyDescent="0.25">
      <c r="A1452" s="20">
        <v>9433</v>
      </c>
      <c r="B1452" s="20" t="s">
        <v>15524</v>
      </c>
      <c r="C1452" s="20">
        <v>9433</v>
      </c>
      <c r="D1452" s="20" t="e">
        <f>VLOOKUP(C1452,[1]CHILDCARE_FACILITIES!AJ:AK,2,0)</f>
        <v>#N/A</v>
      </c>
      <c r="E1452" s="20" t="s">
        <v>15134</v>
      </c>
      <c r="F1452" s="20" t="s">
        <v>15135</v>
      </c>
      <c r="G1452" s="20">
        <v>73263001</v>
      </c>
      <c r="K1452" s="20">
        <v>9433</v>
      </c>
    </row>
    <row r="1453" spans="1:13" x14ac:dyDescent="0.25">
      <c r="A1453" s="20">
        <v>89815</v>
      </c>
      <c r="B1453" s="20" t="s">
        <v>16459</v>
      </c>
      <c r="C1453" s="20">
        <v>89815</v>
      </c>
      <c r="D1453" s="20" t="str">
        <f>VLOOKUP(C1453,[1]CHILDCARE_FACILITIES!AJ:AK,2,0)</f>
        <v>CDC-14018</v>
      </c>
      <c r="E1453" s="20" t="s">
        <v>15134</v>
      </c>
      <c r="F1453" s="20" t="s">
        <v>15135</v>
      </c>
      <c r="G1453" s="20">
        <v>73563001</v>
      </c>
      <c r="H1453" s="20" t="s">
        <v>15145</v>
      </c>
      <c r="I1453" s="20" t="b">
        <v>1</v>
      </c>
      <c r="J1453" s="20" t="s">
        <v>17569</v>
      </c>
      <c r="K1453" s="20">
        <v>89815</v>
      </c>
      <c r="L1453" s="20" t="s">
        <v>17236</v>
      </c>
      <c r="M1453" s="20" t="s">
        <v>17570</v>
      </c>
    </row>
    <row r="1454" spans="1:13" x14ac:dyDescent="0.25">
      <c r="A1454" s="20">
        <v>89815</v>
      </c>
      <c r="B1454" s="20" t="s">
        <v>16459</v>
      </c>
      <c r="C1454" s="20">
        <v>89815</v>
      </c>
      <c r="D1454" s="20" t="str">
        <f>VLOOKUP(C1454,[1]CHILDCARE_FACILITIES!AJ:AK,2,0)</f>
        <v>CDC-14018</v>
      </c>
      <c r="E1454" s="20" t="s">
        <v>15134</v>
      </c>
      <c r="F1454" s="20" t="s">
        <v>15135</v>
      </c>
      <c r="G1454" s="20">
        <v>73563001</v>
      </c>
      <c r="H1454" s="20" t="s">
        <v>15138</v>
      </c>
      <c r="I1454" s="20" t="b">
        <v>1</v>
      </c>
      <c r="J1454" s="20" t="s">
        <v>17569</v>
      </c>
      <c r="K1454" s="20">
        <v>89815</v>
      </c>
      <c r="L1454" s="20" t="s">
        <v>17236</v>
      </c>
      <c r="M1454" s="20" t="s">
        <v>17570</v>
      </c>
    </row>
    <row r="1455" spans="1:13" x14ac:dyDescent="0.25">
      <c r="A1455" s="20">
        <v>10359</v>
      </c>
      <c r="B1455" s="20" t="s">
        <v>15849</v>
      </c>
      <c r="C1455" s="20">
        <v>10359</v>
      </c>
      <c r="D1455" s="20" t="e">
        <f>VLOOKUP(C1455,[1]CHILDCARE_FACILITIES!AJ:AK,2,0)</f>
        <v>#N/A</v>
      </c>
      <c r="E1455" s="20" t="s">
        <v>15134</v>
      </c>
      <c r="F1455" s="20" t="s">
        <v>15135</v>
      </c>
      <c r="G1455" s="20">
        <v>73263002</v>
      </c>
      <c r="K1455" s="20">
        <v>10359</v>
      </c>
    </row>
    <row r="1456" spans="1:13" x14ac:dyDescent="0.25">
      <c r="A1456" s="20">
        <v>89448</v>
      </c>
      <c r="B1456" s="20" t="s">
        <v>16395</v>
      </c>
      <c r="C1456" s="20">
        <v>89448</v>
      </c>
      <c r="D1456" s="20" t="str">
        <f>VLOOKUP(C1456,[1]CHILDCARE_FACILITIES!AJ:AK,2,0)</f>
        <v>CDC-12417</v>
      </c>
      <c r="E1456" s="20" t="s">
        <v>15134</v>
      </c>
      <c r="F1456" s="20" t="s">
        <v>15135</v>
      </c>
      <c r="G1456" s="20">
        <v>73548001</v>
      </c>
      <c r="H1456" s="20" t="s">
        <v>15145</v>
      </c>
      <c r="I1456" s="20" t="b">
        <v>1</v>
      </c>
      <c r="J1456" s="20" t="s">
        <v>17485</v>
      </c>
      <c r="K1456" s="20">
        <v>89448</v>
      </c>
      <c r="L1456" s="20" t="s">
        <v>17236</v>
      </c>
      <c r="M1456" s="20" t="s">
        <v>17486</v>
      </c>
    </row>
    <row r="1457" spans="1:13" x14ac:dyDescent="0.25">
      <c r="A1457" s="20">
        <v>89448</v>
      </c>
      <c r="B1457" s="20" t="s">
        <v>16395</v>
      </c>
      <c r="C1457" s="20">
        <v>89448</v>
      </c>
      <c r="D1457" s="20" t="str">
        <f>VLOOKUP(C1457,[1]CHILDCARE_FACILITIES!AJ:AK,2,0)</f>
        <v>CDC-12417</v>
      </c>
      <c r="E1457" s="20" t="s">
        <v>15134</v>
      </c>
      <c r="F1457" s="20" t="s">
        <v>15135</v>
      </c>
      <c r="G1457" s="20">
        <v>73548001</v>
      </c>
      <c r="H1457" s="20" t="s">
        <v>15138</v>
      </c>
      <c r="I1457" s="20" t="b">
        <v>1</v>
      </c>
      <c r="J1457" s="20" t="s">
        <v>17485</v>
      </c>
      <c r="K1457" s="20">
        <v>89448</v>
      </c>
      <c r="L1457" s="20" t="s">
        <v>17236</v>
      </c>
      <c r="M1457" s="20" t="s">
        <v>17486</v>
      </c>
    </row>
    <row r="1458" spans="1:13" x14ac:dyDescent="0.25">
      <c r="A1458" s="20">
        <v>91185</v>
      </c>
      <c r="B1458" s="20" t="s">
        <v>16747</v>
      </c>
      <c r="C1458" s="20">
        <v>91185</v>
      </c>
      <c r="D1458" s="20" t="e">
        <f>VLOOKUP(C1458,[1]CHILDCARE_FACILITIES!AJ:AK,2,0)</f>
        <v>#N/A</v>
      </c>
      <c r="E1458" s="20" t="s">
        <v>15134</v>
      </c>
      <c r="F1458" s="20" t="s">
        <v>15135</v>
      </c>
      <c r="G1458" s="20">
        <v>113022000</v>
      </c>
      <c r="H1458" s="20" t="s">
        <v>15138</v>
      </c>
      <c r="I1458" s="20" t="b">
        <v>1</v>
      </c>
      <c r="J1458" s="20" t="s">
        <v>18294</v>
      </c>
      <c r="K1458" s="20">
        <v>91185</v>
      </c>
      <c r="L1458" s="20" t="s">
        <v>17308</v>
      </c>
      <c r="M1458" s="20" t="s">
        <v>18295</v>
      </c>
    </row>
    <row r="1459" spans="1:13" x14ac:dyDescent="0.25">
      <c r="A1459" s="20">
        <v>91185</v>
      </c>
      <c r="B1459" s="20" t="s">
        <v>16747</v>
      </c>
      <c r="C1459" s="20">
        <v>91185</v>
      </c>
      <c r="D1459" s="20" t="e">
        <f>VLOOKUP(C1459,[1]CHILDCARE_FACILITIES!AJ:AK,2,0)</f>
        <v>#N/A</v>
      </c>
      <c r="E1459" s="20" t="s">
        <v>15134</v>
      </c>
      <c r="F1459" s="20" t="s">
        <v>15135</v>
      </c>
      <c r="G1459" s="20">
        <v>113022000</v>
      </c>
      <c r="H1459" s="20" t="s">
        <v>15136</v>
      </c>
      <c r="I1459" s="20" t="b">
        <v>1</v>
      </c>
      <c r="J1459" s="20" t="s">
        <v>18296</v>
      </c>
      <c r="K1459" s="20">
        <v>91185</v>
      </c>
      <c r="L1459" s="20" t="s">
        <v>17308</v>
      </c>
      <c r="M1459" s="20" t="s">
        <v>18297</v>
      </c>
    </row>
    <row r="1460" spans="1:13" x14ac:dyDescent="0.25">
      <c r="A1460" s="20">
        <v>91186</v>
      </c>
      <c r="B1460" s="20" t="s">
        <v>16747</v>
      </c>
      <c r="C1460" s="20">
        <v>91186</v>
      </c>
      <c r="D1460" s="20" t="str">
        <f>VLOOKUP(C1460,[1]CHILDCARE_FACILITIES!AJ:AK,2,0)</f>
        <v>CDC-15619</v>
      </c>
      <c r="E1460" s="20" t="s">
        <v>15134</v>
      </c>
      <c r="F1460" s="20" t="s">
        <v>15135</v>
      </c>
      <c r="G1460" s="20">
        <v>113022001</v>
      </c>
      <c r="K1460" s="20">
        <v>91186</v>
      </c>
    </row>
    <row r="1461" spans="1:13" x14ac:dyDescent="0.25">
      <c r="A1461" s="20">
        <v>32881</v>
      </c>
      <c r="B1461" s="20" t="s">
        <v>15866</v>
      </c>
      <c r="C1461" s="20">
        <v>32881</v>
      </c>
      <c r="D1461" s="20" t="e">
        <f>VLOOKUP(C1461,[1]CHILDCARE_FACILITIES!AJ:AK,2,0)</f>
        <v>#N/A</v>
      </c>
      <c r="E1461" s="20" t="s">
        <v>15134</v>
      </c>
      <c r="F1461" s="20" t="s">
        <v>15135</v>
      </c>
      <c r="G1461" s="20">
        <v>73335000</v>
      </c>
      <c r="K1461" s="20">
        <v>32881</v>
      </c>
    </row>
    <row r="1462" spans="1:13" x14ac:dyDescent="0.25">
      <c r="A1462" s="20">
        <v>957493</v>
      </c>
      <c r="B1462" s="20" t="s">
        <v>17032</v>
      </c>
      <c r="C1462" s="20">
        <v>957493</v>
      </c>
      <c r="D1462" s="20" t="e">
        <f>VLOOKUP(C1462,[1]CHILDCARE_FACILITIES!AJ:AK,2,0)</f>
        <v>#N/A</v>
      </c>
      <c r="E1462" s="20" t="s">
        <v>15134</v>
      </c>
      <c r="F1462" s="20" t="s">
        <v>15135</v>
      </c>
      <c r="G1462" s="20">
        <v>73335001</v>
      </c>
      <c r="K1462" s="20">
        <v>957493</v>
      </c>
    </row>
    <row r="1463" spans="1:13" x14ac:dyDescent="0.25">
      <c r="A1463" s="20">
        <v>8491</v>
      </c>
      <c r="B1463" s="20" t="s">
        <v>15147</v>
      </c>
      <c r="C1463" s="20">
        <v>8491</v>
      </c>
      <c r="D1463" s="20" t="e">
        <f>VLOOKUP(C1463,[1]CHILDCARE_FACILITIES!AJ:AK,2,0)</f>
        <v>#N/A</v>
      </c>
      <c r="E1463" s="20" t="s">
        <v>15134</v>
      </c>
      <c r="F1463" s="20" t="s">
        <v>15135</v>
      </c>
      <c r="G1463" s="20">
        <v>22201001</v>
      </c>
      <c r="K1463" s="20">
        <v>8491</v>
      </c>
    </row>
    <row r="1464" spans="1:13" x14ac:dyDescent="0.25">
      <c r="A1464" s="20">
        <v>487305</v>
      </c>
      <c r="B1464" s="20" t="s">
        <v>16999</v>
      </c>
      <c r="C1464" s="20">
        <v>487305</v>
      </c>
      <c r="D1464" s="20" t="e">
        <f>VLOOKUP(C1464,[1]CHILDCARE_FACILITIES!AJ:AK,2,0)</f>
        <v>#N/A</v>
      </c>
      <c r="E1464" s="20" t="s">
        <v>15134</v>
      </c>
      <c r="F1464" s="20" t="s">
        <v>15135</v>
      </c>
      <c r="G1464" s="20">
        <v>73340000</v>
      </c>
      <c r="H1464" s="20" t="s">
        <v>15136</v>
      </c>
      <c r="I1464" s="20" t="b">
        <v>1</v>
      </c>
      <c r="J1464" s="20" t="s">
        <v>18298</v>
      </c>
      <c r="K1464" s="20">
        <v>487305</v>
      </c>
      <c r="L1464" s="20" t="s">
        <v>17216</v>
      </c>
      <c r="M1464" s="20" t="s">
        <v>18299</v>
      </c>
    </row>
    <row r="1465" spans="1:13" x14ac:dyDescent="0.25">
      <c r="A1465" s="20">
        <v>662985</v>
      </c>
      <c r="B1465" s="20" t="s">
        <v>16999</v>
      </c>
      <c r="C1465" s="20">
        <v>662985</v>
      </c>
      <c r="D1465" s="20" t="str">
        <f>VLOOKUP(C1465,[1]CHILDCARE_FACILITIES!AJ:AK,2,0)</f>
        <v>CDC-17806</v>
      </c>
      <c r="E1465" s="20" t="s">
        <v>15134</v>
      </c>
      <c r="F1465" s="20" t="s">
        <v>15135</v>
      </c>
      <c r="G1465" s="20">
        <v>73340001</v>
      </c>
      <c r="H1465" s="20" t="s">
        <v>15136</v>
      </c>
      <c r="I1465" s="20" t="b">
        <v>1</v>
      </c>
      <c r="J1465" s="20" t="s">
        <v>18298</v>
      </c>
      <c r="K1465" s="20">
        <v>662985</v>
      </c>
      <c r="L1465" s="20" t="s">
        <v>17216</v>
      </c>
      <c r="M1465" s="20" t="s">
        <v>18299</v>
      </c>
    </row>
    <row r="1466" spans="1:13" x14ac:dyDescent="0.25">
      <c r="A1466" s="20">
        <v>91362</v>
      </c>
      <c r="B1466" s="20" t="s">
        <v>16787</v>
      </c>
      <c r="C1466" s="20">
        <v>91362</v>
      </c>
      <c r="D1466" s="20" t="e">
        <f>VLOOKUP(C1466,[1]CHILDCARE_FACILITIES!AJ:AK,2,0)</f>
        <v>#N/A</v>
      </c>
      <c r="E1466" s="20" t="s">
        <v>15134</v>
      </c>
      <c r="F1466" s="20" t="s">
        <v>15135</v>
      </c>
      <c r="G1466" s="20">
        <v>72447000</v>
      </c>
      <c r="H1466" s="20" t="s">
        <v>15145</v>
      </c>
      <c r="I1466" s="20" t="b">
        <v>1</v>
      </c>
      <c r="J1466" s="20" t="s">
        <v>18300</v>
      </c>
      <c r="K1466" s="20">
        <v>91362</v>
      </c>
      <c r="L1466" s="20" t="s">
        <v>17233</v>
      </c>
      <c r="M1466" s="20" t="s">
        <v>18301</v>
      </c>
    </row>
    <row r="1467" spans="1:13" x14ac:dyDescent="0.25">
      <c r="A1467" s="20">
        <v>91362</v>
      </c>
      <c r="B1467" s="20" t="s">
        <v>16787</v>
      </c>
      <c r="C1467" s="20">
        <v>91362</v>
      </c>
      <c r="D1467" s="20" t="e">
        <f>VLOOKUP(C1467,[1]CHILDCARE_FACILITIES!AJ:AK,2,0)</f>
        <v>#N/A</v>
      </c>
      <c r="E1467" s="20" t="s">
        <v>15134</v>
      </c>
      <c r="F1467" s="20" t="s">
        <v>15135</v>
      </c>
      <c r="G1467" s="20">
        <v>72447000</v>
      </c>
      <c r="H1467" s="20" t="s">
        <v>15138</v>
      </c>
      <c r="I1467" s="20" t="b">
        <v>1</v>
      </c>
      <c r="J1467" s="20" t="s">
        <v>18300</v>
      </c>
      <c r="K1467" s="20">
        <v>91362</v>
      </c>
      <c r="L1467" s="20" t="s">
        <v>17233</v>
      </c>
      <c r="M1467" s="20" t="s">
        <v>18301</v>
      </c>
    </row>
    <row r="1468" spans="1:13" x14ac:dyDescent="0.25">
      <c r="A1468" s="20">
        <v>91363</v>
      </c>
      <c r="B1468" s="20" t="s">
        <v>16787</v>
      </c>
      <c r="C1468" s="20">
        <v>91363</v>
      </c>
      <c r="D1468" s="20" t="e">
        <f>VLOOKUP(C1468,[1]CHILDCARE_FACILITIES!AJ:AK,2,0)</f>
        <v>#N/A</v>
      </c>
      <c r="E1468" s="20" t="s">
        <v>15134</v>
      </c>
      <c r="F1468" s="20" t="s">
        <v>15135</v>
      </c>
      <c r="G1468" s="20">
        <v>72447001</v>
      </c>
      <c r="H1468" s="20" t="s">
        <v>15145</v>
      </c>
      <c r="I1468" s="20" t="b">
        <v>1</v>
      </c>
      <c r="J1468" s="20" t="s">
        <v>18300</v>
      </c>
      <c r="K1468" s="20">
        <v>91363</v>
      </c>
      <c r="L1468" s="20" t="s">
        <v>17233</v>
      </c>
      <c r="M1468" s="20" t="s">
        <v>18301</v>
      </c>
    </row>
    <row r="1469" spans="1:13" x14ac:dyDescent="0.25">
      <c r="A1469" s="20">
        <v>91363</v>
      </c>
      <c r="B1469" s="20" t="s">
        <v>16787</v>
      </c>
      <c r="C1469" s="20">
        <v>91363</v>
      </c>
      <c r="D1469" s="20" t="e">
        <f>VLOOKUP(C1469,[1]CHILDCARE_FACILITIES!AJ:AK,2,0)</f>
        <v>#N/A</v>
      </c>
      <c r="E1469" s="20" t="s">
        <v>15134</v>
      </c>
      <c r="F1469" s="20" t="s">
        <v>15135</v>
      </c>
      <c r="G1469" s="20">
        <v>72447001</v>
      </c>
      <c r="H1469" s="20" t="s">
        <v>15138</v>
      </c>
      <c r="I1469" s="20" t="b">
        <v>1</v>
      </c>
      <c r="J1469" s="20" t="s">
        <v>18300</v>
      </c>
      <c r="K1469" s="20">
        <v>91363</v>
      </c>
      <c r="L1469" s="20" t="s">
        <v>17233</v>
      </c>
      <c r="M1469" s="20" t="s">
        <v>18301</v>
      </c>
    </row>
    <row r="1470" spans="1:13" x14ac:dyDescent="0.25">
      <c r="A1470" s="20">
        <v>9176</v>
      </c>
      <c r="B1470" s="20" t="s">
        <v>15398</v>
      </c>
      <c r="C1470" s="20">
        <v>9176</v>
      </c>
      <c r="D1470" s="20" t="e">
        <f>VLOOKUP(C1470,[1]CHILDCARE_FACILITIES!AJ:AK,2,0)</f>
        <v>#N/A</v>
      </c>
      <c r="E1470" s="20" t="s">
        <v>15134</v>
      </c>
      <c r="F1470" s="20" t="s">
        <v>15135</v>
      </c>
      <c r="G1470" s="20">
        <v>73121001</v>
      </c>
      <c r="H1470" s="20" t="s">
        <v>15136</v>
      </c>
      <c r="I1470" s="20" t="b">
        <v>1</v>
      </c>
      <c r="J1470" s="20" t="s">
        <v>17479</v>
      </c>
      <c r="K1470" s="20">
        <v>9176</v>
      </c>
      <c r="L1470" s="20" t="s">
        <v>17213</v>
      </c>
      <c r="M1470" s="20" t="s">
        <v>17480</v>
      </c>
    </row>
    <row r="1471" spans="1:13" x14ac:dyDescent="0.25">
      <c r="A1471" s="20">
        <v>9176</v>
      </c>
      <c r="B1471" s="20" t="s">
        <v>15398</v>
      </c>
      <c r="C1471" s="20">
        <v>9176</v>
      </c>
      <c r="D1471" s="20" t="e">
        <f>VLOOKUP(C1471,[1]CHILDCARE_FACILITIES!AJ:AK,2,0)</f>
        <v>#N/A</v>
      </c>
      <c r="E1471" s="20" t="s">
        <v>15134</v>
      </c>
      <c r="F1471" s="20" t="s">
        <v>15135</v>
      </c>
      <c r="G1471" s="20">
        <v>73121001</v>
      </c>
      <c r="H1471" s="20" t="s">
        <v>15138</v>
      </c>
      <c r="I1471" s="20" t="b">
        <v>1</v>
      </c>
      <c r="J1471" s="20" t="s">
        <v>17479</v>
      </c>
      <c r="K1471" s="20">
        <v>9176</v>
      </c>
      <c r="L1471" s="20" t="s">
        <v>17213</v>
      </c>
      <c r="M1471" s="20" t="s">
        <v>17480</v>
      </c>
    </row>
    <row r="1472" spans="1:13" x14ac:dyDescent="0.25">
      <c r="A1472" s="20">
        <v>87074</v>
      </c>
      <c r="B1472" s="20" t="s">
        <v>16335</v>
      </c>
      <c r="C1472" s="20">
        <v>87074</v>
      </c>
      <c r="D1472" s="20" t="str">
        <f>VLOOKUP(C1472,[1]CHILDCARE_FACILITIES!AJ:AK,2,0)</f>
        <v>CDC-11816</v>
      </c>
      <c r="E1472" s="20" t="s">
        <v>15134</v>
      </c>
      <c r="F1472" s="20" t="s">
        <v>15135</v>
      </c>
      <c r="G1472" s="20">
        <v>103202001</v>
      </c>
      <c r="H1472" s="20" t="s">
        <v>15145</v>
      </c>
      <c r="I1472" s="20" t="b">
        <v>0</v>
      </c>
      <c r="J1472" s="20" t="s">
        <v>18302</v>
      </c>
      <c r="K1472" s="20">
        <v>87074</v>
      </c>
      <c r="L1472" s="20" t="s">
        <v>17282</v>
      </c>
      <c r="M1472" s="20" t="s">
        <v>17482</v>
      </c>
    </row>
    <row r="1473" spans="1:13" x14ac:dyDescent="0.25">
      <c r="A1473" s="20">
        <v>87073</v>
      </c>
      <c r="B1473" s="20" t="s">
        <v>16333</v>
      </c>
      <c r="C1473" s="20">
        <v>87073</v>
      </c>
      <c r="D1473" s="20" t="e">
        <f>VLOOKUP(C1473,[1]CHILDCARE_FACILITIES!AJ:AK,2,0)</f>
        <v>#N/A</v>
      </c>
      <c r="E1473" s="20" t="s">
        <v>15134</v>
      </c>
      <c r="F1473" s="20" t="s">
        <v>15135</v>
      </c>
      <c r="G1473" s="20">
        <v>103202000</v>
      </c>
      <c r="H1473" s="20" t="s">
        <v>15138</v>
      </c>
      <c r="I1473" s="20" t="b">
        <v>0</v>
      </c>
      <c r="J1473" s="20" t="s">
        <v>18302</v>
      </c>
      <c r="K1473" s="20">
        <v>87073</v>
      </c>
      <c r="L1473" s="20" t="s">
        <v>17282</v>
      </c>
      <c r="M1473" s="20" t="s">
        <v>17482</v>
      </c>
    </row>
    <row r="1474" spans="1:13" x14ac:dyDescent="0.25">
      <c r="A1474" s="20">
        <v>87073</v>
      </c>
      <c r="B1474" s="20" t="s">
        <v>16333</v>
      </c>
      <c r="C1474" s="20">
        <v>87073</v>
      </c>
      <c r="D1474" s="20" t="e">
        <f>VLOOKUP(C1474,[1]CHILDCARE_FACILITIES!AJ:AK,2,0)</f>
        <v>#N/A</v>
      </c>
      <c r="E1474" s="20" t="s">
        <v>15134</v>
      </c>
      <c r="F1474" s="20" t="s">
        <v>15135</v>
      </c>
      <c r="G1474" s="20">
        <v>103202000</v>
      </c>
      <c r="H1474" s="20" t="s">
        <v>15136</v>
      </c>
      <c r="I1474" s="20" t="b">
        <v>0</v>
      </c>
      <c r="J1474" s="20" t="s">
        <v>18302</v>
      </c>
      <c r="K1474" s="20">
        <v>87073</v>
      </c>
      <c r="L1474" s="20" t="s">
        <v>17282</v>
      </c>
      <c r="M1474" s="20" t="s">
        <v>17482</v>
      </c>
    </row>
    <row r="1475" spans="1:13" x14ac:dyDescent="0.25">
      <c r="A1475" s="20">
        <v>80726</v>
      </c>
      <c r="B1475" s="20" t="s">
        <v>16197</v>
      </c>
      <c r="C1475" s="20">
        <v>80726</v>
      </c>
      <c r="D1475" s="20" t="e">
        <f>VLOOKUP(C1475,[1]CHILDCARE_FACILITIES!AJ:AK,2,0)</f>
        <v>#N/A</v>
      </c>
      <c r="E1475" s="20" t="s">
        <v>15134</v>
      </c>
      <c r="F1475" s="20" t="s">
        <v>15135</v>
      </c>
      <c r="G1475" s="20">
        <v>73487001</v>
      </c>
      <c r="H1475" s="20" t="s">
        <v>15145</v>
      </c>
      <c r="I1475" s="20" t="b">
        <v>1</v>
      </c>
      <c r="J1475" s="20" t="s">
        <v>18303</v>
      </c>
      <c r="K1475" s="20">
        <v>80726</v>
      </c>
      <c r="L1475" s="20" t="s">
        <v>17213</v>
      </c>
      <c r="M1475" s="20" t="s">
        <v>18304</v>
      </c>
    </row>
    <row r="1476" spans="1:13" x14ac:dyDescent="0.25">
      <c r="A1476" s="20">
        <v>80726</v>
      </c>
      <c r="B1476" s="20" t="s">
        <v>16197</v>
      </c>
      <c r="C1476" s="20">
        <v>80726</v>
      </c>
      <c r="D1476" s="20" t="e">
        <f>VLOOKUP(C1476,[1]CHILDCARE_FACILITIES!AJ:AK,2,0)</f>
        <v>#N/A</v>
      </c>
      <c r="E1476" s="20" t="s">
        <v>15134</v>
      </c>
      <c r="F1476" s="20" t="s">
        <v>15135</v>
      </c>
      <c r="G1476" s="20">
        <v>73487001</v>
      </c>
      <c r="H1476" s="20" t="s">
        <v>15138</v>
      </c>
      <c r="I1476" s="20" t="b">
        <v>1</v>
      </c>
      <c r="J1476" s="20" t="s">
        <v>18303</v>
      </c>
      <c r="K1476" s="20">
        <v>80726</v>
      </c>
      <c r="L1476" s="20" t="s">
        <v>17213</v>
      </c>
      <c r="M1476" s="20" t="s">
        <v>18304</v>
      </c>
    </row>
    <row r="1477" spans="1:13" x14ac:dyDescent="0.25">
      <c r="A1477" s="20">
        <v>8783</v>
      </c>
      <c r="B1477" s="20" t="s">
        <v>15275</v>
      </c>
      <c r="C1477" s="20">
        <v>8783</v>
      </c>
      <c r="D1477" s="20" t="e">
        <f>VLOOKUP(C1477,[1]CHILDCARE_FACILITIES!AJ:AK,2,0)</f>
        <v>#N/A</v>
      </c>
      <c r="E1477" s="20" t="s">
        <v>15134</v>
      </c>
      <c r="F1477" s="20" t="s">
        <v>15135</v>
      </c>
      <c r="G1477" s="20">
        <v>72410000</v>
      </c>
      <c r="K1477" s="20">
        <v>8783</v>
      </c>
    </row>
    <row r="1478" spans="1:13" x14ac:dyDescent="0.25">
      <c r="A1478" s="20">
        <v>8784</v>
      </c>
      <c r="B1478" s="20" t="s">
        <v>15275</v>
      </c>
      <c r="C1478" s="20">
        <v>8784</v>
      </c>
      <c r="D1478" s="20" t="e">
        <f>VLOOKUP(C1478,[1]CHILDCARE_FACILITIES!AJ:AK,2,0)</f>
        <v>#N/A</v>
      </c>
      <c r="E1478" s="20" t="s">
        <v>15134</v>
      </c>
      <c r="F1478" s="20" t="s">
        <v>15135</v>
      </c>
      <c r="G1478" s="20">
        <v>72410001</v>
      </c>
      <c r="K1478" s="20">
        <v>8784</v>
      </c>
    </row>
    <row r="1479" spans="1:13" x14ac:dyDescent="0.25">
      <c r="A1479" s="20">
        <v>91118</v>
      </c>
      <c r="B1479" s="20" t="s">
        <v>16739</v>
      </c>
      <c r="C1479" s="20">
        <v>91118</v>
      </c>
      <c r="D1479" s="20" t="e">
        <f>VLOOKUP(C1479,[1]CHILDCARE_FACILITIES!AJ:AK,2,0)</f>
        <v>#N/A</v>
      </c>
      <c r="E1479" s="20" t="s">
        <v>15134</v>
      </c>
      <c r="F1479" s="20" t="s">
        <v>15135</v>
      </c>
      <c r="G1479" s="20">
        <v>72443000</v>
      </c>
      <c r="H1479" s="20" t="s">
        <v>15136</v>
      </c>
      <c r="I1479" s="20" t="b">
        <v>1</v>
      </c>
      <c r="J1479" s="20" t="s">
        <v>18305</v>
      </c>
      <c r="K1479" s="20">
        <v>91118</v>
      </c>
      <c r="L1479" s="20" t="s">
        <v>17244</v>
      </c>
      <c r="M1479" s="20" t="s">
        <v>18306</v>
      </c>
    </row>
    <row r="1480" spans="1:13" x14ac:dyDescent="0.25">
      <c r="A1480" s="20">
        <v>91118</v>
      </c>
      <c r="B1480" s="20" t="s">
        <v>16739</v>
      </c>
      <c r="C1480" s="20">
        <v>91118</v>
      </c>
      <c r="D1480" s="20" t="e">
        <f>VLOOKUP(C1480,[1]CHILDCARE_FACILITIES!AJ:AK,2,0)</f>
        <v>#N/A</v>
      </c>
      <c r="E1480" s="20" t="s">
        <v>15134</v>
      </c>
      <c r="F1480" s="20" t="s">
        <v>15135</v>
      </c>
      <c r="G1480" s="20">
        <v>72443000</v>
      </c>
      <c r="H1480" s="20" t="s">
        <v>15138</v>
      </c>
      <c r="I1480" s="20" t="b">
        <v>1</v>
      </c>
      <c r="J1480" s="20" t="s">
        <v>18307</v>
      </c>
      <c r="K1480" s="20">
        <v>91118</v>
      </c>
      <c r="L1480" s="20" t="s">
        <v>17244</v>
      </c>
      <c r="M1480" s="20" t="s">
        <v>18308</v>
      </c>
    </row>
    <row r="1481" spans="1:13" x14ac:dyDescent="0.25">
      <c r="A1481" s="20">
        <v>91119</v>
      </c>
      <c r="B1481" s="20" t="s">
        <v>16739</v>
      </c>
      <c r="C1481" s="20">
        <v>91119</v>
      </c>
      <c r="D1481" s="20" t="e">
        <f>VLOOKUP(C1481,[1]CHILDCARE_FACILITIES!AJ:AK,2,0)</f>
        <v>#N/A</v>
      </c>
      <c r="E1481" s="20" t="s">
        <v>15134</v>
      </c>
      <c r="F1481" s="20" t="s">
        <v>15135</v>
      </c>
      <c r="G1481" s="20">
        <v>72443001</v>
      </c>
      <c r="H1481" s="20" t="s">
        <v>15136</v>
      </c>
      <c r="I1481" s="20" t="b">
        <v>1</v>
      </c>
      <c r="J1481" s="20" t="s">
        <v>18305</v>
      </c>
      <c r="K1481" s="20">
        <v>91119</v>
      </c>
      <c r="L1481" s="20" t="s">
        <v>17244</v>
      </c>
      <c r="M1481" s="20" t="s">
        <v>18306</v>
      </c>
    </row>
    <row r="1482" spans="1:13" x14ac:dyDescent="0.25">
      <c r="A1482" s="20">
        <v>91119</v>
      </c>
      <c r="B1482" s="20" t="s">
        <v>16739</v>
      </c>
      <c r="C1482" s="20">
        <v>91119</v>
      </c>
      <c r="D1482" s="20" t="e">
        <f>VLOOKUP(C1482,[1]CHILDCARE_FACILITIES!AJ:AK,2,0)</f>
        <v>#N/A</v>
      </c>
      <c r="E1482" s="20" t="s">
        <v>15134</v>
      </c>
      <c r="F1482" s="20" t="s">
        <v>15135</v>
      </c>
      <c r="G1482" s="20">
        <v>72443001</v>
      </c>
      <c r="H1482" s="20" t="s">
        <v>15138</v>
      </c>
      <c r="I1482" s="20" t="b">
        <v>1</v>
      </c>
      <c r="J1482" s="20" t="s">
        <v>18307</v>
      </c>
      <c r="K1482" s="20">
        <v>91119</v>
      </c>
      <c r="L1482" s="20" t="s">
        <v>17244</v>
      </c>
      <c r="M1482" s="20" t="s">
        <v>18308</v>
      </c>
    </row>
    <row r="1483" spans="1:13" x14ac:dyDescent="0.25">
      <c r="A1483" s="20">
        <v>87297</v>
      </c>
      <c r="B1483" s="20" t="s">
        <v>16341</v>
      </c>
      <c r="C1483" s="20">
        <v>87297</v>
      </c>
      <c r="D1483" s="20" t="str">
        <f>VLOOKUP(C1483,[1]CHILDCARE_FACILITIES!AJ:AK,2,0)</f>
        <v>CDC-11603</v>
      </c>
      <c r="E1483" s="20" t="s">
        <v>15134</v>
      </c>
      <c r="F1483" s="20" t="s">
        <v>15135</v>
      </c>
      <c r="G1483" s="20">
        <v>112265001</v>
      </c>
      <c r="H1483" s="20" t="s">
        <v>15145</v>
      </c>
      <c r="I1483" s="20" t="b">
        <v>1</v>
      </c>
      <c r="J1483" s="20" t="s">
        <v>18309</v>
      </c>
      <c r="K1483" s="20">
        <v>87297</v>
      </c>
      <c r="L1483" s="20" t="s">
        <v>17271</v>
      </c>
      <c r="M1483" s="20" t="s">
        <v>18310</v>
      </c>
    </row>
    <row r="1484" spans="1:13" x14ac:dyDescent="0.25">
      <c r="A1484" s="20">
        <v>87297</v>
      </c>
      <c r="B1484" s="20" t="s">
        <v>16341</v>
      </c>
      <c r="C1484" s="20">
        <v>87297</v>
      </c>
      <c r="D1484" s="20" t="str">
        <f>VLOOKUP(C1484,[1]CHILDCARE_FACILITIES!AJ:AK,2,0)</f>
        <v>CDC-11603</v>
      </c>
      <c r="E1484" s="20" t="s">
        <v>15134</v>
      </c>
      <c r="F1484" s="20" t="s">
        <v>15135</v>
      </c>
      <c r="G1484" s="20">
        <v>112265001</v>
      </c>
      <c r="H1484" s="20" t="s">
        <v>15138</v>
      </c>
      <c r="I1484" s="20" t="b">
        <v>1</v>
      </c>
      <c r="J1484" s="20" t="s">
        <v>18309</v>
      </c>
      <c r="K1484" s="20">
        <v>87297</v>
      </c>
      <c r="L1484" s="20" t="s">
        <v>17271</v>
      </c>
      <c r="M1484" s="20" t="s">
        <v>18310</v>
      </c>
    </row>
    <row r="1485" spans="1:13" x14ac:dyDescent="0.25">
      <c r="A1485" s="20">
        <v>1000122</v>
      </c>
      <c r="B1485" s="20" t="s">
        <v>17092</v>
      </c>
      <c r="C1485" s="20">
        <v>1000122</v>
      </c>
      <c r="D1485" s="20" t="e">
        <f>VLOOKUP(C1485,[1]CHILDCARE_FACILITIES!AJ:AK,2,0)</f>
        <v>#N/A</v>
      </c>
      <c r="E1485" s="20" t="s">
        <v>15134</v>
      </c>
      <c r="F1485" s="20" t="s">
        <v>15135</v>
      </c>
      <c r="G1485" s="20">
        <v>73351000</v>
      </c>
      <c r="H1485" s="20" t="s">
        <v>15136</v>
      </c>
      <c r="I1485" s="20" t="b">
        <v>1</v>
      </c>
      <c r="J1485" s="20" t="s">
        <v>18311</v>
      </c>
      <c r="K1485" s="20">
        <v>1000122</v>
      </c>
      <c r="L1485" s="20" t="s">
        <v>17262</v>
      </c>
      <c r="M1485" s="20" t="s">
        <v>18185</v>
      </c>
    </row>
    <row r="1486" spans="1:13" x14ac:dyDescent="0.25">
      <c r="A1486" s="20">
        <v>1000122</v>
      </c>
      <c r="B1486" s="20" t="s">
        <v>17092</v>
      </c>
      <c r="C1486" s="20">
        <v>1000122</v>
      </c>
      <c r="D1486" s="20" t="e">
        <f>VLOOKUP(C1486,[1]CHILDCARE_FACILITIES!AJ:AK,2,0)</f>
        <v>#N/A</v>
      </c>
      <c r="E1486" s="20" t="s">
        <v>15134</v>
      </c>
      <c r="F1486" s="20" t="s">
        <v>15135</v>
      </c>
      <c r="G1486" s="20">
        <v>73351000</v>
      </c>
      <c r="H1486" s="20" t="s">
        <v>15138</v>
      </c>
      <c r="I1486" s="20" t="b">
        <v>1</v>
      </c>
      <c r="J1486" s="20" t="s">
        <v>18311</v>
      </c>
      <c r="K1486" s="20">
        <v>1000122</v>
      </c>
      <c r="L1486" s="20" t="s">
        <v>17262</v>
      </c>
      <c r="M1486" s="20" t="s">
        <v>18185</v>
      </c>
    </row>
    <row r="1487" spans="1:13" x14ac:dyDescent="0.25">
      <c r="A1487" s="20">
        <v>92202</v>
      </c>
      <c r="B1487" s="20" t="s">
        <v>16843</v>
      </c>
      <c r="C1487" s="20">
        <v>92202</v>
      </c>
      <c r="D1487" s="20" t="e">
        <f>VLOOKUP(C1487,[1]CHILDCARE_FACILITIES!AJ:AK,2,0)</f>
        <v>#N/A</v>
      </c>
      <c r="E1487" s="20" t="s">
        <v>15134</v>
      </c>
      <c r="F1487" s="20" t="s">
        <v>15135</v>
      </c>
      <c r="G1487" s="20">
        <v>73307000</v>
      </c>
      <c r="H1487" s="20" t="s">
        <v>15136</v>
      </c>
      <c r="I1487" s="20" t="b">
        <v>1</v>
      </c>
      <c r="J1487" s="20" t="s">
        <v>18312</v>
      </c>
      <c r="K1487" s="20">
        <v>92202</v>
      </c>
      <c r="L1487" s="20" t="s">
        <v>17213</v>
      </c>
      <c r="M1487" s="20" t="s">
        <v>18313</v>
      </c>
    </row>
    <row r="1488" spans="1:13" x14ac:dyDescent="0.25">
      <c r="A1488" s="20">
        <v>92202</v>
      </c>
      <c r="B1488" s="20" t="s">
        <v>16843</v>
      </c>
      <c r="C1488" s="20">
        <v>92202</v>
      </c>
      <c r="D1488" s="20" t="e">
        <f>VLOOKUP(C1488,[1]CHILDCARE_FACILITIES!AJ:AK,2,0)</f>
        <v>#N/A</v>
      </c>
      <c r="E1488" s="20" t="s">
        <v>15134</v>
      </c>
      <c r="F1488" s="20" t="s">
        <v>15135</v>
      </c>
      <c r="G1488" s="20">
        <v>73307000</v>
      </c>
      <c r="H1488" s="20" t="s">
        <v>15138</v>
      </c>
      <c r="I1488" s="20" t="b">
        <v>1</v>
      </c>
      <c r="J1488" s="20" t="s">
        <v>18312</v>
      </c>
      <c r="K1488" s="20">
        <v>92202</v>
      </c>
      <c r="L1488" s="20" t="s">
        <v>17213</v>
      </c>
      <c r="M1488" s="20" t="s">
        <v>18313</v>
      </c>
    </row>
    <row r="1489" spans="1:13" x14ac:dyDescent="0.25">
      <c r="A1489" s="20">
        <v>92203</v>
      </c>
      <c r="B1489" s="20" t="s">
        <v>16843</v>
      </c>
      <c r="C1489" s="20">
        <v>92203</v>
      </c>
      <c r="D1489" s="20" t="e">
        <f>VLOOKUP(C1489,[1]CHILDCARE_FACILITIES!AJ:AK,2,0)</f>
        <v>#N/A</v>
      </c>
      <c r="E1489" s="20" t="s">
        <v>15134</v>
      </c>
      <c r="F1489" s="20" t="s">
        <v>15135</v>
      </c>
      <c r="G1489" s="20">
        <v>73307001</v>
      </c>
      <c r="H1489" s="20" t="s">
        <v>15138</v>
      </c>
      <c r="I1489" s="20" t="b">
        <v>1</v>
      </c>
      <c r="J1489" s="20" t="s">
        <v>18312</v>
      </c>
      <c r="K1489" s="20">
        <v>92203</v>
      </c>
      <c r="L1489" s="20" t="s">
        <v>17213</v>
      </c>
      <c r="M1489" s="20" t="s">
        <v>18313</v>
      </c>
    </row>
    <row r="1490" spans="1:13" x14ac:dyDescent="0.25">
      <c r="A1490" s="20">
        <v>92203</v>
      </c>
      <c r="B1490" s="20" t="s">
        <v>16843</v>
      </c>
      <c r="C1490" s="20">
        <v>92203</v>
      </c>
      <c r="D1490" s="20" t="e">
        <f>VLOOKUP(C1490,[1]CHILDCARE_FACILITIES!AJ:AK,2,0)</f>
        <v>#N/A</v>
      </c>
      <c r="E1490" s="20" t="s">
        <v>15134</v>
      </c>
      <c r="F1490" s="20" t="s">
        <v>15135</v>
      </c>
      <c r="G1490" s="20">
        <v>73307001</v>
      </c>
      <c r="H1490" s="20" t="s">
        <v>15145</v>
      </c>
      <c r="I1490" s="20" t="b">
        <v>1</v>
      </c>
      <c r="J1490" s="20" t="s">
        <v>18312</v>
      </c>
      <c r="K1490" s="20">
        <v>92203</v>
      </c>
      <c r="L1490" s="20" t="s">
        <v>17213</v>
      </c>
      <c r="M1490" s="20" t="s">
        <v>18313</v>
      </c>
    </row>
    <row r="1491" spans="1:13" x14ac:dyDescent="0.25">
      <c r="A1491" s="20">
        <v>79356</v>
      </c>
      <c r="B1491" s="20" t="s">
        <v>15956</v>
      </c>
      <c r="C1491" s="20">
        <v>79356</v>
      </c>
      <c r="D1491" s="20" t="e">
        <f>VLOOKUP(C1491,[1]CHILDCARE_FACILITIES!AJ:AK,2,0)</f>
        <v>#N/A</v>
      </c>
      <c r="E1491" s="20" t="s">
        <v>15134</v>
      </c>
      <c r="F1491" s="20" t="s">
        <v>15135</v>
      </c>
      <c r="G1491" s="20">
        <v>133021001</v>
      </c>
      <c r="H1491" s="20" t="s">
        <v>15145</v>
      </c>
      <c r="I1491" s="20" t="b">
        <v>1</v>
      </c>
      <c r="J1491" s="20" t="s">
        <v>18314</v>
      </c>
      <c r="K1491" s="20">
        <v>79356</v>
      </c>
      <c r="L1491" s="20" t="s">
        <v>17706</v>
      </c>
      <c r="M1491" s="20" t="s">
        <v>18315</v>
      </c>
    </row>
    <row r="1492" spans="1:13" x14ac:dyDescent="0.25">
      <c r="A1492" s="20">
        <v>79356</v>
      </c>
      <c r="B1492" s="20" t="s">
        <v>15956</v>
      </c>
      <c r="C1492" s="20">
        <v>79356</v>
      </c>
      <c r="D1492" s="20" t="e">
        <f>VLOOKUP(C1492,[1]CHILDCARE_FACILITIES!AJ:AK,2,0)</f>
        <v>#N/A</v>
      </c>
      <c r="E1492" s="20" t="s">
        <v>15134</v>
      </c>
      <c r="F1492" s="20" t="s">
        <v>15135</v>
      </c>
      <c r="G1492" s="20">
        <v>133021001</v>
      </c>
      <c r="H1492" s="20" t="s">
        <v>15138</v>
      </c>
      <c r="I1492" s="20" t="b">
        <v>1</v>
      </c>
      <c r="J1492" s="20" t="s">
        <v>17474</v>
      </c>
      <c r="K1492" s="20">
        <v>79356</v>
      </c>
      <c r="L1492" s="20" t="s">
        <v>17475</v>
      </c>
      <c r="M1492" s="20" t="s">
        <v>17476</v>
      </c>
    </row>
    <row r="1493" spans="1:13" x14ac:dyDescent="0.25">
      <c r="A1493" s="20">
        <v>92741</v>
      </c>
      <c r="B1493" s="20" t="s">
        <v>16918</v>
      </c>
      <c r="C1493" s="20">
        <v>92741</v>
      </c>
      <c r="D1493" s="20" t="e">
        <f>VLOOKUP(C1493,[1]CHILDCARE_FACILITIES!AJ:AK,2,0)</f>
        <v>#N/A</v>
      </c>
      <c r="E1493" s="20" t="s">
        <v>15134</v>
      </c>
      <c r="F1493" s="20" t="s">
        <v>15135</v>
      </c>
      <c r="G1493" s="20">
        <v>73319001</v>
      </c>
      <c r="H1493" s="20" t="s">
        <v>15138</v>
      </c>
      <c r="I1493" s="20" t="b">
        <v>1</v>
      </c>
      <c r="J1493" s="20" t="s">
        <v>18316</v>
      </c>
      <c r="K1493" s="20">
        <v>92741</v>
      </c>
      <c r="L1493" s="20" t="s">
        <v>17213</v>
      </c>
      <c r="M1493" s="20" t="s">
        <v>18317</v>
      </c>
    </row>
    <row r="1494" spans="1:13" x14ac:dyDescent="0.25">
      <c r="A1494" s="20">
        <v>92741</v>
      </c>
      <c r="B1494" s="20" t="s">
        <v>16918</v>
      </c>
      <c r="C1494" s="20">
        <v>92741</v>
      </c>
      <c r="D1494" s="20" t="e">
        <f>VLOOKUP(C1494,[1]CHILDCARE_FACILITIES!AJ:AK,2,0)</f>
        <v>#N/A</v>
      </c>
      <c r="E1494" s="20" t="s">
        <v>15134</v>
      </c>
      <c r="F1494" s="20" t="s">
        <v>15135</v>
      </c>
      <c r="G1494" s="20">
        <v>73319001</v>
      </c>
      <c r="H1494" s="20" t="s">
        <v>15136</v>
      </c>
      <c r="I1494" s="20" t="b">
        <v>1</v>
      </c>
      <c r="J1494" s="20" t="s">
        <v>18316</v>
      </c>
      <c r="K1494" s="20">
        <v>92741</v>
      </c>
      <c r="L1494" s="20" t="s">
        <v>17213</v>
      </c>
      <c r="M1494" s="20" t="s">
        <v>18317</v>
      </c>
    </row>
    <row r="1495" spans="1:13" x14ac:dyDescent="0.25">
      <c r="A1495" s="20">
        <v>78759</v>
      </c>
      <c r="B1495" s="20" t="s">
        <v>15884</v>
      </c>
      <c r="C1495" s="20">
        <v>78759</v>
      </c>
      <c r="D1495" s="20" t="e">
        <f>VLOOKUP(C1495,[1]CHILDCARE_FACILITIES!AJ:AK,2,0)</f>
        <v>#N/A</v>
      </c>
      <c r="E1495" s="20" t="s">
        <v>15134</v>
      </c>
      <c r="F1495" s="20" t="s">
        <v>15135</v>
      </c>
      <c r="G1495" s="20">
        <v>92204002</v>
      </c>
      <c r="K1495" s="20">
        <v>78759</v>
      </c>
    </row>
    <row r="1496" spans="1:13" x14ac:dyDescent="0.25">
      <c r="A1496" s="20">
        <v>79390</v>
      </c>
      <c r="B1496" s="20" t="s">
        <v>15967</v>
      </c>
      <c r="C1496" s="20">
        <v>79390</v>
      </c>
      <c r="D1496" s="20" t="e">
        <f>VLOOKUP(C1496,[1]CHILDCARE_FACILITIES!AJ:AK,2,0)</f>
        <v>#N/A</v>
      </c>
      <c r="E1496" s="20" t="s">
        <v>15134</v>
      </c>
      <c r="F1496" s="20" t="s">
        <v>15135</v>
      </c>
      <c r="G1496" s="20">
        <v>102261001</v>
      </c>
      <c r="H1496" s="20" t="s">
        <v>15145</v>
      </c>
      <c r="I1496" s="20" t="b">
        <v>1</v>
      </c>
      <c r="J1496" s="20" t="s">
        <v>18318</v>
      </c>
      <c r="K1496" s="20">
        <v>79390</v>
      </c>
      <c r="L1496" s="20" t="s">
        <v>17271</v>
      </c>
      <c r="M1496" s="20" t="s">
        <v>18319</v>
      </c>
    </row>
    <row r="1497" spans="1:13" x14ac:dyDescent="0.25">
      <c r="A1497" s="20">
        <v>79390</v>
      </c>
      <c r="B1497" s="20" t="s">
        <v>15967</v>
      </c>
      <c r="C1497" s="20">
        <v>79390</v>
      </c>
      <c r="D1497" s="20" t="e">
        <f>VLOOKUP(C1497,[1]CHILDCARE_FACILITIES!AJ:AK,2,0)</f>
        <v>#N/A</v>
      </c>
      <c r="E1497" s="20" t="s">
        <v>15134</v>
      </c>
      <c r="F1497" s="20" t="s">
        <v>15135</v>
      </c>
      <c r="G1497" s="20">
        <v>102261001</v>
      </c>
      <c r="H1497" s="20" t="s">
        <v>15138</v>
      </c>
      <c r="I1497" s="20" t="b">
        <v>1</v>
      </c>
      <c r="J1497" s="20" t="s">
        <v>18318</v>
      </c>
      <c r="K1497" s="20">
        <v>79390</v>
      </c>
      <c r="L1497" s="20" t="s">
        <v>17271</v>
      </c>
      <c r="M1497" s="20" t="s">
        <v>18319</v>
      </c>
    </row>
    <row r="1498" spans="1:13" x14ac:dyDescent="0.25">
      <c r="A1498" s="20">
        <v>9756</v>
      </c>
      <c r="B1498" s="20" t="s">
        <v>15651</v>
      </c>
      <c r="C1498" s="20">
        <v>9756</v>
      </c>
      <c r="D1498" s="20" t="e">
        <f>VLOOKUP(C1498,[1]CHILDCARE_FACILITIES!AJ:AK,2,0)</f>
        <v>#N/A</v>
      </c>
      <c r="E1498" s="20" t="s">
        <v>15134</v>
      </c>
      <c r="F1498" s="20" t="s">
        <v>15135</v>
      </c>
      <c r="G1498" s="20">
        <v>102231000</v>
      </c>
      <c r="K1498" s="20">
        <v>9756</v>
      </c>
    </row>
    <row r="1499" spans="1:13" x14ac:dyDescent="0.25">
      <c r="A1499" s="20">
        <v>8794</v>
      </c>
      <c r="B1499" s="20" t="s">
        <v>15285</v>
      </c>
      <c r="C1499" s="20">
        <v>8794</v>
      </c>
      <c r="D1499" s="20" t="e">
        <f>VLOOKUP(C1499,[1]CHILDCARE_FACILITIES!AJ:AK,2,0)</f>
        <v>#N/A</v>
      </c>
      <c r="E1499" s="20" t="s">
        <v>15134</v>
      </c>
      <c r="F1499" s="20" t="s">
        <v>15135</v>
      </c>
      <c r="G1499" s="20">
        <v>72513000</v>
      </c>
      <c r="H1499" s="20" t="s">
        <v>15138</v>
      </c>
      <c r="I1499" s="20" t="b">
        <v>1</v>
      </c>
      <c r="J1499" s="20" t="s">
        <v>18320</v>
      </c>
      <c r="K1499" s="20">
        <v>8794</v>
      </c>
      <c r="L1499" s="20" t="s">
        <v>17312</v>
      </c>
      <c r="M1499" s="20" t="s">
        <v>18321</v>
      </c>
    </row>
    <row r="1500" spans="1:13" x14ac:dyDescent="0.25">
      <c r="A1500" s="20">
        <v>8794</v>
      </c>
      <c r="B1500" s="20" t="s">
        <v>15285</v>
      </c>
      <c r="C1500" s="20">
        <v>8794</v>
      </c>
      <c r="D1500" s="20" t="e">
        <f>VLOOKUP(C1500,[1]CHILDCARE_FACILITIES!AJ:AK,2,0)</f>
        <v>#N/A</v>
      </c>
      <c r="E1500" s="20" t="s">
        <v>15134</v>
      </c>
      <c r="F1500" s="20" t="s">
        <v>15135</v>
      </c>
      <c r="G1500" s="20">
        <v>72513000</v>
      </c>
      <c r="H1500" s="20" t="s">
        <v>15136</v>
      </c>
      <c r="I1500" s="20" t="b">
        <v>1</v>
      </c>
      <c r="J1500" s="20" t="s">
        <v>18320</v>
      </c>
      <c r="K1500" s="20">
        <v>8794</v>
      </c>
      <c r="L1500" s="20" t="s">
        <v>17312</v>
      </c>
      <c r="M1500" s="20" t="s">
        <v>18321</v>
      </c>
    </row>
    <row r="1501" spans="1:13" x14ac:dyDescent="0.25">
      <c r="A1501" s="20">
        <v>8793</v>
      </c>
      <c r="B1501" s="20" t="s">
        <v>15283</v>
      </c>
      <c r="C1501" s="20">
        <v>8793</v>
      </c>
      <c r="D1501" s="20" t="e">
        <f>VLOOKUP(C1501,[1]CHILDCARE_FACILITIES!AJ:AK,2,0)</f>
        <v>#N/A</v>
      </c>
      <c r="E1501" s="20" t="s">
        <v>15134</v>
      </c>
      <c r="F1501" s="20" t="s">
        <v>15135</v>
      </c>
      <c r="G1501" s="20">
        <v>72512000</v>
      </c>
      <c r="H1501" s="20" t="s">
        <v>15138</v>
      </c>
      <c r="I1501" s="20" t="b">
        <v>1</v>
      </c>
      <c r="J1501" s="20" t="s">
        <v>18322</v>
      </c>
      <c r="K1501" s="20">
        <v>8793</v>
      </c>
      <c r="L1501" s="20" t="s">
        <v>17233</v>
      </c>
      <c r="M1501" s="20" t="s">
        <v>18323</v>
      </c>
    </row>
    <row r="1502" spans="1:13" x14ac:dyDescent="0.25">
      <c r="A1502" s="20">
        <v>8793</v>
      </c>
      <c r="B1502" s="20" t="s">
        <v>15283</v>
      </c>
      <c r="C1502" s="20">
        <v>8793</v>
      </c>
      <c r="D1502" s="20" t="e">
        <f>VLOOKUP(C1502,[1]CHILDCARE_FACILITIES!AJ:AK,2,0)</f>
        <v>#N/A</v>
      </c>
      <c r="E1502" s="20" t="s">
        <v>15134</v>
      </c>
      <c r="F1502" s="20" t="s">
        <v>15135</v>
      </c>
      <c r="G1502" s="20">
        <v>72512000</v>
      </c>
      <c r="H1502" s="20" t="s">
        <v>15136</v>
      </c>
      <c r="I1502" s="20" t="b">
        <v>1</v>
      </c>
      <c r="J1502" s="20" t="s">
        <v>18322</v>
      </c>
      <c r="K1502" s="20">
        <v>8793</v>
      </c>
      <c r="L1502" s="20" t="s">
        <v>17233</v>
      </c>
      <c r="M1502" s="20" t="s">
        <v>18323</v>
      </c>
    </row>
    <row r="1503" spans="1:13" x14ac:dyDescent="0.25">
      <c r="A1503" s="20">
        <v>8499</v>
      </c>
      <c r="B1503" s="20" t="s">
        <v>15154</v>
      </c>
      <c r="C1503" s="20">
        <v>8499</v>
      </c>
      <c r="D1503" s="20" t="e">
        <f>VLOOKUP(C1503,[1]CHILDCARE_FACILITIES!AJ:AK,2,0)</f>
        <v>#N/A</v>
      </c>
      <c r="E1503" s="20" t="s">
        <v>15134</v>
      </c>
      <c r="F1503" s="20" t="s">
        <v>15135</v>
      </c>
      <c r="G1503" s="20">
        <v>23004001</v>
      </c>
      <c r="K1503" s="20">
        <v>8499</v>
      </c>
    </row>
    <row r="1504" spans="1:13" x14ac:dyDescent="0.25">
      <c r="A1504" s="20">
        <v>90514</v>
      </c>
      <c r="B1504" s="20" t="s">
        <v>16642</v>
      </c>
      <c r="C1504" s="20">
        <v>90514</v>
      </c>
      <c r="D1504" s="20" t="e">
        <f>VLOOKUP(C1504,[1]CHILDCARE_FACILITIES!AJ:AK,2,0)</f>
        <v>#N/A</v>
      </c>
      <c r="E1504" s="20" t="s">
        <v>15134</v>
      </c>
      <c r="F1504" s="20" t="s">
        <v>15135</v>
      </c>
      <c r="G1504" s="20">
        <v>103217000</v>
      </c>
      <c r="H1504" s="20" t="s">
        <v>15136</v>
      </c>
      <c r="I1504" s="20" t="b">
        <v>1</v>
      </c>
      <c r="J1504" s="20" t="s">
        <v>18126</v>
      </c>
      <c r="K1504" s="20">
        <v>90514</v>
      </c>
      <c r="L1504" s="20" t="s">
        <v>17980</v>
      </c>
      <c r="M1504" s="20" t="s">
        <v>18127</v>
      </c>
    </row>
    <row r="1505" spans="1:13" x14ac:dyDescent="0.25">
      <c r="A1505" s="20">
        <v>90514</v>
      </c>
      <c r="B1505" s="20" t="s">
        <v>16642</v>
      </c>
      <c r="C1505" s="20">
        <v>90514</v>
      </c>
      <c r="D1505" s="20" t="e">
        <f>VLOOKUP(C1505,[1]CHILDCARE_FACILITIES!AJ:AK,2,0)</f>
        <v>#N/A</v>
      </c>
      <c r="E1505" s="20" t="s">
        <v>15134</v>
      </c>
      <c r="F1505" s="20" t="s">
        <v>15135</v>
      </c>
      <c r="G1505" s="20">
        <v>103217000</v>
      </c>
      <c r="H1505" s="20" t="s">
        <v>15138</v>
      </c>
      <c r="I1505" s="20" t="b">
        <v>1</v>
      </c>
      <c r="J1505" s="20" t="s">
        <v>18324</v>
      </c>
      <c r="K1505" s="20">
        <v>90514</v>
      </c>
      <c r="L1505" s="20" t="s">
        <v>17271</v>
      </c>
      <c r="M1505" s="20" t="s">
        <v>18325</v>
      </c>
    </row>
    <row r="1506" spans="1:13" x14ac:dyDescent="0.25">
      <c r="A1506" s="20">
        <v>90515</v>
      </c>
      <c r="B1506" s="20" t="s">
        <v>16642</v>
      </c>
      <c r="C1506" s="20">
        <v>90515</v>
      </c>
      <c r="D1506" s="20" t="str">
        <f>VLOOKUP(C1506,[1]CHILDCARE_FACILITIES!AJ:AK,2,0)</f>
        <v>CDC-14985</v>
      </c>
      <c r="E1506" s="20" t="s">
        <v>15134</v>
      </c>
      <c r="F1506" s="20" t="s">
        <v>15135</v>
      </c>
      <c r="G1506" s="20">
        <v>103217001</v>
      </c>
      <c r="H1506" s="20" t="s">
        <v>15138</v>
      </c>
      <c r="I1506" s="20" t="b">
        <v>1</v>
      </c>
      <c r="J1506" s="20" t="s">
        <v>18326</v>
      </c>
      <c r="K1506" s="20">
        <v>90515</v>
      </c>
      <c r="L1506" s="20" t="s">
        <v>17271</v>
      </c>
      <c r="M1506" s="20" t="s">
        <v>18325</v>
      </c>
    </row>
    <row r="1507" spans="1:13" x14ac:dyDescent="0.25">
      <c r="A1507" s="20">
        <v>90515</v>
      </c>
      <c r="B1507" s="20" t="s">
        <v>16642</v>
      </c>
      <c r="C1507" s="20">
        <v>90515</v>
      </c>
      <c r="D1507" s="20" t="str">
        <f>VLOOKUP(C1507,[1]CHILDCARE_FACILITIES!AJ:AK,2,0)</f>
        <v>CDC-14985</v>
      </c>
      <c r="E1507" s="20" t="s">
        <v>15134</v>
      </c>
      <c r="F1507" s="20" t="s">
        <v>15135</v>
      </c>
      <c r="G1507" s="20">
        <v>103217001</v>
      </c>
      <c r="H1507" s="20" t="s">
        <v>15136</v>
      </c>
      <c r="I1507" s="20" t="b">
        <v>0</v>
      </c>
      <c r="J1507" s="20" t="s">
        <v>18327</v>
      </c>
      <c r="K1507" s="20">
        <v>90515</v>
      </c>
      <c r="L1507" s="20" t="s">
        <v>18328</v>
      </c>
      <c r="M1507" s="20" t="s">
        <v>18329</v>
      </c>
    </row>
    <row r="1508" spans="1:13" x14ac:dyDescent="0.25">
      <c r="A1508" s="20">
        <v>92329</v>
      </c>
      <c r="B1508" s="20" t="s">
        <v>16854</v>
      </c>
      <c r="C1508" s="20">
        <v>92329</v>
      </c>
      <c r="D1508" s="20" t="e">
        <f>VLOOKUP(C1508,[1]CHILDCARE_FACILITIES!AJ:AK,2,0)</f>
        <v>#N/A</v>
      </c>
      <c r="E1508" s="20" t="s">
        <v>15134</v>
      </c>
      <c r="F1508" s="20" t="s">
        <v>15135</v>
      </c>
      <c r="G1508" s="20">
        <v>103149000</v>
      </c>
      <c r="H1508" s="20" t="s">
        <v>15138</v>
      </c>
      <c r="I1508" s="20" t="b">
        <v>1</v>
      </c>
      <c r="J1508" s="20" t="s">
        <v>18330</v>
      </c>
      <c r="K1508" s="20">
        <v>92329</v>
      </c>
      <c r="L1508" s="20" t="s">
        <v>17271</v>
      </c>
      <c r="M1508" s="20" t="s">
        <v>18331</v>
      </c>
    </row>
    <row r="1509" spans="1:13" x14ac:dyDescent="0.25">
      <c r="A1509" s="20">
        <v>92329</v>
      </c>
      <c r="B1509" s="20" t="s">
        <v>16854</v>
      </c>
      <c r="C1509" s="20">
        <v>92329</v>
      </c>
      <c r="D1509" s="20" t="e">
        <f>VLOOKUP(C1509,[1]CHILDCARE_FACILITIES!AJ:AK,2,0)</f>
        <v>#N/A</v>
      </c>
      <c r="E1509" s="20" t="s">
        <v>15134</v>
      </c>
      <c r="F1509" s="20" t="s">
        <v>15135</v>
      </c>
      <c r="G1509" s="20">
        <v>103149000</v>
      </c>
      <c r="H1509" s="20" t="s">
        <v>15136</v>
      </c>
      <c r="I1509" s="20" t="b">
        <v>1</v>
      </c>
      <c r="J1509" s="20" t="s">
        <v>18330</v>
      </c>
      <c r="K1509" s="20">
        <v>92329</v>
      </c>
      <c r="L1509" s="20" t="s">
        <v>17271</v>
      </c>
      <c r="M1509" s="20" t="s">
        <v>18331</v>
      </c>
    </row>
    <row r="1510" spans="1:13" x14ac:dyDescent="0.25">
      <c r="A1510" s="20">
        <v>91796</v>
      </c>
      <c r="B1510" s="20" t="s">
        <v>16794</v>
      </c>
      <c r="C1510" s="20">
        <v>91796</v>
      </c>
      <c r="D1510" s="20" t="e">
        <f>VLOOKUP(C1510,[1]CHILDCARE_FACILITIES!AJ:AK,2,0)</f>
        <v>#N/A</v>
      </c>
      <c r="E1510" s="20" t="s">
        <v>15134</v>
      </c>
      <c r="F1510" s="20" t="s">
        <v>15135</v>
      </c>
      <c r="G1510" s="20">
        <v>72448000</v>
      </c>
      <c r="H1510" s="20" t="s">
        <v>15145</v>
      </c>
      <c r="I1510" s="20" t="b">
        <v>1</v>
      </c>
      <c r="J1510" s="20" t="s">
        <v>18332</v>
      </c>
      <c r="K1510" s="20">
        <v>91796</v>
      </c>
      <c r="L1510" s="20" t="s">
        <v>17367</v>
      </c>
      <c r="M1510" s="20" t="s">
        <v>18333</v>
      </c>
    </row>
    <row r="1511" spans="1:13" x14ac:dyDescent="0.25">
      <c r="A1511" s="20">
        <v>91796</v>
      </c>
      <c r="B1511" s="20" t="s">
        <v>16794</v>
      </c>
      <c r="C1511" s="20">
        <v>91796</v>
      </c>
      <c r="D1511" s="20" t="e">
        <f>VLOOKUP(C1511,[1]CHILDCARE_FACILITIES!AJ:AK,2,0)</f>
        <v>#N/A</v>
      </c>
      <c r="E1511" s="20" t="s">
        <v>15134</v>
      </c>
      <c r="F1511" s="20" t="s">
        <v>15135</v>
      </c>
      <c r="G1511" s="20">
        <v>72448000</v>
      </c>
      <c r="H1511" s="20" t="s">
        <v>15136</v>
      </c>
      <c r="I1511" s="20" t="b">
        <v>1</v>
      </c>
      <c r="J1511" s="20" t="s">
        <v>18334</v>
      </c>
      <c r="K1511" s="20">
        <v>91796</v>
      </c>
      <c r="L1511" s="20" t="s">
        <v>17961</v>
      </c>
      <c r="M1511" s="20" t="s">
        <v>18333</v>
      </c>
    </row>
    <row r="1512" spans="1:13" x14ac:dyDescent="0.25">
      <c r="A1512" s="20">
        <v>91796</v>
      </c>
      <c r="B1512" s="20" t="s">
        <v>16794</v>
      </c>
      <c r="C1512" s="20">
        <v>91796</v>
      </c>
      <c r="D1512" s="20" t="e">
        <f>VLOOKUP(C1512,[1]CHILDCARE_FACILITIES!AJ:AK,2,0)</f>
        <v>#N/A</v>
      </c>
      <c r="E1512" s="20" t="s">
        <v>15134</v>
      </c>
      <c r="F1512" s="20" t="s">
        <v>15135</v>
      </c>
      <c r="G1512" s="20">
        <v>72448000</v>
      </c>
      <c r="H1512" s="20" t="s">
        <v>15138</v>
      </c>
      <c r="I1512" s="20" t="b">
        <v>1</v>
      </c>
      <c r="J1512" s="20" t="s">
        <v>18332</v>
      </c>
      <c r="K1512" s="20">
        <v>91796</v>
      </c>
      <c r="L1512" s="20" t="s">
        <v>17367</v>
      </c>
      <c r="M1512" s="20" t="s">
        <v>18333</v>
      </c>
    </row>
    <row r="1513" spans="1:13" x14ac:dyDescent="0.25">
      <c r="A1513" s="20">
        <v>91797</v>
      </c>
      <c r="B1513" s="20" t="s">
        <v>16794</v>
      </c>
      <c r="C1513" s="20">
        <v>91797</v>
      </c>
      <c r="D1513" s="20" t="e">
        <f>VLOOKUP(C1513,[1]CHILDCARE_FACILITIES!AJ:AK,2,0)</f>
        <v>#N/A</v>
      </c>
      <c r="E1513" s="20" t="s">
        <v>15134</v>
      </c>
      <c r="F1513" s="20" t="s">
        <v>15135</v>
      </c>
      <c r="G1513" s="20">
        <v>72448001</v>
      </c>
      <c r="H1513" s="20" t="s">
        <v>15136</v>
      </c>
      <c r="I1513" s="20" t="b">
        <v>1</v>
      </c>
      <c r="J1513" s="20" t="s">
        <v>18334</v>
      </c>
      <c r="K1513" s="20">
        <v>91797</v>
      </c>
      <c r="L1513" s="20" t="s">
        <v>17961</v>
      </c>
      <c r="M1513" s="20" t="s">
        <v>18333</v>
      </c>
    </row>
    <row r="1514" spans="1:13" x14ac:dyDescent="0.25">
      <c r="A1514" s="20">
        <v>91797</v>
      </c>
      <c r="B1514" s="20" t="s">
        <v>16794</v>
      </c>
      <c r="C1514" s="20">
        <v>91797</v>
      </c>
      <c r="D1514" s="20" t="e">
        <f>VLOOKUP(C1514,[1]CHILDCARE_FACILITIES!AJ:AK,2,0)</f>
        <v>#N/A</v>
      </c>
      <c r="E1514" s="20" t="s">
        <v>15134</v>
      </c>
      <c r="F1514" s="20" t="s">
        <v>15135</v>
      </c>
      <c r="G1514" s="20">
        <v>72448001</v>
      </c>
      <c r="H1514" s="20" t="s">
        <v>15145</v>
      </c>
      <c r="I1514" s="20" t="b">
        <v>1</v>
      </c>
      <c r="J1514" s="20" t="s">
        <v>18332</v>
      </c>
      <c r="K1514" s="20">
        <v>91797</v>
      </c>
      <c r="L1514" s="20" t="s">
        <v>17367</v>
      </c>
      <c r="M1514" s="20" t="s">
        <v>18333</v>
      </c>
    </row>
    <row r="1515" spans="1:13" x14ac:dyDescent="0.25">
      <c r="A1515" s="20">
        <v>91797</v>
      </c>
      <c r="B1515" s="20" t="s">
        <v>16794</v>
      </c>
      <c r="C1515" s="20">
        <v>91797</v>
      </c>
      <c r="D1515" s="20" t="e">
        <f>VLOOKUP(C1515,[1]CHILDCARE_FACILITIES!AJ:AK,2,0)</f>
        <v>#N/A</v>
      </c>
      <c r="E1515" s="20" t="s">
        <v>15134</v>
      </c>
      <c r="F1515" s="20" t="s">
        <v>15135</v>
      </c>
      <c r="G1515" s="20">
        <v>72448001</v>
      </c>
      <c r="H1515" s="20" t="s">
        <v>15138</v>
      </c>
      <c r="I1515" s="20" t="b">
        <v>1</v>
      </c>
      <c r="J1515" s="20" t="s">
        <v>18334</v>
      </c>
      <c r="K1515" s="20">
        <v>91797</v>
      </c>
      <c r="L1515" s="20" t="s">
        <v>17961</v>
      </c>
      <c r="M1515" s="20" t="s">
        <v>18333</v>
      </c>
    </row>
    <row r="1516" spans="1:13" x14ac:dyDescent="0.25">
      <c r="A1516" s="20">
        <v>8770</v>
      </c>
      <c r="B1516" s="20" t="s">
        <v>15263</v>
      </c>
      <c r="C1516" s="20">
        <v>8770</v>
      </c>
      <c r="D1516" s="20" t="e">
        <f>VLOOKUP(C1516,[1]CHILDCARE_FACILITIES!AJ:AK,2,0)</f>
        <v>#N/A</v>
      </c>
      <c r="E1516" s="20" t="s">
        <v>15134</v>
      </c>
      <c r="F1516" s="20" t="s">
        <v>15135</v>
      </c>
      <c r="G1516" s="20">
        <v>72405003</v>
      </c>
      <c r="K1516" s="20">
        <v>8770</v>
      </c>
    </row>
    <row r="1517" spans="1:13" x14ac:dyDescent="0.25">
      <c r="A1517" s="20">
        <v>9797</v>
      </c>
      <c r="B1517" s="20" t="s">
        <v>15263</v>
      </c>
      <c r="C1517" s="20">
        <v>9797</v>
      </c>
      <c r="D1517" s="20" t="e">
        <f>VLOOKUP(C1517,[1]CHILDCARE_FACILITIES!AJ:AK,2,0)</f>
        <v>#N/A</v>
      </c>
      <c r="E1517" s="20" t="s">
        <v>15134</v>
      </c>
      <c r="F1517" s="20" t="s">
        <v>15135</v>
      </c>
      <c r="G1517" s="20">
        <v>102253001</v>
      </c>
      <c r="K1517" s="20">
        <v>9797</v>
      </c>
    </row>
    <row r="1518" spans="1:13" x14ac:dyDescent="0.25">
      <c r="A1518" s="20">
        <v>90096</v>
      </c>
      <c r="B1518" s="20" t="s">
        <v>16540</v>
      </c>
      <c r="C1518" s="20">
        <v>90096</v>
      </c>
      <c r="D1518" s="20" t="str">
        <f>VLOOKUP(C1518,[1]CHILDCARE_FACILITIES!AJ:AK,2,0)</f>
        <v>CDC-13283</v>
      </c>
      <c r="E1518" s="20" t="s">
        <v>15134</v>
      </c>
      <c r="F1518" s="20" t="s">
        <v>15135</v>
      </c>
      <c r="G1518" s="20">
        <v>103207001</v>
      </c>
      <c r="H1518" s="20" t="s">
        <v>15138</v>
      </c>
      <c r="I1518" s="20" t="b">
        <v>1</v>
      </c>
      <c r="J1518" s="20" t="s">
        <v>18335</v>
      </c>
      <c r="K1518" s="20">
        <v>90096</v>
      </c>
      <c r="L1518" s="20" t="s">
        <v>17271</v>
      </c>
      <c r="M1518" s="20" t="s">
        <v>18336</v>
      </c>
    </row>
    <row r="1519" spans="1:13" x14ac:dyDescent="0.25">
      <c r="A1519" s="20">
        <v>90096</v>
      </c>
      <c r="B1519" s="20" t="s">
        <v>16540</v>
      </c>
      <c r="C1519" s="20">
        <v>90096</v>
      </c>
      <c r="D1519" s="20" t="str">
        <f>VLOOKUP(C1519,[1]CHILDCARE_FACILITIES!AJ:AK,2,0)</f>
        <v>CDC-13283</v>
      </c>
      <c r="E1519" s="20" t="s">
        <v>15134</v>
      </c>
      <c r="F1519" s="20" t="s">
        <v>15135</v>
      </c>
      <c r="G1519" s="20">
        <v>103207001</v>
      </c>
      <c r="H1519" s="20" t="s">
        <v>15145</v>
      </c>
      <c r="I1519" s="20" t="b">
        <v>1</v>
      </c>
      <c r="J1519" s="20" t="s">
        <v>18335</v>
      </c>
      <c r="K1519" s="20">
        <v>90096</v>
      </c>
      <c r="L1519" s="20" t="s">
        <v>17271</v>
      </c>
      <c r="M1519" s="20" t="s">
        <v>18336</v>
      </c>
    </row>
    <row r="1520" spans="1:13" x14ac:dyDescent="0.25">
      <c r="A1520" s="20">
        <v>90095</v>
      </c>
      <c r="B1520" s="20" t="s">
        <v>16537</v>
      </c>
      <c r="C1520" s="20">
        <v>90095</v>
      </c>
      <c r="D1520" s="20" t="e">
        <f>VLOOKUP(C1520,[1]CHILDCARE_FACILITIES!AJ:AK,2,0)</f>
        <v>#N/A</v>
      </c>
      <c r="E1520" s="20" t="s">
        <v>15134</v>
      </c>
      <c r="F1520" s="20" t="s">
        <v>15135</v>
      </c>
      <c r="G1520" s="20">
        <v>103207000</v>
      </c>
      <c r="H1520" s="20" t="s">
        <v>15136</v>
      </c>
      <c r="I1520" s="20" t="b">
        <v>1</v>
      </c>
      <c r="J1520" s="20" t="s">
        <v>18126</v>
      </c>
      <c r="K1520" s="20">
        <v>90095</v>
      </c>
      <c r="L1520" s="20" t="s">
        <v>17980</v>
      </c>
      <c r="M1520" s="20" t="s">
        <v>18127</v>
      </c>
    </row>
    <row r="1521" spans="1:13" x14ac:dyDescent="0.25">
      <c r="A1521" s="20">
        <v>90095</v>
      </c>
      <c r="B1521" s="20" t="s">
        <v>16537</v>
      </c>
      <c r="C1521" s="20">
        <v>90095</v>
      </c>
      <c r="D1521" s="20" t="e">
        <f>VLOOKUP(C1521,[1]CHILDCARE_FACILITIES!AJ:AK,2,0)</f>
        <v>#N/A</v>
      </c>
      <c r="E1521" s="20" t="s">
        <v>15134</v>
      </c>
      <c r="F1521" s="20" t="s">
        <v>15135</v>
      </c>
      <c r="G1521" s="20">
        <v>103207000</v>
      </c>
      <c r="H1521" s="20" t="s">
        <v>15138</v>
      </c>
      <c r="I1521" s="20" t="b">
        <v>1</v>
      </c>
      <c r="J1521" s="20" t="s">
        <v>18337</v>
      </c>
      <c r="K1521" s="20">
        <v>90095</v>
      </c>
      <c r="L1521" s="20" t="s">
        <v>17271</v>
      </c>
      <c r="M1521" s="20" t="s">
        <v>18336</v>
      </c>
    </row>
    <row r="1522" spans="1:13" x14ac:dyDescent="0.25">
      <c r="A1522" s="20">
        <v>79019</v>
      </c>
      <c r="B1522" s="20" t="s">
        <v>15891</v>
      </c>
      <c r="C1522" s="20">
        <v>79019</v>
      </c>
      <c r="D1522" s="20" t="e">
        <f>VLOOKUP(C1522,[1]CHILDCARE_FACILITIES!AJ:AK,2,0)</f>
        <v>#N/A</v>
      </c>
      <c r="E1522" s="20" t="s">
        <v>15134</v>
      </c>
      <c r="F1522" s="20" t="s">
        <v>15135</v>
      </c>
      <c r="G1522" s="20">
        <v>73447000</v>
      </c>
      <c r="H1522" s="20" t="s">
        <v>15136</v>
      </c>
      <c r="I1522" s="20" t="b">
        <v>1</v>
      </c>
      <c r="J1522" s="20" t="s">
        <v>17389</v>
      </c>
      <c r="K1522" s="20">
        <v>79019</v>
      </c>
      <c r="L1522" s="20" t="s">
        <v>17216</v>
      </c>
      <c r="M1522" s="20" t="s">
        <v>17390</v>
      </c>
    </row>
    <row r="1523" spans="1:13" x14ac:dyDescent="0.25">
      <c r="A1523" s="20">
        <v>79019</v>
      </c>
      <c r="B1523" s="20" t="s">
        <v>15891</v>
      </c>
      <c r="C1523" s="20">
        <v>79019</v>
      </c>
      <c r="D1523" s="20" t="e">
        <f>VLOOKUP(C1523,[1]CHILDCARE_FACILITIES!AJ:AK,2,0)</f>
        <v>#N/A</v>
      </c>
      <c r="E1523" s="20" t="s">
        <v>15134</v>
      </c>
      <c r="F1523" s="20" t="s">
        <v>15135</v>
      </c>
      <c r="G1523" s="20">
        <v>73447000</v>
      </c>
      <c r="H1523" s="20" t="s">
        <v>15138</v>
      </c>
      <c r="I1523" s="20" t="b">
        <v>1</v>
      </c>
      <c r="J1523" s="20" t="s">
        <v>17389</v>
      </c>
      <c r="K1523" s="20">
        <v>79019</v>
      </c>
      <c r="L1523" s="20" t="s">
        <v>17216</v>
      </c>
      <c r="M1523" s="20" t="s">
        <v>17390</v>
      </c>
    </row>
    <row r="1524" spans="1:13" x14ac:dyDescent="0.25">
      <c r="A1524" s="20">
        <v>9646</v>
      </c>
      <c r="B1524" s="20" t="s">
        <v>15622</v>
      </c>
      <c r="C1524" s="20">
        <v>9646</v>
      </c>
      <c r="D1524" s="20" t="e">
        <f>VLOOKUP(C1524,[1]CHILDCARE_FACILITIES!AJ:AK,2,0)</f>
        <v>#N/A</v>
      </c>
      <c r="E1524" s="20" t="s">
        <v>15134</v>
      </c>
      <c r="F1524" s="20" t="s">
        <v>15135</v>
      </c>
      <c r="G1524" s="20">
        <v>83012001</v>
      </c>
      <c r="K1524" s="20">
        <v>9646</v>
      </c>
    </row>
    <row r="1525" spans="1:13" x14ac:dyDescent="0.25">
      <c r="A1525" s="20">
        <v>9534</v>
      </c>
      <c r="B1525" s="20" t="s">
        <v>15585</v>
      </c>
      <c r="C1525" s="20">
        <v>9534</v>
      </c>
      <c r="D1525" s="20" t="e">
        <f>VLOOKUP(C1525,[1]CHILDCARE_FACILITIES!AJ:AK,2,0)</f>
        <v>#N/A</v>
      </c>
      <c r="E1525" s="20" t="s">
        <v>15134</v>
      </c>
      <c r="F1525" s="20" t="s">
        <v>15135</v>
      </c>
      <c r="G1525" s="20">
        <v>73293000</v>
      </c>
      <c r="H1525" s="20" t="s">
        <v>15136</v>
      </c>
      <c r="I1525" s="20" t="b">
        <v>1</v>
      </c>
      <c r="J1525" s="20" t="s">
        <v>18338</v>
      </c>
      <c r="K1525" s="20">
        <v>9534</v>
      </c>
      <c r="L1525" s="20" t="s">
        <v>17213</v>
      </c>
      <c r="M1525" s="20" t="s">
        <v>18339</v>
      </c>
    </row>
    <row r="1526" spans="1:13" x14ac:dyDescent="0.25">
      <c r="A1526" s="20">
        <v>9534</v>
      </c>
      <c r="B1526" s="20" t="s">
        <v>15585</v>
      </c>
      <c r="C1526" s="20">
        <v>9534</v>
      </c>
      <c r="D1526" s="20" t="e">
        <f>VLOOKUP(C1526,[1]CHILDCARE_FACILITIES!AJ:AK,2,0)</f>
        <v>#N/A</v>
      </c>
      <c r="E1526" s="20" t="s">
        <v>15134</v>
      </c>
      <c r="F1526" s="20" t="s">
        <v>15135</v>
      </c>
      <c r="G1526" s="20">
        <v>73293000</v>
      </c>
      <c r="H1526" s="20" t="s">
        <v>15138</v>
      </c>
      <c r="I1526" s="20" t="b">
        <v>1</v>
      </c>
      <c r="J1526" s="20" t="s">
        <v>18338</v>
      </c>
      <c r="K1526" s="20">
        <v>9534</v>
      </c>
      <c r="L1526" s="20" t="s">
        <v>17213</v>
      </c>
      <c r="M1526" s="20" t="s">
        <v>18339</v>
      </c>
    </row>
    <row r="1527" spans="1:13" x14ac:dyDescent="0.25">
      <c r="A1527" s="20">
        <v>80542</v>
      </c>
      <c r="B1527" s="20" t="s">
        <v>15585</v>
      </c>
      <c r="C1527" s="20">
        <v>80542</v>
      </c>
      <c r="D1527" s="20" t="str">
        <f>VLOOKUP(C1527,[1]CHILDCARE_FACILITIES!AJ:AK,2,0)</f>
        <v>CDC-7009</v>
      </c>
      <c r="E1527" s="20" t="s">
        <v>15134</v>
      </c>
      <c r="F1527" s="20" t="s">
        <v>15135</v>
      </c>
      <c r="G1527" s="20">
        <v>73293001</v>
      </c>
      <c r="H1527" s="20" t="s">
        <v>15145</v>
      </c>
      <c r="I1527" s="20" t="b">
        <v>1</v>
      </c>
      <c r="J1527" s="20" t="s">
        <v>18338</v>
      </c>
      <c r="K1527" s="20">
        <v>80542</v>
      </c>
      <c r="L1527" s="20" t="s">
        <v>17213</v>
      </c>
      <c r="M1527" s="20" t="s">
        <v>18339</v>
      </c>
    </row>
    <row r="1528" spans="1:13" x14ac:dyDescent="0.25">
      <c r="A1528" s="20">
        <v>80542</v>
      </c>
      <c r="B1528" s="20" t="s">
        <v>15585</v>
      </c>
      <c r="C1528" s="20">
        <v>80542</v>
      </c>
      <c r="D1528" s="20" t="str">
        <f>VLOOKUP(C1528,[1]CHILDCARE_FACILITIES!AJ:AK,2,0)</f>
        <v>CDC-7009</v>
      </c>
      <c r="E1528" s="20" t="s">
        <v>15134</v>
      </c>
      <c r="F1528" s="20" t="s">
        <v>15135</v>
      </c>
      <c r="G1528" s="20">
        <v>73293001</v>
      </c>
      <c r="H1528" s="20" t="s">
        <v>15138</v>
      </c>
      <c r="I1528" s="20" t="b">
        <v>1</v>
      </c>
      <c r="J1528" s="20" t="s">
        <v>18338</v>
      </c>
      <c r="K1528" s="20">
        <v>80542</v>
      </c>
      <c r="L1528" s="20" t="s">
        <v>17213</v>
      </c>
      <c r="M1528" s="20" t="s">
        <v>18339</v>
      </c>
    </row>
    <row r="1529" spans="1:13" x14ac:dyDescent="0.25">
      <c r="A1529" s="20">
        <v>85227</v>
      </c>
      <c r="B1529" s="20" t="s">
        <v>16306</v>
      </c>
      <c r="C1529" s="20">
        <v>85227</v>
      </c>
      <c r="D1529" s="20" t="str">
        <f>VLOOKUP(C1529,[1]CHILDCARE_FACILITIES!AJ:AK,2,0)</f>
        <v>CDC-11368</v>
      </c>
      <c r="E1529" s="20" t="s">
        <v>15134</v>
      </c>
      <c r="F1529" s="20" t="s">
        <v>15135</v>
      </c>
      <c r="G1529" s="20">
        <v>103120002</v>
      </c>
      <c r="K1529" s="20">
        <v>85227</v>
      </c>
    </row>
    <row r="1530" spans="1:13" x14ac:dyDescent="0.25">
      <c r="A1530" s="20">
        <v>10027</v>
      </c>
      <c r="B1530" s="20" t="s">
        <v>15786</v>
      </c>
      <c r="C1530" s="20">
        <v>10027</v>
      </c>
      <c r="D1530" s="20" t="e">
        <f>VLOOKUP(C1530,[1]CHILDCARE_FACILITIES!AJ:AK,2,0)</f>
        <v>#N/A</v>
      </c>
      <c r="E1530" s="20" t="s">
        <v>15134</v>
      </c>
      <c r="F1530" s="20" t="s">
        <v>15135</v>
      </c>
      <c r="G1530" s="20">
        <v>103199001</v>
      </c>
      <c r="K1530" s="20">
        <v>10027</v>
      </c>
    </row>
    <row r="1531" spans="1:13" x14ac:dyDescent="0.25">
      <c r="A1531" s="20">
        <v>84300</v>
      </c>
      <c r="B1531" s="20" t="s">
        <v>16279</v>
      </c>
      <c r="C1531" s="20">
        <v>84300</v>
      </c>
      <c r="D1531" s="20" t="e">
        <f>VLOOKUP(C1531,[1]CHILDCARE_FACILITIES!AJ:AK,2,0)</f>
        <v>#N/A</v>
      </c>
      <c r="E1531" s="20" t="s">
        <v>15134</v>
      </c>
      <c r="F1531" s="20" t="s">
        <v>15135</v>
      </c>
      <c r="G1531" s="20">
        <v>73501001</v>
      </c>
      <c r="H1531" s="20" t="s">
        <v>15145</v>
      </c>
      <c r="I1531" s="20" t="b">
        <v>0</v>
      </c>
      <c r="J1531" s="20" t="s">
        <v>18340</v>
      </c>
      <c r="K1531" s="20">
        <v>84300</v>
      </c>
      <c r="L1531" s="20" t="s">
        <v>17381</v>
      </c>
      <c r="M1531" s="20" t="s">
        <v>18137</v>
      </c>
    </row>
    <row r="1532" spans="1:13" x14ac:dyDescent="0.25">
      <c r="A1532" s="20">
        <v>84300</v>
      </c>
      <c r="B1532" s="20" t="s">
        <v>16279</v>
      </c>
      <c r="C1532" s="20">
        <v>84300</v>
      </c>
      <c r="D1532" s="20" t="e">
        <f>VLOOKUP(C1532,[1]CHILDCARE_FACILITIES!AJ:AK,2,0)</f>
        <v>#N/A</v>
      </c>
      <c r="E1532" s="20" t="s">
        <v>15134</v>
      </c>
      <c r="F1532" s="20" t="s">
        <v>15135</v>
      </c>
      <c r="G1532" s="20">
        <v>73501001</v>
      </c>
      <c r="H1532" s="20" t="s">
        <v>15138</v>
      </c>
      <c r="I1532" s="20" t="b">
        <v>0</v>
      </c>
      <c r="J1532" s="20" t="s">
        <v>18340</v>
      </c>
      <c r="K1532" s="20">
        <v>84300</v>
      </c>
      <c r="L1532" s="20" t="s">
        <v>17381</v>
      </c>
      <c r="M1532" s="20" t="s">
        <v>18137</v>
      </c>
    </row>
    <row r="1533" spans="1:13" x14ac:dyDescent="0.25">
      <c r="A1533" s="20">
        <v>8765</v>
      </c>
      <c r="B1533" s="20" t="s">
        <v>15259</v>
      </c>
      <c r="C1533" s="20">
        <v>8765</v>
      </c>
      <c r="D1533" s="20" t="e">
        <f>VLOOKUP(C1533,[1]CHILDCARE_FACILITIES!AJ:AK,2,0)</f>
        <v>#N/A</v>
      </c>
      <c r="E1533" s="20" t="s">
        <v>15134</v>
      </c>
      <c r="F1533" s="20" t="s">
        <v>15135</v>
      </c>
      <c r="G1533" s="20">
        <v>72404003</v>
      </c>
      <c r="K1533" s="20">
        <v>8765</v>
      </c>
    </row>
    <row r="1534" spans="1:13" x14ac:dyDescent="0.25">
      <c r="A1534" s="20">
        <v>87946</v>
      </c>
      <c r="B1534" s="20" t="s">
        <v>16355</v>
      </c>
      <c r="C1534" s="20">
        <v>87946</v>
      </c>
      <c r="D1534" s="20" t="e">
        <f>VLOOKUP(C1534,[1]CHILDCARE_FACILITIES!AJ:AK,2,0)</f>
        <v>#N/A</v>
      </c>
      <c r="E1534" s="20" t="s">
        <v>15134</v>
      </c>
      <c r="F1534" s="20" t="s">
        <v>15135</v>
      </c>
      <c r="G1534" s="20">
        <v>73536000</v>
      </c>
      <c r="H1534" s="20" t="s">
        <v>15136</v>
      </c>
      <c r="I1534" s="20" t="b">
        <v>1</v>
      </c>
      <c r="J1534" s="20" t="s">
        <v>18341</v>
      </c>
      <c r="K1534" s="20">
        <v>87946</v>
      </c>
      <c r="L1534" s="20" t="s">
        <v>17700</v>
      </c>
      <c r="M1534" s="20" t="s">
        <v>18342</v>
      </c>
    </row>
    <row r="1535" spans="1:13" x14ac:dyDescent="0.25">
      <c r="A1535" s="20">
        <v>87946</v>
      </c>
      <c r="B1535" s="20" t="s">
        <v>16355</v>
      </c>
      <c r="C1535" s="20">
        <v>87946</v>
      </c>
      <c r="D1535" s="20" t="e">
        <f>VLOOKUP(C1535,[1]CHILDCARE_FACILITIES!AJ:AK,2,0)</f>
        <v>#N/A</v>
      </c>
      <c r="E1535" s="20" t="s">
        <v>15134</v>
      </c>
      <c r="F1535" s="20" t="s">
        <v>15135</v>
      </c>
      <c r="G1535" s="20">
        <v>73536000</v>
      </c>
      <c r="H1535" s="20" t="s">
        <v>15138</v>
      </c>
      <c r="I1535" s="20" t="b">
        <v>1</v>
      </c>
      <c r="J1535" s="20" t="s">
        <v>18343</v>
      </c>
      <c r="K1535" s="20">
        <v>87946</v>
      </c>
      <c r="L1535" s="20" t="s">
        <v>17262</v>
      </c>
      <c r="M1535" s="20" t="s">
        <v>18344</v>
      </c>
    </row>
    <row r="1536" spans="1:13" x14ac:dyDescent="0.25">
      <c r="A1536" s="20">
        <v>80523</v>
      </c>
      <c r="B1536" s="20" t="s">
        <v>16090</v>
      </c>
      <c r="C1536" s="20">
        <v>80523</v>
      </c>
      <c r="D1536" s="20" t="str">
        <f>VLOOKUP(C1536,[1]CHILDCARE_FACILITIES!AJ:AK,2,0)</f>
        <v>CDC-9344</v>
      </c>
      <c r="E1536" s="20" t="s">
        <v>15134</v>
      </c>
      <c r="F1536" s="20" t="s">
        <v>15135</v>
      </c>
      <c r="G1536" s="20">
        <v>102218002</v>
      </c>
      <c r="H1536" s="20" t="s">
        <v>15138</v>
      </c>
      <c r="I1536" s="20" t="b">
        <v>1</v>
      </c>
      <c r="J1536" s="20" t="s">
        <v>18345</v>
      </c>
      <c r="K1536" s="20">
        <v>80523</v>
      </c>
      <c r="L1536" s="20" t="s">
        <v>18271</v>
      </c>
      <c r="M1536" s="20" t="s">
        <v>18346</v>
      </c>
    </row>
    <row r="1537" spans="1:13" x14ac:dyDescent="0.25">
      <c r="A1537" s="20">
        <v>80523</v>
      </c>
      <c r="B1537" s="20" t="s">
        <v>16090</v>
      </c>
      <c r="C1537" s="20">
        <v>80523</v>
      </c>
      <c r="D1537" s="20" t="str">
        <f>VLOOKUP(C1537,[1]CHILDCARE_FACILITIES!AJ:AK,2,0)</f>
        <v>CDC-9344</v>
      </c>
      <c r="E1537" s="20" t="s">
        <v>15134</v>
      </c>
      <c r="F1537" s="20" t="s">
        <v>15135</v>
      </c>
      <c r="G1537" s="20">
        <v>102218002</v>
      </c>
      <c r="H1537" s="20" t="s">
        <v>15145</v>
      </c>
      <c r="I1537" s="20" t="b">
        <v>1</v>
      </c>
      <c r="J1537" s="20" t="s">
        <v>18345</v>
      </c>
      <c r="K1537" s="20">
        <v>80523</v>
      </c>
      <c r="L1537" s="20" t="s">
        <v>18271</v>
      </c>
      <c r="M1537" s="20" t="s">
        <v>18346</v>
      </c>
    </row>
    <row r="1538" spans="1:13" x14ac:dyDescent="0.25">
      <c r="A1538" s="20">
        <v>80031</v>
      </c>
      <c r="B1538" s="20" t="s">
        <v>16035</v>
      </c>
      <c r="C1538" s="20">
        <v>80031</v>
      </c>
      <c r="D1538" s="20" t="e">
        <f>VLOOKUP(C1538,[1]CHILDCARE_FACILITIES!AJ:AK,2,0)</f>
        <v>#N/A</v>
      </c>
      <c r="E1538" s="20" t="s">
        <v>15134</v>
      </c>
      <c r="F1538" s="20" t="s">
        <v>15135</v>
      </c>
      <c r="G1538" s="20">
        <v>73482001</v>
      </c>
      <c r="H1538" s="20" t="s">
        <v>15138</v>
      </c>
      <c r="I1538" s="20" t="b">
        <v>1</v>
      </c>
      <c r="J1538" s="20" t="s">
        <v>18347</v>
      </c>
      <c r="K1538" s="20">
        <v>80031</v>
      </c>
      <c r="L1538" s="20" t="s">
        <v>17213</v>
      </c>
      <c r="M1538" s="20" t="s">
        <v>18348</v>
      </c>
    </row>
    <row r="1539" spans="1:13" x14ac:dyDescent="0.25">
      <c r="A1539" s="20">
        <v>80031</v>
      </c>
      <c r="B1539" s="20" t="s">
        <v>16035</v>
      </c>
      <c r="C1539" s="20">
        <v>80031</v>
      </c>
      <c r="D1539" s="20" t="e">
        <f>VLOOKUP(C1539,[1]CHILDCARE_FACILITIES!AJ:AK,2,0)</f>
        <v>#N/A</v>
      </c>
      <c r="E1539" s="20" t="s">
        <v>15134</v>
      </c>
      <c r="F1539" s="20" t="s">
        <v>15135</v>
      </c>
      <c r="G1539" s="20">
        <v>73482001</v>
      </c>
      <c r="H1539" s="20" t="s">
        <v>15145</v>
      </c>
      <c r="I1539" s="20" t="b">
        <v>1</v>
      </c>
      <c r="J1539" s="20" t="s">
        <v>18347</v>
      </c>
      <c r="K1539" s="20">
        <v>80031</v>
      </c>
      <c r="L1539" s="20" t="s">
        <v>17213</v>
      </c>
      <c r="M1539" s="20" t="s">
        <v>18348</v>
      </c>
    </row>
    <row r="1540" spans="1:13" x14ac:dyDescent="0.25">
      <c r="A1540" s="20">
        <v>88336</v>
      </c>
      <c r="B1540" s="20" t="s">
        <v>16362</v>
      </c>
      <c r="C1540" s="20">
        <v>88336</v>
      </c>
      <c r="D1540" s="20" t="e">
        <f>VLOOKUP(C1540,[1]CHILDCARE_FACILITIES!AJ:AK,2,0)</f>
        <v>#N/A</v>
      </c>
      <c r="E1540" s="20" t="s">
        <v>15134</v>
      </c>
      <c r="F1540" s="20" t="s">
        <v>15135</v>
      </c>
      <c r="G1540" s="20">
        <v>73482002</v>
      </c>
      <c r="H1540" s="20" t="s">
        <v>15145</v>
      </c>
      <c r="I1540" s="20" t="b">
        <v>1</v>
      </c>
      <c r="J1540" s="20" t="s">
        <v>17771</v>
      </c>
      <c r="K1540" s="20">
        <v>88336</v>
      </c>
      <c r="L1540" s="20" t="s">
        <v>17213</v>
      </c>
      <c r="M1540" s="20" t="s">
        <v>17772</v>
      </c>
    </row>
    <row r="1541" spans="1:13" x14ac:dyDescent="0.25">
      <c r="A1541" s="20">
        <v>88336</v>
      </c>
      <c r="B1541" s="20" t="s">
        <v>16362</v>
      </c>
      <c r="C1541" s="20">
        <v>88336</v>
      </c>
      <c r="D1541" s="20" t="e">
        <f>VLOOKUP(C1541,[1]CHILDCARE_FACILITIES!AJ:AK,2,0)</f>
        <v>#N/A</v>
      </c>
      <c r="E1541" s="20" t="s">
        <v>15134</v>
      </c>
      <c r="F1541" s="20" t="s">
        <v>15135</v>
      </c>
      <c r="G1541" s="20">
        <v>73482002</v>
      </c>
      <c r="H1541" s="20" t="s">
        <v>15138</v>
      </c>
      <c r="I1541" s="20" t="b">
        <v>1</v>
      </c>
      <c r="J1541" s="20" t="s">
        <v>18347</v>
      </c>
      <c r="K1541" s="20">
        <v>88336</v>
      </c>
      <c r="L1541" s="20" t="s">
        <v>17213</v>
      </c>
      <c r="M1541" s="20" t="s">
        <v>18348</v>
      </c>
    </row>
    <row r="1542" spans="1:13" x14ac:dyDescent="0.25">
      <c r="A1542" s="20">
        <v>9357</v>
      </c>
      <c r="B1542" s="20" t="s">
        <v>15485</v>
      </c>
      <c r="C1542" s="20">
        <v>9357</v>
      </c>
      <c r="D1542" s="20" t="e">
        <f>VLOOKUP(C1542,[1]CHILDCARE_FACILITIES!AJ:AK,2,0)</f>
        <v>#N/A</v>
      </c>
      <c r="E1542" s="20" t="s">
        <v>15134</v>
      </c>
      <c r="F1542" s="20" t="s">
        <v>15135</v>
      </c>
      <c r="G1542" s="20">
        <v>73224001</v>
      </c>
      <c r="K1542" s="20">
        <v>9357</v>
      </c>
    </row>
    <row r="1543" spans="1:13" x14ac:dyDescent="0.25">
      <c r="A1543" s="20">
        <v>92123</v>
      </c>
      <c r="B1543" s="20" t="s">
        <v>16838</v>
      </c>
      <c r="C1543" s="20">
        <v>92123</v>
      </c>
      <c r="D1543" s="20" t="e">
        <f>VLOOKUP(C1543,[1]CHILDCARE_FACILITIES!AJ:AK,2,0)</f>
        <v>#N/A</v>
      </c>
      <c r="E1543" s="20" t="s">
        <v>15134</v>
      </c>
      <c r="F1543" s="20" t="s">
        <v>15135</v>
      </c>
      <c r="G1543" s="20">
        <v>103147001</v>
      </c>
      <c r="H1543" s="20" t="s">
        <v>15145</v>
      </c>
      <c r="I1543" s="20" t="b">
        <v>1</v>
      </c>
      <c r="J1543" s="20" t="s">
        <v>18349</v>
      </c>
      <c r="K1543" s="20">
        <v>92123</v>
      </c>
      <c r="L1543" s="20" t="s">
        <v>17271</v>
      </c>
      <c r="M1543" s="20" t="s">
        <v>18350</v>
      </c>
    </row>
    <row r="1544" spans="1:13" x14ac:dyDescent="0.25">
      <c r="A1544" s="20">
        <v>9601</v>
      </c>
      <c r="B1544" s="20" t="s">
        <v>15600</v>
      </c>
      <c r="C1544" s="20">
        <v>9601</v>
      </c>
      <c r="D1544" s="20" t="e">
        <f>VLOOKUP(C1544,[1]CHILDCARE_FACILITIES!AJ:AK,2,0)</f>
        <v>#N/A</v>
      </c>
      <c r="E1544" s="20" t="s">
        <v>15134</v>
      </c>
      <c r="F1544" s="20" t="s">
        <v>15135</v>
      </c>
      <c r="G1544" s="20">
        <v>72451003</v>
      </c>
      <c r="H1544" s="20" t="s">
        <v>15138</v>
      </c>
      <c r="I1544" s="20" t="b">
        <v>1</v>
      </c>
      <c r="J1544" s="20" t="s">
        <v>18351</v>
      </c>
      <c r="K1544" s="20">
        <v>9601</v>
      </c>
      <c r="L1544" s="20" t="s">
        <v>17233</v>
      </c>
      <c r="M1544" s="20" t="s">
        <v>18352</v>
      </c>
    </row>
    <row r="1545" spans="1:13" x14ac:dyDescent="0.25">
      <c r="A1545" s="20">
        <v>90764</v>
      </c>
      <c r="B1545" s="20" t="s">
        <v>16680</v>
      </c>
      <c r="C1545" s="20">
        <v>90764</v>
      </c>
      <c r="D1545" s="20" t="e">
        <f>VLOOKUP(C1545,[1]CHILDCARE_FACILITIES!AJ:AK,2,0)</f>
        <v>#N/A</v>
      </c>
      <c r="E1545" s="20" t="s">
        <v>15134</v>
      </c>
      <c r="F1545" s="20" t="s">
        <v>15135</v>
      </c>
      <c r="G1545" s="20">
        <v>73710001</v>
      </c>
      <c r="H1545" s="20" t="s">
        <v>15145</v>
      </c>
      <c r="I1545" s="20" t="b">
        <v>1</v>
      </c>
      <c r="J1545" s="20" t="s">
        <v>17316</v>
      </c>
      <c r="K1545" s="20">
        <v>90764</v>
      </c>
      <c r="L1545" s="20" t="s">
        <v>17233</v>
      </c>
      <c r="M1545" s="20" t="s">
        <v>17317</v>
      </c>
    </row>
    <row r="1546" spans="1:13" x14ac:dyDescent="0.25">
      <c r="A1546" s="20">
        <v>8753</v>
      </c>
      <c r="B1546" s="20" t="s">
        <v>15249</v>
      </c>
      <c r="C1546" s="20">
        <v>8753</v>
      </c>
      <c r="D1546" s="20" t="e">
        <f>VLOOKUP(C1546,[1]CHILDCARE_FACILITIES!AJ:AK,2,0)</f>
        <v>#N/A</v>
      </c>
      <c r="E1546" s="20" t="s">
        <v>15134</v>
      </c>
      <c r="F1546" s="20" t="s">
        <v>15135</v>
      </c>
      <c r="G1546" s="20">
        <v>72401004</v>
      </c>
      <c r="H1546" s="20" t="s">
        <v>15136</v>
      </c>
      <c r="I1546" s="20" t="b">
        <v>1</v>
      </c>
      <c r="J1546" s="20" t="s">
        <v>17426</v>
      </c>
      <c r="K1546" s="20">
        <v>8753</v>
      </c>
      <c r="L1546" s="20" t="s">
        <v>17213</v>
      </c>
      <c r="M1546" s="20" t="s">
        <v>17427</v>
      </c>
    </row>
    <row r="1547" spans="1:13" x14ac:dyDescent="0.25">
      <c r="A1547" s="20">
        <v>8753</v>
      </c>
      <c r="B1547" s="20" t="s">
        <v>15249</v>
      </c>
      <c r="C1547" s="20">
        <v>8753</v>
      </c>
      <c r="D1547" s="20" t="e">
        <f>VLOOKUP(C1547,[1]CHILDCARE_FACILITIES!AJ:AK,2,0)</f>
        <v>#N/A</v>
      </c>
      <c r="E1547" s="20" t="s">
        <v>15134</v>
      </c>
      <c r="F1547" s="20" t="s">
        <v>15135</v>
      </c>
      <c r="G1547" s="20">
        <v>72401004</v>
      </c>
      <c r="H1547" s="20" t="s">
        <v>15138</v>
      </c>
      <c r="I1547" s="20" t="b">
        <v>1</v>
      </c>
      <c r="J1547" s="20" t="s">
        <v>18353</v>
      </c>
      <c r="K1547" s="20">
        <v>8753</v>
      </c>
      <c r="L1547" s="20" t="s">
        <v>17233</v>
      </c>
      <c r="M1547" s="20" t="s">
        <v>18354</v>
      </c>
    </row>
    <row r="1548" spans="1:13" x14ac:dyDescent="0.25">
      <c r="A1548" s="20">
        <v>90839</v>
      </c>
      <c r="B1548" s="20" t="s">
        <v>16699</v>
      </c>
      <c r="C1548" s="20">
        <v>90839</v>
      </c>
      <c r="D1548" s="20" t="e">
        <f>VLOOKUP(C1548,[1]CHILDCARE_FACILITIES!AJ:AK,2,0)</f>
        <v>#N/A</v>
      </c>
      <c r="E1548" s="20" t="s">
        <v>15134</v>
      </c>
      <c r="F1548" s="20" t="s">
        <v>15135</v>
      </c>
      <c r="G1548" s="20">
        <v>103082008</v>
      </c>
      <c r="H1548" s="20" t="s">
        <v>15136</v>
      </c>
      <c r="I1548" s="20" t="b">
        <v>1</v>
      </c>
      <c r="J1548" s="20" t="s">
        <v>18355</v>
      </c>
      <c r="K1548" s="20">
        <v>90839</v>
      </c>
      <c r="L1548" s="20" t="s">
        <v>17233</v>
      </c>
      <c r="M1548" s="20" t="s">
        <v>18356</v>
      </c>
    </row>
    <row r="1549" spans="1:13" x14ac:dyDescent="0.25">
      <c r="A1549" s="20">
        <v>90839</v>
      </c>
      <c r="B1549" s="20" t="s">
        <v>16699</v>
      </c>
      <c r="C1549" s="20">
        <v>90839</v>
      </c>
      <c r="D1549" s="20" t="e">
        <f>VLOOKUP(C1549,[1]CHILDCARE_FACILITIES!AJ:AK,2,0)</f>
        <v>#N/A</v>
      </c>
      <c r="E1549" s="20" t="s">
        <v>15134</v>
      </c>
      <c r="F1549" s="20" t="s">
        <v>15135</v>
      </c>
      <c r="G1549" s="20">
        <v>103082008</v>
      </c>
      <c r="H1549" s="20" t="s">
        <v>15138</v>
      </c>
      <c r="I1549" s="20" t="b">
        <v>1</v>
      </c>
      <c r="J1549" s="20" t="s">
        <v>18355</v>
      </c>
      <c r="K1549" s="20">
        <v>90839</v>
      </c>
      <c r="L1549" s="20" t="s">
        <v>17233</v>
      </c>
      <c r="M1549" s="20" t="s">
        <v>18356</v>
      </c>
    </row>
    <row r="1550" spans="1:13" x14ac:dyDescent="0.25">
      <c r="A1550" s="20">
        <v>8740</v>
      </c>
      <c r="B1550" s="20" t="s">
        <v>15236</v>
      </c>
      <c r="C1550" s="20">
        <v>8740</v>
      </c>
      <c r="D1550" s="20" t="e">
        <f>VLOOKUP(C1550,[1]CHILDCARE_FACILITIES!AJ:AK,2,0)</f>
        <v>#N/A</v>
      </c>
      <c r="E1550" s="20" t="s">
        <v>15134</v>
      </c>
      <c r="F1550" s="20" t="s">
        <v>15135</v>
      </c>
      <c r="G1550" s="20">
        <v>72296000</v>
      </c>
      <c r="K1550" s="20">
        <v>8740</v>
      </c>
    </row>
    <row r="1551" spans="1:13" x14ac:dyDescent="0.25">
      <c r="A1551" s="20">
        <v>8741</v>
      </c>
      <c r="B1551" s="20" t="s">
        <v>15237</v>
      </c>
      <c r="C1551" s="20">
        <v>8741</v>
      </c>
      <c r="D1551" s="20" t="e">
        <f>VLOOKUP(C1551,[1]CHILDCARE_FACILITIES!AJ:AK,2,0)</f>
        <v>#N/A</v>
      </c>
      <c r="E1551" s="20" t="s">
        <v>15134</v>
      </c>
      <c r="F1551" s="20" t="s">
        <v>15135</v>
      </c>
      <c r="G1551" s="20">
        <v>72296001</v>
      </c>
      <c r="K1551" s="20">
        <v>8741</v>
      </c>
    </row>
    <row r="1552" spans="1:13" x14ac:dyDescent="0.25">
      <c r="A1552" s="20">
        <v>78724</v>
      </c>
      <c r="B1552" s="20" t="s">
        <v>15875</v>
      </c>
      <c r="C1552" s="20">
        <v>78724</v>
      </c>
      <c r="D1552" s="20" t="e">
        <f>VLOOKUP(C1552,[1]CHILDCARE_FACILITIES!AJ:AK,2,0)</f>
        <v>#N/A</v>
      </c>
      <c r="E1552" s="20" t="s">
        <v>15134</v>
      </c>
      <c r="F1552" s="20" t="s">
        <v>15135</v>
      </c>
      <c r="G1552" s="20">
        <v>72418001</v>
      </c>
      <c r="K1552" s="20">
        <v>78724</v>
      </c>
    </row>
    <row r="1553" spans="1:13" x14ac:dyDescent="0.25">
      <c r="A1553" s="20">
        <v>8679</v>
      </c>
      <c r="B1553" s="20" t="s">
        <v>15191</v>
      </c>
      <c r="C1553" s="20">
        <v>8679</v>
      </c>
      <c r="D1553" s="20" t="e">
        <f>VLOOKUP(C1553,[1]CHILDCARE_FACILITIES!AJ:AK,2,0)</f>
        <v>#N/A</v>
      </c>
      <c r="E1553" s="20" t="s">
        <v>15134</v>
      </c>
      <c r="F1553" s="20" t="s">
        <v>15135</v>
      </c>
      <c r="G1553" s="20">
        <v>72215000</v>
      </c>
      <c r="H1553" s="20" t="s">
        <v>15145</v>
      </c>
      <c r="I1553" s="20" t="b">
        <v>1</v>
      </c>
      <c r="J1553" s="20" t="s">
        <v>17378</v>
      </c>
      <c r="K1553" s="20">
        <v>8679</v>
      </c>
      <c r="L1553" s="20" t="s">
        <v>17213</v>
      </c>
      <c r="M1553" s="20" t="s">
        <v>17379</v>
      </c>
    </row>
    <row r="1554" spans="1:13" x14ac:dyDescent="0.25">
      <c r="A1554" s="20">
        <v>8679</v>
      </c>
      <c r="B1554" s="20" t="s">
        <v>15191</v>
      </c>
      <c r="C1554" s="20">
        <v>8679</v>
      </c>
      <c r="D1554" s="20" t="e">
        <f>VLOOKUP(C1554,[1]CHILDCARE_FACILITIES!AJ:AK,2,0)</f>
        <v>#N/A</v>
      </c>
      <c r="E1554" s="20" t="s">
        <v>15134</v>
      </c>
      <c r="F1554" s="20" t="s">
        <v>15135</v>
      </c>
      <c r="G1554" s="20">
        <v>72215000</v>
      </c>
      <c r="H1554" s="20" t="s">
        <v>15138</v>
      </c>
      <c r="I1554" s="20" t="b">
        <v>1</v>
      </c>
      <c r="J1554" s="20" t="s">
        <v>17378</v>
      </c>
      <c r="K1554" s="20">
        <v>8679</v>
      </c>
      <c r="L1554" s="20" t="s">
        <v>17213</v>
      </c>
      <c r="M1554" s="20" t="s">
        <v>17379</v>
      </c>
    </row>
    <row r="1555" spans="1:13" x14ac:dyDescent="0.25">
      <c r="A1555" s="20">
        <v>8680</v>
      </c>
      <c r="B1555" s="20" t="s">
        <v>15193</v>
      </c>
      <c r="C1555" s="20">
        <v>8680</v>
      </c>
      <c r="D1555" s="20" t="str">
        <f>VLOOKUP(C1555,[1]CHILDCARE_FACILITIES!AJ:AK,2,0)</f>
        <v>CDC-18750</v>
      </c>
      <c r="E1555" s="20" t="s">
        <v>15134</v>
      </c>
      <c r="F1555" s="20" t="s">
        <v>15135</v>
      </c>
      <c r="G1555" s="20">
        <v>72215001</v>
      </c>
      <c r="H1555" s="20" t="s">
        <v>15136</v>
      </c>
      <c r="I1555" s="20" t="b">
        <v>1</v>
      </c>
      <c r="J1555" s="20" t="s">
        <v>18357</v>
      </c>
      <c r="K1555" s="20">
        <v>8680</v>
      </c>
      <c r="L1555" s="20" t="s">
        <v>17228</v>
      </c>
      <c r="M1555" s="20" t="s">
        <v>17379</v>
      </c>
    </row>
    <row r="1556" spans="1:13" x14ac:dyDescent="0.25">
      <c r="A1556" s="20">
        <v>8680</v>
      </c>
      <c r="B1556" s="20" t="s">
        <v>15193</v>
      </c>
      <c r="C1556" s="20">
        <v>8680</v>
      </c>
      <c r="D1556" s="20" t="str">
        <f>VLOOKUP(C1556,[1]CHILDCARE_FACILITIES!AJ:AK,2,0)</f>
        <v>CDC-18750</v>
      </c>
      <c r="E1556" s="20" t="s">
        <v>15134</v>
      </c>
      <c r="F1556" s="20" t="s">
        <v>15135</v>
      </c>
      <c r="G1556" s="20">
        <v>72215001</v>
      </c>
      <c r="H1556" s="20" t="s">
        <v>15138</v>
      </c>
      <c r="I1556" s="20" t="b">
        <v>1</v>
      </c>
      <c r="J1556" s="20" t="s">
        <v>18357</v>
      </c>
      <c r="K1556" s="20">
        <v>8680</v>
      </c>
      <c r="L1556" s="20" t="s">
        <v>17228</v>
      </c>
      <c r="M1556" s="20" t="s">
        <v>17379</v>
      </c>
    </row>
    <row r="1557" spans="1:13" x14ac:dyDescent="0.25">
      <c r="A1557" s="20">
        <v>91325</v>
      </c>
      <c r="B1557" s="20" t="s">
        <v>16774</v>
      </c>
      <c r="C1557" s="20">
        <v>91325</v>
      </c>
      <c r="D1557" s="20" t="e">
        <f>VLOOKUP(C1557,[1]CHILDCARE_FACILITIES!AJ:AK,2,0)</f>
        <v>#N/A</v>
      </c>
      <c r="E1557" s="20" t="s">
        <v>15134</v>
      </c>
      <c r="F1557" s="20" t="s">
        <v>15135</v>
      </c>
      <c r="G1557" s="20">
        <v>72214001</v>
      </c>
      <c r="H1557" s="20" t="s">
        <v>15138</v>
      </c>
      <c r="I1557" s="20" t="b">
        <v>1</v>
      </c>
      <c r="J1557" s="20" t="s">
        <v>17376</v>
      </c>
      <c r="K1557" s="20">
        <v>91325</v>
      </c>
      <c r="L1557" s="20" t="s">
        <v>17213</v>
      </c>
      <c r="M1557" s="20" t="s">
        <v>17377</v>
      </c>
    </row>
    <row r="1558" spans="1:13" x14ac:dyDescent="0.25">
      <c r="A1558" s="20">
        <v>91325</v>
      </c>
      <c r="B1558" s="20" t="s">
        <v>16774</v>
      </c>
      <c r="C1558" s="20">
        <v>91325</v>
      </c>
      <c r="D1558" s="20" t="e">
        <f>VLOOKUP(C1558,[1]CHILDCARE_FACILITIES!AJ:AK,2,0)</f>
        <v>#N/A</v>
      </c>
      <c r="E1558" s="20" t="s">
        <v>15134</v>
      </c>
      <c r="F1558" s="20" t="s">
        <v>15135</v>
      </c>
      <c r="G1558" s="20">
        <v>72214001</v>
      </c>
      <c r="H1558" s="20" t="s">
        <v>15145</v>
      </c>
      <c r="I1558" s="20" t="b">
        <v>1</v>
      </c>
      <c r="J1558" s="20" t="s">
        <v>17378</v>
      </c>
      <c r="K1558" s="20">
        <v>91325</v>
      </c>
      <c r="L1558" s="20" t="s">
        <v>17213</v>
      </c>
      <c r="M1558" s="20" t="s">
        <v>17379</v>
      </c>
    </row>
    <row r="1559" spans="1:13" x14ac:dyDescent="0.25">
      <c r="A1559" s="20">
        <v>92703</v>
      </c>
      <c r="B1559" s="20" t="s">
        <v>16904</v>
      </c>
      <c r="C1559" s="20">
        <v>92703</v>
      </c>
      <c r="D1559" s="20" t="str">
        <f>VLOOKUP(C1559,[1]CHILDCARE_FACILITIES!AJ:AK,2,0)</f>
        <v>CDC-17117</v>
      </c>
      <c r="E1559" s="20" t="s">
        <v>15134</v>
      </c>
      <c r="F1559" s="20" t="s">
        <v>15135</v>
      </c>
      <c r="G1559" s="20">
        <v>103207002</v>
      </c>
      <c r="K1559" s="20">
        <v>92703</v>
      </c>
    </row>
    <row r="1560" spans="1:13" x14ac:dyDescent="0.25">
      <c r="A1560" s="20">
        <v>90071</v>
      </c>
      <c r="B1560" s="20" t="s">
        <v>16520</v>
      </c>
      <c r="C1560" s="20">
        <v>90071</v>
      </c>
      <c r="D1560" s="20" t="e">
        <f>VLOOKUP(C1560,[1]CHILDCARE_FACILITIES!AJ:AK,2,0)</f>
        <v>#N/A</v>
      </c>
      <c r="E1560" s="20" t="s">
        <v>15134</v>
      </c>
      <c r="F1560" s="20" t="s">
        <v>15135</v>
      </c>
      <c r="G1560" s="20">
        <v>73567001</v>
      </c>
      <c r="H1560" s="20" t="s">
        <v>15138</v>
      </c>
      <c r="I1560" s="20" t="b">
        <v>1</v>
      </c>
      <c r="J1560" s="20" t="s">
        <v>18358</v>
      </c>
      <c r="K1560" s="20">
        <v>90071</v>
      </c>
      <c r="L1560" s="20" t="s">
        <v>17213</v>
      </c>
      <c r="M1560" s="20" t="s">
        <v>18359</v>
      </c>
    </row>
    <row r="1561" spans="1:13" x14ac:dyDescent="0.25">
      <c r="A1561" s="20">
        <v>90071</v>
      </c>
      <c r="B1561" s="20" t="s">
        <v>16520</v>
      </c>
      <c r="C1561" s="20">
        <v>90071</v>
      </c>
      <c r="D1561" s="20" t="e">
        <f>VLOOKUP(C1561,[1]CHILDCARE_FACILITIES!AJ:AK,2,0)</f>
        <v>#N/A</v>
      </c>
      <c r="E1561" s="20" t="s">
        <v>15134</v>
      </c>
      <c r="F1561" s="20" t="s">
        <v>15135</v>
      </c>
      <c r="G1561" s="20">
        <v>73567001</v>
      </c>
      <c r="H1561" s="20" t="s">
        <v>15145</v>
      </c>
      <c r="I1561" s="20" t="b">
        <v>1</v>
      </c>
      <c r="J1561" s="20" t="s">
        <v>18358</v>
      </c>
      <c r="K1561" s="20">
        <v>90071</v>
      </c>
      <c r="L1561" s="20" t="s">
        <v>17213</v>
      </c>
      <c r="M1561" s="20" t="s">
        <v>18359</v>
      </c>
    </row>
    <row r="1562" spans="1:13" x14ac:dyDescent="0.25">
      <c r="A1562" s="20">
        <v>9404</v>
      </c>
      <c r="B1562" s="20" t="s">
        <v>15511</v>
      </c>
      <c r="C1562" s="20">
        <v>9404</v>
      </c>
      <c r="D1562" s="20" t="e">
        <f>VLOOKUP(C1562,[1]CHILDCARE_FACILITIES!AJ:AK,2,0)</f>
        <v>#N/A</v>
      </c>
      <c r="E1562" s="20" t="s">
        <v>15134</v>
      </c>
      <c r="F1562" s="20" t="s">
        <v>15135</v>
      </c>
      <c r="G1562" s="20">
        <v>73248002</v>
      </c>
      <c r="K1562" s="20">
        <v>9404</v>
      </c>
    </row>
    <row r="1563" spans="1:13" x14ac:dyDescent="0.25">
      <c r="A1563" s="20">
        <v>9405</v>
      </c>
      <c r="B1563" s="20" t="s">
        <v>15512</v>
      </c>
      <c r="C1563" s="20">
        <v>9405</v>
      </c>
      <c r="D1563" s="20" t="e">
        <f>VLOOKUP(C1563,[1]CHILDCARE_FACILITIES!AJ:AK,2,0)</f>
        <v>#N/A</v>
      </c>
      <c r="E1563" s="20" t="s">
        <v>15134</v>
      </c>
      <c r="F1563" s="20" t="s">
        <v>15135</v>
      </c>
      <c r="G1563" s="20">
        <v>73248003</v>
      </c>
      <c r="K1563" s="20">
        <v>9405</v>
      </c>
    </row>
    <row r="1564" spans="1:13" x14ac:dyDescent="0.25">
      <c r="A1564" s="20">
        <v>9037</v>
      </c>
      <c r="B1564" s="20" t="s">
        <v>15330</v>
      </c>
      <c r="C1564" s="20">
        <v>9037</v>
      </c>
      <c r="D1564" s="20" t="e">
        <f>VLOOKUP(C1564,[1]CHILDCARE_FACILITIES!AJ:AK,2,0)</f>
        <v>#N/A</v>
      </c>
      <c r="E1564" s="20" t="s">
        <v>15134</v>
      </c>
      <c r="F1564" s="20" t="s">
        <v>15135</v>
      </c>
      <c r="G1564" s="20">
        <v>73033001</v>
      </c>
      <c r="K1564" s="20">
        <v>9037</v>
      </c>
    </row>
    <row r="1565" spans="1:13" x14ac:dyDescent="0.25">
      <c r="A1565" s="20">
        <v>9145</v>
      </c>
      <c r="B1565" s="20" t="s">
        <v>15378</v>
      </c>
      <c r="C1565" s="20">
        <v>9145</v>
      </c>
      <c r="D1565" s="20" t="e">
        <f>VLOOKUP(C1565,[1]CHILDCARE_FACILITIES!AJ:AK,2,0)</f>
        <v>#N/A</v>
      </c>
      <c r="E1565" s="20" t="s">
        <v>15134</v>
      </c>
      <c r="F1565" s="20" t="s">
        <v>15135</v>
      </c>
      <c r="G1565" s="20">
        <v>73097001</v>
      </c>
      <c r="K1565" s="20">
        <v>9145</v>
      </c>
    </row>
    <row r="1566" spans="1:13" x14ac:dyDescent="0.25">
      <c r="A1566" s="20">
        <v>9747</v>
      </c>
      <c r="B1566" s="20" t="s">
        <v>15648</v>
      </c>
      <c r="C1566" s="20">
        <v>9747</v>
      </c>
      <c r="D1566" s="20" t="str">
        <f>VLOOKUP(C1566,[1]CHILDCARE_FACILITIES!AJ:AK,2,0)</f>
        <v>CDC-0007</v>
      </c>
      <c r="E1566" s="20" t="s">
        <v>15134</v>
      </c>
      <c r="F1566" s="20" t="s">
        <v>15135</v>
      </c>
      <c r="G1566" s="20">
        <v>102221001</v>
      </c>
      <c r="K1566" s="20">
        <v>9747</v>
      </c>
    </row>
    <row r="1567" spans="1:13" x14ac:dyDescent="0.25">
      <c r="A1567" s="20">
        <v>9081</v>
      </c>
      <c r="B1567" s="20" t="s">
        <v>15347</v>
      </c>
      <c r="C1567" s="20">
        <v>9081</v>
      </c>
      <c r="D1567" s="20" t="e">
        <f>VLOOKUP(C1567,[1]CHILDCARE_FACILITIES!AJ:AK,2,0)</f>
        <v>#N/A</v>
      </c>
      <c r="E1567" s="20" t="s">
        <v>15134</v>
      </c>
      <c r="F1567" s="20" t="s">
        <v>15135</v>
      </c>
      <c r="G1567" s="20">
        <v>73062001</v>
      </c>
      <c r="K1567" s="20">
        <v>9081</v>
      </c>
    </row>
    <row r="1568" spans="1:13" x14ac:dyDescent="0.25">
      <c r="A1568" s="20">
        <v>89814</v>
      </c>
      <c r="B1568" s="20" t="s">
        <v>16458</v>
      </c>
      <c r="C1568" s="20">
        <v>89814</v>
      </c>
      <c r="D1568" s="20" t="e">
        <f>VLOOKUP(C1568,[1]CHILDCARE_FACILITIES!AJ:AK,2,0)</f>
        <v>#N/A</v>
      </c>
      <c r="E1568" s="20" t="s">
        <v>15134</v>
      </c>
      <c r="F1568" s="20" t="s">
        <v>15135</v>
      </c>
      <c r="G1568" s="20">
        <v>73563000</v>
      </c>
      <c r="H1568" s="20" t="s">
        <v>15138</v>
      </c>
      <c r="I1568" s="20" t="b">
        <v>1</v>
      </c>
      <c r="J1568" s="20" t="s">
        <v>17569</v>
      </c>
      <c r="K1568" s="20">
        <v>89814</v>
      </c>
      <c r="L1568" s="20" t="s">
        <v>17236</v>
      </c>
      <c r="M1568" s="20" t="s">
        <v>17570</v>
      </c>
    </row>
    <row r="1569" spans="1:13" x14ac:dyDescent="0.25">
      <c r="A1569" s="20">
        <v>89814</v>
      </c>
      <c r="B1569" s="20" t="s">
        <v>16458</v>
      </c>
      <c r="C1569" s="20">
        <v>89814</v>
      </c>
      <c r="D1569" s="20" t="e">
        <f>VLOOKUP(C1569,[1]CHILDCARE_FACILITIES!AJ:AK,2,0)</f>
        <v>#N/A</v>
      </c>
      <c r="E1569" s="20" t="s">
        <v>15134</v>
      </c>
      <c r="F1569" s="20" t="s">
        <v>15135</v>
      </c>
      <c r="G1569" s="20">
        <v>73563000</v>
      </c>
      <c r="H1569" s="20" t="s">
        <v>15136</v>
      </c>
      <c r="I1569" s="20" t="b">
        <v>1</v>
      </c>
      <c r="J1569" s="20" t="s">
        <v>17569</v>
      </c>
      <c r="K1569" s="20">
        <v>89814</v>
      </c>
      <c r="L1569" s="20" t="s">
        <v>17236</v>
      </c>
      <c r="M1569" s="20" t="s">
        <v>17570</v>
      </c>
    </row>
    <row r="1570" spans="1:13" x14ac:dyDescent="0.25">
      <c r="A1570" s="20">
        <v>90092</v>
      </c>
      <c r="B1570" s="20" t="s">
        <v>16536</v>
      </c>
      <c r="C1570" s="20">
        <v>90092</v>
      </c>
      <c r="D1570" s="20" t="str">
        <f>VLOOKUP(C1570,[1]CHILDCARE_FACILITIES!AJ:AK,2,0)</f>
        <v>CDC-15879</v>
      </c>
      <c r="E1570" s="20" t="s">
        <v>15134</v>
      </c>
      <c r="F1570" s="20" t="s">
        <v>15135</v>
      </c>
      <c r="G1570" s="20">
        <v>73571001</v>
      </c>
      <c r="H1570" s="20" t="s">
        <v>15138</v>
      </c>
      <c r="I1570" s="20" t="b">
        <v>1</v>
      </c>
      <c r="J1570" s="20" t="s">
        <v>17554</v>
      </c>
      <c r="K1570" s="20">
        <v>90092</v>
      </c>
      <c r="L1570" s="20" t="s">
        <v>17367</v>
      </c>
      <c r="M1570" s="20" t="s">
        <v>17555</v>
      </c>
    </row>
    <row r="1571" spans="1:13" x14ac:dyDescent="0.25">
      <c r="A1571" s="20">
        <v>90092</v>
      </c>
      <c r="B1571" s="20" t="s">
        <v>16536</v>
      </c>
      <c r="C1571" s="20">
        <v>90092</v>
      </c>
      <c r="D1571" s="20" t="str">
        <f>VLOOKUP(C1571,[1]CHILDCARE_FACILITIES!AJ:AK,2,0)</f>
        <v>CDC-15879</v>
      </c>
      <c r="E1571" s="20" t="s">
        <v>15134</v>
      </c>
      <c r="F1571" s="20" t="s">
        <v>15135</v>
      </c>
      <c r="G1571" s="20">
        <v>73571001</v>
      </c>
      <c r="H1571" s="20" t="s">
        <v>15145</v>
      </c>
      <c r="I1571" s="20" t="b">
        <v>1</v>
      </c>
      <c r="J1571" s="20" t="s">
        <v>17554</v>
      </c>
      <c r="K1571" s="20">
        <v>90092</v>
      </c>
      <c r="L1571" s="20" t="s">
        <v>17367</v>
      </c>
      <c r="M1571" s="20" t="s">
        <v>17555</v>
      </c>
    </row>
    <row r="1572" spans="1:13" x14ac:dyDescent="0.25">
      <c r="A1572" s="20">
        <v>90091</v>
      </c>
      <c r="B1572" s="20" t="s">
        <v>16535</v>
      </c>
      <c r="C1572" s="20">
        <v>90091</v>
      </c>
      <c r="D1572" s="20" t="e">
        <f>VLOOKUP(C1572,[1]CHILDCARE_FACILITIES!AJ:AK,2,0)</f>
        <v>#N/A</v>
      </c>
      <c r="E1572" s="20" t="s">
        <v>15134</v>
      </c>
      <c r="F1572" s="20" t="s">
        <v>15135</v>
      </c>
      <c r="G1572" s="20">
        <v>73571000</v>
      </c>
      <c r="H1572" s="20" t="s">
        <v>15136</v>
      </c>
      <c r="I1572" s="20" t="b">
        <v>1</v>
      </c>
      <c r="J1572" s="20" t="s">
        <v>17554</v>
      </c>
      <c r="K1572" s="20">
        <v>90091</v>
      </c>
      <c r="L1572" s="20" t="s">
        <v>17367</v>
      </c>
      <c r="M1572" s="20" t="s">
        <v>17555</v>
      </c>
    </row>
    <row r="1573" spans="1:13" x14ac:dyDescent="0.25">
      <c r="A1573" s="20">
        <v>90091</v>
      </c>
      <c r="B1573" s="20" t="s">
        <v>16535</v>
      </c>
      <c r="C1573" s="20">
        <v>90091</v>
      </c>
      <c r="D1573" s="20" t="e">
        <f>VLOOKUP(C1573,[1]CHILDCARE_FACILITIES!AJ:AK,2,0)</f>
        <v>#N/A</v>
      </c>
      <c r="E1573" s="20" t="s">
        <v>15134</v>
      </c>
      <c r="F1573" s="20" t="s">
        <v>15135</v>
      </c>
      <c r="G1573" s="20">
        <v>73571000</v>
      </c>
      <c r="H1573" s="20" t="s">
        <v>15138</v>
      </c>
      <c r="I1573" s="20" t="b">
        <v>1</v>
      </c>
      <c r="J1573" s="20" t="s">
        <v>17554</v>
      </c>
      <c r="K1573" s="20">
        <v>90091</v>
      </c>
      <c r="L1573" s="20" t="s">
        <v>17367</v>
      </c>
      <c r="M1573" s="20" t="s">
        <v>17555</v>
      </c>
    </row>
    <row r="1574" spans="1:13" x14ac:dyDescent="0.25">
      <c r="A1574" s="20">
        <v>454207</v>
      </c>
      <c r="B1574" s="20" t="s">
        <v>16995</v>
      </c>
      <c r="C1574" s="20">
        <v>454207</v>
      </c>
      <c r="D1574" s="20" t="str">
        <f>VLOOKUP(C1574,[1]CHILDCARE_FACILITIES!AJ:AK,2,0)</f>
        <v>CDC-17633</v>
      </c>
      <c r="E1574" s="20" t="s">
        <v>15134</v>
      </c>
      <c r="F1574" s="20" t="s">
        <v>15135</v>
      </c>
      <c r="G1574" s="20">
        <v>103207003</v>
      </c>
      <c r="K1574" s="20">
        <v>454207</v>
      </c>
    </row>
    <row r="1575" spans="1:13" x14ac:dyDescent="0.25">
      <c r="A1575" s="20">
        <v>9681</v>
      </c>
      <c r="B1575" s="20" t="s">
        <v>15628</v>
      </c>
      <c r="C1575" s="20">
        <v>9681</v>
      </c>
      <c r="D1575" s="20" t="e">
        <f>VLOOKUP(C1575,[1]CHILDCARE_FACILITIES!AJ:AK,2,0)</f>
        <v>#N/A</v>
      </c>
      <c r="E1575" s="20" t="s">
        <v>15134</v>
      </c>
      <c r="F1575" s="20" t="s">
        <v>15135</v>
      </c>
      <c r="G1575" s="20">
        <v>93011001</v>
      </c>
      <c r="K1575" s="20">
        <v>9681</v>
      </c>
    </row>
    <row r="1576" spans="1:13" x14ac:dyDescent="0.25">
      <c r="A1576" s="20">
        <v>9170</v>
      </c>
      <c r="B1576" s="20" t="s">
        <v>15388</v>
      </c>
      <c r="C1576" s="20">
        <v>9170</v>
      </c>
      <c r="D1576" s="20" t="e">
        <f>VLOOKUP(C1576,[1]CHILDCARE_FACILITIES!AJ:AK,2,0)</f>
        <v>#N/A</v>
      </c>
      <c r="E1576" s="20" t="s">
        <v>15134</v>
      </c>
      <c r="F1576" s="20" t="s">
        <v>15135</v>
      </c>
      <c r="G1576" s="20">
        <v>73112001</v>
      </c>
      <c r="K1576" s="20">
        <v>9170</v>
      </c>
    </row>
    <row r="1577" spans="1:13" x14ac:dyDescent="0.25">
      <c r="A1577" s="20">
        <v>9160</v>
      </c>
      <c r="B1577" s="20" t="s">
        <v>15385</v>
      </c>
      <c r="C1577" s="20">
        <v>9160</v>
      </c>
      <c r="D1577" s="20" t="e">
        <f>VLOOKUP(C1577,[1]CHILDCARE_FACILITIES!AJ:AK,2,0)</f>
        <v>#N/A</v>
      </c>
      <c r="E1577" s="20" t="s">
        <v>15134</v>
      </c>
      <c r="F1577" s="20" t="s">
        <v>15135</v>
      </c>
      <c r="G1577" s="20">
        <v>73107001</v>
      </c>
      <c r="K1577" s="20">
        <v>9160</v>
      </c>
    </row>
    <row r="1578" spans="1:13" x14ac:dyDescent="0.25">
      <c r="A1578" s="20">
        <v>9401</v>
      </c>
      <c r="B1578" s="20" t="s">
        <v>15385</v>
      </c>
      <c r="C1578" s="20">
        <v>9401</v>
      </c>
      <c r="D1578" s="20" t="e">
        <f>VLOOKUP(C1578,[1]CHILDCARE_FACILITIES!AJ:AK,2,0)</f>
        <v>#N/A</v>
      </c>
      <c r="E1578" s="20" t="s">
        <v>15134</v>
      </c>
      <c r="F1578" s="20" t="s">
        <v>15135</v>
      </c>
      <c r="G1578" s="20">
        <v>73247001</v>
      </c>
      <c r="K1578" s="20">
        <v>9401</v>
      </c>
    </row>
    <row r="1579" spans="1:13" x14ac:dyDescent="0.25">
      <c r="A1579" s="20">
        <v>9415</v>
      </c>
      <c r="B1579" s="20" t="s">
        <v>15515</v>
      </c>
      <c r="C1579" s="20">
        <v>9415</v>
      </c>
      <c r="D1579" s="20" t="e">
        <f>VLOOKUP(C1579,[1]CHILDCARE_FACILITIES!AJ:AK,2,0)</f>
        <v>#N/A</v>
      </c>
      <c r="E1579" s="20" t="s">
        <v>15134</v>
      </c>
      <c r="F1579" s="20" t="s">
        <v>15135</v>
      </c>
      <c r="G1579" s="20">
        <v>73253001</v>
      </c>
      <c r="K1579" s="20">
        <v>9415</v>
      </c>
    </row>
    <row r="1580" spans="1:13" x14ac:dyDescent="0.25">
      <c r="A1580" s="20">
        <v>80993</v>
      </c>
      <c r="B1580" s="20" t="s">
        <v>16258</v>
      </c>
      <c r="C1580" s="20">
        <v>80993</v>
      </c>
      <c r="D1580" s="20" t="e">
        <f>VLOOKUP(C1580,[1]CHILDCARE_FACILITIES!AJ:AK,2,0)</f>
        <v>#N/A</v>
      </c>
      <c r="E1580" s="20" t="s">
        <v>15134</v>
      </c>
      <c r="F1580" s="20" t="s">
        <v>15135</v>
      </c>
      <c r="G1580" s="20">
        <v>73011001</v>
      </c>
      <c r="H1580" s="20" t="s">
        <v>15138</v>
      </c>
      <c r="I1580" s="20" t="b">
        <v>1</v>
      </c>
      <c r="J1580" s="20" t="s">
        <v>18360</v>
      </c>
      <c r="K1580" s="20">
        <v>80993</v>
      </c>
      <c r="L1580" s="20" t="s">
        <v>17239</v>
      </c>
      <c r="M1580" s="20" t="s">
        <v>17885</v>
      </c>
    </row>
    <row r="1581" spans="1:13" x14ac:dyDescent="0.25">
      <c r="A1581" s="20">
        <v>80993</v>
      </c>
      <c r="B1581" s="20" t="s">
        <v>16258</v>
      </c>
      <c r="C1581" s="20">
        <v>80993</v>
      </c>
      <c r="D1581" s="20" t="e">
        <f>VLOOKUP(C1581,[1]CHILDCARE_FACILITIES!AJ:AK,2,0)</f>
        <v>#N/A</v>
      </c>
      <c r="E1581" s="20" t="s">
        <v>15134</v>
      </c>
      <c r="F1581" s="20" t="s">
        <v>15135</v>
      </c>
      <c r="G1581" s="20">
        <v>73011001</v>
      </c>
      <c r="H1581" s="20" t="s">
        <v>15145</v>
      </c>
      <c r="I1581" s="20" t="b">
        <v>1</v>
      </c>
      <c r="J1581" s="20" t="s">
        <v>18360</v>
      </c>
      <c r="K1581" s="20">
        <v>80993</v>
      </c>
      <c r="L1581" s="20" t="s">
        <v>17239</v>
      </c>
      <c r="M1581" s="20" t="s">
        <v>17885</v>
      </c>
    </row>
    <row r="1582" spans="1:13" x14ac:dyDescent="0.25">
      <c r="A1582" s="20">
        <v>90896</v>
      </c>
      <c r="B1582" s="20" t="s">
        <v>16711</v>
      </c>
      <c r="C1582" s="20">
        <v>90896</v>
      </c>
      <c r="D1582" s="20" t="e">
        <f>VLOOKUP(C1582,[1]CHILDCARE_FACILITIES!AJ:AK,2,0)</f>
        <v>#N/A</v>
      </c>
      <c r="E1582" s="20" t="s">
        <v>15134</v>
      </c>
      <c r="F1582" s="20" t="s">
        <v>15135</v>
      </c>
      <c r="G1582" s="20">
        <v>73011002</v>
      </c>
      <c r="H1582" s="20" t="s">
        <v>15145</v>
      </c>
      <c r="I1582" s="20" t="b">
        <v>1</v>
      </c>
      <c r="J1582" s="20" t="s">
        <v>18361</v>
      </c>
      <c r="K1582" s="20">
        <v>90896</v>
      </c>
      <c r="L1582" s="20" t="s">
        <v>17239</v>
      </c>
      <c r="M1582" s="20" t="s">
        <v>18362</v>
      </c>
    </row>
    <row r="1583" spans="1:13" x14ac:dyDescent="0.25">
      <c r="A1583" s="20">
        <v>80991</v>
      </c>
      <c r="B1583" s="20" t="s">
        <v>16256</v>
      </c>
      <c r="C1583" s="20">
        <v>80991</v>
      </c>
      <c r="D1583" s="20" t="e">
        <f>VLOOKUP(C1583,[1]CHILDCARE_FACILITIES!AJ:AK,2,0)</f>
        <v>#N/A</v>
      </c>
      <c r="E1583" s="20" t="s">
        <v>15134</v>
      </c>
      <c r="F1583" s="20" t="s">
        <v>15135</v>
      </c>
      <c r="G1583" s="20">
        <v>73011000</v>
      </c>
      <c r="H1583" s="20" t="s">
        <v>15138</v>
      </c>
      <c r="I1583" s="20" t="b">
        <v>1</v>
      </c>
      <c r="J1583" s="20" t="s">
        <v>18360</v>
      </c>
      <c r="K1583" s="20">
        <v>80991</v>
      </c>
      <c r="L1583" s="20" t="s">
        <v>17239</v>
      </c>
      <c r="M1583" s="20" t="s">
        <v>17885</v>
      </c>
    </row>
    <row r="1584" spans="1:13" x14ac:dyDescent="0.25">
      <c r="A1584" s="20">
        <v>80991</v>
      </c>
      <c r="B1584" s="20" t="s">
        <v>16256</v>
      </c>
      <c r="C1584" s="20">
        <v>80991</v>
      </c>
      <c r="D1584" s="20" t="e">
        <f>VLOOKUP(C1584,[1]CHILDCARE_FACILITIES!AJ:AK,2,0)</f>
        <v>#N/A</v>
      </c>
      <c r="E1584" s="20" t="s">
        <v>15134</v>
      </c>
      <c r="F1584" s="20" t="s">
        <v>15135</v>
      </c>
      <c r="G1584" s="20">
        <v>73011000</v>
      </c>
      <c r="H1584" s="20" t="s">
        <v>15136</v>
      </c>
      <c r="I1584" s="20" t="b">
        <v>1</v>
      </c>
      <c r="J1584" s="20" t="s">
        <v>18360</v>
      </c>
      <c r="K1584" s="20">
        <v>80991</v>
      </c>
      <c r="L1584" s="20" t="s">
        <v>17239</v>
      </c>
      <c r="M1584" s="20" t="s">
        <v>17885</v>
      </c>
    </row>
    <row r="1585" spans="1:13" x14ac:dyDescent="0.25">
      <c r="A1585" s="20">
        <v>80967</v>
      </c>
      <c r="B1585" s="20" t="s">
        <v>16255</v>
      </c>
      <c r="C1585" s="20">
        <v>80967</v>
      </c>
      <c r="D1585" s="20" t="e">
        <f>VLOOKUP(C1585,[1]CHILDCARE_FACILITIES!AJ:AK,2,0)</f>
        <v>#N/A</v>
      </c>
      <c r="E1585" s="20" t="s">
        <v>15134</v>
      </c>
      <c r="F1585" s="20" t="s">
        <v>15135</v>
      </c>
      <c r="G1585" s="20">
        <v>73001003</v>
      </c>
      <c r="H1585" s="20" t="s">
        <v>15138</v>
      </c>
      <c r="I1585" s="20" t="b">
        <v>1</v>
      </c>
      <c r="J1585" s="20" t="s">
        <v>17521</v>
      </c>
      <c r="K1585" s="20">
        <v>80967</v>
      </c>
      <c r="L1585" s="20" t="s">
        <v>17213</v>
      </c>
      <c r="M1585" s="20" t="s">
        <v>17522</v>
      </c>
    </row>
    <row r="1586" spans="1:13" x14ac:dyDescent="0.25">
      <c r="A1586" s="20">
        <v>80967</v>
      </c>
      <c r="B1586" s="20" t="s">
        <v>16255</v>
      </c>
      <c r="C1586" s="20">
        <v>80967</v>
      </c>
      <c r="D1586" s="20" t="e">
        <f>VLOOKUP(C1586,[1]CHILDCARE_FACILITIES!AJ:AK,2,0)</f>
        <v>#N/A</v>
      </c>
      <c r="E1586" s="20" t="s">
        <v>15134</v>
      </c>
      <c r="F1586" s="20" t="s">
        <v>15135</v>
      </c>
      <c r="G1586" s="20">
        <v>73001003</v>
      </c>
      <c r="H1586" s="20" t="s">
        <v>15145</v>
      </c>
      <c r="I1586" s="20" t="b">
        <v>1</v>
      </c>
      <c r="J1586" s="20" t="s">
        <v>17633</v>
      </c>
      <c r="K1586" s="20">
        <v>80967</v>
      </c>
      <c r="L1586" s="20" t="s">
        <v>17213</v>
      </c>
      <c r="M1586" s="20" t="s">
        <v>17634</v>
      </c>
    </row>
    <row r="1587" spans="1:13" x14ac:dyDescent="0.25">
      <c r="A1587" s="20">
        <v>80646</v>
      </c>
      <c r="B1587" s="20" t="s">
        <v>16157</v>
      </c>
      <c r="C1587" s="20">
        <v>80646</v>
      </c>
      <c r="D1587" s="20" t="str">
        <f>VLOOKUP(C1587,[1]CHILDCARE_FACILITIES!AJ:AK,2,0)</f>
        <v>CDC-8368</v>
      </c>
      <c r="E1587" s="20" t="s">
        <v>15134</v>
      </c>
      <c r="F1587" s="20" t="s">
        <v>15135</v>
      </c>
      <c r="G1587" s="20">
        <v>73439001</v>
      </c>
      <c r="H1587" s="20" t="s">
        <v>15136</v>
      </c>
      <c r="I1587" s="20" t="b">
        <v>1</v>
      </c>
      <c r="J1587" s="20" t="s">
        <v>17521</v>
      </c>
      <c r="K1587" s="20">
        <v>80646</v>
      </c>
      <c r="L1587" s="20" t="s">
        <v>17213</v>
      </c>
      <c r="M1587" s="20" t="s">
        <v>17522</v>
      </c>
    </row>
    <row r="1588" spans="1:13" x14ac:dyDescent="0.25">
      <c r="A1588" s="20">
        <v>80646</v>
      </c>
      <c r="B1588" s="20" t="s">
        <v>16157</v>
      </c>
      <c r="C1588" s="20">
        <v>80646</v>
      </c>
      <c r="D1588" s="20" t="str">
        <f>VLOOKUP(C1588,[1]CHILDCARE_FACILITIES!AJ:AK,2,0)</f>
        <v>CDC-8368</v>
      </c>
      <c r="E1588" s="20" t="s">
        <v>15134</v>
      </c>
      <c r="F1588" s="20" t="s">
        <v>15135</v>
      </c>
      <c r="G1588" s="20">
        <v>73439001</v>
      </c>
      <c r="H1588" s="20" t="s">
        <v>15138</v>
      </c>
      <c r="I1588" s="20" t="b">
        <v>1</v>
      </c>
      <c r="J1588" s="20" t="s">
        <v>17633</v>
      </c>
      <c r="K1588" s="20">
        <v>80646</v>
      </c>
      <c r="L1588" s="20" t="s">
        <v>17213</v>
      </c>
      <c r="M1588" s="20" t="s">
        <v>17634</v>
      </c>
    </row>
    <row r="1589" spans="1:13" x14ac:dyDescent="0.25">
      <c r="A1589" s="20">
        <v>88450</v>
      </c>
      <c r="B1589" s="20" t="s">
        <v>16376</v>
      </c>
      <c r="C1589" s="20">
        <v>88450</v>
      </c>
      <c r="D1589" s="20" t="e">
        <f>VLOOKUP(C1589,[1]CHILDCARE_FACILITIES!AJ:AK,2,0)</f>
        <v>#N/A</v>
      </c>
      <c r="E1589" s="20" t="s">
        <v>15134</v>
      </c>
      <c r="F1589" s="20" t="s">
        <v>15135</v>
      </c>
      <c r="G1589" s="20">
        <v>143021000</v>
      </c>
      <c r="H1589" s="20" t="s">
        <v>15136</v>
      </c>
      <c r="I1589" s="20" t="b">
        <v>1</v>
      </c>
      <c r="J1589" s="20" t="s">
        <v>18363</v>
      </c>
      <c r="K1589" s="20">
        <v>88450</v>
      </c>
      <c r="L1589" s="20" t="s">
        <v>17335</v>
      </c>
      <c r="M1589" s="20" t="s">
        <v>17450</v>
      </c>
    </row>
    <row r="1590" spans="1:13" x14ac:dyDescent="0.25">
      <c r="A1590" s="20">
        <v>88450</v>
      </c>
      <c r="B1590" s="20" t="s">
        <v>16376</v>
      </c>
      <c r="C1590" s="20">
        <v>88450</v>
      </c>
      <c r="D1590" s="20" t="e">
        <f>VLOOKUP(C1590,[1]CHILDCARE_FACILITIES!AJ:AK,2,0)</f>
        <v>#N/A</v>
      </c>
      <c r="E1590" s="20" t="s">
        <v>15134</v>
      </c>
      <c r="F1590" s="20" t="s">
        <v>15135</v>
      </c>
      <c r="G1590" s="20">
        <v>143021000</v>
      </c>
      <c r="H1590" s="20" t="s">
        <v>15138</v>
      </c>
      <c r="I1590" s="20" t="b">
        <v>1</v>
      </c>
      <c r="J1590" s="20" t="s">
        <v>18363</v>
      </c>
      <c r="K1590" s="20">
        <v>88450</v>
      </c>
      <c r="L1590" s="20" t="s">
        <v>17335</v>
      </c>
      <c r="M1590" s="20" t="s">
        <v>17450</v>
      </c>
    </row>
    <row r="1591" spans="1:13" x14ac:dyDescent="0.25">
      <c r="A1591" s="20">
        <v>88451</v>
      </c>
      <c r="B1591" s="20" t="s">
        <v>16376</v>
      </c>
      <c r="C1591" s="20">
        <v>88451</v>
      </c>
      <c r="D1591" s="20" t="str">
        <f>VLOOKUP(C1591,[1]CHILDCARE_FACILITIES!AJ:AK,2,0)</f>
        <v>CDC-18365</v>
      </c>
      <c r="E1591" s="20" t="s">
        <v>15134</v>
      </c>
      <c r="F1591" s="20" t="s">
        <v>15135</v>
      </c>
      <c r="G1591" s="20">
        <v>143021001</v>
      </c>
      <c r="H1591" s="20" t="s">
        <v>15138</v>
      </c>
      <c r="I1591" s="20" t="b">
        <v>1</v>
      </c>
      <c r="J1591" s="20" t="s">
        <v>18364</v>
      </c>
      <c r="K1591" s="20">
        <v>88451</v>
      </c>
      <c r="L1591" s="20" t="s">
        <v>17335</v>
      </c>
      <c r="M1591" s="20" t="s">
        <v>18365</v>
      </c>
    </row>
    <row r="1592" spans="1:13" x14ac:dyDescent="0.25">
      <c r="A1592" s="20">
        <v>88451</v>
      </c>
      <c r="B1592" s="20" t="s">
        <v>16376</v>
      </c>
      <c r="C1592" s="20">
        <v>88451</v>
      </c>
      <c r="D1592" s="20" t="str">
        <f>VLOOKUP(C1592,[1]CHILDCARE_FACILITIES!AJ:AK,2,0)</f>
        <v>CDC-18365</v>
      </c>
      <c r="E1592" s="20" t="s">
        <v>15134</v>
      </c>
      <c r="F1592" s="20" t="s">
        <v>15135</v>
      </c>
      <c r="G1592" s="20">
        <v>143021001</v>
      </c>
      <c r="H1592" s="20" t="s">
        <v>15136</v>
      </c>
      <c r="I1592" s="20" t="b">
        <v>1</v>
      </c>
      <c r="J1592" s="20" t="s">
        <v>18364</v>
      </c>
      <c r="K1592" s="20">
        <v>88451</v>
      </c>
      <c r="L1592" s="20" t="s">
        <v>17335</v>
      </c>
      <c r="M1592" s="20" t="s">
        <v>18365</v>
      </c>
    </row>
    <row r="1593" spans="1:13" x14ac:dyDescent="0.25">
      <c r="A1593" s="20">
        <v>8775</v>
      </c>
      <c r="B1593" s="20" t="s">
        <v>15266</v>
      </c>
      <c r="C1593" s="20">
        <v>8775</v>
      </c>
      <c r="D1593" s="20" t="e">
        <f>VLOOKUP(C1593,[1]CHILDCARE_FACILITIES!AJ:AK,2,0)</f>
        <v>#N/A</v>
      </c>
      <c r="E1593" s="20" t="s">
        <v>15134</v>
      </c>
      <c r="F1593" s="20" t="s">
        <v>15135</v>
      </c>
      <c r="G1593" s="20">
        <v>72407000</v>
      </c>
      <c r="K1593" s="20">
        <v>8775</v>
      </c>
    </row>
    <row r="1594" spans="1:13" x14ac:dyDescent="0.25">
      <c r="A1594" s="20">
        <v>8528</v>
      </c>
      <c r="B1594" s="20" t="s">
        <v>15161</v>
      </c>
      <c r="C1594" s="20">
        <v>8528</v>
      </c>
      <c r="D1594" s="20" t="e">
        <f>VLOOKUP(C1594,[1]CHILDCARE_FACILITIES!AJ:AK,2,0)</f>
        <v>#N/A</v>
      </c>
      <c r="E1594" s="20" t="s">
        <v>15134</v>
      </c>
      <c r="F1594" s="20" t="s">
        <v>15135</v>
      </c>
      <c r="G1594" s="20">
        <v>32208000</v>
      </c>
      <c r="K1594" s="20">
        <v>8528</v>
      </c>
    </row>
    <row r="1595" spans="1:13" x14ac:dyDescent="0.25">
      <c r="A1595" s="20">
        <v>8675</v>
      </c>
      <c r="B1595" s="20" t="s">
        <v>15187</v>
      </c>
      <c r="C1595" s="20">
        <v>8675</v>
      </c>
      <c r="D1595" s="20" t="e">
        <f>VLOOKUP(C1595,[1]CHILDCARE_FACILITIES!AJ:AK,2,0)</f>
        <v>#N/A</v>
      </c>
      <c r="E1595" s="20" t="s">
        <v>15134</v>
      </c>
      <c r="F1595" s="20" t="s">
        <v>15135</v>
      </c>
      <c r="G1595" s="20">
        <v>72212000</v>
      </c>
      <c r="K1595" s="20">
        <v>8675</v>
      </c>
    </row>
    <row r="1596" spans="1:13" x14ac:dyDescent="0.25">
      <c r="A1596" s="20">
        <v>10157</v>
      </c>
      <c r="B1596" s="20" t="s">
        <v>15821</v>
      </c>
      <c r="C1596" s="20">
        <v>10157</v>
      </c>
      <c r="D1596" s="20" t="e">
        <f>VLOOKUP(C1596,[1]CHILDCARE_FACILITIES!AJ:AK,2,0)</f>
        <v>#N/A</v>
      </c>
      <c r="E1596" s="20" t="s">
        <v>15134</v>
      </c>
      <c r="F1596" s="20" t="s">
        <v>15135</v>
      </c>
      <c r="G1596" s="20">
        <v>133019001</v>
      </c>
      <c r="K1596" s="20">
        <v>10157</v>
      </c>
    </row>
    <row r="1597" spans="1:13" x14ac:dyDescent="0.25">
      <c r="A1597" s="20">
        <v>78774</v>
      </c>
      <c r="B1597" s="20" t="s">
        <v>15890</v>
      </c>
      <c r="C1597" s="20">
        <v>78774</v>
      </c>
      <c r="D1597" s="20" t="e">
        <f>VLOOKUP(C1597,[1]CHILDCARE_FACILITIES!AJ:AK,2,0)</f>
        <v>#N/A</v>
      </c>
      <c r="E1597" s="20" t="s">
        <v>15134</v>
      </c>
      <c r="F1597" s="20" t="s">
        <v>15135</v>
      </c>
      <c r="G1597" s="20">
        <v>132204000</v>
      </c>
      <c r="K1597" s="20">
        <v>78774</v>
      </c>
    </row>
    <row r="1598" spans="1:13" x14ac:dyDescent="0.25">
      <c r="A1598" s="20">
        <v>89743</v>
      </c>
      <c r="B1598" s="20" t="s">
        <v>16448</v>
      </c>
      <c r="C1598" s="20">
        <v>89743</v>
      </c>
      <c r="D1598" s="20" t="e">
        <f>VLOOKUP(C1598,[1]CHILDCARE_FACILITIES!AJ:AK,2,0)</f>
        <v>#N/A</v>
      </c>
      <c r="E1598" s="20" t="s">
        <v>15134</v>
      </c>
      <c r="F1598" s="20" t="s">
        <v>15135</v>
      </c>
      <c r="G1598" s="20">
        <v>103134001</v>
      </c>
      <c r="H1598" s="20" t="s">
        <v>15145</v>
      </c>
      <c r="I1598" s="20" t="b">
        <v>1</v>
      </c>
      <c r="J1598" s="20" t="s">
        <v>17811</v>
      </c>
      <c r="K1598" s="20">
        <v>89743</v>
      </c>
      <c r="L1598" s="20" t="s">
        <v>17271</v>
      </c>
      <c r="M1598" s="20" t="s">
        <v>17812</v>
      </c>
    </row>
    <row r="1599" spans="1:13" x14ac:dyDescent="0.25">
      <c r="A1599" s="20">
        <v>9315</v>
      </c>
      <c r="B1599" s="20" t="s">
        <v>15467</v>
      </c>
      <c r="C1599" s="20">
        <v>9315</v>
      </c>
      <c r="D1599" s="20" t="e">
        <f>VLOOKUP(C1599,[1]CHILDCARE_FACILITIES!AJ:AK,2,0)</f>
        <v>#N/A</v>
      </c>
      <c r="E1599" s="20" t="s">
        <v>15134</v>
      </c>
      <c r="F1599" s="20" t="s">
        <v>15135</v>
      </c>
      <c r="G1599" s="20">
        <v>73204001</v>
      </c>
      <c r="K1599" s="20">
        <v>9315</v>
      </c>
    </row>
    <row r="1600" spans="1:13" x14ac:dyDescent="0.25">
      <c r="A1600" s="20">
        <v>9198</v>
      </c>
      <c r="B1600" s="20" t="s">
        <v>15408</v>
      </c>
      <c r="C1600" s="20">
        <v>9198</v>
      </c>
      <c r="D1600" s="20" t="e">
        <f>VLOOKUP(C1600,[1]CHILDCARE_FACILITIES!AJ:AK,2,0)</f>
        <v>#N/A</v>
      </c>
      <c r="E1600" s="20" t="s">
        <v>15134</v>
      </c>
      <c r="F1600" s="20" t="s">
        <v>15135</v>
      </c>
      <c r="G1600" s="20">
        <v>73139001</v>
      </c>
      <c r="K1600" s="20">
        <v>9198</v>
      </c>
    </row>
    <row r="1601" spans="1:13" x14ac:dyDescent="0.25">
      <c r="A1601" s="20">
        <v>9790</v>
      </c>
      <c r="B1601" s="20" t="s">
        <v>15682</v>
      </c>
      <c r="C1601" s="20">
        <v>9790</v>
      </c>
      <c r="D1601" s="20" t="e">
        <f>VLOOKUP(C1601,[1]CHILDCARE_FACILITIES!AJ:AK,2,0)</f>
        <v>#N/A</v>
      </c>
      <c r="E1601" s="20" t="s">
        <v>15134</v>
      </c>
      <c r="F1601" s="20" t="s">
        <v>15135</v>
      </c>
      <c r="G1601" s="20">
        <v>102250008</v>
      </c>
      <c r="K1601" s="20">
        <v>9790</v>
      </c>
    </row>
    <row r="1602" spans="1:13" x14ac:dyDescent="0.25">
      <c r="A1602" s="20">
        <v>9758</v>
      </c>
      <c r="B1602" s="20" t="s">
        <v>15653</v>
      </c>
      <c r="C1602" s="20">
        <v>9758</v>
      </c>
      <c r="D1602" s="20" t="e">
        <f>VLOOKUP(C1602,[1]CHILDCARE_FACILITIES!AJ:AK,2,0)</f>
        <v>#N/A</v>
      </c>
      <c r="E1602" s="20" t="s">
        <v>15134</v>
      </c>
      <c r="F1602" s="20" t="s">
        <v>15135</v>
      </c>
      <c r="G1602" s="20">
        <v>102236000</v>
      </c>
      <c r="K1602" s="20">
        <v>9758</v>
      </c>
    </row>
    <row r="1603" spans="1:13" x14ac:dyDescent="0.25">
      <c r="A1603" s="20">
        <v>9759</v>
      </c>
      <c r="B1603" s="20" t="s">
        <v>15653</v>
      </c>
      <c r="C1603" s="20">
        <v>9759</v>
      </c>
      <c r="D1603" s="20" t="e">
        <f>VLOOKUP(C1603,[1]CHILDCARE_FACILITIES!AJ:AK,2,0)</f>
        <v>#N/A</v>
      </c>
      <c r="E1603" s="20" t="s">
        <v>15134</v>
      </c>
      <c r="F1603" s="20" t="s">
        <v>15135</v>
      </c>
      <c r="G1603" s="20">
        <v>102236001</v>
      </c>
      <c r="K1603" s="20">
        <v>9759</v>
      </c>
    </row>
    <row r="1604" spans="1:13" x14ac:dyDescent="0.25">
      <c r="A1604" s="20">
        <v>91299</v>
      </c>
      <c r="B1604" s="20" t="s">
        <v>16766</v>
      </c>
      <c r="C1604" s="20">
        <v>91299</v>
      </c>
      <c r="D1604" s="20" t="e">
        <f>VLOOKUP(C1604,[1]CHILDCARE_FACILITIES!AJ:AK,2,0)</f>
        <v>#N/A</v>
      </c>
      <c r="E1604" s="20" t="s">
        <v>15134</v>
      </c>
      <c r="F1604" s="20" t="s">
        <v>15135</v>
      </c>
      <c r="G1604" s="20">
        <v>73720000</v>
      </c>
      <c r="H1604" s="20" t="s">
        <v>15138</v>
      </c>
      <c r="I1604" s="20" t="b">
        <v>1</v>
      </c>
      <c r="J1604" s="20" t="s">
        <v>18366</v>
      </c>
      <c r="K1604" s="20">
        <v>91299</v>
      </c>
      <c r="L1604" s="20" t="s">
        <v>17213</v>
      </c>
      <c r="M1604" s="20" t="s">
        <v>18367</v>
      </c>
    </row>
    <row r="1605" spans="1:13" x14ac:dyDescent="0.25">
      <c r="A1605" s="20">
        <v>91299</v>
      </c>
      <c r="B1605" s="20" t="s">
        <v>16766</v>
      </c>
      <c r="C1605" s="20">
        <v>91299</v>
      </c>
      <c r="D1605" s="20" t="e">
        <f>VLOOKUP(C1605,[1]CHILDCARE_FACILITIES!AJ:AK,2,0)</f>
        <v>#N/A</v>
      </c>
      <c r="E1605" s="20" t="s">
        <v>15134</v>
      </c>
      <c r="F1605" s="20" t="s">
        <v>15135</v>
      </c>
      <c r="G1605" s="20">
        <v>73720000</v>
      </c>
      <c r="H1605" s="20" t="s">
        <v>15136</v>
      </c>
      <c r="I1605" s="20" t="b">
        <v>1</v>
      </c>
      <c r="J1605" s="20" t="s">
        <v>18366</v>
      </c>
      <c r="K1605" s="20">
        <v>91299</v>
      </c>
      <c r="L1605" s="20" t="s">
        <v>17213</v>
      </c>
      <c r="M1605" s="20" t="s">
        <v>18367</v>
      </c>
    </row>
    <row r="1606" spans="1:13" x14ac:dyDescent="0.25">
      <c r="A1606" s="20">
        <v>80621</v>
      </c>
      <c r="B1606" s="20" t="s">
        <v>16147</v>
      </c>
      <c r="C1606" s="20">
        <v>80621</v>
      </c>
      <c r="D1606" s="20" t="e">
        <f>VLOOKUP(C1606,[1]CHILDCARE_FACILITIES!AJ:AK,2,0)</f>
        <v>#N/A</v>
      </c>
      <c r="E1606" s="20" t="s">
        <v>15134</v>
      </c>
      <c r="F1606" s="20" t="s">
        <v>15135</v>
      </c>
      <c r="G1606" s="20">
        <v>73445000</v>
      </c>
      <c r="H1606" s="20" t="s">
        <v>15138</v>
      </c>
      <c r="I1606" s="20" t="b">
        <v>1</v>
      </c>
      <c r="J1606" s="20" t="s">
        <v>18368</v>
      </c>
      <c r="K1606" s="20">
        <v>80621</v>
      </c>
      <c r="L1606" s="20" t="s">
        <v>17236</v>
      </c>
      <c r="M1606" s="20" t="s">
        <v>18369</v>
      </c>
    </row>
    <row r="1607" spans="1:13" x14ac:dyDescent="0.25">
      <c r="A1607" s="20">
        <v>80621</v>
      </c>
      <c r="B1607" s="20" t="s">
        <v>16147</v>
      </c>
      <c r="C1607" s="20">
        <v>80621</v>
      </c>
      <c r="D1607" s="20" t="e">
        <f>VLOOKUP(C1607,[1]CHILDCARE_FACILITIES!AJ:AK,2,0)</f>
        <v>#N/A</v>
      </c>
      <c r="E1607" s="20" t="s">
        <v>15134</v>
      </c>
      <c r="F1607" s="20" t="s">
        <v>15135</v>
      </c>
      <c r="G1607" s="20">
        <v>73445000</v>
      </c>
      <c r="H1607" s="20" t="s">
        <v>15136</v>
      </c>
      <c r="I1607" s="20" t="b">
        <v>1</v>
      </c>
      <c r="J1607" s="20" t="s">
        <v>18368</v>
      </c>
      <c r="K1607" s="20">
        <v>80621</v>
      </c>
      <c r="L1607" s="20" t="s">
        <v>17236</v>
      </c>
      <c r="M1607" s="20" t="s">
        <v>18369</v>
      </c>
    </row>
    <row r="1608" spans="1:13" x14ac:dyDescent="0.25">
      <c r="A1608" s="20">
        <v>10171</v>
      </c>
      <c r="B1608" s="20" t="s">
        <v>15823</v>
      </c>
      <c r="C1608" s="20">
        <v>10171</v>
      </c>
      <c r="D1608" s="20" t="e">
        <f>VLOOKUP(C1608,[1]CHILDCARE_FACILITIES!AJ:AK,2,0)</f>
        <v>#N/A</v>
      </c>
      <c r="E1608" s="20" t="s">
        <v>15134</v>
      </c>
      <c r="F1608" s="20" t="s">
        <v>15135</v>
      </c>
      <c r="G1608" s="20">
        <v>142201000</v>
      </c>
      <c r="K1608" s="20">
        <v>10171</v>
      </c>
    </row>
    <row r="1609" spans="1:13" x14ac:dyDescent="0.25">
      <c r="A1609" s="20">
        <v>10172</v>
      </c>
      <c r="B1609" s="20" t="s">
        <v>15823</v>
      </c>
      <c r="C1609" s="20">
        <v>10172</v>
      </c>
      <c r="D1609" s="20" t="e">
        <f>VLOOKUP(C1609,[1]CHILDCARE_FACILITIES!AJ:AK,2,0)</f>
        <v>#N/A</v>
      </c>
      <c r="E1609" s="20" t="s">
        <v>15134</v>
      </c>
      <c r="F1609" s="20" t="s">
        <v>15135</v>
      </c>
      <c r="G1609" s="20">
        <v>142201001</v>
      </c>
      <c r="K1609" s="20">
        <v>10172</v>
      </c>
    </row>
    <row r="1610" spans="1:13" x14ac:dyDescent="0.25">
      <c r="A1610" s="20">
        <v>9156</v>
      </c>
      <c r="B1610" s="20" t="s">
        <v>15383</v>
      </c>
      <c r="C1610" s="20">
        <v>9156</v>
      </c>
      <c r="D1610" s="20" t="e">
        <f>VLOOKUP(C1610,[1]CHILDCARE_FACILITIES!AJ:AK,2,0)</f>
        <v>#N/A</v>
      </c>
      <c r="E1610" s="20" t="s">
        <v>15134</v>
      </c>
      <c r="F1610" s="20" t="s">
        <v>15135</v>
      </c>
      <c r="G1610" s="20">
        <v>73104001</v>
      </c>
      <c r="K1610" s="20">
        <v>9156</v>
      </c>
    </row>
    <row r="1611" spans="1:13" x14ac:dyDescent="0.25">
      <c r="A1611" s="20">
        <v>92797</v>
      </c>
      <c r="B1611" s="20" t="s">
        <v>16923</v>
      </c>
      <c r="C1611" s="20">
        <v>92797</v>
      </c>
      <c r="D1611" s="20" t="e">
        <f>VLOOKUP(C1611,[1]CHILDCARE_FACILITIES!AJ:AK,2,0)</f>
        <v>#N/A</v>
      </c>
      <c r="E1611" s="20" t="s">
        <v>15134</v>
      </c>
      <c r="F1611" s="20" t="s">
        <v>15135</v>
      </c>
      <c r="G1611" s="20">
        <v>142208000</v>
      </c>
      <c r="H1611" s="20" t="s">
        <v>15138</v>
      </c>
      <c r="I1611" s="20" t="b">
        <v>0</v>
      </c>
      <c r="J1611" s="20" t="s">
        <v>18370</v>
      </c>
      <c r="K1611" s="20">
        <v>92797</v>
      </c>
      <c r="L1611" s="20" t="s">
        <v>17372</v>
      </c>
      <c r="M1611" s="20" t="s">
        <v>17373</v>
      </c>
    </row>
    <row r="1612" spans="1:13" x14ac:dyDescent="0.25">
      <c r="A1612" s="20">
        <v>92797</v>
      </c>
      <c r="B1612" s="20" t="s">
        <v>16923</v>
      </c>
      <c r="C1612" s="20">
        <v>92797</v>
      </c>
      <c r="D1612" s="20" t="e">
        <f>VLOOKUP(C1612,[1]CHILDCARE_FACILITIES!AJ:AK,2,0)</f>
        <v>#N/A</v>
      </c>
      <c r="E1612" s="20" t="s">
        <v>15134</v>
      </c>
      <c r="F1612" s="20" t="s">
        <v>15135</v>
      </c>
      <c r="G1612" s="20">
        <v>142208000</v>
      </c>
      <c r="H1612" s="20" t="s">
        <v>15136</v>
      </c>
      <c r="I1612" s="20" t="b">
        <v>0</v>
      </c>
      <c r="J1612" s="20" t="s">
        <v>18370</v>
      </c>
      <c r="K1612" s="20">
        <v>92797</v>
      </c>
      <c r="L1612" s="20" t="s">
        <v>17372</v>
      </c>
      <c r="M1612" s="20" t="s">
        <v>17373</v>
      </c>
    </row>
    <row r="1613" spans="1:13" x14ac:dyDescent="0.25">
      <c r="A1613" s="20">
        <v>92798</v>
      </c>
      <c r="B1613" s="20" t="s">
        <v>16923</v>
      </c>
      <c r="C1613" s="20">
        <v>92798</v>
      </c>
      <c r="D1613" s="20" t="e">
        <f>VLOOKUP(C1613,[1]CHILDCARE_FACILITIES!AJ:AK,2,0)</f>
        <v>#N/A</v>
      </c>
      <c r="E1613" s="20" t="s">
        <v>15134</v>
      </c>
      <c r="F1613" s="20" t="s">
        <v>15135</v>
      </c>
      <c r="G1613" s="20">
        <v>142208001</v>
      </c>
      <c r="H1613" s="20" t="s">
        <v>15136</v>
      </c>
      <c r="I1613" s="20" t="b">
        <v>0</v>
      </c>
      <c r="J1613" s="20" t="s">
        <v>18370</v>
      </c>
      <c r="K1613" s="20">
        <v>92798</v>
      </c>
      <c r="L1613" s="20" t="s">
        <v>17372</v>
      </c>
      <c r="M1613" s="20" t="s">
        <v>17373</v>
      </c>
    </row>
    <row r="1614" spans="1:13" x14ac:dyDescent="0.25">
      <c r="A1614" s="20">
        <v>92798</v>
      </c>
      <c r="B1614" s="20" t="s">
        <v>16923</v>
      </c>
      <c r="C1614" s="20">
        <v>92798</v>
      </c>
      <c r="D1614" s="20" t="e">
        <f>VLOOKUP(C1614,[1]CHILDCARE_FACILITIES!AJ:AK,2,0)</f>
        <v>#N/A</v>
      </c>
      <c r="E1614" s="20" t="s">
        <v>15134</v>
      </c>
      <c r="F1614" s="20" t="s">
        <v>15135</v>
      </c>
      <c r="G1614" s="20">
        <v>142208001</v>
      </c>
      <c r="H1614" s="20" t="s">
        <v>15138</v>
      </c>
      <c r="I1614" s="20" t="b">
        <v>0</v>
      </c>
      <c r="J1614" s="20" t="s">
        <v>18370</v>
      </c>
      <c r="K1614" s="20">
        <v>92798</v>
      </c>
      <c r="L1614" s="20" t="s">
        <v>17372</v>
      </c>
      <c r="M1614" s="20" t="s">
        <v>17373</v>
      </c>
    </row>
    <row r="1615" spans="1:13" x14ac:dyDescent="0.25">
      <c r="A1615" s="20">
        <v>90132</v>
      </c>
      <c r="B1615" s="20" t="s">
        <v>16561</v>
      </c>
      <c r="C1615" s="20">
        <v>90132</v>
      </c>
      <c r="D1615" s="20" t="e">
        <f>VLOOKUP(C1615,[1]CHILDCARE_FACILITIES!AJ:AK,2,0)</f>
        <v>#N/A</v>
      </c>
      <c r="E1615" s="20" t="s">
        <v>15134</v>
      </c>
      <c r="F1615" s="20" t="s">
        <v>15135</v>
      </c>
      <c r="G1615" s="20">
        <v>73575000</v>
      </c>
      <c r="H1615" s="20" t="s">
        <v>15136</v>
      </c>
      <c r="I1615" s="20" t="b">
        <v>1</v>
      </c>
      <c r="J1615" s="20" t="s">
        <v>18371</v>
      </c>
      <c r="K1615" s="20">
        <v>90132</v>
      </c>
      <c r="L1615" s="20" t="s">
        <v>17236</v>
      </c>
      <c r="M1615" s="20" t="s">
        <v>18372</v>
      </c>
    </row>
    <row r="1616" spans="1:13" x14ac:dyDescent="0.25">
      <c r="A1616" s="20">
        <v>90132</v>
      </c>
      <c r="B1616" s="20" t="s">
        <v>16561</v>
      </c>
      <c r="C1616" s="20">
        <v>90132</v>
      </c>
      <c r="D1616" s="20" t="e">
        <f>VLOOKUP(C1616,[1]CHILDCARE_FACILITIES!AJ:AK,2,0)</f>
        <v>#N/A</v>
      </c>
      <c r="E1616" s="20" t="s">
        <v>15134</v>
      </c>
      <c r="F1616" s="20" t="s">
        <v>15135</v>
      </c>
      <c r="G1616" s="20">
        <v>73575000</v>
      </c>
      <c r="H1616" s="20" t="s">
        <v>15138</v>
      </c>
      <c r="I1616" s="20" t="b">
        <v>1</v>
      </c>
      <c r="J1616" s="20" t="s">
        <v>18371</v>
      </c>
      <c r="K1616" s="20">
        <v>90132</v>
      </c>
      <c r="L1616" s="20" t="s">
        <v>17236</v>
      </c>
      <c r="M1616" s="20" t="s">
        <v>18372</v>
      </c>
    </row>
    <row r="1617" spans="1:13" x14ac:dyDescent="0.25">
      <c r="A1617" s="20">
        <v>90133</v>
      </c>
      <c r="B1617" s="20" t="s">
        <v>16563</v>
      </c>
      <c r="C1617" s="20">
        <v>90133</v>
      </c>
      <c r="D1617" s="20" t="str">
        <f>VLOOKUP(C1617,[1]CHILDCARE_FACILITIES!AJ:AK,2,0)</f>
        <v>CDC-14029</v>
      </c>
      <c r="E1617" s="20" t="s">
        <v>15134</v>
      </c>
      <c r="F1617" s="20" t="s">
        <v>15135</v>
      </c>
      <c r="G1617" s="20">
        <v>73575001</v>
      </c>
      <c r="H1617" s="20" t="s">
        <v>15138</v>
      </c>
      <c r="I1617" s="20" t="b">
        <v>1</v>
      </c>
      <c r="J1617" s="20" t="s">
        <v>18371</v>
      </c>
      <c r="K1617" s="20">
        <v>90133</v>
      </c>
      <c r="L1617" s="20" t="s">
        <v>17236</v>
      </c>
      <c r="M1617" s="20" t="s">
        <v>18372</v>
      </c>
    </row>
    <row r="1618" spans="1:13" x14ac:dyDescent="0.25">
      <c r="A1618" s="20">
        <v>90133</v>
      </c>
      <c r="B1618" s="20" t="s">
        <v>16563</v>
      </c>
      <c r="C1618" s="20">
        <v>90133</v>
      </c>
      <c r="D1618" s="20" t="str">
        <f>VLOOKUP(C1618,[1]CHILDCARE_FACILITIES!AJ:AK,2,0)</f>
        <v>CDC-14029</v>
      </c>
      <c r="E1618" s="20" t="s">
        <v>15134</v>
      </c>
      <c r="F1618" s="20" t="s">
        <v>15135</v>
      </c>
      <c r="G1618" s="20">
        <v>73575001</v>
      </c>
      <c r="H1618" s="20" t="s">
        <v>15145</v>
      </c>
      <c r="I1618" s="20" t="b">
        <v>1</v>
      </c>
      <c r="J1618" s="20" t="s">
        <v>18371</v>
      </c>
      <c r="K1618" s="20">
        <v>90133</v>
      </c>
      <c r="L1618" s="20" t="s">
        <v>17236</v>
      </c>
      <c r="M1618" s="20" t="s">
        <v>18372</v>
      </c>
    </row>
    <row r="1619" spans="1:13" x14ac:dyDescent="0.25">
      <c r="A1619" s="20">
        <v>92375</v>
      </c>
      <c r="B1619" s="20" t="s">
        <v>16861</v>
      </c>
      <c r="C1619" s="20">
        <v>92375</v>
      </c>
      <c r="D1619" s="20" t="str">
        <f>VLOOKUP(C1619,[1]CHILDCARE_FACILITIES!AJ:AK,2,0)</f>
        <v>CDC-16809</v>
      </c>
      <c r="E1619" s="20" t="s">
        <v>15134</v>
      </c>
      <c r="F1619" s="20" t="s">
        <v>15135</v>
      </c>
      <c r="G1619" s="20">
        <v>73575002</v>
      </c>
      <c r="K1619" s="20">
        <v>92375</v>
      </c>
    </row>
    <row r="1620" spans="1:13" x14ac:dyDescent="0.25">
      <c r="A1620" s="20">
        <v>1000556</v>
      </c>
      <c r="B1620" s="20" t="s">
        <v>17172</v>
      </c>
      <c r="C1620" s="20">
        <v>1000556</v>
      </c>
      <c r="D1620" s="20" t="e">
        <f>VLOOKUP(C1620,[1]CHILDCARE_FACILITIES!AJ:AK,2,0)</f>
        <v>#N/A</v>
      </c>
      <c r="E1620" s="20" t="s">
        <v>15134</v>
      </c>
      <c r="F1620" s="20" t="s">
        <v>15135</v>
      </c>
      <c r="G1620" s="20">
        <v>73575003</v>
      </c>
      <c r="H1620" s="20" t="s">
        <v>15138</v>
      </c>
      <c r="I1620" s="20" t="b">
        <v>1</v>
      </c>
      <c r="J1620" s="20" t="s">
        <v>18373</v>
      </c>
      <c r="K1620" s="20">
        <v>1000556</v>
      </c>
      <c r="L1620" s="20" t="s">
        <v>17213</v>
      </c>
      <c r="M1620" s="20" t="s">
        <v>18266</v>
      </c>
    </row>
    <row r="1621" spans="1:13" x14ac:dyDescent="0.25">
      <c r="A1621" s="20">
        <v>1000556</v>
      </c>
      <c r="B1621" s="20" t="s">
        <v>17172</v>
      </c>
      <c r="C1621" s="20">
        <v>1000556</v>
      </c>
      <c r="D1621" s="20" t="e">
        <f>VLOOKUP(C1621,[1]CHILDCARE_FACILITIES!AJ:AK,2,0)</f>
        <v>#N/A</v>
      </c>
      <c r="E1621" s="20" t="s">
        <v>15134</v>
      </c>
      <c r="F1621" s="20" t="s">
        <v>15135</v>
      </c>
      <c r="G1621" s="20">
        <v>73575003</v>
      </c>
      <c r="H1621" s="20" t="s">
        <v>15136</v>
      </c>
      <c r="I1621" s="20" t="b">
        <v>1</v>
      </c>
      <c r="J1621" s="20" t="s">
        <v>18373</v>
      </c>
      <c r="K1621" s="20">
        <v>1000556</v>
      </c>
      <c r="L1621" s="20" t="s">
        <v>17213</v>
      </c>
      <c r="M1621" s="20" t="s">
        <v>18266</v>
      </c>
    </row>
    <row r="1622" spans="1:13" x14ac:dyDescent="0.25">
      <c r="A1622" s="20">
        <v>9083</v>
      </c>
      <c r="B1622" s="20" t="s">
        <v>15348</v>
      </c>
      <c r="C1622" s="20">
        <v>9083</v>
      </c>
      <c r="D1622" s="20" t="e">
        <f>VLOOKUP(C1622,[1]CHILDCARE_FACILITIES!AJ:AK,2,0)</f>
        <v>#N/A</v>
      </c>
      <c r="E1622" s="20" t="s">
        <v>15134</v>
      </c>
      <c r="F1622" s="20" t="s">
        <v>15135</v>
      </c>
      <c r="G1622" s="20">
        <v>73063001</v>
      </c>
      <c r="K1622" s="20">
        <v>9083</v>
      </c>
    </row>
    <row r="1623" spans="1:13" x14ac:dyDescent="0.25">
      <c r="A1623" s="20">
        <v>9632</v>
      </c>
      <c r="B1623" s="20" t="s">
        <v>15614</v>
      </c>
      <c r="C1623" s="20">
        <v>9632</v>
      </c>
      <c r="D1623" s="20" t="e">
        <f>VLOOKUP(C1623,[1]CHILDCARE_FACILITIES!AJ:AK,2,0)</f>
        <v>#N/A</v>
      </c>
      <c r="E1623" s="20" t="s">
        <v>15134</v>
      </c>
      <c r="F1623" s="20" t="s">
        <v>15135</v>
      </c>
      <c r="G1623" s="20">
        <v>83006001</v>
      </c>
      <c r="K1623" s="20">
        <v>9632</v>
      </c>
    </row>
    <row r="1624" spans="1:13" x14ac:dyDescent="0.25">
      <c r="A1624" s="20">
        <v>90726</v>
      </c>
      <c r="B1624" s="20" t="s">
        <v>16671</v>
      </c>
      <c r="C1624" s="20">
        <v>90726</v>
      </c>
      <c r="D1624" s="20" t="e">
        <f>VLOOKUP(C1624,[1]CHILDCARE_FACILITIES!AJ:AK,2,0)</f>
        <v>#N/A</v>
      </c>
      <c r="E1624" s="20" t="s">
        <v>15134</v>
      </c>
      <c r="F1624" s="20" t="s">
        <v>15135</v>
      </c>
      <c r="G1624" s="20">
        <v>133025000</v>
      </c>
      <c r="H1624" s="20" t="s">
        <v>15138</v>
      </c>
      <c r="I1624" s="20" t="b">
        <v>1</v>
      </c>
      <c r="J1624" s="20" t="s">
        <v>18374</v>
      </c>
      <c r="K1624" s="20">
        <v>90726</v>
      </c>
      <c r="L1624" s="20" t="s">
        <v>17475</v>
      </c>
      <c r="M1624" s="20" t="s">
        <v>18375</v>
      </c>
    </row>
    <row r="1625" spans="1:13" x14ac:dyDescent="0.25">
      <c r="A1625" s="20">
        <v>90726</v>
      </c>
      <c r="B1625" s="20" t="s">
        <v>16671</v>
      </c>
      <c r="C1625" s="20">
        <v>90726</v>
      </c>
      <c r="D1625" s="20" t="e">
        <f>VLOOKUP(C1625,[1]CHILDCARE_FACILITIES!AJ:AK,2,0)</f>
        <v>#N/A</v>
      </c>
      <c r="E1625" s="20" t="s">
        <v>15134</v>
      </c>
      <c r="F1625" s="20" t="s">
        <v>15135</v>
      </c>
      <c r="G1625" s="20">
        <v>133025000</v>
      </c>
      <c r="H1625" s="20" t="s">
        <v>15136</v>
      </c>
      <c r="I1625" s="20" t="b">
        <v>1</v>
      </c>
      <c r="J1625" s="20" t="s">
        <v>18374</v>
      </c>
      <c r="K1625" s="20">
        <v>90726</v>
      </c>
      <c r="L1625" s="20" t="s">
        <v>17475</v>
      </c>
      <c r="M1625" s="20" t="s">
        <v>18375</v>
      </c>
    </row>
    <row r="1626" spans="1:13" x14ac:dyDescent="0.25">
      <c r="A1626" s="20">
        <v>90727</v>
      </c>
      <c r="B1626" s="20" t="s">
        <v>16671</v>
      </c>
      <c r="C1626" s="20">
        <v>90727</v>
      </c>
      <c r="D1626" s="20" t="str">
        <f>VLOOKUP(C1626,[1]CHILDCARE_FACILITIES!AJ:AK,2,0)</f>
        <v>CDC-14846</v>
      </c>
      <c r="E1626" s="20" t="s">
        <v>15134</v>
      </c>
      <c r="F1626" s="20" t="s">
        <v>15135</v>
      </c>
      <c r="G1626" s="20">
        <v>133025001</v>
      </c>
      <c r="H1626" s="20" t="s">
        <v>15145</v>
      </c>
      <c r="I1626" s="20" t="b">
        <v>1</v>
      </c>
      <c r="J1626" s="20" t="s">
        <v>18376</v>
      </c>
      <c r="K1626" s="20">
        <v>90727</v>
      </c>
      <c r="L1626" s="20" t="s">
        <v>17475</v>
      </c>
      <c r="M1626" s="20" t="s">
        <v>18375</v>
      </c>
    </row>
    <row r="1627" spans="1:13" x14ac:dyDescent="0.25">
      <c r="A1627" s="20">
        <v>90374</v>
      </c>
      <c r="B1627" s="20" t="s">
        <v>16599</v>
      </c>
      <c r="C1627" s="20">
        <v>90374</v>
      </c>
      <c r="D1627" s="20" t="e">
        <f>VLOOKUP(C1627,[1]CHILDCARE_FACILITIES!AJ:AK,2,0)</f>
        <v>#N/A</v>
      </c>
      <c r="E1627" s="20" t="s">
        <v>15134</v>
      </c>
      <c r="F1627" s="20" t="s">
        <v>15135</v>
      </c>
      <c r="G1627" s="20">
        <v>73588001</v>
      </c>
      <c r="H1627" s="20" t="s">
        <v>15145</v>
      </c>
      <c r="I1627" s="20" t="b">
        <v>0</v>
      </c>
      <c r="J1627" s="20" t="s">
        <v>18377</v>
      </c>
      <c r="K1627" s="20">
        <v>90374</v>
      </c>
      <c r="L1627" s="20" t="s">
        <v>18378</v>
      </c>
      <c r="M1627" s="20" t="s">
        <v>18379</v>
      </c>
    </row>
    <row r="1628" spans="1:13" x14ac:dyDescent="0.25">
      <c r="A1628" s="20">
        <v>90373</v>
      </c>
      <c r="B1628" s="20" t="s">
        <v>16596</v>
      </c>
      <c r="C1628" s="20">
        <v>90373</v>
      </c>
      <c r="D1628" s="20" t="e">
        <f>VLOOKUP(C1628,[1]CHILDCARE_FACILITIES!AJ:AK,2,0)</f>
        <v>#N/A</v>
      </c>
      <c r="E1628" s="20" t="s">
        <v>15134</v>
      </c>
      <c r="F1628" s="20" t="s">
        <v>15135</v>
      </c>
      <c r="G1628" s="20">
        <v>73588000</v>
      </c>
      <c r="H1628" s="20" t="s">
        <v>15136</v>
      </c>
      <c r="I1628" s="20" t="b">
        <v>1</v>
      </c>
      <c r="J1628" s="20" t="s">
        <v>17318</v>
      </c>
      <c r="K1628" s="20">
        <v>90373</v>
      </c>
      <c r="L1628" s="20" t="s">
        <v>17233</v>
      </c>
      <c r="M1628" s="20" t="s">
        <v>17317</v>
      </c>
    </row>
    <row r="1629" spans="1:13" x14ac:dyDescent="0.25">
      <c r="A1629" s="20">
        <v>90373</v>
      </c>
      <c r="B1629" s="20" t="s">
        <v>16596</v>
      </c>
      <c r="C1629" s="20">
        <v>90373</v>
      </c>
      <c r="D1629" s="20" t="e">
        <f>VLOOKUP(C1629,[1]CHILDCARE_FACILITIES!AJ:AK,2,0)</f>
        <v>#N/A</v>
      </c>
      <c r="E1629" s="20" t="s">
        <v>15134</v>
      </c>
      <c r="F1629" s="20" t="s">
        <v>15135</v>
      </c>
      <c r="G1629" s="20">
        <v>73588000</v>
      </c>
      <c r="H1629" s="20" t="s">
        <v>15138</v>
      </c>
      <c r="I1629" s="20" t="b">
        <v>0</v>
      </c>
      <c r="J1629" s="20" t="s">
        <v>18377</v>
      </c>
      <c r="K1629" s="20">
        <v>90373</v>
      </c>
      <c r="L1629" s="20" t="s">
        <v>18378</v>
      </c>
      <c r="M1629" s="20" t="s">
        <v>18379</v>
      </c>
    </row>
    <row r="1630" spans="1:13" x14ac:dyDescent="0.25">
      <c r="A1630" s="20">
        <v>8720</v>
      </c>
      <c r="B1630" s="20" t="s">
        <v>15223</v>
      </c>
      <c r="C1630" s="20">
        <v>8720</v>
      </c>
      <c r="D1630" s="20" t="e">
        <f>VLOOKUP(C1630,[1]CHILDCARE_FACILITIES!AJ:AK,2,0)</f>
        <v>#N/A</v>
      </c>
      <c r="E1630" s="20" t="s">
        <v>15134</v>
      </c>
      <c r="F1630" s="20" t="s">
        <v>15135</v>
      </c>
      <c r="G1630" s="20">
        <v>72286000</v>
      </c>
      <c r="K1630" s="20">
        <v>8720</v>
      </c>
    </row>
    <row r="1631" spans="1:13" x14ac:dyDescent="0.25">
      <c r="A1631" s="20">
        <v>8721</v>
      </c>
      <c r="B1631" s="20" t="s">
        <v>15223</v>
      </c>
      <c r="C1631" s="20">
        <v>8721</v>
      </c>
      <c r="D1631" s="20" t="e">
        <f>VLOOKUP(C1631,[1]CHILDCARE_FACILITIES!AJ:AK,2,0)</f>
        <v>#N/A</v>
      </c>
      <c r="E1631" s="20" t="s">
        <v>15134</v>
      </c>
      <c r="F1631" s="20" t="s">
        <v>15135</v>
      </c>
      <c r="G1631" s="20">
        <v>72286001</v>
      </c>
      <c r="K1631" s="20">
        <v>8721</v>
      </c>
    </row>
    <row r="1632" spans="1:13" x14ac:dyDescent="0.25">
      <c r="A1632" s="20">
        <v>9599</v>
      </c>
      <c r="B1632" s="20" t="s">
        <v>15598</v>
      </c>
      <c r="C1632" s="20">
        <v>9599</v>
      </c>
      <c r="D1632" s="20" t="e">
        <f>VLOOKUP(C1632,[1]CHILDCARE_FACILITIES!AJ:AK,2,0)</f>
        <v>#N/A</v>
      </c>
      <c r="E1632" s="20" t="s">
        <v>15134</v>
      </c>
      <c r="F1632" s="20" t="s">
        <v>15135</v>
      </c>
      <c r="G1632" s="20">
        <v>72451001</v>
      </c>
      <c r="H1632" s="20" t="s">
        <v>15136</v>
      </c>
      <c r="I1632" s="20" t="b">
        <v>1</v>
      </c>
      <c r="J1632" s="20" t="s">
        <v>18380</v>
      </c>
      <c r="K1632" s="20">
        <v>9599</v>
      </c>
      <c r="L1632" s="20" t="s">
        <v>18381</v>
      </c>
      <c r="M1632" s="20" t="s">
        <v>18382</v>
      </c>
    </row>
    <row r="1633" spans="1:13" x14ac:dyDescent="0.25">
      <c r="A1633" s="20">
        <v>9599</v>
      </c>
      <c r="B1633" s="20" t="s">
        <v>15598</v>
      </c>
      <c r="C1633" s="20">
        <v>9599</v>
      </c>
      <c r="D1633" s="20" t="e">
        <f>VLOOKUP(C1633,[1]CHILDCARE_FACILITIES!AJ:AK,2,0)</f>
        <v>#N/A</v>
      </c>
      <c r="E1633" s="20" t="s">
        <v>15134</v>
      </c>
      <c r="F1633" s="20" t="s">
        <v>15135</v>
      </c>
      <c r="G1633" s="20">
        <v>72451001</v>
      </c>
      <c r="H1633" s="20" t="s">
        <v>15138</v>
      </c>
      <c r="I1633" s="20" t="b">
        <v>1</v>
      </c>
      <c r="J1633" s="20" t="s">
        <v>18380</v>
      </c>
      <c r="K1633" s="20">
        <v>9599</v>
      </c>
      <c r="L1633" s="20" t="s">
        <v>18381</v>
      </c>
      <c r="M1633" s="20" t="s">
        <v>18382</v>
      </c>
    </row>
    <row r="1634" spans="1:13" x14ac:dyDescent="0.25">
      <c r="A1634" s="20">
        <v>9684</v>
      </c>
      <c r="B1634" s="20" t="s">
        <v>15630</v>
      </c>
      <c r="C1634" s="20">
        <v>9684</v>
      </c>
      <c r="D1634" s="20" t="e">
        <f>VLOOKUP(C1634,[1]CHILDCARE_FACILITIES!AJ:AK,2,0)</f>
        <v>#N/A</v>
      </c>
      <c r="E1634" s="20" t="s">
        <v>15134</v>
      </c>
      <c r="F1634" s="20" t="s">
        <v>15135</v>
      </c>
      <c r="G1634" s="20">
        <v>93013000</v>
      </c>
      <c r="H1634" s="20" t="s">
        <v>15138</v>
      </c>
      <c r="I1634" s="20" t="b">
        <v>0</v>
      </c>
      <c r="J1634" s="20" t="s">
        <v>18383</v>
      </c>
      <c r="K1634" s="20">
        <v>9684</v>
      </c>
      <c r="L1634" s="20" t="s">
        <v>17870</v>
      </c>
      <c r="M1634" s="20" t="s">
        <v>18384</v>
      </c>
    </row>
    <row r="1635" spans="1:13" x14ac:dyDescent="0.25">
      <c r="A1635" s="20">
        <v>9684</v>
      </c>
      <c r="B1635" s="20" t="s">
        <v>15630</v>
      </c>
      <c r="C1635" s="20">
        <v>9684</v>
      </c>
      <c r="D1635" s="20" t="e">
        <f>VLOOKUP(C1635,[1]CHILDCARE_FACILITIES!AJ:AK,2,0)</f>
        <v>#N/A</v>
      </c>
      <c r="E1635" s="20" t="s">
        <v>15134</v>
      </c>
      <c r="F1635" s="20" t="s">
        <v>15135</v>
      </c>
      <c r="G1635" s="20">
        <v>93013000</v>
      </c>
      <c r="H1635" s="20" t="s">
        <v>15136</v>
      </c>
      <c r="I1635" s="20" t="b">
        <v>1</v>
      </c>
      <c r="J1635" s="20" t="s">
        <v>18385</v>
      </c>
      <c r="K1635" s="20">
        <v>9684</v>
      </c>
      <c r="L1635" s="20" t="s">
        <v>17873</v>
      </c>
      <c r="M1635" s="20" t="s">
        <v>18386</v>
      </c>
    </row>
    <row r="1636" spans="1:13" x14ac:dyDescent="0.25">
      <c r="A1636" s="20">
        <v>9803</v>
      </c>
      <c r="B1636" s="20" t="s">
        <v>15691</v>
      </c>
      <c r="C1636" s="20">
        <v>9803</v>
      </c>
      <c r="D1636" s="20" t="e">
        <f>VLOOKUP(C1636,[1]CHILDCARE_FACILITIES!AJ:AK,2,0)</f>
        <v>#N/A</v>
      </c>
      <c r="E1636" s="20" t="s">
        <v>15134</v>
      </c>
      <c r="F1636" s="20" t="s">
        <v>15135</v>
      </c>
      <c r="G1636" s="20">
        <v>102255042</v>
      </c>
      <c r="K1636" s="20">
        <v>9803</v>
      </c>
    </row>
    <row r="1637" spans="1:13" x14ac:dyDescent="0.25">
      <c r="A1637" s="20">
        <v>9764</v>
      </c>
      <c r="B1637" s="20" t="s">
        <v>15658</v>
      </c>
      <c r="C1637" s="20">
        <v>9764</v>
      </c>
      <c r="D1637" s="20" t="e">
        <f>VLOOKUP(C1637,[1]CHILDCARE_FACILITIES!AJ:AK,2,0)</f>
        <v>#N/A</v>
      </c>
      <c r="E1637" s="20" t="s">
        <v>15134</v>
      </c>
      <c r="F1637" s="20" t="s">
        <v>15135</v>
      </c>
      <c r="G1637" s="20">
        <v>102242001</v>
      </c>
      <c r="K1637" s="20">
        <v>9764</v>
      </c>
    </row>
    <row r="1638" spans="1:13" x14ac:dyDescent="0.25">
      <c r="A1638" s="20">
        <v>9279</v>
      </c>
      <c r="B1638" s="20" t="s">
        <v>15443</v>
      </c>
      <c r="C1638" s="20">
        <v>9279</v>
      </c>
      <c r="D1638" s="20" t="e">
        <f>VLOOKUP(C1638,[1]CHILDCARE_FACILITIES!AJ:AK,2,0)</f>
        <v>#N/A</v>
      </c>
      <c r="E1638" s="20" t="s">
        <v>15134</v>
      </c>
      <c r="F1638" s="20" t="s">
        <v>15135</v>
      </c>
      <c r="G1638" s="20">
        <v>73196001</v>
      </c>
      <c r="K1638" s="20">
        <v>9279</v>
      </c>
    </row>
    <row r="1639" spans="1:13" x14ac:dyDescent="0.25">
      <c r="A1639" s="20">
        <v>84316</v>
      </c>
      <c r="B1639" s="20" t="s">
        <v>16286</v>
      </c>
      <c r="C1639" s="20">
        <v>84316</v>
      </c>
      <c r="D1639" s="20" t="e">
        <f>VLOOKUP(C1639,[1]CHILDCARE_FACILITIES!AJ:AK,2,0)</f>
        <v>#N/A</v>
      </c>
      <c r="E1639" s="20" t="s">
        <v>15134</v>
      </c>
      <c r="F1639" s="20" t="s">
        <v>15135</v>
      </c>
      <c r="G1639" s="20">
        <v>73503000</v>
      </c>
      <c r="H1639" s="20" t="s">
        <v>15138</v>
      </c>
      <c r="I1639" s="20" t="b">
        <v>1</v>
      </c>
      <c r="J1639" s="20" t="s">
        <v>18387</v>
      </c>
      <c r="K1639" s="20">
        <v>84316</v>
      </c>
      <c r="L1639" s="20" t="s">
        <v>17213</v>
      </c>
      <c r="M1639" s="20" t="s">
        <v>18388</v>
      </c>
    </row>
    <row r="1640" spans="1:13" x14ac:dyDescent="0.25">
      <c r="A1640" s="20">
        <v>84316</v>
      </c>
      <c r="B1640" s="20" t="s">
        <v>16286</v>
      </c>
      <c r="C1640" s="20">
        <v>84316</v>
      </c>
      <c r="D1640" s="20" t="e">
        <f>VLOOKUP(C1640,[1]CHILDCARE_FACILITIES!AJ:AK,2,0)</f>
        <v>#N/A</v>
      </c>
      <c r="E1640" s="20" t="s">
        <v>15134</v>
      </c>
      <c r="F1640" s="20" t="s">
        <v>15135</v>
      </c>
      <c r="G1640" s="20">
        <v>73503000</v>
      </c>
      <c r="H1640" s="20" t="s">
        <v>15136</v>
      </c>
      <c r="I1640" s="20" t="b">
        <v>1</v>
      </c>
      <c r="J1640" s="20" t="s">
        <v>18387</v>
      </c>
      <c r="K1640" s="20">
        <v>84316</v>
      </c>
      <c r="L1640" s="20" t="s">
        <v>17213</v>
      </c>
      <c r="M1640" s="20" t="s">
        <v>18388</v>
      </c>
    </row>
    <row r="1641" spans="1:13" x14ac:dyDescent="0.25">
      <c r="A1641" s="20">
        <v>84317</v>
      </c>
      <c r="B1641" s="20" t="s">
        <v>16286</v>
      </c>
      <c r="C1641" s="20">
        <v>84317</v>
      </c>
      <c r="D1641" s="20" t="str">
        <f>VLOOKUP(C1641,[1]CHILDCARE_FACILITIES!AJ:AK,2,0)</f>
        <v>CDC-10092</v>
      </c>
      <c r="E1641" s="20" t="s">
        <v>15134</v>
      </c>
      <c r="F1641" s="20" t="s">
        <v>15135</v>
      </c>
      <c r="G1641" s="20">
        <v>73503001</v>
      </c>
      <c r="H1641" s="20" t="s">
        <v>15138</v>
      </c>
      <c r="I1641" s="20" t="b">
        <v>1</v>
      </c>
      <c r="J1641" s="20" t="s">
        <v>18387</v>
      </c>
      <c r="K1641" s="20">
        <v>84317</v>
      </c>
      <c r="L1641" s="20" t="s">
        <v>17213</v>
      </c>
      <c r="M1641" s="20" t="s">
        <v>18388</v>
      </c>
    </row>
    <row r="1642" spans="1:13" x14ac:dyDescent="0.25">
      <c r="A1642" s="20">
        <v>84317</v>
      </c>
      <c r="B1642" s="20" t="s">
        <v>16286</v>
      </c>
      <c r="C1642" s="20">
        <v>84317</v>
      </c>
      <c r="D1642" s="20" t="str">
        <f>VLOOKUP(C1642,[1]CHILDCARE_FACILITIES!AJ:AK,2,0)</f>
        <v>CDC-10092</v>
      </c>
      <c r="E1642" s="20" t="s">
        <v>15134</v>
      </c>
      <c r="F1642" s="20" t="s">
        <v>15135</v>
      </c>
      <c r="G1642" s="20">
        <v>73503001</v>
      </c>
      <c r="H1642" s="20" t="s">
        <v>15145</v>
      </c>
      <c r="I1642" s="20" t="b">
        <v>1</v>
      </c>
      <c r="J1642" s="20" t="s">
        <v>18387</v>
      </c>
      <c r="K1642" s="20">
        <v>84317</v>
      </c>
      <c r="L1642" s="20" t="s">
        <v>17213</v>
      </c>
      <c r="M1642" s="20" t="s">
        <v>18388</v>
      </c>
    </row>
    <row r="1643" spans="1:13" x14ac:dyDescent="0.25">
      <c r="A1643" s="20">
        <v>9791</v>
      </c>
      <c r="B1643" s="20" t="s">
        <v>15683</v>
      </c>
      <c r="C1643" s="20">
        <v>9791</v>
      </c>
      <c r="D1643" s="20" t="e">
        <f>VLOOKUP(C1643,[1]CHILDCARE_FACILITIES!AJ:AK,2,0)</f>
        <v>#N/A</v>
      </c>
      <c r="E1643" s="20" t="s">
        <v>15134</v>
      </c>
      <c r="F1643" s="20" t="s">
        <v>15135</v>
      </c>
      <c r="G1643" s="20">
        <v>102250009</v>
      </c>
      <c r="K1643" s="20">
        <v>9791</v>
      </c>
    </row>
    <row r="1644" spans="1:13" x14ac:dyDescent="0.25">
      <c r="A1644" s="20">
        <v>280210</v>
      </c>
      <c r="B1644" s="20" t="s">
        <v>16981</v>
      </c>
      <c r="C1644" s="20">
        <v>280210</v>
      </c>
      <c r="D1644" s="20" t="e">
        <f>VLOOKUP(C1644,[1]CHILDCARE_FACILITIES!AJ:AK,2,0)</f>
        <v>#N/A</v>
      </c>
      <c r="E1644" s="20" t="s">
        <v>15134</v>
      </c>
      <c r="F1644" s="20" t="s">
        <v>15135</v>
      </c>
      <c r="G1644" s="20">
        <v>73330001</v>
      </c>
      <c r="H1644" s="20" t="s">
        <v>15136</v>
      </c>
      <c r="I1644" s="20" t="b">
        <v>1</v>
      </c>
      <c r="J1644" s="20" t="s">
        <v>18389</v>
      </c>
      <c r="K1644" s="20">
        <v>280210</v>
      </c>
      <c r="L1644" s="20" t="s">
        <v>17213</v>
      </c>
      <c r="M1644" s="20" t="s">
        <v>18390</v>
      </c>
    </row>
    <row r="1645" spans="1:13" x14ac:dyDescent="0.25">
      <c r="A1645" s="20">
        <v>280210</v>
      </c>
      <c r="B1645" s="20" t="s">
        <v>16981</v>
      </c>
      <c r="C1645" s="20">
        <v>280210</v>
      </c>
      <c r="D1645" s="20" t="e">
        <f>VLOOKUP(C1645,[1]CHILDCARE_FACILITIES!AJ:AK,2,0)</f>
        <v>#N/A</v>
      </c>
      <c r="E1645" s="20" t="s">
        <v>15134</v>
      </c>
      <c r="F1645" s="20" t="s">
        <v>15135</v>
      </c>
      <c r="G1645" s="20">
        <v>73330001</v>
      </c>
      <c r="H1645" s="20" t="s">
        <v>15138</v>
      </c>
      <c r="I1645" s="20" t="b">
        <v>1</v>
      </c>
      <c r="J1645" s="20" t="s">
        <v>18391</v>
      </c>
      <c r="K1645" s="20">
        <v>280210</v>
      </c>
      <c r="L1645" s="20" t="s">
        <v>17228</v>
      </c>
      <c r="M1645" s="20" t="s">
        <v>18390</v>
      </c>
    </row>
    <row r="1646" spans="1:13" x14ac:dyDescent="0.25">
      <c r="A1646" s="20">
        <v>937473</v>
      </c>
      <c r="B1646" s="20" t="s">
        <v>16981</v>
      </c>
      <c r="C1646" s="20">
        <v>937473</v>
      </c>
      <c r="D1646" s="20" t="e">
        <f>VLOOKUP(C1646,[1]CHILDCARE_FACILITIES!AJ:AK,2,0)</f>
        <v>#N/A</v>
      </c>
      <c r="E1646" s="20" t="s">
        <v>15134</v>
      </c>
      <c r="F1646" s="20" t="s">
        <v>15135</v>
      </c>
      <c r="G1646" s="20">
        <v>73330000</v>
      </c>
      <c r="H1646" s="20" t="s">
        <v>15138</v>
      </c>
      <c r="I1646" s="20" t="b">
        <v>1</v>
      </c>
      <c r="J1646" s="20" t="s">
        <v>18391</v>
      </c>
      <c r="K1646" s="20">
        <v>937473</v>
      </c>
      <c r="L1646" s="20" t="s">
        <v>17228</v>
      </c>
      <c r="M1646" s="20" t="s">
        <v>18390</v>
      </c>
    </row>
    <row r="1647" spans="1:13" x14ac:dyDescent="0.25">
      <c r="A1647" s="20">
        <v>937473</v>
      </c>
      <c r="B1647" s="20" t="s">
        <v>16981</v>
      </c>
      <c r="C1647" s="20">
        <v>937473</v>
      </c>
      <c r="D1647" s="20" t="e">
        <f>VLOOKUP(C1647,[1]CHILDCARE_FACILITIES!AJ:AK,2,0)</f>
        <v>#N/A</v>
      </c>
      <c r="E1647" s="20" t="s">
        <v>15134</v>
      </c>
      <c r="F1647" s="20" t="s">
        <v>15135</v>
      </c>
      <c r="G1647" s="20">
        <v>73330000</v>
      </c>
      <c r="H1647" s="20" t="s">
        <v>15136</v>
      </c>
      <c r="I1647" s="20" t="b">
        <v>1</v>
      </c>
      <c r="J1647" s="20" t="s">
        <v>18389</v>
      </c>
      <c r="K1647" s="20">
        <v>937473</v>
      </c>
      <c r="L1647" s="20" t="s">
        <v>17213</v>
      </c>
      <c r="M1647" s="20" t="s">
        <v>18390</v>
      </c>
    </row>
    <row r="1648" spans="1:13" x14ac:dyDescent="0.25">
      <c r="A1648" s="20">
        <v>1000010</v>
      </c>
      <c r="B1648" s="20" t="s">
        <v>17037</v>
      </c>
      <c r="C1648" s="20">
        <v>1000010</v>
      </c>
      <c r="D1648" s="20" t="e">
        <f>VLOOKUP(C1648,[1]CHILDCARE_FACILITIES!AJ:AK,2,0)</f>
        <v>#N/A</v>
      </c>
      <c r="E1648" s="20" t="s">
        <v>15134</v>
      </c>
      <c r="F1648" s="20" t="s">
        <v>15135</v>
      </c>
      <c r="G1648" s="20">
        <v>73344001</v>
      </c>
      <c r="H1648" s="20" t="s">
        <v>15136</v>
      </c>
      <c r="I1648" s="20" t="b">
        <v>1</v>
      </c>
      <c r="J1648" s="20" t="s">
        <v>17912</v>
      </c>
      <c r="K1648" s="20">
        <v>1000010</v>
      </c>
      <c r="L1648" s="20" t="s">
        <v>17213</v>
      </c>
      <c r="M1648" s="20" t="s">
        <v>17913</v>
      </c>
    </row>
    <row r="1649" spans="1:13" x14ac:dyDescent="0.25">
      <c r="A1649" s="20">
        <v>1000010</v>
      </c>
      <c r="B1649" s="20" t="s">
        <v>17037</v>
      </c>
      <c r="C1649" s="20">
        <v>1000010</v>
      </c>
      <c r="D1649" s="20" t="e">
        <f>VLOOKUP(C1649,[1]CHILDCARE_FACILITIES!AJ:AK,2,0)</f>
        <v>#N/A</v>
      </c>
      <c r="E1649" s="20" t="s">
        <v>15134</v>
      </c>
      <c r="F1649" s="20" t="s">
        <v>15135</v>
      </c>
      <c r="G1649" s="20">
        <v>73344001</v>
      </c>
      <c r="H1649" s="20" t="s">
        <v>15138</v>
      </c>
      <c r="I1649" s="20" t="b">
        <v>1</v>
      </c>
      <c r="J1649" s="20" t="s">
        <v>17912</v>
      </c>
      <c r="K1649" s="20">
        <v>1000010</v>
      </c>
      <c r="L1649" s="20" t="s">
        <v>17213</v>
      </c>
      <c r="M1649" s="20" t="s">
        <v>17913</v>
      </c>
    </row>
    <row r="1650" spans="1:13" x14ac:dyDescent="0.25">
      <c r="A1650" s="20">
        <v>1001132</v>
      </c>
      <c r="B1650" s="20" t="s">
        <v>17180</v>
      </c>
      <c r="C1650" s="20">
        <v>1001132</v>
      </c>
      <c r="D1650" s="20" t="e">
        <f>VLOOKUP(C1650,[1]CHILDCARE_FACILITIES!AJ:AK,2,0)</f>
        <v>#N/A</v>
      </c>
      <c r="E1650" s="20" t="s">
        <v>15134</v>
      </c>
      <c r="F1650" s="20" t="s">
        <v>15135</v>
      </c>
      <c r="G1650" s="20">
        <v>73368001</v>
      </c>
      <c r="H1650" s="20" t="s">
        <v>15138</v>
      </c>
      <c r="I1650" s="20" t="b">
        <v>1</v>
      </c>
      <c r="J1650" s="20" t="s">
        <v>18392</v>
      </c>
      <c r="K1650" s="20">
        <v>1001132</v>
      </c>
      <c r="L1650" s="20" t="s">
        <v>17213</v>
      </c>
      <c r="M1650" s="20" t="s">
        <v>18393</v>
      </c>
    </row>
    <row r="1651" spans="1:13" x14ac:dyDescent="0.25">
      <c r="A1651" s="20">
        <v>1001132</v>
      </c>
      <c r="B1651" s="20" t="s">
        <v>17180</v>
      </c>
      <c r="C1651" s="20">
        <v>1001132</v>
      </c>
      <c r="D1651" s="20" t="e">
        <f>VLOOKUP(C1651,[1]CHILDCARE_FACILITIES!AJ:AK,2,0)</f>
        <v>#N/A</v>
      </c>
      <c r="E1651" s="20" t="s">
        <v>15134</v>
      </c>
      <c r="F1651" s="20" t="s">
        <v>15135</v>
      </c>
      <c r="G1651" s="20">
        <v>73368001</v>
      </c>
      <c r="H1651" s="20" t="s">
        <v>15136</v>
      </c>
      <c r="I1651" s="20" t="b">
        <v>1</v>
      </c>
      <c r="J1651" s="20" t="s">
        <v>18394</v>
      </c>
      <c r="K1651" s="20">
        <v>1001132</v>
      </c>
      <c r="L1651" s="20" t="s">
        <v>17639</v>
      </c>
      <c r="M1651" s="20" t="s">
        <v>18395</v>
      </c>
    </row>
    <row r="1652" spans="1:13" x14ac:dyDescent="0.25">
      <c r="A1652" s="20">
        <v>9091</v>
      </c>
      <c r="B1652" s="20" t="s">
        <v>15352</v>
      </c>
      <c r="C1652" s="20">
        <v>9091</v>
      </c>
      <c r="D1652" s="20" t="e">
        <f>VLOOKUP(C1652,[1]CHILDCARE_FACILITIES!AJ:AK,2,0)</f>
        <v>#N/A</v>
      </c>
      <c r="E1652" s="20" t="s">
        <v>15134</v>
      </c>
      <c r="F1652" s="20" t="s">
        <v>15135</v>
      </c>
      <c r="G1652" s="20">
        <v>73067001</v>
      </c>
      <c r="K1652" s="20">
        <v>9091</v>
      </c>
    </row>
    <row r="1653" spans="1:13" x14ac:dyDescent="0.25">
      <c r="A1653" s="20">
        <v>9369</v>
      </c>
      <c r="B1653" s="20" t="s">
        <v>15493</v>
      </c>
      <c r="C1653" s="20">
        <v>9369</v>
      </c>
      <c r="D1653" s="20" t="str">
        <f>VLOOKUP(C1653,[1]CHILDCARE_FACILITIES!AJ:AK,2,0)</f>
        <v>CDC-5405</v>
      </c>
      <c r="E1653" s="20" t="s">
        <v>15134</v>
      </c>
      <c r="F1653" s="20" t="s">
        <v>15135</v>
      </c>
      <c r="G1653" s="20">
        <v>73230001</v>
      </c>
      <c r="H1653" s="20" t="s">
        <v>15145</v>
      </c>
      <c r="I1653" s="20" t="b">
        <v>1</v>
      </c>
      <c r="J1653" s="20" t="s">
        <v>18396</v>
      </c>
      <c r="K1653" s="20">
        <v>9369</v>
      </c>
      <c r="L1653" s="20" t="s">
        <v>17236</v>
      </c>
      <c r="M1653" s="20" t="s">
        <v>18092</v>
      </c>
    </row>
    <row r="1654" spans="1:13" x14ac:dyDescent="0.25">
      <c r="A1654" s="20">
        <v>9369</v>
      </c>
      <c r="B1654" s="20" t="s">
        <v>15493</v>
      </c>
      <c r="C1654" s="20">
        <v>9369</v>
      </c>
      <c r="D1654" s="20" t="str">
        <f>VLOOKUP(C1654,[1]CHILDCARE_FACILITIES!AJ:AK,2,0)</f>
        <v>CDC-5405</v>
      </c>
      <c r="E1654" s="20" t="s">
        <v>15134</v>
      </c>
      <c r="F1654" s="20" t="s">
        <v>15135</v>
      </c>
      <c r="G1654" s="20">
        <v>73230001</v>
      </c>
      <c r="H1654" s="20" t="s">
        <v>15138</v>
      </c>
      <c r="I1654" s="20" t="b">
        <v>1</v>
      </c>
      <c r="J1654" s="20" t="s">
        <v>18396</v>
      </c>
      <c r="K1654" s="20">
        <v>9369</v>
      </c>
      <c r="L1654" s="20" t="s">
        <v>17236</v>
      </c>
      <c r="M1654" s="20" t="s">
        <v>18092</v>
      </c>
    </row>
    <row r="1655" spans="1:13" x14ac:dyDescent="0.25">
      <c r="A1655" s="20">
        <v>8654</v>
      </c>
      <c r="B1655" s="20" t="s">
        <v>15174</v>
      </c>
      <c r="C1655" s="20">
        <v>8654</v>
      </c>
      <c r="D1655" s="20" t="e">
        <f>VLOOKUP(C1655,[1]CHILDCARE_FACILITIES!AJ:AK,2,0)</f>
        <v>#N/A</v>
      </c>
      <c r="E1655" s="20" t="s">
        <v>15134</v>
      </c>
      <c r="F1655" s="20" t="s">
        <v>15135</v>
      </c>
      <c r="G1655" s="20">
        <v>72201000</v>
      </c>
      <c r="K1655" s="20">
        <v>8654</v>
      </c>
    </row>
    <row r="1656" spans="1:13" x14ac:dyDescent="0.25">
      <c r="A1656" s="20">
        <v>80926</v>
      </c>
      <c r="B1656" s="20" t="s">
        <v>16248</v>
      </c>
      <c r="C1656" s="20">
        <v>80926</v>
      </c>
      <c r="D1656" s="20" t="e">
        <f>VLOOKUP(C1656,[1]CHILDCARE_FACILITIES!AJ:AK,2,0)</f>
        <v>#N/A</v>
      </c>
      <c r="E1656" s="20" t="s">
        <v>15134</v>
      </c>
      <c r="F1656" s="20" t="s">
        <v>15135</v>
      </c>
      <c r="G1656" s="20">
        <v>73495000</v>
      </c>
      <c r="H1656" s="20" t="s">
        <v>15138</v>
      </c>
      <c r="I1656" s="20" t="b">
        <v>1</v>
      </c>
      <c r="J1656" s="20" t="s">
        <v>18397</v>
      </c>
      <c r="K1656" s="20">
        <v>80926</v>
      </c>
      <c r="L1656" s="20" t="s">
        <v>17213</v>
      </c>
      <c r="M1656" s="20" t="s">
        <v>18398</v>
      </c>
    </row>
    <row r="1657" spans="1:13" x14ac:dyDescent="0.25">
      <c r="A1657" s="20">
        <v>80926</v>
      </c>
      <c r="B1657" s="20" t="s">
        <v>16248</v>
      </c>
      <c r="C1657" s="20">
        <v>80926</v>
      </c>
      <c r="D1657" s="20" t="e">
        <f>VLOOKUP(C1657,[1]CHILDCARE_FACILITIES!AJ:AK,2,0)</f>
        <v>#N/A</v>
      </c>
      <c r="E1657" s="20" t="s">
        <v>15134</v>
      </c>
      <c r="F1657" s="20" t="s">
        <v>15135</v>
      </c>
      <c r="G1657" s="20">
        <v>73495000</v>
      </c>
      <c r="H1657" s="20" t="s">
        <v>15145</v>
      </c>
      <c r="I1657" s="20" t="b">
        <v>1</v>
      </c>
      <c r="J1657" s="20" t="s">
        <v>18397</v>
      </c>
      <c r="K1657" s="20">
        <v>80926</v>
      </c>
      <c r="L1657" s="20" t="s">
        <v>17213</v>
      </c>
      <c r="M1657" s="20" t="s">
        <v>18398</v>
      </c>
    </row>
    <row r="1658" spans="1:13" x14ac:dyDescent="0.25">
      <c r="A1658" s="20">
        <v>9734</v>
      </c>
      <c r="B1658" s="20" t="s">
        <v>15641</v>
      </c>
      <c r="C1658" s="20">
        <v>9734</v>
      </c>
      <c r="D1658" s="20" t="e">
        <f>VLOOKUP(C1658,[1]CHILDCARE_FACILITIES!AJ:AK,2,0)</f>
        <v>#N/A</v>
      </c>
      <c r="E1658" s="20" t="s">
        <v>15134</v>
      </c>
      <c r="F1658" s="20" t="s">
        <v>15135</v>
      </c>
      <c r="G1658" s="20">
        <v>102211001</v>
      </c>
      <c r="K1658" s="20">
        <v>9734</v>
      </c>
    </row>
    <row r="1659" spans="1:13" x14ac:dyDescent="0.25">
      <c r="A1659" s="20">
        <v>9281</v>
      </c>
      <c r="B1659" s="20" t="s">
        <v>15447</v>
      </c>
      <c r="C1659" s="20">
        <v>9281</v>
      </c>
      <c r="D1659" s="20" t="str">
        <f>VLOOKUP(C1659,[1]CHILDCARE_FACILITIES!AJ:AK,2,0)</f>
        <v>CDC-0267</v>
      </c>
      <c r="E1659" s="20" t="s">
        <v>15134</v>
      </c>
      <c r="F1659" s="20" t="s">
        <v>15135</v>
      </c>
      <c r="G1659" s="20">
        <v>73197001</v>
      </c>
      <c r="K1659" s="20">
        <v>9281</v>
      </c>
    </row>
    <row r="1660" spans="1:13" x14ac:dyDescent="0.25">
      <c r="A1660" s="20">
        <v>90125</v>
      </c>
      <c r="B1660" s="20" t="s">
        <v>16552</v>
      </c>
      <c r="C1660" s="20">
        <v>90125</v>
      </c>
      <c r="D1660" s="20" t="e">
        <f>VLOOKUP(C1660,[1]CHILDCARE_FACILITIES!AJ:AK,2,0)</f>
        <v>#N/A</v>
      </c>
      <c r="E1660" s="20" t="s">
        <v>15134</v>
      </c>
      <c r="F1660" s="20" t="s">
        <v>15135</v>
      </c>
      <c r="G1660" s="20">
        <v>72401010</v>
      </c>
      <c r="H1660" s="20" t="s">
        <v>15138</v>
      </c>
      <c r="I1660" s="20" t="b">
        <v>1</v>
      </c>
      <c r="J1660" s="20" t="s">
        <v>18399</v>
      </c>
      <c r="K1660" s="20">
        <v>90125</v>
      </c>
      <c r="L1660" s="20" t="s">
        <v>17213</v>
      </c>
      <c r="M1660" s="20" t="s">
        <v>18400</v>
      </c>
    </row>
    <row r="1661" spans="1:13" x14ac:dyDescent="0.25">
      <c r="A1661" s="20">
        <v>90125</v>
      </c>
      <c r="B1661" s="20" t="s">
        <v>16552</v>
      </c>
      <c r="C1661" s="20">
        <v>90125</v>
      </c>
      <c r="D1661" s="20" t="e">
        <f>VLOOKUP(C1661,[1]CHILDCARE_FACILITIES!AJ:AK,2,0)</f>
        <v>#N/A</v>
      </c>
      <c r="E1661" s="20" t="s">
        <v>15134</v>
      </c>
      <c r="F1661" s="20" t="s">
        <v>15135</v>
      </c>
      <c r="G1661" s="20">
        <v>72401010</v>
      </c>
      <c r="H1661" s="20" t="s">
        <v>15136</v>
      </c>
      <c r="I1661" s="20" t="b">
        <v>1</v>
      </c>
      <c r="J1661" s="20" t="s">
        <v>17426</v>
      </c>
      <c r="K1661" s="20">
        <v>90125</v>
      </c>
      <c r="L1661" s="20" t="s">
        <v>17213</v>
      </c>
      <c r="M1661" s="20" t="s">
        <v>17427</v>
      </c>
    </row>
    <row r="1662" spans="1:13" x14ac:dyDescent="0.25">
      <c r="A1662" s="20">
        <v>8786</v>
      </c>
      <c r="B1662" s="20" t="s">
        <v>15276</v>
      </c>
      <c r="C1662" s="20">
        <v>8786</v>
      </c>
      <c r="D1662" s="20" t="e">
        <f>VLOOKUP(C1662,[1]CHILDCARE_FACILITIES!AJ:AK,2,0)</f>
        <v>#N/A</v>
      </c>
      <c r="E1662" s="20" t="s">
        <v>15134</v>
      </c>
      <c r="F1662" s="20" t="s">
        <v>15135</v>
      </c>
      <c r="G1662" s="20">
        <v>72415000</v>
      </c>
      <c r="K1662" s="20">
        <v>8786</v>
      </c>
    </row>
    <row r="1663" spans="1:13" x14ac:dyDescent="0.25">
      <c r="A1663" s="20">
        <v>10353</v>
      </c>
      <c r="B1663" s="20" t="s">
        <v>15276</v>
      </c>
      <c r="C1663" s="20">
        <v>10353</v>
      </c>
      <c r="D1663" s="20" t="e">
        <f>VLOOKUP(C1663,[1]CHILDCARE_FACILITIES!AJ:AK,2,0)</f>
        <v>#N/A</v>
      </c>
      <c r="E1663" s="20" t="s">
        <v>15134</v>
      </c>
      <c r="F1663" s="20" t="s">
        <v>15135</v>
      </c>
      <c r="G1663" s="20">
        <v>72415001</v>
      </c>
      <c r="K1663" s="20">
        <v>10353</v>
      </c>
    </row>
    <row r="1664" spans="1:13" x14ac:dyDescent="0.25">
      <c r="A1664" s="20">
        <v>9242</v>
      </c>
      <c r="B1664" s="20" t="s">
        <v>15429</v>
      </c>
      <c r="C1664" s="20">
        <v>9242</v>
      </c>
      <c r="D1664" s="20" t="e">
        <f>VLOOKUP(C1664,[1]CHILDCARE_FACILITIES!AJ:AK,2,0)</f>
        <v>#N/A</v>
      </c>
      <c r="E1664" s="20" t="s">
        <v>15134</v>
      </c>
      <c r="F1664" s="20" t="s">
        <v>15135</v>
      </c>
      <c r="G1664" s="20">
        <v>73171001</v>
      </c>
      <c r="K1664" s="20">
        <v>9242</v>
      </c>
    </row>
    <row r="1665" spans="1:14" x14ac:dyDescent="0.25">
      <c r="A1665" s="20">
        <v>9256</v>
      </c>
      <c r="B1665" s="20" t="s">
        <v>15429</v>
      </c>
      <c r="C1665" s="20">
        <v>9256</v>
      </c>
      <c r="D1665" s="20" t="e">
        <f>VLOOKUP(C1665,[1]CHILDCARE_FACILITIES!AJ:AK,2,0)</f>
        <v>#N/A</v>
      </c>
      <c r="E1665" s="20" t="s">
        <v>15134</v>
      </c>
      <c r="F1665" s="20" t="s">
        <v>15135</v>
      </c>
      <c r="G1665" s="20">
        <v>73182001</v>
      </c>
      <c r="K1665" s="20">
        <v>9256</v>
      </c>
    </row>
    <row r="1666" spans="1:14" x14ac:dyDescent="0.25">
      <c r="A1666" s="20">
        <v>79339</v>
      </c>
      <c r="B1666" s="20" t="s">
        <v>15938</v>
      </c>
      <c r="C1666" s="20">
        <v>79339</v>
      </c>
      <c r="D1666" s="20" t="e">
        <f>VLOOKUP(C1666,[1]CHILDCARE_FACILITIES!AJ:AK,2,0)</f>
        <v>#N/A</v>
      </c>
      <c r="E1666" s="20" t="s">
        <v>15134</v>
      </c>
      <c r="F1666" s="20" t="s">
        <v>15135</v>
      </c>
      <c r="G1666" s="20">
        <v>72425018</v>
      </c>
      <c r="H1666" s="20" t="s">
        <v>15145</v>
      </c>
      <c r="I1666" s="20" t="b">
        <v>1</v>
      </c>
      <c r="J1666" s="20" t="s">
        <v>18401</v>
      </c>
      <c r="K1666" s="20">
        <v>79339</v>
      </c>
      <c r="L1666" s="20" t="s">
        <v>17236</v>
      </c>
      <c r="M1666" s="20" t="s">
        <v>18402</v>
      </c>
    </row>
    <row r="1667" spans="1:14" x14ac:dyDescent="0.25">
      <c r="A1667" s="20">
        <v>79339</v>
      </c>
      <c r="B1667" s="20" t="s">
        <v>15938</v>
      </c>
      <c r="C1667" s="20">
        <v>79339</v>
      </c>
      <c r="D1667" s="20" t="e">
        <f>VLOOKUP(C1667,[1]CHILDCARE_FACILITIES!AJ:AK,2,0)</f>
        <v>#N/A</v>
      </c>
      <c r="E1667" s="20" t="s">
        <v>15134</v>
      </c>
      <c r="F1667" s="20" t="s">
        <v>15135</v>
      </c>
      <c r="G1667" s="20">
        <v>72425018</v>
      </c>
      <c r="H1667" s="20" t="s">
        <v>15138</v>
      </c>
      <c r="I1667" s="20" t="b">
        <v>1</v>
      </c>
      <c r="J1667" s="20" t="s">
        <v>18401</v>
      </c>
      <c r="K1667" s="20">
        <v>79339</v>
      </c>
      <c r="L1667" s="20" t="s">
        <v>17236</v>
      </c>
      <c r="M1667" s="20" t="s">
        <v>18402</v>
      </c>
    </row>
    <row r="1668" spans="1:14" x14ac:dyDescent="0.25">
      <c r="A1668" s="20">
        <v>79332</v>
      </c>
      <c r="B1668" s="20" t="s">
        <v>15926</v>
      </c>
      <c r="C1668" s="20">
        <v>79332</v>
      </c>
      <c r="D1668" s="20" t="e">
        <f>VLOOKUP(C1668,[1]CHILDCARE_FACILITIES!AJ:AK,2,0)</f>
        <v>#N/A</v>
      </c>
      <c r="E1668" s="20" t="s">
        <v>15134</v>
      </c>
      <c r="F1668" s="20" t="s">
        <v>15135</v>
      </c>
      <c r="G1668" s="20">
        <v>72425002</v>
      </c>
      <c r="H1668" s="20" t="s">
        <v>15138</v>
      </c>
      <c r="I1668" s="20" t="b">
        <v>0</v>
      </c>
      <c r="J1668" s="20" t="s">
        <v>18403</v>
      </c>
      <c r="K1668" s="20">
        <v>79332</v>
      </c>
      <c r="L1668" s="20" t="s">
        <v>17228</v>
      </c>
      <c r="M1668" s="20" t="s">
        <v>18404</v>
      </c>
    </row>
    <row r="1669" spans="1:14" x14ac:dyDescent="0.25">
      <c r="A1669" s="20">
        <v>79332</v>
      </c>
      <c r="B1669" s="20" t="s">
        <v>15926</v>
      </c>
      <c r="C1669" s="20">
        <v>79332</v>
      </c>
      <c r="D1669" s="20" t="e">
        <f>VLOOKUP(C1669,[1]CHILDCARE_FACILITIES!AJ:AK,2,0)</f>
        <v>#N/A</v>
      </c>
      <c r="E1669" s="20" t="s">
        <v>15134</v>
      </c>
      <c r="F1669" s="20" t="s">
        <v>15135</v>
      </c>
      <c r="G1669" s="20">
        <v>72425002</v>
      </c>
      <c r="H1669" s="20" t="s">
        <v>15145</v>
      </c>
      <c r="I1669" s="20" t="b">
        <v>1</v>
      </c>
      <c r="J1669" s="20" t="s">
        <v>18405</v>
      </c>
      <c r="K1669" s="20">
        <v>79332</v>
      </c>
      <c r="L1669" s="20" t="s">
        <v>17213</v>
      </c>
      <c r="M1669" s="20" t="s">
        <v>18406</v>
      </c>
    </row>
    <row r="1670" spans="1:14" x14ac:dyDescent="0.25">
      <c r="A1670" s="20">
        <v>80527</v>
      </c>
      <c r="B1670" s="20" t="s">
        <v>16097</v>
      </c>
      <c r="C1670" s="20">
        <v>80527</v>
      </c>
      <c r="D1670" s="20" t="e">
        <f>VLOOKUP(C1670,[1]CHILDCARE_FACILITIES!AJ:AK,2,0)</f>
        <v>#N/A</v>
      </c>
      <c r="E1670" s="20" t="s">
        <v>15134</v>
      </c>
      <c r="F1670" s="20" t="s">
        <v>15135</v>
      </c>
      <c r="G1670" s="20">
        <v>72401008</v>
      </c>
      <c r="H1670" s="20" t="s">
        <v>15136</v>
      </c>
      <c r="I1670" s="20" t="b">
        <v>1</v>
      </c>
      <c r="J1670" s="20" t="s">
        <v>17426</v>
      </c>
      <c r="K1670" s="20">
        <v>80527</v>
      </c>
      <c r="L1670" s="20" t="s">
        <v>17213</v>
      </c>
      <c r="M1670" s="20" t="s">
        <v>17427</v>
      </c>
    </row>
    <row r="1671" spans="1:14" x14ac:dyDescent="0.25">
      <c r="A1671" s="20">
        <v>80527</v>
      </c>
      <c r="B1671" s="20" t="s">
        <v>16097</v>
      </c>
      <c r="C1671" s="20">
        <v>80527</v>
      </c>
      <c r="D1671" s="20" t="e">
        <f>VLOOKUP(C1671,[1]CHILDCARE_FACILITIES!AJ:AK,2,0)</f>
        <v>#N/A</v>
      </c>
      <c r="E1671" s="20" t="s">
        <v>15134</v>
      </c>
      <c r="F1671" s="20" t="s">
        <v>15135</v>
      </c>
      <c r="G1671" s="20">
        <v>72401008</v>
      </c>
      <c r="H1671" s="20" t="s">
        <v>15138</v>
      </c>
      <c r="I1671" s="20" t="b">
        <v>1</v>
      </c>
      <c r="J1671" s="20" t="s">
        <v>18407</v>
      </c>
      <c r="K1671" s="20">
        <v>80527</v>
      </c>
      <c r="L1671" s="20" t="s">
        <v>17213</v>
      </c>
      <c r="M1671" s="20" t="s">
        <v>18406</v>
      </c>
    </row>
    <row r="1672" spans="1:14" x14ac:dyDescent="0.25">
      <c r="A1672" s="20">
        <v>1000095</v>
      </c>
      <c r="B1672" s="20" t="s">
        <v>17080</v>
      </c>
      <c r="C1672" s="20">
        <v>1000095</v>
      </c>
      <c r="D1672" s="20" t="e">
        <f>VLOOKUP(C1672,[1]CHILDCARE_FACILITIES!AJ:AK,2,0)</f>
        <v>#N/A</v>
      </c>
      <c r="E1672" s="20" t="s">
        <v>15134</v>
      </c>
      <c r="F1672" s="20" t="s">
        <v>15135</v>
      </c>
      <c r="G1672" s="20">
        <v>73350000</v>
      </c>
      <c r="H1672" s="20" t="s">
        <v>15138</v>
      </c>
      <c r="I1672" s="20" t="b">
        <v>0</v>
      </c>
      <c r="J1672" s="20" t="s">
        <v>18408</v>
      </c>
      <c r="K1672" s="20">
        <v>1000095</v>
      </c>
      <c r="L1672" s="20" t="s">
        <v>18409</v>
      </c>
      <c r="M1672" s="20" t="s">
        <v>17228</v>
      </c>
      <c r="N1672" s="20" t="s">
        <v>17722</v>
      </c>
    </row>
    <row r="1673" spans="1:14" x14ac:dyDescent="0.25">
      <c r="A1673" s="20">
        <v>1000095</v>
      </c>
      <c r="B1673" s="20" t="s">
        <v>17080</v>
      </c>
      <c r="C1673" s="20">
        <v>1000095</v>
      </c>
      <c r="D1673" s="20" t="e">
        <f>VLOOKUP(C1673,[1]CHILDCARE_FACILITIES!AJ:AK,2,0)</f>
        <v>#N/A</v>
      </c>
      <c r="E1673" s="20" t="s">
        <v>15134</v>
      </c>
      <c r="F1673" s="20" t="s">
        <v>15135</v>
      </c>
      <c r="G1673" s="20">
        <v>73350000</v>
      </c>
      <c r="H1673" s="20" t="s">
        <v>15136</v>
      </c>
      <c r="I1673" s="20" t="b">
        <v>0</v>
      </c>
      <c r="J1673" s="20" t="s">
        <v>18408</v>
      </c>
      <c r="K1673" s="20">
        <v>1000095</v>
      </c>
      <c r="L1673" s="20" t="s">
        <v>18409</v>
      </c>
      <c r="M1673" s="20" t="s">
        <v>17228</v>
      </c>
      <c r="N1673" s="20" t="s">
        <v>17722</v>
      </c>
    </row>
    <row r="1674" spans="1:14" x14ac:dyDescent="0.25">
      <c r="A1674" s="20">
        <v>79668</v>
      </c>
      <c r="B1674" s="20" t="s">
        <v>15982</v>
      </c>
      <c r="C1674" s="20">
        <v>79668</v>
      </c>
      <c r="D1674" s="20" t="e">
        <f>VLOOKUP(C1674,[1]CHILDCARE_FACILITIES!AJ:AK,2,0)</f>
        <v>#N/A</v>
      </c>
      <c r="E1674" s="20" t="s">
        <v>15134</v>
      </c>
      <c r="F1674" s="20" t="s">
        <v>15135</v>
      </c>
      <c r="G1674" s="20">
        <v>142206001</v>
      </c>
      <c r="H1674" s="20" t="s">
        <v>15138</v>
      </c>
      <c r="I1674" s="20" t="b">
        <v>1</v>
      </c>
      <c r="J1674" s="20" t="s">
        <v>17627</v>
      </c>
      <c r="K1674" s="20">
        <v>79668</v>
      </c>
      <c r="L1674" s="20" t="s">
        <v>17335</v>
      </c>
      <c r="M1674" s="20" t="s">
        <v>17498</v>
      </c>
    </row>
    <row r="1675" spans="1:14" x14ac:dyDescent="0.25">
      <c r="A1675" s="20">
        <v>79668</v>
      </c>
      <c r="B1675" s="20" t="s">
        <v>15982</v>
      </c>
      <c r="C1675" s="20">
        <v>79668</v>
      </c>
      <c r="D1675" s="20" t="e">
        <f>VLOOKUP(C1675,[1]CHILDCARE_FACILITIES!AJ:AK,2,0)</f>
        <v>#N/A</v>
      </c>
      <c r="E1675" s="20" t="s">
        <v>15134</v>
      </c>
      <c r="F1675" s="20" t="s">
        <v>15135</v>
      </c>
      <c r="G1675" s="20">
        <v>142206001</v>
      </c>
      <c r="H1675" s="20" t="s">
        <v>15145</v>
      </c>
      <c r="I1675" s="20" t="b">
        <v>1</v>
      </c>
      <c r="J1675" s="20" t="s">
        <v>17625</v>
      </c>
      <c r="K1675" s="20">
        <v>79668</v>
      </c>
      <c r="L1675" s="20" t="s">
        <v>17335</v>
      </c>
      <c r="M1675" s="20" t="s">
        <v>17626</v>
      </c>
    </row>
    <row r="1676" spans="1:14" x14ac:dyDescent="0.25">
      <c r="A1676" s="20">
        <v>79528</v>
      </c>
      <c r="B1676" s="20" t="s">
        <v>15974</v>
      </c>
      <c r="C1676" s="20">
        <v>79528</v>
      </c>
      <c r="D1676" s="20" t="e">
        <f>VLOOKUP(C1676,[1]CHILDCARE_FACILITIES!AJ:AK,2,0)</f>
        <v>#N/A</v>
      </c>
      <c r="E1676" s="20" t="s">
        <v>15134</v>
      </c>
      <c r="F1676" s="20" t="s">
        <v>15135</v>
      </c>
      <c r="G1676" s="20">
        <v>82210001</v>
      </c>
      <c r="H1676" s="20" t="s">
        <v>15138</v>
      </c>
      <c r="I1676" s="20" t="b">
        <v>0</v>
      </c>
      <c r="J1676" s="20" t="s">
        <v>18410</v>
      </c>
      <c r="K1676" s="20">
        <v>79528</v>
      </c>
      <c r="L1676" s="20" t="s">
        <v>18263</v>
      </c>
      <c r="M1676" s="20" t="s">
        <v>18411</v>
      </c>
    </row>
    <row r="1677" spans="1:14" x14ac:dyDescent="0.25">
      <c r="A1677" s="20">
        <v>79528</v>
      </c>
      <c r="B1677" s="20" t="s">
        <v>15974</v>
      </c>
      <c r="C1677" s="20">
        <v>79528</v>
      </c>
      <c r="D1677" s="20" t="e">
        <f>VLOOKUP(C1677,[1]CHILDCARE_FACILITIES!AJ:AK,2,0)</f>
        <v>#N/A</v>
      </c>
      <c r="E1677" s="20" t="s">
        <v>15134</v>
      </c>
      <c r="F1677" s="20" t="s">
        <v>15135</v>
      </c>
      <c r="G1677" s="20">
        <v>82210001</v>
      </c>
      <c r="H1677" s="20" t="s">
        <v>15145</v>
      </c>
      <c r="I1677" s="20" t="b">
        <v>1</v>
      </c>
      <c r="J1677" s="20" t="s">
        <v>18412</v>
      </c>
      <c r="K1677" s="20">
        <v>79528</v>
      </c>
      <c r="L1677" s="20" t="s">
        <v>18140</v>
      </c>
      <c r="M1677" s="20" t="s">
        <v>18413</v>
      </c>
    </row>
    <row r="1678" spans="1:14" x14ac:dyDescent="0.25">
      <c r="A1678" s="20">
        <v>9365</v>
      </c>
      <c r="B1678" s="20" t="s">
        <v>15489</v>
      </c>
      <c r="C1678" s="20">
        <v>9365</v>
      </c>
      <c r="D1678" s="20" t="e">
        <f>VLOOKUP(C1678,[1]CHILDCARE_FACILITIES!AJ:AK,2,0)</f>
        <v>#N/A</v>
      </c>
      <c r="E1678" s="20" t="s">
        <v>15134</v>
      </c>
      <c r="F1678" s="20" t="s">
        <v>15135</v>
      </c>
      <c r="G1678" s="20">
        <v>73228001</v>
      </c>
      <c r="K1678" s="20">
        <v>9365</v>
      </c>
    </row>
    <row r="1679" spans="1:14" x14ac:dyDescent="0.25">
      <c r="A1679" s="20">
        <v>80749</v>
      </c>
      <c r="B1679" s="20" t="s">
        <v>16210</v>
      </c>
      <c r="C1679" s="20">
        <v>80749</v>
      </c>
      <c r="D1679" s="20" t="e">
        <f>VLOOKUP(C1679,[1]CHILDCARE_FACILITIES!AJ:AK,2,0)</f>
        <v>#N/A</v>
      </c>
      <c r="E1679" s="20" t="s">
        <v>15134</v>
      </c>
      <c r="F1679" s="20" t="s">
        <v>15135</v>
      </c>
      <c r="G1679" s="20">
        <v>102257000</v>
      </c>
      <c r="H1679" s="20" t="s">
        <v>15145</v>
      </c>
      <c r="I1679" s="20" t="b">
        <v>1</v>
      </c>
      <c r="J1679" s="20" t="s">
        <v>18414</v>
      </c>
      <c r="K1679" s="20">
        <v>80749</v>
      </c>
      <c r="L1679" s="20" t="s">
        <v>17271</v>
      </c>
      <c r="M1679" s="20" t="s">
        <v>18415</v>
      </c>
    </row>
    <row r="1680" spans="1:14" x14ac:dyDescent="0.25">
      <c r="A1680" s="20">
        <v>80749</v>
      </c>
      <c r="B1680" s="20" t="s">
        <v>16210</v>
      </c>
      <c r="C1680" s="20">
        <v>80749</v>
      </c>
      <c r="D1680" s="20" t="e">
        <f>VLOOKUP(C1680,[1]CHILDCARE_FACILITIES!AJ:AK,2,0)</f>
        <v>#N/A</v>
      </c>
      <c r="E1680" s="20" t="s">
        <v>15134</v>
      </c>
      <c r="F1680" s="20" t="s">
        <v>15135</v>
      </c>
      <c r="G1680" s="20">
        <v>102257000</v>
      </c>
      <c r="H1680" s="20" t="s">
        <v>15138</v>
      </c>
      <c r="I1680" s="20" t="b">
        <v>1</v>
      </c>
      <c r="J1680" s="20" t="s">
        <v>18414</v>
      </c>
      <c r="K1680" s="20">
        <v>80749</v>
      </c>
      <c r="L1680" s="20" t="s">
        <v>17271</v>
      </c>
      <c r="M1680" s="20" t="s">
        <v>18415</v>
      </c>
    </row>
    <row r="1681" spans="1:13" x14ac:dyDescent="0.25">
      <c r="A1681" s="20">
        <v>80750</v>
      </c>
      <c r="B1681" s="20" t="s">
        <v>16212</v>
      </c>
      <c r="C1681" s="20">
        <v>80750</v>
      </c>
      <c r="D1681" s="20" t="str">
        <f>VLOOKUP(C1681,[1]CHILDCARE_FACILITIES!AJ:AK,2,0)</f>
        <v>CDC-1588</v>
      </c>
      <c r="E1681" s="20" t="s">
        <v>15134</v>
      </c>
      <c r="F1681" s="20" t="s">
        <v>15135</v>
      </c>
      <c r="G1681" s="20">
        <v>102257001</v>
      </c>
      <c r="H1681" s="20" t="s">
        <v>15138</v>
      </c>
      <c r="I1681" s="20" t="b">
        <v>1</v>
      </c>
      <c r="J1681" s="20" t="s">
        <v>18414</v>
      </c>
      <c r="K1681" s="20">
        <v>80750</v>
      </c>
      <c r="L1681" s="20" t="s">
        <v>17271</v>
      </c>
      <c r="M1681" s="20" t="s">
        <v>18415</v>
      </c>
    </row>
    <row r="1682" spans="1:13" x14ac:dyDescent="0.25">
      <c r="A1682" s="20">
        <v>80750</v>
      </c>
      <c r="B1682" s="20" t="s">
        <v>16212</v>
      </c>
      <c r="C1682" s="20">
        <v>80750</v>
      </c>
      <c r="D1682" s="20" t="str">
        <f>VLOOKUP(C1682,[1]CHILDCARE_FACILITIES!AJ:AK,2,0)</f>
        <v>CDC-1588</v>
      </c>
      <c r="E1682" s="20" t="s">
        <v>15134</v>
      </c>
      <c r="F1682" s="20" t="s">
        <v>15135</v>
      </c>
      <c r="G1682" s="20">
        <v>102257001</v>
      </c>
      <c r="H1682" s="20" t="s">
        <v>15145</v>
      </c>
      <c r="I1682" s="20" t="b">
        <v>1</v>
      </c>
      <c r="J1682" s="20" t="s">
        <v>18414</v>
      </c>
      <c r="K1682" s="20">
        <v>80750</v>
      </c>
      <c r="L1682" s="20" t="s">
        <v>17271</v>
      </c>
      <c r="M1682" s="20" t="s">
        <v>18415</v>
      </c>
    </row>
    <row r="1683" spans="1:13" x14ac:dyDescent="0.25">
      <c r="A1683" s="20">
        <v>90837</v>
      </c>
      <c r="B1683" s="20" t="s">
        <v>16695</v>
      </c>
      <c r="C1683" s="20">
        <v>90837</v>
      </c>
      <c r="D1683" s="20" t="e">
        <f>VLOOKUP(C1683,[1]CHILDCARE_FACILITIES!AJ:AK,2,0)</f>
        <v>#N/A</v>
      </c>
      <c r="E1683" s="20" t="s">
        <v>15134</v>
      </c>
      <c r="F1683" s="20" t="s">
        <v>15135</v>
      </c>
      <c r="G1683" s="20">
        <v>73713000</v>
      </c>
      <c r="H1683" s="20" t="s">
        <v>15138</v>
      </c>
      <c r="I1683" s="20" t="b">
        <v>1</v>
      </c>
      <c r="J1683" s="20" t="s">
        <v>18416</v>
      </c>
      <c r="K1683" s="20">
        <v>90837</v>
      </c>
      <c r="L1683" s="20" t="s">
        <v>17213</v>
      </c>
      <c r="M1683" s="20" t="s">
        <v>18417</v>
      </c>
    </row>
    <row r="1684" spans="1:13" x14ac:dyDescent="0.25">
      <c r="A1684" s="20">
        <v>90837</v>
      </c>
      <c r="B1684" s="20" t="s">
        <v>16695</v>
      </c>
      <c r="C1684" s="20">
        <v>90837</v>
      </c>
      <c r="D1684" s="20" t="e">
        <f>VLOOKUP(C1684,[1]CHILDCARE_FACILITIES!AJ:AK,2,0)</f>
        <v>#N/A</v>
      </c>
      <c r="E1684" s="20" t="s">
        <v>15134</v>
      </c>
      <c r="F1684" s="20" t="s">
        <v>15135</v>
      </c>
      <c r="G1684" s="20">
        <v>73713000</v>
      </c>
      <c r="H1684" s="20" t="s">
        <v>15136</v>
      </c>
      <c r="I1684" s="20" t="b">
        <v>1</v>
      </c>
      <c r="J1684" s="20" t="s">
        <v>18418</v>
      </c>
      <c r="K1684" s="20">
        <v>90837</v>
      </c>
      <c r="L1684" s="20" t="s">
        <v>17213</v>
      </c>
      <c r="M1684" s="20" t="s">
        <v>18417</v>
      </c>
    </row>
    <row r="1685" spans="1:13" x14ac:dyDescent="0.25">
      <c r="A1685" s="20">
        <v>8714</v>
      </c>
      <c r="B1685" s="20" t="s">
        <v>15222</v>
      </c>
      <c r="C1685" s="20">
        <v>8714</v>
      </c>
      <c r="D1685" s="20" t="e">
        <f>VLOOKUP(C1685,[1]CHILDCARE_FACILITIES!AJ:AK,2,0)</f>
        <v>#N/A</v>
      </c>
      <c r="E1685" s="20" t="s">
        <v>15134</v>
      </c>
      <c r="F1685" s="20" t="s">
        <v>15135</v>
      </c>
      <c r="G1685" s="20">
        <v>72282000</v>
      </c>
      <c r="K1685" s="20">
        <v>8714</v>
      </c>
    </row>
    <row r="1686" spans="1:13" x14ac:dyDescent="0.25">
      <c r="A1686" s="20">
        <v>80730</v>
      </c>
      <c r="B1686" s="20" t="s">
        <v>16204</v>
      </c>
      <c r="C1686" s="20">
        <v>80730</v>
      </c>
      <c r="D1686" s="20" t="e">
        <f>VLOOKUP(C1686,[1]CHILDCARE_FACILITIES!AJ:AK,2,0)</f>
        <v>#N/A</v>
      </c>
      <c r="E1686" s="20" t="s">
        <v>15134</v>
      </c>
      <c r="F1686" s="20" t="s">
        <v>15135</v>
      </c>
      <c r="G1686" s="20">
        <v>73488000</v>
      </c>
      <c r="H1686" s="20" t="s">
        <v>15138</v>
      </c>
      <c r="I1686" s="20" t="b">
        <v>1</v>
      </c>
      <c r="J1686" s="20" t="s">
        <v>18419</v>
      </c>
      <c r="K1686" s="20">
        <v>80730</v>
      </c>
      <c r="L1686" s="20" t="s">
        <v>17236</v>
      </c>
      <c r="M1686" s="20" t="s">
        <v>18420</v>
      </c>
    </row>
    <row r="1687" spans="1:13" x14ac:dyDescent="0.25">
      <c r="A1687" s="20">
        <v>80730</v>
      </c>
      <c r="B1687" s="20" t="s">
        <v>16204</v>
      </c>
      <c r="C1687" s="20">
        <v>80730</v>
      </c>
      <c r="D1687" s="20" t="e">
        <f>VLOOKUP(C1687,[1]CHILDCARE_FACILITIES!AJ:AK,2,0)</f>
        <v>#N/A</v>
      </c>
      <c r="E1687" s="20" t="s">
        <v>15134</v>
      </c>
      <c r="F1687" s="20" t="s">
        <v>15135</v>
      </c>
      <c r="G1687" s="20">
        <v>73488000</v>
      </c>
      <c r="H1687" s="20" t="s">
        <v>15136</v>
      </c>
      <c r="I1687" s="20" t="b">
        <v>1</v>
      </c>
      <c r="J1687" s="20" t="s">
        <v>18421</v>
      </c>
      <c r="K1687" s="20">
        <v>80730</v>
      </c>
      <c r="L1687" s="20" t="s">
        <v>17236</v>
      </c>
      <c r="M1687" s="20" t="s">
        <v>18420</v>
      </c>
    </row>
    <row r="1688" spans="1:13" x14ac:dyDescent="0.25">
      <c r="A1688" s="20">
        <v>91632</v>
      </c>
      <c r="B1688" s="20" t="s">
        <v>16791</v>
      </c>
      <c r="C1688" s="20">
        <v>91632</v>
      </c>
      <c r="D1688" s="20" t="e">
        <f>VLOOKUP(C1688,[1]CHILDCARE_FACILITIES!AJ:AK,2,0)</f>
        <v>#N/A</v>
      </c>
      <c r="E1688" s="20" t="s">
        <v>15134</v>
      </c>
      <c r="F1688" s="20" t="s">
        <v>15135</v>
      </c>
      <c r="G1688" s="20">
        <v>72401012</v>
      </c>
      <c r="H1688" s="20" t="s">
        <v>15136</v>
      </c>
      <c r="I1688" s="20" t="b">
        <v>1</v>
      </c>
      <c r="J1688" s="20" t="s">
        <v>17426</v>
      </c>
      <c r="K1688" s="20">
        <v>91632</v>
      </c>
      <c r="L1688" s="20" t="s">
        <v>17213</v>
      </c>
      <c r="M1688" s="20" t="s">
        <v>17427</v>
      </c>
    </row>
    <row r="1689" spans="1:13" x14ac:dyDescent="0.25">
      <c r="A1689" s="20">
        <v>91632</v>
      </c>
      <c r="B1689" s="20" t="s">
        <v>16791</v>
      </c>
      <c r="C1689" s="20">
        <v>91632</v>
      </c>
      <c r="D1689" s="20" t="e">
        <f>VLOOKUP(C1689,[1]CHILDCARE_FACILITIES!AJ:AK,2,0)</f>
        <v>#N/A</v>
      </c>
      <c r="E1689" s="20" t="s">
        <v>15134</v>
      </c>
      <c r="F1689" s="20" t="s">
        <v>15135</v>
      </c>
      <c r="G1689" s="20">
        <v>72401012</v>
      </c>
      <c r="H1689" s="20" t="s">
        <v>15138</v>
      </c>
      <c r="I1689" s="20" t="b">
        <v>1</v>
      </c>
      <c r="J1689" s="20" t="s">
        <v>18422</v>
      </c>
      <c r="K1689" s="20">
        <v>91632</v>
      </c>
      <c r="L1689" s="20" t="s">
        <v>17236</v>
      </c>
      <c r="M1689" s="20" t="s">
        <v>18423</v>
      </c>
    </row>
    <row r="1690" spans="1:13" x14ac:dyDescent="0.25">
      <c r="A1690" s="20">
        <v>10127</v>
      </c>
      <c r="B1690" s="20" t="s">
        <v>15813</v>
      </c>
      <c r="C1690" s="20">
        <v>10127</v>
      </c>
      <c r="D1690" s="20" t="e">
        <f>VLOOKUP(C1690,[1]CHILDCARE_FACILITIES!AJ:AK,2,0)</f>
        <v>#N/A</v>
      </c>
      <c r="E1690" s="20" t="s">
        <v>15134</v>
      </c>
      <c r="F1690" s="20" t="s">
        <v>15135</v>
      </c>
      <c r="G1690" s="20">
        <v>122201000</v>
      </c>
      <c r="K1690" s="20">
        <v>10127</v>
      </c>
    </row>
    <row r="1691" spans="1:13" x14ac:dyDescent="0.25">
      <c r="A1691" s="20">
        <v>10128</v>
      </c>
      <c r="B1691" s="20" t="s">
        <v>15813</v>
      </c>
      <c r="C1691" s="20">
        <v>10128</v>
      </c>
      <c r="D1691" s="20" t="e">
        <f>VLOOKUP(C1691,[1]CHILDCARE_FACILITIES!AJ:AK,2,0)</f>
        <v>#N/A</v>
      </c>
      <c r="E1691" s="20" t="s">
        <v>15134</v>
      </c>
      <c r="F1691" s="20" t="s">
        <v>15135</v>
      </c>
      <c r="G1691" s="20">
        <v>122201001</v>
      </c>
      <c r="K1691" s="20">
        <v>10128</v>
      </c>
    </row>
    <row r="1692" spans="1:13" x14ac:dyDescent="0.25">
      <c r="A1692" s="20">
        <v>9762</v>
      </c>
      <c r="B1692" s="20" t="s">
        <v>15656</v>
      </c>
      <c r="C1692" s="20">
        <v>9762</v>
      </c>
      <c r="D1692" s="20" t="e">
        <f>VLOOKUP(C1692,[1]CHILDCARE_FACILITIES!AJ:AK,2,0)</f>
        <v>#N/A</v>
      </c>
      <c r="E1692" s="20" t="s">
        <v>15134</v>
      </c>
      <c r="F1692" s="20" t="s">
        <v>15135</v>
      </c>
      <c r="G1692" s="20">
        <v>102241002</v>
      </c>
      <c r="K1692" s="20">
        <v>9762</v>
      </c>
    </row>
    <row r="1693" spans="1:13" x14ac:dyDescent="0.25">
      <c r="A1693" s="20">
        <v>8492</v>
      </c>
      <c r="B1693" s="20" t="s">
        <v>15148</v>
      </c>
      <c r="C1693" s="20">
        <v>8492</v>
      </c>
      <c r="D1693" s="20" t="e">
        <f>VLOOKUP(C1693,[1]CHILDCARE_FACILITIES!AJ:AK,2,0)</f>
        <v>#N/A</v>
      </c>
      <c r="E1693" s="20" t="s">
        <v>15134</v>
      </c>
      <c r="F1693" s="20" t="s">
        <v>15135</v>
      </c>
      <c r="G1693" s="20">
        <v>22201002</v>
      </c>
      <c r="K1693" s="20">
        <v>8492</v>
      </c>
    </row>
    <row r="1694" spans="1:13" x14ac:dyDescent="0.25">
      <c r="A1694" s="20">
        <v>1001222</v>
      </c>
      <c r="B1694" s="20" t="s">
        <v>17186</v>
      </c>
      <c r="C1694" s="20">
        <v>1001222</v>
      </c>
      <c r="D1694" s="20" t="e">
        <f>VLOOKUP(C1694,[1]CHILDCARE_FACILITIES!AJ:AK,2,0)</f>
        <v>#N/A</v>
      </c>
      <c r="E1694" s="20" t="s">
        <v>15134</v>
      </c>
      <c r="F1694" s="20" t="s">
        <v>15135</v>
      </c>
      <c r="G1694" s="20">
        <v>73724000</v>
      </c>
      <c r="H1694" s="20" t="s">
        <v>15138</v>
      </c>
      <c r="I1694" s="20" t="b">
        <v>1</v>
      </c>
      <c r="J1694" s="20" t="s">
        <v>18424</v>
      </c>
      <c r="K1694" s="20">
        <v>1001222</v>
      </c>
      <c r="L1694" s="20" t="s">
        <v>17236</v>
      </c>
      <c r="M1694" s="20" t="s">
        <v>18425</v>
      </c>
    </row>
    <row r="1695" spans="1:13" x14ac:dyDescent="0.25">
      <c r="A1695" s="20">
        <v>1001222</v>
      </c>
      <c r="B1695" s="20" t="s">
        <v>17186</v>
      </c>
      <c r="C1695" s="20">
        <v>1001222</v>
      </c>
      <c r="D1695" s="20" t="e">
        <f>VLOOKUP(C1695,[1]CHILDCARE_FACILITIES!AJ:AK,2,0)</f>
        <v>#N/A</v>
      </c>
      <c r="E1695" s="20" t="s">
        <v>15134</v>
      </c>
      <c r="F1695" s="20" t="s">
        <v>15135</v>
      </c>
      <c r="G1695" s="20">
        <v>73724000</v>
      </c>
      <c r="H1695" s="20" t="s">
        <v>15136</v>
      </c>
      <c r="I1695" s="20" t="b">
        <v>1</v>
      </c>
      <c r="J1695" s="20" t="s">
        <v>18424</v>
      </c>
      <c r="K1695" s="20">
        <v>1001222</v>
      </c>
      <c r="L1695" s="20" t="s">
        <v>17236</v>
      </c>
      <c r="M1695" s="20" t="s">
        <v>18425</v>
      </c>
    </row>
    <row r="1696" spans="1:13" x14ac:dyDescent="0.25">
      <c r="A1696" s="20">
        <v>1001262</v>
      </c>
      <c r="B1696" s="20" t="s">
        <v>17186</v>
      </c>
      <c r="C1696" s="20">
        <v>1001262</v>
      </c>
      <c r="D1696" s="20" t="e">
        <f>VLOOKUP(C1696,[1]CHILDCARE_FACILITIES!AJ:AK,2,0)</f>
        <v>#N/A</v>
      </c>
      <c r="E1696" s="20" t="s">
        <v>15134</v>
      </c>
      <c r="F1696" s="20" t="s">
        <v>15135</v>
      </c>
      <c r="G1696" s="20">
        <v>73724001</v>
      </c>
      <c r="H1696" s="20" t="s">
        <v>15138</v>
      </c>
      <c r="I1696" s="20" t="b">
        <v>1</v>
      </c>
      <c r="J1696" s="20" t="s">
        <v>18424</v>
      </c>
      <c r="K1696" s="20">
        <v>1001262</v>
      </c>
      <c r="L1696" s="20" t="s">
        <v>17236</v>
      </c>
      <c r="M1696" s="20" t="s">
        <v>18425</v>
      </c>
    </row>
    <row r="1697" spans="1:13" x14ac:dyDescent="0.25">
      <c r="A1697" s="20">
        <v>1001262</v>
      </c>
      <c r="B1697" s="20" t="s">
        <v>17186</v>
      </c>
      <c r="C1697" s="20">
        <v>1001262</v>
      </c>
      <c r="D1697" s="20" t="e">
        <f>VLOOKUP(C1697,[1]CHILDCARE_FACILITIES!AJ:AK,2,0)</f>
        <v>#N/A</v>
      </c>
      <c r="E1697" s="20" t="s">
        <v>15134</v>
      </c>
      <c r="F1697" s="20" t="s">
        <v>15135</v>
      </c>
      <c r="G1697" s="20">
        <v>73724001</v>
      </c>
      <c r="H1697" s="20" t="s">
        <v>15136</v>
      </c>
      <c r="I1697" s="20" t="b">
        <v>1</v>
      </c>
      <c r="J1697" s="20" t="s">
        <v>18424</v>
      </c>
      <c r="K1697" s="20">
        <v>1001262</v>
      </c>
      <c r="L1697" s="20" t="s">
        <v>17236</v>
      </c>
      <c r="M1697" s="20" t="s">
        <v>18425</v>
      </c>
    </row>
    <row r="1698" spans="1:13" x14ac:dyDescent="0.25">
      <c r="A1698" s="20">
        <v>90552</v>
      </c>
      <c r="B1698" s="20" t="s">
        <v>16655</v>
      </c>
      <c r="C1698" s="20">
        <v>90552</v>
      </c>
      <c r="D1698" s="20" t="e">
        <f>VLOOKUP(C1698,[1]CHILDCARE_FACILITIES!AJ:AK,2,0)</f>
        <v>#N/A</v>
      </c>
      <c r="E1698" s="20" t="s">
        <v>15134</v>
      </c>
      <c r="F1698" s="20" t="s">
        <v>15135</v>
      </c>
      <c r="G1698" s="20">
        <v>73704000</v>
      </c>
      <c r="H1698" s="20" t="s">
        <v>15136</v>
      </c>
      <c r="I1698" s="20" t="b">
        <v>1</v>
      </c>
      <c r="J1698" s="20" t="s">
        <v>18126</v>
      </c>
      <c r="K1698" s="20">
        <v>90552</v>
      </c>
      <c r="L1698" s="20" t="s">
        <v>17980</v>
      </c>
      <c r="M1698" s="20" t="s">
        <v>18127</v>
      </c>
    </row>
    <row r="1699" spans="1:13" x14ac:dyDescent="0.25">
      <c r="A1699" s="20">
        <v>90552</v>
      </c>
      <c r="B1699" s="20" t="s">
        <v>16655</v>
      </c>
      <c r="C1699" s="20">
        <v>90552</v>
      </c>
      <c r="D1699" s="20" t="e">
        <f>VLOOKUP(C1699,[1]CHILDCARE_FACILITIES!AJ:AK,2,0)</f>
        <v>#N/A</v>
      </c>
      <c r="E1699" s="20" t="s">
        <v>15134</v>
      </c>
      <c r="F1699" s="20" t="s">
        <v>15135</v>
      </c>
      <c r="G1699" s="20">
        <v>73704000</v>
      </c>
      <c r="H1699" s="20" t="s">
        <v>15138</v>
      </c>
      <c r="I1699" s="20" t="b">
        <v>1</v>
      </c>
      <c r="J1699" s="20" t="s">
        <v>18426</v>
      </c>
      <c r="K1699" s="20">
        <v>90552</v>
      </c>
      <c r="L1699" s="20" t="s">
        <v>17213</v>
      </c>
      <c r="M1699" s="20" t="s">
        <v>18427</v>
      </c>
    </row>
    <row r="1700" spans="1:13" x14ac:dyDescent="0.25">
      <c r="A1700" s="20">
        <v>90553</v>
      </c>
      <c r="B1700" s="20" t="s">
        <v>16655</v>
      </c>
      <c r="C1700" s="20">
        <v>90553</v>
      </c>
      <c r="D1700" s="20" t="str">
        <f>VLOOKUP(C1700,[1]CHILDCARE_FACILITIES!AJ:AK,2,0)</f>
        <v>CDC-15206</v>
      </c>
      <c r="E1700" s="20" t="s">
        <v>15134</v>
      </c>
      <c r="F1700" s="20" t="s">
        <v>15135</v>
      </c>
      <c r="G1700" s="20">
        <v>73704001</v>
      </c>
      <c r="H1700" s="20" t="s">
        <v>15145</v>
      </c>
      <c r="I1700" s="20" t="b">
        <v>1</v>
      </c>
      <c r="J1700" s="20" t="s">
        <v>18428</v>
      </c>
      <c r="K1700" s="20">
        <v>90553</v>
      </c>
      <c r="L1700" s="20" t="s">
        <v>17213</v>
      </c>
      <c r="M1700" s="20" t="s">
        <v>18427</v>
      </c>
    </row>
    <row r="1701" spans="1:13" x14ac:dyDescent="0.25">
      <c r="A1701" s="20">
        <v>89512</v>
      </c>
      <c r="B1701" s="20" t="s">
        <v>16410</v>
      </c>
      <c r="C1701" s="20">
        <v>89512</v>
      </c>
      <c r="D1701" s="20" t="e">
        <f>VLOOKUP(C1701,[1]CHILDCARE_FACILITIES!AJ:AK,2,0)</f>
        <v>#N/A</v>
      </c>
      <c r="E1701" s="20" t="s">
        <v>15134</v>
      </c>
      <c r="F1701" s="20" t="s">
        <v>15135</v>
      </c>
      <c r="G1701" s="20">
        <v>102270001</v>
      </c>
      <c r="H1701" s="20" t="s">
        <v>15145</v>
      </c>
      <c r="I1701" s="20" t="b">
        <v>1</v>
      </c>
      <c r="J1701" s="20" t="s">
        <v>18429</v>
      </c>
      <c r="K1701" s="20">
        <v>89512</v>
      </c>
      <c r="L1701" s="20" t="s">
        <v>17271</v>
      </c>
      <c r="M1701" s="20" t="s">
        <v>18430</v>
      </c>
    </row>
    <row r="1702" spans="1:13" x14ac:dyDescent="0.25">
      <c r="A1702" s="20">
        <v>89512</v>
      </c>
      <c r="B1702" s="20" t="s">
        <v>16410</v>
      </c>
      <c r="C1702" s="20">
        <v>89512</v>
      </c>
      <c r="D1702" s="20" t="e">
        <f>VLOOKUP(C1702,[1]CHILDCARE_FACILITIES!AJ:AK,2,0)</f>
        <v>#N/A</v>
      </c>
      <c r="E1702" s="20" t="s">
        <v>15134</v>
      </c>
      <c r="F1702" s="20" t="s">
        <v>15135</v>
      </c>
      <c r="G1702" s="20">
        <v>102270001</v>
      </c>
      <c r="H1702" s="20" t="s">
        <v>15138</v>
      </c>
      <c r="I1702" s="20" t="b">
        <v>1</v>
      </c>
      <c r="J1702" s="20" t="s">
        <v>18429</v>
      </c>
      <c r="K1702" s="20">
        <v>89512</v>
      </c>
      <c r="L1702" s="20" t="s">
        <v>17271</v>
      </c>
      <c r="M1702" s="20" t="s">
        <v>18430</v>
      </c>
    </row>
    <row r="1703" spans="1:13" x14ac:dyDescent="0.25">
      <c r="A1703" s="20">
        <v>1000091</v>
      </c>
      <c r="B1703" s="20" t="s">
        <v>17072</v>
      </c>
      <c r="C1703" s="20">
        <v>1000091</v>
      </c>
      <c r="D1703" s="20" t="e">
        <f>VLOOKUP(C1703,[1]CHILDCARE_FACILITIES!AJ:AK,2,0)</f>
        <v>#N/A</v>
      </c>
      <c r="E1703" s="20" t="s">
        <v>15134</v>
      </c>
      <c r="F1703" s="20" t="s">
        <v>15135</v>
      </c>
      <c r="G1703" s="20">
        <v>72468002</v>
      </c>
      <c r="H1703" s="20" t="s">
        <v>15138</v>
      </c>
      <c r="I1703" s="20" t="b">
        <v>1</v>
      </c>
      <c r="J1703" s="20" t="s">
        <v>18431</v>
      </c>
      <c r="K1703" s="20">
        <v>1000091</v>
      </c>
      <c r="L1703" s="20" t="s">
        <v>17228</v>
      </c>
      <c r="M1703" s="20" t="s">
        <v>18432</v>
      </c>
    </row>
    <row r="1704" spans="1:13" x14ac:dyDescent="0.25">
      <c r="A1704" s="20">
        <v>1000091</v>
      </c>
      <c r="B1704" s="20" t="s">
        <v>17072</v>
      </c>
      <c r="C1704" s="20">
        <v>1000091</v>
      </c>
      <c r="D1704" s="20" t="e">
        <f>VLOOKUP(C1704,[1]CHILDCARE_FACILITIES!AJ:AK,2,0)</f>
        <v>#N/A</v>
      </c>
      <c r="E1704" s="20" t="s">
        <v>15134</v>
      </c>
      <c r="F1704" s="20" t="s">
        <v>15135</v>
      </c>
      <c r="G1704" s="20">
        <v>72468002</v>
      </c>
      <c r="H1704" s="20" t="s">
        <v>15136</v>
      </c>
      <c r="I1704" s="20" t="b">
        <v>1</v>
      </c>
      <c r="J1704" s="20" t="s">
        <v>17302</v>
      </c>
      <c r="K1704" s="20">
        <v>1000091</v>
      </c>
      <c r="L1704" s="20" t="s">
        <v>17228</v>
      </c>
      <c r="M1704" s="20" t="s">
        <v>17303</v>
      </c>
    </row>
    <row r="1705" spans="1:13" x14ac:dyDescent="0.25">
      <c r="A1705" s="20">
        <v>87284</v>
      </c>
      <c r="B1705" s="20" t="s">
        <v>16339</v>
      </c>
      <c r="C1705" s="20">
        <v>87284</v>
      </c>
      <c r="D1705" s="20" t="e">
        <f>VLOOKUP(C1705,[1]CHILDCARE_FACILITIES!AJ:AK,2,0)</f>
        <v>#N/A</v>
      </c>
      <c r="E1705" s="20" t="s">
        <v>15134</v>
      </c>
      <c r="F1705" s="20" t="s">
        <v>15135</v>
      </c>
      <c r="G1705" s="20">
        <v>72413011</v>
      </c>
      <c r="H1705" s="20" t="s">
        <v>15145</v>
      </c>
      <c r="I1705" s="20" t="b">
        <v>1</v>
      </c>
      <c r="J1705" s="20" t="s">
        <v>18433</v>
      </c>
      <c r="K1705" s="20">
        <v>87284</v>
      </c>
      <c r="L1705" s="20" t="s">
        <v>17213</v>
      </c>
      <c r="M1705" s="20" t="s">
        <v>18434</v>
      </c>
    </row>
    <row r="1706" spans="1:13" x14ac:dyDescent="0.25">
      <c r="A1706" s="20">
        <v>90069</v>
      </c>
      <c r="B1706" s="20" t="s">
        <v>16518</v>
      </c>
      <c r="C1706" s="20">
        <v>90069</v>
      </c>
      <c r="D1706" s="20" t="e">
        <f>VLOOKUP(C1706,[1]CHILDCARE_FACILITIES!AJ:AK,2,0)</f>
        <v>#N/A</v>
      </c>
      <c r="E1706" s="20" t="s">
        <v>15134</v>
      </c>
      <c r="F1706" s="20" t="s">
        <v>15135</v>
      </c>
      <c r="G1706" s="20">
        <v>72413015</v>
      </c>
      <c r="H1706" s="20" t="s">
        <v>15138</v>
      </c>
      <c r="I1706" s="20" t="b">
        <v>1</v>
      </c>
      <c r="J1706" s="20" t="s">
        <v>18435</v>
      </c>
      <c r="K1706" s="20">
        <v>90069</v>
      </c>
      <c r="L1706" s="20" t="s">
        <v>17213</v>
      </c>
      <c r="M1706" s="20" t="s">
        <v>18436</v>
      </c>
    </row>
    <row r="1707" spans="1:13" x14ac:dyDescent="0.25">
      <c r="A1707" s="20">
        <v>90069</v>
      </c>
      <c r="B1707" s="20" t="s">
        <v>16518</v>
      </c>
      <c r="C1707" s="20">
        <v>90069</v>
      </c>
      <c r="D1707" s="20" t="e">
        <f>VLOOKUP(C1707,[1]CHILDCARE_FACILITIES!AJ:AK,2,0)</f>
        <v>#N/A</v>
      </c>
      <c r="E1707" s="20" t="s">
        <v>15134</v>
      </c>
      <c r="F1707" s="20" t="s">
        <v>15135</v>
      </c>
      <c r="G1707" s="20">
        <v>72413015</v>
      </c>
      <c r="H1707" s="20" t="s">
        <v>15145</v>
      </c>
      <c r="I1707" s="20" t="b">
        <v>1</v>
      </c>
      <c r="J1707" s="20" t="s">
        <v>18435</v>
      </c>
      <c r="K1707" s="20">
        <v>90069</v>
      </c>
      <c r="L1707" s="20" t="s">
        <v>17213</v>
      </c>
      <c r="M1707" s="20" t="s">
        <v>18436</v>
      </c>
    </row>
    <row r="1708" spans="1:13" x14ac:dyDescent="0.25">
      <c r="A1708" s="20">
        <v>8493</v>
      </c>
      <c r="B1708" s="20" t="s">
        <v>15149</v>
      </c>
      <c r="C1708" s="20">
        <v>8493</v>
      </c>
      <c r="D1708" s="20" t="e">
        <f>VLOOKUP(C1708,[1]CHILDCARE_FACILITIES!AJ:AK,2,0)</f>
        <v>#N/A</v>
      </c>
      <c r="E1708" s="20" t="s">
        <v>15134</v>
      </c>
      <c r="F1708" s="20" t="s">
        <v>15135</v>
      </c>
      <c r="G1708" s="20">
        <v>22203000</v>
      </c>
      <c r="K1708" s="20">
        <v>8493</v>
      </c>
    </row>
    <row r="1709" spans="1:13" x14ac:dyDescent="0.25">
      <c r="A1709" s="20">
        <v>8494</v>
      </c>
      <c r="B1709" s="20" t="s">
        <v>15150</v>
      </c>
      <c r="C1709" s="20">
        <v>8494</v>
      </c>
      <c r="D1709" s="20" t="e">
        <f>VLOOKUP(C1709,[1]CHILDCARE_FACILITIES!AJ:AK,2,0)</f>
        <v>#N/A</v>
      </c>
      <c r="E1709" s="20" t="s">
        <v>15134</v>
      </c>
      <c r="F1709" s="20" t="s">
        <v>15135</v>
      </c>
      <c r="G1709" s="20">
        <v>22203001</v>
      </c>
      <c r="K1709" s="20">
        <v>8494</v>
      </c>
    </row>
    <row r="1710" spans="1:13" x14ac:dyDescent="0.25">
      <c r="A1710" s="20">
        <v>89464</v>
      </c>
      <c r="B1710" s="20" t="s">
        <v>16399</v>
      </c>
      <c r="C1710" s="20">
        <v>89464</v>
      </c>
      <c r="D1710" s="20" t="str">
        <f>VLOOKUP(C1710,[1]CHILDCARE_FACILITIES!AJ:AK,2,0)</f>
        <v>CDC-13240</v>
      </c>
      <c r="E1710" s="20" t="s">
        <v>15134</v>
      </c>
      <c r="F1710" s="20" t="s">
        <v>15135</v>
      </c>
      <c r="G1710" s="20">
        <v>73550001</v>
      </c>
      <c r="H1710" s="20" t="s">
        <v>15145</v>
      </c>
      <c r="I1710" s="20" t="b">
        <v>1</v>
      </c>
      <c r="J1710" s="20" t="s">
        <v>17299</v>
      </c>
      <c r="K1710" s="20">
        <v>89464</v>
      </c>
      <c r="L1710" s="20" t="s">
        <v>17216</v>
      </c>
      <c r="M1710" s="20" t="s">
        <v>17300</v>
      </c>
    </row>
    <row r="1711" spans="1:13" x14ac:dyDescent="0.25">
      <c r="A1711" s="20">
        <v>90171</v>
      </c>
      <c r="B1711" s="20" t="s">
        <v>16576</v>
      </c>
      <c r="C1711" s="20">
        <v>90171</v>
      </c>
      <c r="D1711" s="20" t="e">
        <f>VLOOKUP(C1711,[1]CHILDCARE_FACILITIES!AJ:AK,2,0)</f>
        <v>#N/A</v>
      </c>
      <c r="E1711" s="20" t="s">
        <v>15134</v>
      </c>
      <c r="F1711" s="20" t="s">
        <v>15135</v>
      </c>
      <c r="G1711" s="20">
        <v>73580001</v>
      </c>
      <c r="H1711" s="20" t="s">
        <v>15145</v>
      </c>
      <c r="I1711" s="20" t="b">
        <v>0</v>
      </c>
      <c r="J1711" s="20" t="s">
        <v>18437</v>
      </c>
      <c r="K1711" s="20">
        <v>90171</v>
      </c>
      <c r="L1711" s="20" t="s">
        <v>17228</v>
      </c>
      <c r="M1711" s="20" t="s">
        <v>18438</v>
      </c>
    </row>
    <row r="1712" spans="1:13" x14ac:dyDescent="0.25">
      <c r="A1712" s="20">
        <v>90170</v>
      </c>
      <c r="B1712" s="20" t="s">
        <v>16574</v>
      </c>
      <c r="C1712" s="20">
        <v>90170</v>
      </c>
      <c r="D1712" s="20" t="e">
        <f>VLOOKUP(C1712,[1]CHILDCARE_FACILITIES!AJ:AK,2,0)</f>
        <v>#N/A</v>
      </c>
      <c r="E1712" s="20" t="s">
        <v>15134</v>
      </c>
      <c r="F1712" s="20" t="s">
        <v>15135</v>
      </c>
      <c r="G1712" s="20">
        <v>73580000</v>
      </c>
      <c r="H1712" s="20" t="s">
        <v>15136</v>
      </c>
      <c r="I1712" s="20" t="b">
        <v>1</v>
      </c>
      <c r="J1712" s="20" t="s">
        <v>18439</v>
      </c>
      <c r="K1712" s="20">
        <v>90170</v>
      </c>
      <c r="L1712" s="20" t="s">
        <v>17251</v>
      </c>
      <c r="M1712" s="20" t="s">
        <v>18440</v>
      </c>
    </row>
    <row r="1713" spans="1:13" x14ac:dyDescent="0.25">
      <c r="A1713" s="20">
        <v>90170</v>
      </c>
      <c r="B1713" s="20" t="s">
        <v>16574</v>
      </c>
      <c r="C1713" s="20">
        <v>90170</v>
      </c>
      <c r="D1713" s="20" t="e">
        <f>VLOOKUP(C1713,[1]CHILDCARE_FACILITIES!AJ:AK,2,0)</f>
        <v>#N/A</v>
      </c>
      <c r="E1713" s="20" t="s">
        <v>15134</v>
      </c>
      <c r="F1713" s="20" t="s">
        <v>15135</v>
      </c>
      <c r="G1713" s="20">
        <v>73580000</v>
      </c>
      <c r="H1713" s="20" t="s">
        <v>15138</v>
      </c>
      <c r="I1713" s="20" t="b">
        <v>1</v>
      </c>
      <c r="J1713" s="20" t="s">
        <v>18439</v>
      </c>
      <c r="K1713" s="20">
        <v>90170</v>
      </c>
      <c r="L1713" s="20" t="s">
        <v>17251</v>
      </c>
      <c r="M1713" s="20" t="s">
        <v>18440</v>
      </c>
    </row>
    <row r="1714" spans="1:13" x14ac:dyDescent="0.25">
      <c r="A1714" s="20">
        <v>9250</v>
      </c>
      <c r="B1714" s="20" t="s">
        <v>15432</v>
      </c>
      <c r="C1714" s="20">
        <v>9250</v>
      </c>
      <c r="D1714" s="20" t="e">
        <f>VLOOKUP(C1714,[1]CHILDCARE_FACILITIES!AJ:AK,2,0)</f>
        <v>#N/A</v>
      </c>
      <c r="E1714" s="20" t="s">
        <v>15134</v>
      </c>
      <c r="F1714" s="20" t="s">
        <v>15135</v>
      </c>
      <c r="G1714" s="20">
        <v>73176001</v>
      </c>
      <c r="K1714" s="20">
        <v>9250</v>
      </c>
    </row>
    <row r="1715" spans="1:13" x14ac:dyDescent="0.25">
      <c r="A1715" s="20">
        <v>80920</v>
      </c>
      <c r="B1715" s="20" t="s">
        <v>16240</v>
      </c>
      <c r="C1715" s="20">
        <v>80920</v>
      </c>
      <c r="D1715" s="20" t="str">
        <f>VLOOKUP(C1715,[1]CHILDCARE_FACILITIES!AJ:AK,2,0)</f>
        <v>CDC-11968</v>
      </c>
      <c r="E1715" s="20" t="s">
        <v>15134</v>
      </c>
      <c r="F1715" s="20" t="s">
        <v>15135</v>
      </c>
      <c r="G1715" s="20">
        <v>73494001</v>
      </c>
      <c r="H1715" s="20" t="s">
        <v>15138</v>
      </c>
      <c r="I1715" s="20" t="b">
        <v>1</v>
      </c>
      <c r="J1715" s="20" t="s">
        <v>18441</v>
      </c>
      <c r="K1715" s="20">
        <v>80920</v>
      </c>
      <c r="L1715" s="20" t="s">
        <v>17233</v>
      </c>
      <c r="M1715" s="20" t="s">
        <v>17642</v>
      </c>
    </row>
    <row r="1716" spans="1:13" x14ac:dyDescent="0.25">
      <c r="A1716" s="20">
        <v>80920</v>
      </c>
      <c r="B1716" s="20" t="s">
        <v>16240</v>
      </c>
      <c r="C1716" s="20">
        <v>80920</v>
      </c>
      <c r="D1716" s="20" t="str">
        <f>VLOOKUP(C1716,[1]CHILDCARE_FACILITIES!AJ:AK,2,0)</f>
        <v>CDC-11968</v>
      </c>
      <c r="E1716" s="20" t="s">
        <v>15134</v>
      </c>
      <c r="F1716" s="20" t="s">
        <v>15135</v>
      </c>
      <c r="G1716" s="20">
        <v>73494001</v>
      </c>
      <c r="H1716" s="20" t="s">
        <v>15145</v>
      </c>
      <c r="I1716" s="20" t="b">
        <v>1</v>
      </c>
      <c r="J1716" s="20" t="s">
        <v>18441</v>
      </c>
      <c r="K1716" s="20">
        <v>80920</v>
      </c>
      <c r="L1716" s="20" t="s">
        <v>17233</v>
      </c>
      <c r="M1716" s="20" t="s">
        <v>17642</v>
      </c>
    </row>
    <row r="1717" spans="1:13" x14ac:dyDescent="0.25">
      <c r="A1717" s="20">
        <v>80919</v>
      </c>
      <c r="B1717" s="20" t="s">
        <v>16237</v>
      </c>
      <c r="C1717" s="20">
        <v>80919</v>
      </c>
      <c r="D1717" s="20" t="e">
        <f>VLOOKUP(C1717,[1]CHILDCARE_FACILITIES!AJ:AK,2,0)</f>
        <v>#N/A</v>
      </c>
      <c r="E1717" s="20" t="s">
        <v>15134</v>
      </c>
      <c r="F1717" s="20" t="s">
        <v>15135</v>
      </c>
      <c r="G1717" s="20">
        <v>73494000</v>
      </c>
      <c r="H1717" s="20" t="s">
        <v>15138</v>
      </c>
      <c r="I1717" s="20" t="b">
        <v>0</v>
      </c>
      <c r="J1717" s="20" t="s">
        <v>18442</v>
      </c>
      <c r="K1717" s="20">
        <v>80919</v>
      </c>
      <c r="L1717" s="20" t="s">
        <v>17228</v>
      </c>
      <c r="M1717" s="20" t="s">
        <v>18443</v>
      </c>
    </row>
    <row r="1718" spans="1:13" x14ac:dyDescent="0.25">
      <c r="A1718" s="20">
        <v>80919</v>
      </c>
      <c r="B1718" s="20" t="s">
        <v>16237</v>
      </c>
      <c r="C1718" s="20">
        <v>80919</v>
      </c>
      <c r="D1718" s="20" t="e">
        <f>VLOOKUP(C1718,[1]CHILDCARE_FACILITIES!AJ:AK,2,0)</f>
        <v>#N/A</v>
      </c>
      <c r="E1718" s="20" t="s">
        <v>15134</v>
      </c>
      <c r="F1718" s="20" t="s">
        <v>15135</v>
      </c>
      <c r="G1718" s="20">
        <v>73494000</v>
      </c>
      <c r="H1718" s="20" t="s">
        <v>15145</v>
      </c>
      <c r="I1718" s="20" t="b">
        <v>1</v>
      </c>
      <c r="J1718" s="20" t="s">
        <v>18444</v>
      </c>
      <c r="K1718" s="20">
        <v>80919</v>
      </c>
      <c r="L1718" s="20" t="s">
        <v>17213</v>
      </c>
      <c r="M1718" s="20" t="s">
        <v>18445</v>
      </c>
    </row>
    <row r="1719" spans="1:13" x14ac:dyDescent="0.25">
      <c r="A1719" s="20">
        <v>68867</v>
      </c>
      <c r="B1719" s="20" t="s">
        <v>15873</v>
      </c>
      <c r="C1719" s="20">
        <v>68867</v>
      </c>
      <c r="D1719" s="20" t="e">
        <f>VLOOKUP(C1719,[1]CHILDCARE_FACILITIES!AJ:AK,2,0)</f>
        <v>#N/A</v>
      </c>
      <c r="E1719" s="20" t="s">
        <v>15134</v>
      </c>
      <c r="F1719" s="20" t="s">
        <v>15135</v>
      </c>
      <c r="G1719" s="20">
        <v>73337000</v>
      </c>
      <c r="H1719" s="20" t="s">
        <v>15136</v>
      </c>
      <c r="I1719" s="20" t="b">
        <v>1</v>
      </c>
      <c r="J1719" s="20" t="s">
        <v>18292</v>
      </c>
      <c r="K1719" s="20">
        <v>68867</v>
      </c>
      <c r="L1719" s="20" t="s">
        <v>17213</v>
      </c>
      <c r="M1719" s="20" t="s">
        <v>18293</v>
      </c>
    </row>
    <row r="1720" spans="1:13" x14ac:dyDescent="0.25">
      <c r="A1720" s="20">
        <v>17296</v>
      </c>
      <c r="B1720" s="20" t="s">
        <v>15861</v>
      </c>
      <c r="C1720" s="20">
        <v>17296</v>
      </c>
      <c r="D1720" s="20" t="str">
        <f>VLOOKUP(C1720,[1]CHILDCARE_FACILITIES!AJ:AK,2,0)</f>
        <v>CDC-18050</v>
      </c>
      <c r="E1720" s="20" t="s">
        <v>15134</v>
      </c>
      <c r="F1720" s="20" t="s">
        <v>15135</v>
      </c>
      <c r="G1720" s="20">
        <v>73337001</v>
      </c>
      <c r="H1720" s="20" t="s">
        <v>15136</v>
      </c>
      <c r="I1720" s="20" t="b">
        <v>1</v>
      </c>
      <c r="J1720" s="20" t="s">
        <v>18292</v>
      </c>
      <c r="K1720" s="20">
        <v>17296</v>
      </c>
      <c r="L1720" s="20" t="s">
        <v>17213</v>
      </c>
      <c r="M1720" s="20" t="s">
        <v>18293</v>
      </c>
    </row>
    <row r="1721" spans="1:13" x14ac:dyDescent="0.25">
      <c r="A1721" s="20">
        <v>9521</v>
      </c>
      <c r="B1721" s="20" t="s">
        <v>15576</v>
      </c>
      <c r="C1721" s="20">
        <v>9521</v>
      </c>
      <c r="D1721" s="20" t="e">
        <f>VLOOKUP(C1721,[1]CHILDCARE_FACILITIES!AJ:AK,2,0)</f>
        <v>#N/A</v>
      </c>
      <c r="E1721" s="20" t="s">
        <v>15134</v>
      </c>
      <c r="F1721" s="20" t="s">
        <v>15135</v>
      </c>
      <c r="G1721" s="20">
        <v>73286001</v>
      </c>
      <c r="K1721" s="20">
        <v>9521</v>
      </c>
    </row>
    <row r="1722" spans="1:13" x14ac:dyDescent="0.25">
      <c r="A1722" s="20">
        <v>9363</v>
      </c>
      <c r="B1722" s="20" t="s">
        <v>15488</v>
      </c>
      <c r="C1722" s="20">
        <v>9363</v>
      </c>
      <c r="D1722" s="20" t="e">
        <f>VLOOKUP(C1722,[1]CHILDCARE_FACILITIES!AJ:AK,2,0)</f>
        <v>#N/A</v>
      </c>
      <c r="E1722" s="20" t="s">
        <v>15134</v>
      </c>
      <c r="F1722" s="20" t="s">
        <v>15135</v>
      </c>
      <c r="G1722" s="20">
        <v>73227001</v>
      </c>
      <c r="K1722" s="20">
        <v>9363</v>
      </c>
    </row>
    <row r="1723" spans="1:13" x14ac:dyDescent="0.25">
      <c r="A1723" s="20">
        <v>9385</v>
      </c>
      <c r="B1723" s="20" t="s">
        <v>15503</v>
      </c>
      <c r="C1723" s="20">
        <v>9385</v>
      </c>
      <c r="D1723" s="20" t="e">
        <f>VLOOKUP(C1723,[1]CHILDCARE_FACILITIES!AJ:AK,2,0)</f>
        <v>#N/A</v>
      </c>
      <c r="E1723" s="20" t="s">
        <v>15134</v>
      </c>
      <c r="F1723" s="20" t="s">
        <v>15135</v>
      </c>
      <c r="G1723" s="20">
        <v>73238001</v>
      </c>
      <c r="K1723" s="20">
        <v>9385</v>
      </c>
    </row>
    <row r="1724" spans="1:13" x14ac:dyDescent="0.25">
      <c r="A1724" s="20">
        <v>9151</v>
      </c>
      <c r="B1724" s="20" t="s">
        <v>15381</v>
      </c>
      <c r="C1724" s="20">
        <v>9151</v>
      </c>
      <c r="D1724" s="20" t="e">
        <f>VLOOKUP(C1724,[1]CHILDCARE_FACILITIES!AJ:AK,2,0)</f>
        <v>#N/A</v>
      </c>
      <c r="E1724" s="20" t="s">
        <v>15134</v>
      </c>
      <c r="F1724" s="20" t="s">
        <v>15135</v>
      </c>
      <c r="G1724" s="20">
        <v>73100001</v>
      </c>
      <c r="K1724" s="20">
        <v>9151</v>
      </c>
    </row>
    <row r="1725" spans="1:13" x14ac:dyDescent="0.25">
      <c r="A1725" s="20">
        <v>9152</v>
      </c>
      <c r="B1725" s="20" t="s">
        <v>15381</v>
      </c>
      <c r="C1725" s="20">
        <v>9152</v>
      </c>
      <c r="D1725" s="20" t="e">
        <f>VLOOKUP(C1725,[1]CHILDCARE_FACILITIES!AJ:AK,2,0)</f>
        <v>#N/A</v>
      </c>
      <c r="E1725" s="20" t="s">
        <v>15134</v>
      </c>
      <c r="F1725" s="20" t="s">
        <v>15135</v>
      </c>
      <c r="G1725" s="20">
        <v>73100002</v>
      </c>
      <c r="K1725" s="20">
        <v>9152</v>
      </c>
    </row>
    <row r="1726" spans="1:13" x14ac:dyDescent="0.25">
      <c r="A1726" s="20">
        <v>9935</v>
      </c>
      <c r="B1726" s="20" t="s">
        <v>15736</v>
      </c>
      <c r="C1726" s="20">
        <v>9935</v>
      </c>
      <c r="D1726" s="20" t="e">
        <f>VLOOKUP(C1726,[1]CHILDCARE_FACILITIES!AJ:AK,2,0)</f>
        <v>#N/A</v>
      </c>
      <c r="E1726" s="20" t="s">
        <v>15134</v>
      </c>
      <c r="F1726" s="20" t="s">
        <v>15135</v>
      </c>
      <c r="G1726" s="20">
        <v>103059001</v>
      </c>
      <c r="K1726" s="20">
        <v>9935</v>
      </c>
    </row>
    <row r="1727" spans="1:13" x14ac:dyDescent="0.25">
      <c r="A1727" s="20">
        <v>10030</v>
      </c>
      <c r="B1727" s="20" t="s">
        <v>15736</v>
      </c>
      <c r="C1727" s="20">
        <v>10030</v>
      </c>
      <c r="D1727" s="20" t="str">
        <f>VLOOKUP(C1727,[1]CHILDCARE_FACILITIES!AJ:AK,2,0)</f>
        <v>CDC-3164</v>
      </c>
      <c r="E1727" s="20" t="s">
        <v>15134</v>
      </c>
      <c r="F1727" s="20" t="s">
        <v>15135</v>
      </c>
      <c r="G1727" s="20">
        <v>103101002</v>
      </c>
      <c r="K1727" s="20">
        <v>10030</v>
      </c>
    </row>
    <row r="1728" spans="1:13" x14ac:dyDescent="0.25">
      <c r="A1728" s="20">
        <v>78762</v>
      </c>
      <c r="B1728" s="20" t="s">
        <v>15885</v>
      </c>
      <c r="C1728" s="20">
        <v>78762</v>
      </c>
      <c r="D1728" s="20" t="str">
        <f>VLOOKUP(C1728,[1]CHILDCARE_FACILITIES!AJ:AK,2,0)</f>
        <v>CDC-8140</v>
      </c>
      <c r="E1728" s="20" t="s">
        <v>15134</v>
      </c>
      <c r="F1728" s="20" t="s">
        <v>15135</v>
      </c>
      <c r="G1728" s="20">
        <v>103101003</v>
      </c>
      <c r="K1728" s="20">
        <v>78762</v>
      </c>
    </row>
    <row r="1729" spans="1:13" x14ac:dyDescent="0.25">
      <c r="A1729" s="20">
        <v>9252</v>
      </c>
      <c r="B1729" s="20" t="s">
        <v>15433</v>
      </c>
      <c r="C1729" s="20">
        <v>9252</v>
      </c>
      <c r="D1729" s="20" t="e">
        <f>VLOOKUP(C1729,[1]CHILDCARE_FACILITIES!AJ:AK,2,0)</f>
        <v>#N/A</v>
      </c>
      <c r="E1729" s="20" t="s">
        <v>15134</v>
      </c>
      <c r="F1729" s="20" t="s">
        <v>15135</v>
      </c>
      <c r="G1729" s="20">
        <v>73179001</v>
      </c>
      <c r="K1729" s="20">
        <v>9252</v>
      </c>
    </row>
    <row r="1730" spans="1:13" x14ac:dyDescent="0.25">
      <c r="A1730" s="20">
        <v>90871</v>
      </c>
      <c r="B1730" s="20" t="s">
        <v>16706</v>
      </c>
      <c r="C1730" s="20">
        <v>90871</v>
      </c>
      <c r="D1730" s="20" t="e">
        <f>VLOOKUP(C1730,[1]CHILDCARE_FACILITIES!AJ:AK,2,0)</f>
        <v>#N/A</v>
      </c>
      <c r="E1730" s="20" t="s">
        <v>15134</v>
      </c>
      <c r="F1730" s="20" t="s">
        <v>15135</v>
      </c>
      <c r="G1730" s="20">
        <v>73714000</v>
      </c>
      <c r="H1730" s="20" t="s">
        <v>15138</v>
      </c>
      <c r="I1730" s="20" t="b">
        <v>1</v>
      </c>
      <c r="J1730" s="20" t="s">
        <v>18446</v>
      </c>
      <c r="K1730" s="20">
        <v>90871</v>
      </c>
      <c r="L1730" s="20" t="s">
        <v>17213</v>
      </c>
      <c r="M1730" s="20" t="s">
        <v>18447</v>
      </c>
    </row>
    <row r="1731" spans="1:13" x14ac:dyDescent="0.25">
      <c r="A1731" s="20">
        <v>90871</v>
      </c>
      <c r="B1731" s="20" t="s">
        <v>16706</v>
      </c>
      <c r="C1731" s="20">
        <v>90871</v>
      </c>
      <c r="D1731" s="20" t="e">
        <f>VLOOKUP(C1731,[1]CHILDCARE_FACILITIES!AJ:AK,2,0)</f>
        <v>#N/A</v>
      </c>
      <c r="E1731" s="20" t="s">
        <v>15134</v>
      </c>
      <c r="F1731" s="20" t="s">
        <v>15135</v>
      </c>
      <c r="G1731" s="20">
        <v>73714000</v>
      </c>
      <c r="H1731" s="20" t="s">
        <v>15136</v>
      </c>
      <c r="I1731" s="20" t="b">
        <v>1</v>
      </c>
      <c r="J1731" s="20" t="s">
        <v>18448</v>
      </c>
      <c r="K1731" s="20">
        <v>90871</v>
      </c>
      <c r="L1731" s="20" t="s">
        <v>17228</v>
      </c>
      <c r="M1731" s="20" t="s">
        <v>18447</v>
      </c>
    </row>
    <row r="1732" spans="1:13" x14ac:dyDescent="0.25">
      <c r="A1732" s="20">
        <v>90872</v>
      </c>
      <c r="B1732" s="20" t="s">
        <v>16706</v>
      </c>
      <c r="C1732" s="20">
        <v>90872</v>
      </c>
      <c r="D1732" s="20" t="e">
        <f>VLOOKUP(C1732,[1]CHILDCARE_FACILITIES!AJ:AK,2,0)</f>
        <v>#N/A</v>
      </c>
      <c r="E1732" s="20" t="s">
        <v>15134</v>
      </c>
      <c r="F1732" s="20" t="s">
        <v>15135</v>
      </c>
      <c r="G1732" s="20">
        <v>73714001</v>
      </c>
      <c r="H1732" s="20" t="s">
        <v>15145</v>
      </c>
      <c r="I1732" s="20" t="b">
        <v>1</v>
      </c>
      <c r="J1732" s="20" t="s">
        <v>18446</v>
      </c>
      <c r="K1732" s="20">
        <v>90872</v>
      </c>
      <c r="L1732" s="20" t="s">
        <v>17213</v>
      </c>
      <c r="M1732" s="20" t="s">
        <v>18447</v>
      </c>
    </row>
    <row r="1733" spans="1:13" x14ac:dyDescent="0.25">
      <c r="A1733" s="20">
        <v>90872</v>
      </c>
      <c r="B1733" s="20" t="s">
        <v>16706</v>
      </c>
      <c r="C1733" s="20">
        <v>90872</v>
      </c>
      <c r="D1733" s="20" t="e">
        <f>VLOOKUP(C1733,[1]CHILDCARE_FACILITIES!AJ:AK,2,0)</f>
        <v>#N/A</v>
      </c>
      <c r="E1733" s="20" t="s">
        <v>15134</v>
      </c>
      <c r="F1733" s="20" t="s">
        <v>15135</v>
      </c>
      <c r="G1733" s="20">
        <v>73714001</v>
      </c>
      <c r="H1733" s="20" t="s">
        <v>15136</v>
      </c>
      <c r="I1733" s="20" t="b">
        <v>0</v>
      </c>
      <c r="J1733" s="20" t="s">
        <v>18449</v>
      </c>
      <c r="K1733" s="20">
        <v>90872</v>
      </c>
      <c r="L1733" s="20" t="s">
        <v>17228</v>
      </c>
      <c r="M1733" s="20" t="s">
        <v>18447</v>
      </c>
    </row>
    <row r="1734" spans="1:13" x14ac:dyDescent="0.25">
      <c r="A1734" s="20">
        <v>90872</v>
      </c>
      <c r="B1734" s="20" t="s">
        <v>16706</v>
      </c>
      <c r="C1734" s="20">
        <v>90872</v>
      </c>
      <c r="D1734" s="20" t="e">
        <f>VLOOKUP(C1734,[1]CHILDCARE_FACILITIES!AJ:AK,2,0)</f>
        <v>#N/A</v>
      </c>
      <c r="E1734" s="20" t="s">
        <v>15134</v>
      </c>
      <c r="F1734" s="20" t="s">
        <v>15135</v>
      </c>
      <c r="G1734" s="20">
        <v>73714001</v>
      </c>
      <c r="H1734" s="20" t="s">
        <v>15138</v>
      </c>
      <c r="I1734" s="20" t="b">
        <v>0</v>
      </c>
      <c r="J1734" s="20" t="s">
        <v>18449</v>
      </c>
      <c r="K1734" s="20">
        <v>90872</v>
      </c>
      <c r="L1734" s="20" t="s">
        <v>17228</v>
      </c>
      <c r="M1734" s="20" t="s">
        <v>17454</v>
      </c>
    </row>
    <row r="1735" spans="1:13" x14ac:dyDescent="0.25">
      <c r="A1735" s="20">
        <v>8696</v>
      </c>
      <c r="B1735" s="20" t="s">
        <v>15206</v>
      </c>
      <c r="C1735" s="20">
        <v>8696</v>
      </c>
      <c r="D1735" s="20" t="e">
        <f>VLOOKUP(C1735,[1]CHILDCARE_FACILITIES!AJ:AK,2,0)</f>
        <v>#N/A</v>
      </c>
      <c r="E1735" s="20" t="s">
        <v>15134</v>
      </c>
      <c r="F1735" s="20" t="s">
        <v>15135</v>
      </c>
      <c r="G1735" s="20">
        <v>72244000</v>
      </c>
      <c r="K1735" s="20">
        <v>8696</v>
      </c>
    </row>
    <row r="1736" spans="1:13" x14ac:dyDescent="0.25">
      <c r="A1736" s="20">
        <v>8697</v>
      </c>
      <c r="B1736" s="20" t="s">
        <v>15207</v>
      </c>
      <c r="C1736" s="20">
        <v>8697</v>
      </c>
      <c r="D1736" s="20" t="e">
        <f>VLOOKUP(C1736,[1]CHILDCARE_FACILITIES!AJ:AK,2,0)</f>
        <v>#N/A</v>
      </c>
      <c r="E1736" s="20" t="s">
        <v>15134</v>
      </c>
      <c r="F1736" s="20" t="s">
        <v>15135</v>
      </c>
      <c r="G1736" s="20">
        <v>72244001</v>
      </c>
      <c r="K1736" s="20">
        <v>8697</v>
      </c>
    </row>
    <row r="1737" spans="1:13" x14ac:dyDescent="0.25">
      <c r="A1737" s="20">
        <v>9222</v>
      </c>
      <c r="B1737" s="20" t="s">
        <v>15420</v>
      </c>
      <c r="C1737" s="20">
        <v>9222</v>
      </c>
      <c r="D1737" s="20" t="e">
        <f>VLOOKUP(C1737,[1]CHILDCARE_FACILITIES!AJ:AK,2,0)</f>
        <v>#N/A</v>
      </c>
      <c r="E1737" s="20" t="s">
        <v>15134</v>
      </c>
      <c r="F1737" s="20" t="s">
        <v>15135</v>
      </c>
      <c r="G1737" s="20">
        <v>73155001</v>
      </c>
      <c r="K1737" s="20">
        <v>9222</v>
      </c>
    </row>
    <row r="1738" spans="1:13" x14ac:dyDescent="0.25">
      <c r="A1738" s="20">
        <v>8659</v>
      </c>
      <c r="B1738" s="20" t="s">
        <v>15177</v>
      </c>
      <c r="C1738" s="20">
        <v>8659</v>
      </c>
      <c r="D1738" s="20" t="e">
        <f>VLOOKUP(C1738,[1]CHILDCARE_FACILITIES!AJ:AK,2,0)</f>
        <v>#N/A</v>
      </c>
      <c r="E1738" s="20" t="s">
        <v>15134</v>
      </c>
      <c r="F1738" s="20" t="s">
        <v>15135</v>
      </c>
      <c r="G1738" s="20">
        <v>72203001</v>
      </c>
      <c r="K1738" s="20">
        <v>8659</v>
      </c>
    </row>
    <row r="1739" spans="1:13" x14ac:dyDescent="0.25">
      <c r="A1739" s="20">
        <v>80678</v>
      </c>
      <c r="B1739" s="20" t="s">
        <v>15177</v>
      </c>
      <c r="C1739" s="20">
        <v>80678</v>
      </c>
      <c r="D1739" s="20" t="e">
        <f>VLOOKUP(C1739,[1]CHILDCARE_FACILITIES!AJ:AK,2,0)</f>
        <v>#N/A</v>
      </c>
      <c r="E1739" s="20" t="s">
        <v>15134</v>
      </c>
      <c r="F1739" s="20" t="s">
        <v>15135</v>
      </c>
      <c r="G1739" s="20">
        <v>72413004</v>
      </c>
      <c r="H1739" s="20" t="s">
        <v>15145</v>
      </c>
      <c r="I1739" s="20" t="b">
        <v>1</v>
      </c>
      <c r="J1739" s="20" t="s">
        <v>18450</v>
      </c>
      <c r="K1739" s="20">
        <v>80678</v>
      </c>
      <c r="L1739" s="20" t="s">
        <v>17213</v>
      </c>
      <c r="M1739" s="20" t="s">
        <v>18451</v>
      </c>
    </row>
    <row r="1740" spans="1:13" x14ac:dyDescent="0.25">
      <c r="A1740" s="20">
        <v>80678</v>
      </c>
      <c r="B1740" s="20" t="s">
        <v>15177</v>
      </c>
      <c r="C1740" s="20">
        <v>80678</v>
      </c>
      <c r="D1740" s="20" t="e">
        <f>VLOOKUP(C1740,[1]CHILDCARE_FACILITIES!AJ:AK,2,0)</f>
        <v>#N/A</v>
      </c>
      <c r="E1740" s="20" t="s">
        <v>15134</v>
      </c>
      <c r="F1740" s="20" t="s">
        <v>15135</v>
      </c>
      <c r="G1740" s="20">
        <v>72413004</v>
      </c>
      <c r="H1740" s="20" t="s">
        <v>15138</v>
      </c>
      <c r="I1740" s="20" t="b">
        <v>1</v>
      </c>
      <c r="J1740" s="20" t="s">
        <v>18450</v>
      </c>
      <c r="K1740" s="20">
        <v>80678</v>
      </c>
      <c r="L1740" s="20" t="s">
        <v>17213</v>
      </c>
      <c r="M1740" s="20" t="s">
        <v>18451</v>
      </c>
    </row>
    <row r="1741" spans="1:13" x14ac:dyDescent="0.25">
      <c r="A1741" s="20">
        <v>8658</v>
      </c>
      <c r="B1741" s="20" t="s">
        <v>15176</v>
      </c>
      <c r="C1741" s="20">
        <v>8658</v>
      </c>
      <c r="D1741" s="20" t="e">
        <f>VLOOKUP(C1741,[1]CHILDCARE_FACILITIES!AJ:AK,2,0)</f>
        <v>#N/A</v>
      </c>
      <c r="E1741" s="20" t="s">
        <v>15134</v>
      </c>
      <c r="F1741" s="20" t="s">
        <v>15135</v>
      </c>
      <c r="G1741" s="20">
        <v>72203000</v>
      </c>
      <c r="K1741" s="20">
        <v>8658</v>
      </c>
    </row>
    <row r="1742" spans="1:13" x14ac:dyDescent="0.25">
      <c r="A1742" s="20">
        <v>8724</v>
      </c>
      <c r="B1742" s="20" t="s">
        <v>15226</v>
      </c>
      <c r="C1742" s="20">
        <v>8724</v>
      </c>
      <c r="D1742" s="20" t="e">
        <f>VLOOKUP(C1742,[1]CHILDCARE_FACILITIES!AJ:AK,2,0)</f>
        <v>#N/A</v>
      </c>
      <c r="E1742" s="20" t="s">
        <v>15134</v>
      </c>
      <c r="F1742" s="20" t="s">
        <v>15135</v>
      </c>
      <c r="G1742" s="20">
        <v>72288000</v>
      </c>
      <c r="K1742" s="20">
        <v>8724</v>
      </c>
    </row>
    <row r="1743" spans="1:13" x14ac:dyDescent="0.25">
      <c r="A1743" s="20">
        <v>8748</v>
      </c>
      <c r="B1743" s="20" t="s">
        <v>15239</v>
      </c>
      <c r="C1743" s="20">
        <v>8748</v>
      </c>
      <c r="D1743" s="20" t="e">
        <f>VLOOKUP(C1743,[1]CHILDCARE_FACILITIES!AJ:AK,2,0)</f>
        <v>#N/A</v>
      </c>
      <c r="E1743" s="20" t="s">
        <v>15134</v>
      </c>
      <c r="F1743" s="20" t="s">
        <v>15135</v>
      </c>
      <c r="G1743" s="20">
        <v>72299002</v>
      </c>
      <c r="K1743" s="20">
        <v>8748</v>
      </c>
    </row>
    <row r="1744" spans="1:13" x14ac:dyDescent="0.25">
      <c r="A1744" s="20">
        <v>8755</v>
      </c>
      <c r="B1744" s="20" t="s">
        <v>15251</v>
      </c>
      <c r="C1744" s="20">
        <v>8755</v>
      </c>
      <c r="D1744" s="20" t="e">
        <f>VLOOKUP(C1744,[1]CHILDCARE_FACILITIES!AJ:AK,2,0)</f>
        <v>#N/A</v>
      </c>
      <c r="E1744" s="20" t="s">
        <v>15134</v>
      </c>
      <c r="F1744" s="20" t="s">
        <v>15135</v>
      </c>
      <c r="G1744" s="20">
        <v>72402001</v>
      </c>
      <c r="K1744" s="20">
        <v>8755</v>
      </c>
    </row>
    <row r="1745" spans="1:13" x14ac:dyDescent="0.25">
      <c r="A1745" s="20">
        <v>10910</v>
      </c>
      <c r="B1745" s="20" t="s">
        <v>15858</v>
      </c>
      <c r="C1745" s="20">
        <v>10910</v>
      </c>
      <c r="D1745" s="20" t="e">
        <f>VLOOKUP(C1745,[1]CHILDCARE_FACILITIES!AJ:AK,2,0)</f>
        <v>#N/A</v>
      </c>
      <c r="E1745" s="20" t="s">
        <v>15134</v>
      </c>
      <c r="F1745" s="20" t="s">
        <v>15135</v>
      </c>
      <c r="G1745" s="20">
        <v>72413000</v>
      </c>
      <c r="H1745" s="20" t="s">
        <v>15145</v>
      </c>
      <c r="I1745" s="20" t="b">
        <v>1</v>
      </c>
      <c r="J1745" s="20" t="s">
        <v>18452</v>
      </c>
      <c r="K1745" s="20">
        <v>10910</v>
      </c>
      <c r="L1745" s="20" t="s">
        <v>17213</v>
      </c>
      <c r="M1745" s="20" t="s">
        <v>18453</v>
      </c>
    </row>
    <row r="1746" spans="1:13" x14ac:dyDescent="0.25">
      <c r="A1746" s="20">
        <v>10910</v>
      </c>
      <c r="B1746" s="20" t="s">
        <v>15858</v>
      </c>
      <c r="C1746" s="20">
        <v>10910</v>
      </c>
      <c r="D1746" s="20" t="e">
        <f>VLOOKUP(C1746,[1]CHILDCARE_FACILITIES!AJ:AK,2,0)</f>
        <v>#N/A</v>
      </c>
      <c r="E1746" s="20" t="s">
        <v>15134</v>
      </c>
      <c r="F1746" s="20" t="s">
        <v>15135</v>
      </c>
      <c r="G1746" s="20">
        <v>72413000</v>
      </c>
      <c r="H1746" s="20" t="s">
        <v>15138</v>
      </c>
      <c r="I1746" s="20" t="b">
        <v>0</v>
      </c>
      <c r="J1746" s="20" t="s">
        <v>18454</v>
      </c>
      <c r="K1746" s="20">
        <v>10910</v>
      </c>
      <c r="L1746" s="20" t="s">
        <v>17228</v>
      </c>
      <c r="M1746" s="20" t="s">
        <v>18455</v>
      </c>
    </row>
    <row r="1747" spans="1:13" x14ac:dyDescent="0.25">
      <c r="A1747" s="20">
        <v>9957</v>
      </c>
      <c r="B1747" s="20" t="s">
        <v>15749</v>
      </c>
      <c r="C1747" s="20">
        <v>9957</v>
      </c>
      <c r="D1747" s="20" t="e">
        <f>VLOOKUP(C1747,[1]CHILDCARE_FACILITIES!AJ:AK,2,0)</f>
        <v>#N/A</v>
      </c>
      <c r="E1747" s="20" t="s">
        <v>15134</v>
      </c>
      <c r="F1747" s="20" t="s">
        <v>15135</v>
      </c>
      <c r="G1747" s="20">
        <v>103070001</v>
      </c>
      <c r="K1747" s="20">
        <v>9957</v>
      </c>
    </row>
    <row r="1748" spans="1:13" x14ac:dyDescent="0.25">
      <c r="A1748" s="20">
        <v>9027</v>
      </c>
      <c r="B1748" s="20" t="s">
        <v>15323</v>
      </c>
      <c r="C1748" s="20">
        <v>9027</v>
      </c>
      <c r="D1748" s="20" t="e">
        <f>VLOOKUP(C1748,[1]CHILDCARE_FACILITIES!AJ:AK,2,0)</f>
        <v>#N/A</v>
      </c>
      <c r="E1748" s="20" t="s">
        <v>15134</v>
      </c>
      <c r="F1748" s="20" t="s">
        <v>15135</v>
      </c>
      <c r="G1748" s="20">
        <v>73027001</v>
      </c>
      <c r="K1748" s="20">
        <v>9027</v>
      </c>
    </row>
    <row r="1749" spans="1:13" x14ac:dyDescent="0.25">
      <c r="A1749" s="20">
        <v>79395</v>
      </c>
      <c r="B1749" s="20" t="s">
        <v>15969</v>
      </c>
      <c r="C1749" s="20">
        <v>79395</v>
      </c>
      <c r="D1749" s="20" t="e">
        <f>VLOOKUP(C1749,[1]CHILDCARE_FACILITIES!AJ:AK,2,0)</f>
        <v>#N/A</v>
      </c>
      <c r="E1749" s="20" t="s">
        <v>15134</v>
      </c>
      <c r="F1749" s="20" t="s">
        <v>15135</v>
      </c>
      <c r="G1749" s="20">
        <v>82209000</v>
      </c>
      <c r="H1749" s="20" t="s">
        <v>15138</v>
      </c>
      <c r="I1749" s="20" t="b">
        <v>1</v>
      </c>
      <c r="J1749" s="20" t="s">
        <v>17755</v>
      </c>
      <c r="K1749" s="20">
        <v>79395</v>
      </c>
      <c r="L1749" s="20" t="s">
        <v>17402</v>
      </c>
      <c r="M1749" s="20" t="s">
        <v>17756</v>
      </c>
    </row>
    <row r="1750" spans="1:13" x14ac:dyDescent="0.25">
      <c r="A1750" s="20">
        <v>79395</v>
      </c>
      <c r="B1750" s="20" t="s">
        <v>15969</v>
      </c>
      <c r="C1750" s="20">
        <v>79395</v>
      </c>
      <c r="D1750" s="20" t="e">
        <f>VLOOKUP(C1750,[1]CHILDCARE_FACILITIES!AJ:AK,2,0)</f>
        <v>#N/A</v>
      </c>
      <c r="E1750" s="20" t="s">
        <v>15134</v>
      </c>
      <c r="F1750" s="20" t="s">
        <v>15135</v>
      </c>
      <c r="G1750" s="20">
        <v>82209000</v>
      </c>
      <c r="H1750" s="20" t="s">
        <v>15145</v>
      </c>
      <c r="I1750" s="20" t="b">
        <v>1</v>
      </c>
      <c r="J1750" s="20" t="s">
        <v>17755</v>
      </c>
      <c r="K1750" s="20">
        <v>79395</v>
      </c>
      <c r="L1750" s="20" t="s">
        <v>17402</v>
      </c>
      <c r="M1750" s="20" t="s">
        <v>17756</v>
      </c>
    </row>
    <row r="1751" spans="1:13" x14ac:dyDescent="0.25">
      <c r="A1751" s="20">
        <v>9737</v>
      </c>
      <c r="B1751" s="20" t="s">
        <v>15642</v>
      </c>
      <c r="C1751" s="20">
        <v>9737</v>
      </c>
      <c r="D1751" s="20" t="e">
        <f>VLOOKUP(C1751,[1]CHILDCARE_FACILITIES!AJ:AK,2,0)</f>
        <v>#N/A</v>
      </c>
      <c r="E1751" s="20" t="s">
        <v>15134</v>
      </c>
      <c r="F1751" s="20" t="s">
        <v>15135</v>
      </c>
      <c r="G1751" s="20">
        <v>102217000</v>
      </c>
      <c r="K1751" s="20">
        <v>9737</v>
      </c>
    </row>
    <row r="1752" spans="1:13" x14ac:dyDescent="0.25">
      <c r="A1752" s="20">
        <v>89488</v>
      </c>
      <c r="B1752" s="20" t="s">
        <v>16400</v>
      </c>
      <c r="C1752" s="20">
        <v>89488</v>
      </c>
      <c r="D1752" s="20" t="e">
        <f>VLOOKUP(C1752,[1]CHILDCARE_FACILITIES!AJ:AK,2,0)</f>
        <v>#N/A</v>
      </c>
      <c r="E1752" s="20" t="s">
        <v>15134</v>
      </c>
      <c r="F1752" s="20" t="s">
        <v>15135</v>
      </c>
      <c r="G1752" s="20">
        <v>102267000</v>
      </c>
      <c r="H1752" s="20" t="s">
        <v>15145</v>
      </c>
      <c r="I1752" s="20" t="b">
        <v>1</v>
      </c>
      <c r="J1752" s="20" t="s">
        <v>18456</v>
      </c>
      <c r="K1752" s="20">
        <v>89488</v>
      </c>
      <c r="L1752" s="20" t="s">
        <v>17271</v>
      </c>
      <c r="M1752" s="20" t="s">
        <v>18457</v>
      </c>
    </row>
    <row r="1753" spans="1:13" x14ac:dyDescent="0.25">
      <c r="A1753" s="20">
        <v>89488</v>
      </c>
      <c r="B1753" s="20" t="s">
        <v>16400</v>
      </c>
      <c r="C1753" s="20">
        <v>89488</v>
      </c>
      <c r="D1753" s="20" t="e">
        <f>VLOOKUP(C1753,[1]CHILDCARE_FACILITIES!AJ:AK,2,0)</f>
        <v>#N/A</v>
      </c>
      <c r="E1753" s="20" t="s">
        <v>15134</v>
      </c>
      <c r="F1753" s="20" t="s">
        <v>15135</v>
      </c>
      <c r="G1753" s="20">
        <v>102267000</v>
      </c>
      <c r="H1753" s="20" t="s">
        <v>15138</v>
      </c>
      <c r="I1753" s="20" t="b">
        <v>1</v>
      </c>
      <c r="J1753" s="20" t="s">
        <v>18456</v>
      </c>
      <c r="K1753" s="20">
        <v>89488</v>
      </c>
      <c r="L1753" s="20" t="s">
        <v>17271</v>
      </c>
      <c r="M1753" s="20" t="s">
        <v>18457</v>
      </c>
    </row>
    <row r="1754" spans="1:13" x14ac:dyDescent="0.25">
      <c r="A1754" s="20">
        <v>89489</v>
      </c>
      <c r="B1754" s="20" t="s">
        <v>16400</v>
      </c>
      <c r="C1754" s="20">
        <v>89489</v>
      </c>
      <c r="D1754" s="20" t="e">
        <f>VLOOKUP(C1754,[1]CHILDCARE_FACILITIES!AJ:AK,2,0)</f>
        <v>#N/A</v>
      </c>
      <c r="E1754" s="20" t="s">
        <v>15134</v>
      </c>
      <c r="F1754" s="20" t="s">
        <v>15135</v>
      </c>
      <c r="G1754" s="20">
        <v>102267001</v>
      </c>
      <c r="H1754" s="20" t="s">
        <v>15145</v>
      </c>
      <c r="I1754" s="20" t="b">
        <v>1</v>
      </c>
      <c r="J1754" s="20" t="s">
        <v>18456</v>
      </c>
      <c r="K1754" s="20">
        <v>89489</v>
      </c>
      <c r="L1754" s="20" t="s">
        <v>17271</v>
      </c>
      <c r="M1754" s="20" t="s">
        <v>18457</v>
      </c>
    </row>
    <row r="1755" spans="1:13" x14ac:dyDescent="0.25">
      <c r="A1755" s="20">
        <v>89489</v>
      </c>
      <c r="B1755" s="20" t="s">
        <v>16400</v>
      </c>
      <c r="C1755" s="20">
        <v>89489</v>
      </c>
      <c r="D1755" s="20" t="e">
        <f>VLOOKUP(C1755,[1]CHILDCARE_FACILITIES!AJ:AK,2,0)</f>
        <v>#N/A</v>
      </c>
      <c r="E1755" s="20" t="s">
        <v>15134</v>
      </c>
      <c r="F1755" s="20" t="s">
        <v>15135</v>
      </c>
      <c r="G1755" s="20">
        <v>102267001</v>
      </c>
      <c r="H1755" s="20" t="s">
        <v>15138</v>
      </c>
      <c r="I1755" s="20" t="b">
        <v>1</v>
      </c>
      <c r="J1755" s="20" t="s">
        <v>18456</v>
      </c>
      <c r="K1755" s="20">
        <v>89489</v>
      </c>
      <c r="L1755" s="20" t="s">
        <v>17271</v>
      </c>
      <c r="M1755" s="20" t="s">
        <v>18457</v>
      </c>
    </row>
    <row r="1756" spans="1:13" x14ac:dyDescent="0.25">
      <c r="A1756" s="20">
        <v>9875</v>
      </c>
      <c r="B1756" s="20" t="s">
        <v>15707</v>
      </c>
      <c r="C1756" s="20">
        <v>9875</v>
      </c>
      <c r="D1756" s="20" t="e">
        <f>VLOOKUP(C1756,[1]CHILDCARE_FACILITIES!AJ:AK,2,0)</f>
        <v>#N/A</v>
      </c>
      <c r="E1756" s="20" t="s">
        <v>15134</v>
      </c>
      <c r="F1756" s="20" t="s">
        <v>15135</v>
      </c>
      <c r="G1756" s="20">
        <v>103005001</v>
      </c>
      <c r="K1756" s="20">
        <v>9875</v>
      </c>
    </row>
    <row r="1757" spans="1:13" x14ac:dyDescent="0.25">
      <c r="A1757" s="20">
        <v>10038</v>
      </c>
      <c r="B1757" s="20" t="s">
        <v>15707</v>
      </c>
      <c r="C1757" s="20">
        <v>10038</v>
      </c>
      <c r="D1757" s="20" t="e">
        <f>VLOOKUP(C1757,[1]CHILDCARE_FACILITIES!AJ:AK,2,0)</f>
        <v>#N/A</v>
      </c>
      <c r="E1757" s="20" t="s">
        <v>15134</v>
      </c>
      <c r="F1757" s="20" t="s">
        <v>15135</v>
      </c>
      <c r="G1757" s="20">
        <v>103104001</v>
      </c>
      <c r="K1757" s="20">
        <v>10038</v>
      </c>
    </row>
    <row r="1758" spans="1:13" x14ac:dyDescent="0.25">
      <c r="A1758" s="20">
        <v>10368</v>
      </c>
      <c r="B1758" s="20" t="s">
        <v>15853</v>
      </c>
      <c r="C1758" s="20">
        <v>10368</v>
      </c>
      <c r="D1758" s="20" t="e">
        <f>VLOOKUP(C1758,[1]CHILDCARE_FACILITIES!AJ:AK,2,0)</f>
        <v>#N/A</v>
      </c>
      <c r="E1758" s="20" t="s">
        <v>15134</v>
      </c>
      <c r="F1758" s="20" t="s">
        <v>15135</v>
      </c>
      <c r="G1758" s="20">
        <v>73423001</v>
      </c>
      <c r="K1758" s="20">
        <v>10368</v>
      </c>
    </row>
    <row r="1759" spans="1:13" x14ac:dyDescent="0.25">
      <c r="A1759" s="20">
        <v>9567</v>
      </c>
      <c r="B1759" s="20" t="s">
        <v>15594</v>
      </c>
      <c r="C1759" s="20">
        <v>9567</v>
      </c>
      <c r="D1759" s="20" t="e">
        <f>VLOOKUP(C1759,[1]CHILDCARE_FACILITIES!AJ:AK,2,0)</f>
        <v>#N/A</v>
      </c>
      <c r="E1759" s="20" t="s">
        <v>15134</v>
      </c>
      <c r="F1759" s="20" t="s">
        <v>15135</v>
      </c>
      <c r="G1759" s="20">
        <v>73423000</v>
      </c>
      <c r="K1759" s="20">
        <v>9567</v>
      </c>
    </row>
    <row r="1760" spans="1:13" x14ac:dyDescent="0.25">
      <c r="A1760" s="20">
        <v>9015</v>
      </c>
      <c r="B1760" s="20" t="s">
        <v>15314</v>
      </c>
      <c r="C1760" s="20">
        <v>9015</v>
      </c>
      <c r="D1760" s="20" t="e">
        <f>VLOOKUP(C1760,[1]CHILDCARE_FACILITIES!AJ:AK,2,0)</f>
        <v>#N/A</v>
      </c>
      <c r="E1760" s="20" t="s">
        <v>15134</v>
      </c>
      <c r="F1760" s="20" t="s">
        <v>15135</v>
      </c>
      <c r="G1760" s="20">
        <v>73022001</v>
      </c>
      <c r="K1760" s="20">
        <v>9015</v>
      </c>
    </row>
    <row r="1761" spans="1:13" x14ac:dyDescent="0.25">
      <c r="A1761" s="20">
        <v>9393</v>
      </c>
      <c r="B1761" s="20" t="s">
        <v>15506</v>
      </c>
      <c r="C1761" s="20">
        <v>9393</v>
      </c>
      <c r="D1761" s="20" t="e">
        <f>VLOOKUP(C1761,[1]CHILDCARE_FACILITIES!AJ:AK,2,0)</f>
        <v>#N/A</v>
      </c>
      <c r="E1761" s="20" t="s">
        <v>15134</v>
      </c>
      <c r="F1761" s="20" t="s">
        <v>15135</v>
      </c>
      <c r="G1761" s="20">
        <v>73242001</v>
      </c>
      <c r="K1761" s="20">
        <v>9393</v>
      </c>
    </row>
    <row r="1762" spans="1:13" x14ac:dyDescent="0.25">
      <c r="A1762" s="20">
        <v>9246</v>
      </c>
      <c r="B1762" s="20" t="s">
        <v>15430</v>
      </c>
      <c r="C1762" s="20">
        <v>9246</v>
      </c>
      <c r="D1762" s="20" t="e">
        <f>VLOOKUP(C1762,[1]CHILDCARE_FACILITIES!AJ:AK,2,0)</f>
        <v>#N/A</v>
      </c>
      <c r="E1762" s="20" t="s">
        <v>15134</v>
      </c>
      <c r="F1762" s="20" t="s">
        <v>15135</v>
      </c>
      <c r="G1762" s="20">
        <v>73174001</v>
      </c>
      <c r="K1762" s="20">
        <v>9246</v>
      </c>
    </row>
    <row r="1763" spans="1:13" x14ac:dyDescent="0.25">
      <c r="A1763" s="20">
        <v>1000327</v>
      </c>
      <c r="B1763" s="20" t="s">
        <v>17138</v>
      </c>
      <c r="C1763" s="20">
        <v>1000327</v>
      </c>
      <c r="D1763" s="20" t="e">
        <f>VLOOKUP(C1763,[1]CHILDCARE_FACILITIES!AJ:AK,2,0)</f>
        <v>#N/A</v>
      </c>
      <c r="E1763" s="20" t="s">
        <v>15134</v>
      </c>
      <c r="F1763" s="20" t="s">
        <v>15135</v>
      </c>
      <c r="G1763" s="20">
        <v>73359001</v>
      </c>
      <c r="H1763" s="20" t="s">
        <v>15136</v>
      </c>
      <c r="I1763" s="20" t="b">
        <v>1</v>
      </c>
      <c r="J1763" s="20" t="s">
        <v>18458</v>
      </c>
      <c r="K1763" s="20">
        <v>1000327</v>
      </c>
      <c r="L1763" s="20" t="s">
        <v>17216</v>
      </c>
      <c r="M1763" s="20" t="s">
        <v>18459</v>
      </c>
    </row>
    <row r="1764" spans="1:13" x14ac:dyDescent="0.25">
      <c r="A1764" s="20">
        <v>1000327</v>
      </c>
      <c r="B1764" s="20" t="s">
        <v>17138</v>
      </c>
      <c r="C1764" s="20">
        <v>1000327</v>
      </c>
      <c r="D1764" s="20" t="e">
        <f>VLOOKUP(C1764,[1]CHILDCARE_FACILITIES!AJ:AK,2,0)</f>
        <v>#N/A</v>
      </c>
      <c r="E1764" s="20" t="s">
        <v>15134</v>
      </c>
      <c r="F1764" s="20" t="s">
        <v>15135</v>
      </c>
      <c r="G1764" s="20">
        <v>73359001</v>
      </c>
      <c r="H1764" s="20" t="s">
        <v>15138</v>
      </c>
      <c r="I1764" s="20" t="b">
        <v>1</v>
      </c>
      <c r="J1764" s="20" t="s">
        <v>18458</v>
      </c>
      <c r="K1764" s="20">
        <v>1000327</v>
      </c>
      <c r="L1764" s="20" t="s">
        <v>17216</v>
      </c>
      <c r="M1764" s="20" t="s">
        <v>18459</v>
      </c>
    </row>
    <row r="1765" spans="1:13" x14ac:dyDescent="0.25">
      <c r="A1765" s="20">
        <v>1000329</v>
      </c>
      <c r="B1765" s="20" t="s">
        <v>17138</v>
      </c>
      <c r="C1765" s="20">
        <v>1000329</v>
      </c>
      <c r="D1765" s="20" t="e">
        <f>VLOOKUP(C1765,[1]CHILDCARE_FACILITIES!AJ:AK,2,0)</f>
        <v>#N/A</v>
      </c>
      <c r="E1765" s="20" t="s">
        <v>15134</v>
      </c>
      <c r="F1765" s="20" t="s">
        <v>15135</v>
      </c>
      <c r="G1765" s="20">
        <v>73359000</v>
      </c>
      <c r="H1765" s="20" t="s">
        <v>15136</v>
      </c>
      <c r="I1765" s="20" t="b">
        <v>1</v>
      </c>
      <c r="J1765" s="20" t="s">
        <v>18458</v>
      </c>
      <c r="K1765" s="20">
        <v>1000329</v>
      </c>
      <c r="L1765" s="20" t="s">
        <v>17216</v>
      </c>
      <c r="M1765" s="20" t="s">
        <v>18459</v>
      </c>
    </row>
    <row r="1766" spans="1:13" x14ac:dyDescent="0.25">
      <c r="A1766" s="20">
        <v>1000329</v>
      </c>
      <c r="B1766" s="20" t="s">
        <v>17138</v>
      </c>
      <c r="C1766" s="20">
        <v>1000329</v>
      </c>
      <c r="D1766" s="20" t="e">
        <f>VLOOKUP(C1766,[1]CHILDCARE_FACILITIES!AJ:AK,2,0)</f>
        <v>#N/A</v>
      </c>
      <c r="E1766" s="20" t="s">
        <v>15134</v>
      </c>
      <c r="F1766" s="20" t="s">
        <v>15135</v>
      </c>
      <c r="G1766" s="20">
        <v>73359000</v>
      </c>
      <c r="H1766" s="20" t="s">
        <v>15138</v>
      </c>
      <c r="I1766" s="20" t="b">
        <v>1</v>
      </c>
      <c r="J1766" s="20" t="s">
        <v>18458</v>
      </c>
      <c r="K1766" s="20">
        <v>1000329</v>
      </c>
      <c r="L1766" s="20" t="s">
        <v>17216</v>
      </c>
      <c r="M1766" s="20" t="s">
        <v>18459</v>
      </c>
    </row>
    <row r="1767" spans="1:13" x14ac:dyDescent="0.25">
      <c r="A1767" s="20">
        <v>1001261</v>
      </c>
      <c r="B1767" s="20" t="s">
        <v>17188</v>
      </c>
      <c r="C1767" s="20">
        <v>1001261</v>
      </c>
      <c r="D1767" s="20" t="e">
        <f>VLOOKUP(C1767,[1]CHILDCARE_FACILITIES!AJ:AK,2,0)</f>
        <v>#N/A</v>
      </c>
      <c r="E1767" s="20" t="s">
        <v>15134</v>
      </c>
      <c r="F1767" s="20" t="s">
        <v>15135</v>
      </c>
      <c r="G1767" s="20">
        <v>103701000</v>
      </c>
      <c r="H1767" s="20" t="s">
        <v>15136</v>
      </c>
      <c r="I1767" s="20" t="b">
        <v>1</v>
      </c>
      <c r="J1767" s="20" t="s">
        <v>18460</v>
      </c>
      <c r="K1767" s="20">
        <v>1001261</v>
      </c>
      <c r="L1767" s="20" t="s">
        <v>17271</v>
      </c>
      <c r="M1767" s="20" t="s">
        <v>18085</v>
      </c>
    </row>
    <row r="1768" spans="1:13" x14ac:dyDescent="0.25">
      <c r="A1768" s="20">
        <v>1001261</v>
      </c>
      <c r="B1768" s="20" t="s">
        <v>17188</v>
      </c>
      <c r="C1768" s="20">
        <v>1001261</v>
      </c>
      <c r="D1768" s="20" t="e">
        <f>VLOOKUP(C1768,[1]CHILDCARE_FACILITIES!AJ:AK,2,0)</f>
        <v>#N/A</v>
      </c>
      <c r="E1768" s="20" t="s">
        <v>15134</v>
      </c>
      <c r="F1768" s="20" t="s">
        <v>15135</v>
      </c>
      <c r="G1768" s="20">
        <v>103701000</v>
      </c>
      <c r="H1768" s="20" t="s">
        <v>15138</v>
      </c>
      <c r="I1768" s="20" t="b">
        <v>1</v>
      </c>
      <c r="J1768" s="20" t="s">
        <v>18460</v>
      </c>
      <c r="K1768" s="20">
        <v>1001261</v>
      </c>
      <c r="L1768" s="20" t="s">
        <v>17271</v>
      </c>
      <c r="M1768" s="20" t="s">
        <v>18085</v>
      </c>
    </row>
    <row r="1769" spans="1:13" x14ac:dyDescent="0.25">
      <c r="A1769" s="20">
        <v>1001263</v>
      </c>
      <c r="B1769" s="20" t="s">
        <v>17188</v>
      </c>
      <c r="C1769" s="20">
        <v>1001263</v>
      </c>
      <c r="D1769" s="20" t="e">
        <f>VLOOKUP(C1769,[1]CHILDCARE_FACILITIES!AJ:AK,2,0)</f>
        <v>#N/A</v>
      </c>
      <c r="E1769" s="20" t="s">
        <v>15134</v>
      </c>
      <c r="F1769" s="20" t="s">
        <v>15135</v>
      </c>
      <c r="G1769" s="20">
        <v>103701001</v>
      </c>
      <c r="H1769" s="20" t="s">
        <v>15138</v>
      </c>
      <c r="I1769" s="20" t="b">
        <v>1</v>
      </c>
      <c r="J1769" s="20" t="s">
        <v>18460</v>
      </c>
      <c r="K1769" s="20">
        <v>1001263</v>
      </c>
      <c r="L1769" s="20" t="s">
        <v>17271</v>
      </c>
      <c r="M1769" s="20" t="s">
        <v>18085</v>
      </c>
    </row>
    <row r="1770" spans="1:13" x14ac:dyDescent="0.25">
      <c r="A1770" s="20">
        <v>1001263</v>
      </c>
      <c r="B1770" s="20" t="s">
        <v>17188</v>
      </c>
      <c r="C1770" s="20">
        <v>1001263</v>
      </c>
      <c r="D1770" s="20" t="e">
        <f>VLOOKUP(C1770,[1]CHILDCARE_FACILITIES!AJ:AK,2,0)</f>
        <v>#N/A</v>
      </c>
      <c r="E1770" s="20" t="s">
        <v>15134</v>
      </c>
      <c r="F1770" s="20" t="s">
        <v>15135</v>
      </c>
      <c r="G1770" s="20">
        <v>103701001</v>
      </c>
      <c r="H1770" s="20" t="s">
        <v>15136</v>
      </c>
      <c r="I1770" s="20" t="b">
        <v>1</v>
      </c>
      <c r="J1770" s="20" t="s">
        <v>18460</v>
      </c>
      <c r="K1770" s="20">
        <v>1001263</v>
      </c>
      <c r="L1770" s="20" t="s">
        <v>17271</v>
      </c>
      <c r="M1770" s="20" t="s">
        <v>18085</v>
      </c>
    </row>
    <row r="1771" spans="1:13" x14ac:dyDescent="0.25">
      <c r="A1771" s="20">
        <v>8723</v>
      </c>
      <c r="B1771" s="20" t="s">
        <v>15225</v>
      </c>
      <c r="C1771" s="20">
        <v>8723</v>
      </c>
      <c r="D1771" s="20" t="e">
        <f>VLOOKUP(C1771,[1]CHILDCARE_FACILITIES!AJ:AK,2,0)</f>
        <v>#N/A</v>
      </c>
      <c r="E1771" s="20" t="s">
        <v>15134</v>
      </c>
      <c r="F1771" s="20" t="s">
        <v>15135</v>
      </c>
      <c r="G1771" s="20">
        <v>72287001</v>
      </c>
      <c r="K1771" s="20">
        <v>8723</v>
      </c>
    </row>
    <row r="1772" spans="1:13" x14ac:dyDescent="0.25">
      <c r="A1772" s="20">
        <v>9620</v>
      </c>
      <c r="B1772" s="20" t="s">
        <v>15225</v>
      </c>
      <c r="C1772" s="20">
        <v>9620</v>
      </c>
      <c r="D1772" s="20" t="e">
        <f>VLOOKUP(C1772,[1]CHILDCARE_FACILITIES!AJ:AK,2,0)</f>
        <v>#N/A</v>
      </c>
      <c r="E1772" s="20" t="s">
        <v>15134</v>
      </c>
      <c r="F1772" s="20" t="s">
        <v>15135</v>
      </c>
      <c r="G1772" s="20">
        <v>83001001</v>
      </c>
      <c r="K1772" s="20">
        <v>9620</v>
      </c>
    </row>
    <row r="1773" spans="1:13" x14ac:dyDescent="0.25">
      <c r="A1773" s="20">
        <v>91898</v>
      </c>
      <c r="B1773" s="20" t="s">
        <v>16823</v>
      </c>
      <c r="C1773" s="20">
        <v>91898</v>
      </c>
      <c r="D1773" s="20" t="str">
        <f>VLOOKUP(C1773,[1]CHILDCARE_FACILITIES!AJ:AK,2,0)</f>
        <v>CDC-16251</v>
      </c>
      <c r="E1773" s="20" t="s">
        <v>15134</v>
      </c>
      <c r="F1773" s="20" t="s">
        <v>15135</v>
      </c>
      <c r="G1773" s="20">
        <v>83026001</v>
      </c>
      <c r="H1773" s="20" t="s">
        <v>15145</v>
      </c>
      <c r="I1773" s="20" t="b">
        <v>1</v>
      </c>
      <c r="J1773" s="20" t="s">
        <v>18461</v>
      </c>
      <c r="K1773" s="20">
        <v>91898</v>
      </c>
      <c r="L1773" s="20" t="s">
        <v>18140</v>
      </c>
      <c r="M1773" s="20" t="s">
        <v>18462</v>
      </c>
    </row>
    <row r="1774" spans="1:13" x14ac:dyDescent="0.25">
      <c r="A1774" s="20">
        <v>91897</v>
      </c>
      <c r="B1774" s="20" t="s">
        <v>16821</v>
      </c>
      <c r="C1774" s="20">
        <v>91897</v>
      </c>
      <c r="D1774" s="20" t="e">
        <f>VLOOKUP(C1774,[1]CHILDCARE_FACILITIES!AJ:AK,2,0)</f>
        <v>#N/A</v>
      </c>
      <c r="E1774" s="20" t="s">
        <v>15134</v>
      </c>
      <c r="F1774" s="20" t="s">
        <v>15135</v>
      </c>
      <c r="G1774" s="20">
        <v>83026000</v>
      </c>
      <c r="H1774" s="20" t="s">
        <v>15136</v>
      </c>
      <c r="I1774" s="20" t="b">
        <v>1</v>
      </c>
      <c r="J1774" s="20" t="s">
        <v>18461</v>
      </c>
      <c r="K1774" s="20">
        <v>91897</v>
      </c>
      <c r="L1774" s="20" t="s">
        <v>18140</v>
      </c>
      <c r="M1774" s="20" t="s">
        <v>18462</v>
      </c>
    </row>
    <row r="1775" spans="1:13" x14ac:dyDescent="0.25">
      <c r="A1775" s="20">
        <v>91897</v>
      </c>
      <c r="B1775" s="20" t="s">
        <v>16821</v>
      </c>
      <c r="C1775" s="20">
        <v>91897</v>
      </c>
      <c r="D1775" s="20" t="e">
        <f>VLOOKUP(C1775,[1]CHILDCARE_FACILITIES!AJ:AK,2,0)</f>
        <v>#N/A</v>
      </c>
      <c r="E1775" s="20" t="s">
        <v>15134</v>
      </c>
      <c r="F1775" s="20" t="s">
        <v>15135</v>
      </c>
      <c r="G1775" s="20">
        <v>83026000</v>
      </c>
      <c r="H1775" s="20" t="s">
        <v>15138</v>
      </c>
      <c r="I1775" s="20" t="b">
        <v>1</v>
      </c>
      <c r="J1775" s="20" t="s">
        <v>18461</v>
      </c>
      <c r="K1775" s="20">
        <v>91897</v>
      </c>
      <c r="L1775" s="20" t="s">
        <v>18140</v>
      </c>
      <c r="M1775" s="20" t="s">
        <v>18462</v>
      </c>
    </row>
    <row r="1776" spans="1:13" x14ac:dyDescent="0.25">
      <c r="A1776" s="20">
        <v>8722</v>
      </c>
      <c r="B1776" s="20" t="s">
        <v>15224</v>
      </c>
      <c r="C1776" s="20">
        <v>8722</v>
      </c>
      <c r="D1776" s="20" t="e">
        <f>VLOOKUP(C1776,[1]CHILDCARE_FACILITIES!AJ:AK,2,0)</f>
        <v>#N/A</v>
      </c>
      <c r="E1776" s="20" t="s">
        <v>15134</v>
      </c>
      <c r="F1776" s="20" t="s">
        <v>15135</v>
      </c>
      <c r="G1776" s="20">
        <v>72287000</v>
      </c>
      <c r="K1776" s="20">
        <v>8722</v>
      </c>
    </row>
    <row r="1777" spans="1:14" x14ac:dyDescent="0.25">
      <c r="A1777" s="20">
        <v>80526</v>
      </c>
      <c r="B1777" s="20" t="s">
        <v>16095</v>
      </c>
      <c r="C1777" s="20">
        <v>80526</v>
      </c>
      <c r="D1777" s="20" t="e">
        <f>VLOOKUP(C1777,[1]CHILDCARE_FACILITIES!AJ:AK,2,0)</f>
        <v>#N/A</v>
      </c>
      <c r="E1777" s="20" t="s">
        <v>15134</v>
      </c>
      <c r="F1777" s="20" t="s">
        <v>15135</v>
      </c>
      <c r="G1777" s="20">
        <v>72401007</v>
      </c>
      <c r="H1777" s="20" t="s">
        <v>15138</v>
      </c>
      <c r="I1777" s="20" t="b">
        <v>1</v>
      </c>
      <c r="J1777" s="20" t="s">
        <v>18463</v>
      </c>
      <c r="K1777" s="20">
        <v>80526</v>
      </c>
      <c r="L1777" s="20" t="s">
        <v>17213</v>
      </c>
      <c r="M1777" s="20" t="s">
        <v>18464</v>
      </c>
    </row>
    <row r="1778" spans="1:14" x14ac:dyDescent="0.25">
      <c r="A1778" s="20">
        <v>80526</v>
      </c>
      <c r="B1778" s="20" t="s">
        <v>16095</v>
      </c>
      <c r="C1778" s="20">
        <v>80526</v>
      </c>
      <c r="D1778" s="20" t="e">
        <f>VLOOKUP(C1778,[1]CHILDCARE_FACILITIES!AJ:AK,2,0)</f>
        <v>#N/A</v>
      </c>
      <c r="E1778" s="20" t="s">
        <v>15134</v>
      </c>
      <c r="F1778" s="20" t="s">
        <v>15135</v>
      </c>
      <c r="G1778" s="20">
        <v>72401007</v>
      </c>
      <c r="H1778" s="20" t="s">
        <v>15136</v>
      </c>
      <c r="I1778" s="20" t="b">
        <v>0</v>
      </c>
      <c r="J1778" s="20" t="s">
        <v>18465</v>
      </c>
      <c r="K1778" s="20">
        <v>80526</v>
      </c>
      <c r="L1778" s="20" t="s">
        <v>18466</v>
      </c>
      <c r="M1778" s="20" t="s">
        <v>17228</v>
      </c>
      <c r="N1778" s="20" t="s">
        <v>18467</v>
      </c>
    </row>
    <row r="1779" spans="1:14" x14ac:dyDescent="0.25">
      <c r="A1779" s="20">
        <v>10175</v>
      </c>
      <c r="B1779" s="20" t="s">
        <v>15827</v>
      </c>
      <c r="C1779" s="20">
        <v>10175</v>
      </c>
      <c r="D1779" s="20" t="e">
        <f>VLOOKUP(C1779,[1]CHILDCARE_FACILITIES!AJ:AK,2,0)</f>
        <v>#N/A</v>
      </c>
      <c r="E1779" s="20" t="s">
        <v>15134</v>
      </c>
      <c r="F1779" s="20" t="s">
        <v>15135</v>
      </c>
      <c r="G1779" s="20">
        <v>142203002</v>
      </c>
      <c r="K1779" s="20">
        <v>10175</v>
      </c>
    </row>
    <row r="1780" spans="1:14" x14ac:dyDescent="0.25">
      <c r="A1780" s="20">
        <v>91892</v>
      </c>
      <c r="B1780" s="20" t="s">
        <v>16818</v>
      </c>
      <c r="C1780" s="20">
        <v>91892</v>
      </c>
      <c r="D1780" s="20" t="e">
        <f>VLOOKUP(C1780,[1]CHILDCARE_FACILITIES!AJ:AK,2,0)</f>
        <v>#N/A</v>
      </c>
      <c r="E1780" s="20" t="s">
        <v>15134</v>
      </c>
      <c r="F1780" s="20" t="s">
        <v>15135</v>
      </c>
      <c r="G1780" s="20">
        <v>73303000</v>
      </c>
      <c r="H1780" s="20" t="s">
        <v>15136</v>
      </c>
      <c r="I1780" s="20" t="b">
        <v>1</v>
      </c>
      <c r="J1780" s="20" t="s">
        <v>18468</v>
      </c>
      <c r="K1780" s="20">
        <v>91892</v>
      </c>
      <c r="L1780" s="20" t="s">
        <v>17703</v>
      </c>
      <c r="M1780" s="20" t="s">
        <v>17709</v>
      </c>
    </row>
    <row r="1781" spans="1:14" x14ac:dyDescent="0.25">
      <c r="A1781" s="20">
        <v>91892</v>
      </c>
      <c r="B1781" s="20" t="s">
        <v>16818</v>
      </c>
      <c r="C1781" s="20">
        <v>91892</v>
      </c>
      <c r="D1781" s="20" t="e">
        <f>VLOOKUP(C1781,[1]CHILDCARE_FACILITIES!AJ:AK,2,0)</f>
        <v>#N/A</v>
      </c>
      <c r="E1781" s="20" t="s">
        <v>15134</v>
      </c>
      <c r="F1781" s="20" t="s">
        <v>15135</v>
      </c>
      <c r="G1781" s="20">
        <v>73303000</v>
      </c>
      <c r="H1781" s="20" t="s">
        <v>15138</v>
      </c>
      <c r="I1781" s="20" t="b">
        <v>1</v>
      </c>
      <c r="J1781" s="20" t="s">
        <v>18468</v>
      </c>
      <c r="K1781" s="20">
        <v>91892</v>
      </c>
      <c r="L1781" s="20" t="s">
        <v>17703</v>
      </c>
      <c r="M1781" s="20" t="s">
        <v>17709</v>
      </c>
    </row>
    <row r="1782" spans="1:14" x14ac:dyDescent="0.25">
      <c r="A1782" s="20">
        <v>88418</v>
      </c>
      <c r="B1782" s="20" t="s">
        <v>16372</v>
      </c>
      <c r="C1782" s="20">
        <v>88418</v>
      </c>
      <c r="D1782" s="20" t="str">
        <f>VLOOKUP(C1782,[1]CHILDCARE_FACILITIES!AJ:AK,2,0)</f>
        <v>CDC-11703</v>
      </c>
      <c r="E1782" s="20" t="s">
        <v>15134</v>
      </c>
      <c r="F1782" s="20" t="s">
        <v>15135</v>
      </c>
      <c r="G1782" s="20">
        <v>73541001</v>
      </c>
      <c r="K1782" s="20">
        <v>88418</v>
      </c>
    </row>
    <row r="1783" spans="1:14" x14ac:dyDescent="0.25">
      <c r="A1783" s="20">
        <v>9598</v>
      </c>
      <c r="B1783" s="20" t="s">
        <v>15595</v>
      </c>
      <c r="C1783" s="20">
        <v>9598</v>
      </c>
      <c r="D1783" s="20" t="e">
        <f>VLOOKUP(C1783,[1]CHILDCARE_FACILITIES!AJ:AK,2,0)</f>
        <v>#N/A</v>
      </c>
      <c r="E1783" s="20" t="s">
        <v>15134</v>
      </c>
      <c r="F1783" s="20" t="s">
        <v>15135</v>
      </c>
      <c r="G1783" s="20">
        <v>72451000</v>
      </c>
      <c r="H1783" s="20" t="s">
        <v>15138</v>
      </c>
      <c r="I1783" s="20" t="b">
        <v>1</v>
      </c>
      <c r="J1783" s="20" t="s">
        <v>18188</v>
      </c>
      <c r="K1783" s="20">
        <v>9598</v>
      </c>
      <c r="L1783" s="20" t="s">
        <v>17639</v>
      </c>
      <c r="M1783" s="20" t="s">
        <v>18189</v>
      </c>
    </row>
    <row r="1784" spans="1:14" x14ac:dyDescent="0.25">
      <c r="A1784" s="20">
        <v>9598</v>
      </c>
      <c r="B1784" s="20" t="s">
        <v>15595</v>
      </c>
      <c r="C1784" s="20">
        <v>9598</v>
      </c>
      <c r="D1784" s="20" t="e">
        <f>VLOOKUP(C1784,[1]CHILDCARE_FACILITIES!AJ:AK,2,0)</f>
        <v>#N/A</v>
      </c>
      <c r="E1784" s="20" t="s">
        <v>15134</v>
      </c>
      <c r="F1784" s="20" t="s">
        <v>15135</v>
      </c>
      <c r="G1784" s="20">
        <v>72451000</v>
      </c>
      <c r="H1784" s="20" t="s">
        <v>15136</v>
      </c>
      <c r="I1784" s="20" t="b">
        <v>1</v>
      </c>
      <c r="J1784" s="20" t="s">
        <v>18469</v>
      </c>
      <c r="K1784" s="20">
        <v>9598</v>
      </c>
      <c r="L1784" s="20" t="s">
        <v>17639</v>
      </c>
      <c r="M1784" s="20" t="s">
        <v>18470</v>
      </c>
    </row>
    <row r="1785" spans="1:14" x14ac:dyDescent="0.25">
      <c r="A1785" s="20">
        <v>92674</v>
      </c>
      <c r="B1785" s="20" t="s">
        <v>16886</v>
      </c>
      <c r="C1785" s="20">
        <v>92674</v>
      </c>
      <c r="D1785" s="20" t="e">
        <f>VLOOKUP(C1785,[1]CHILDCARE_FACILITIES!AJ:AK,2,0)</f>
        <v>#N/A</v>
      </c>
      <c r="E1785" s="20" t="s">
        <v>15134</v>
      </c>
      <c r="F1785" s="20" t="s">
        <v>15135</v>
      </c>
      <c r="G1785" s="20">
        <v>72451005</v>
      </c>
      <c r="H1785" s="20" t="s">
        <v>15138</v>
      </c>
      <c r="I1785" s="20" t="b">
        <v>1</v>
      </c>
      <c r="J1785" s="20" t="s">
        <v>18471</v>
      </c>
      <c r="K1785" s="20">
        <v>92674</v>
      </c>
      <c r="L1785" s="20" t="s">
        <v>18381</v>
      </c>
      <c r="M1785" s="20" t="s">
        <v>18382</v>
      </c>
    </row>
    <row r="1786" spans="1:14" x14ac:dyDescent="0.25">
      <c r="A1786" s="20">
        <v>9103</v>
      </c>
      <c r="B1786" s="20" t="s">
        <v>15361</v>
      </c>
      <c r="C1786" s="20">
        <v>9103</v>
      </c>
      <c r="D1786" s="20" t="e">
        <f>VLOOKUP(C1786,[1]CHILDCARE_FACILITIES!AJ:AK,2,0)</f>
        <v>#N/A</v>
      </c>
      <c r="E1786" s="20" t="s">
        <v>15134</v>
      </c>
      <c r="F1786" s="20" t="s">
        <v>15135</v>
      </c>
      <c r="G1786" s="20">
        <v>73075001</v>
      </c>
      <c r="K1786" s="20">
        <v>9103</v>
      </c>
    </row>
    <row r="1787" spans="1:14" x14ac:dyDescent="0.25">
      <c r="A1787" s="20">
        <v>10145</v>
      </c>
      <c r="B1787" s="20" t="s">
        <v>15361</v>
      </c>
      <c r="C1787" s="20">
        <v>10145</v>
      </c>
      <c r="D1787" s="20" t="e">
        <f>VLOOKUP(C1787,[1]CHILDCARE_FACILITIES!AJ:AK,2,0)</f>
        <v>#N/A</v>
      </c>
      <c r="E1787" s="20" t="s">
        <v>15134</v>
      </c>
      <c r="F1787" s="20" t="s">
        <v>15135</v>
      </c>
      <c r="G1787" s="20">
        <v>133013001</v>
      </c>
      <c r="K1787" s="20">
        <v>10145</v>
      </c>
    </row>
    <row r="1788" spans="1:14" x14ac:dyDescent="0.25">
      <c r="A1788" s="20">
        <v>9093</v>
      </c>
      <c r="B1788" s="20" t="s">
        <v>15353</v>
      </c>
      <c r="C1788" s="20">
        <v>9093</v>
      </c>
      <c r="D1788" s="20" t="e">
        <f>VLOOKUP(C1788,[1]CHILDCARE_FACILITIES!AJ:AK,2,0)</f>
        <v>#N/A</v>
      </c>
      <c r="E1788" s="20" t="s">
        <v>15134</v>
      </c>
      <c r="F1788" s="20" t="s">
        <v>15135</v>
      </c>
      <c r="G1788" s="20">
        <v>73068001</v>
      </c>
      <c r="H1788" s="20" t="s">
        <v>15138</v>
      </c>
      <c r="I1788" s="20" t="b">
        <v>1</v>
      </c>
      <c r="J1788" s="20" t="s">
        <v>18472</v>
      </c>
      <c r="K1788" s="20">
        <v>9093</v>
      </c>
      <c r="L1788" s="20" t="s">
        <v>17223</v>
      </c>
      <c r="M1788" s="20" t="s">
        <v>18473</v>
      </c>
    </row>
    <row r="1789" spans="1:14" x14ac:dyDescent="0.25">
      <c r="A1789" s="20">
        <v>9093</v>
      </c>
      <c r="B1789" s="20" t="s">
        <v>15353</v>
      </c>
      <c r="C1789" s="20">
        <v>9093</v>
      </c>
      <c r="D1789" s="20" t="e">
        <f>VLOOKUP(C1789,[1]CHILDCARE_FACILITIES!AJ:AK,2,0)</f>
        <v>#N/A</v>
      </c>
      <c r="E1789" s="20" t="s">
        <v>15134</v>
      </c>
      <c r="F1789" s="20" t="s">
        <v>15135</v>
      </c>
      <c r="G1789" s="20">
        <v>73068001</v>
      </c>
      <c r="H1789" s="20" t="s">
        <v>15145</v>
      </c>
      <c r="I1789" s="20" t="b">
        <v>1</v>
      </c>
      <c r="J1789" s="20" t="s">
        <v>18472</v>
      </c>
      <c r="K1789" s="20">
        <v>9093</v>
      </c>
      <c r="L1789" s="20" t="s">
        <v>17223</v>
      </c>
      <c r="M1789" s="20" t="s">
        <v>18473</v>
      </c>
    </row>
    <row r="1790" spans="1:14" x14ac:dyDescent="0.25">
      <c r="A1790" s="20">
        <v>91851</v>
      </c>
      <c r="B1790" s="20" t="s">
        <v>16802</v>
      </c>
      <c r="C1790" s="20">
        <v>91851</v>
      </c>
      <c r="D1790" s="20" t="e">
        <f>VLOOKUP(C1790,[1]CHILDCARE_FACILITIES!AJ:AK,2,0)</f>
        <v>#N/A</v>
      </c>
      <c r="E1790" s="20" t="s">
        <v>15134</v>
      </c>
      <c r="F1790" s="20" t="s">
        <v>15135</v>
      </c>
      <c r="G1790" s="20">
        <v>73438001</v>
      </c>
      <c r="H1790" s="20" t="s">
        <v>15145</v>
      </c>
      <c r="I1790" s="20" t="b">
        <v>1</v>
      </c>
      <c r="J1790" s="20" t="s">
        <v>18474</v>
      </c>
      <c r="K1790" s="20">
        <v>91851</v>
      </c>
      <c r="L1790" s="20" t="s">
        <v>17312</v>
      </c>
      <c r="M1790" s="20" t="s">
        <v>18475</v>
      </c>
    </row>
    <row r="1791" spans="1:14" x14ac:dyDescent="0.25">
      <c r="A1791" s="20">
        <v>91851</v>
      </c>
      <c r="B1791" s="20" t="s">
        <v>16802</v>
      </c>
      <c r="C1791" s="20">
        <v>91851</v>
      </c>
      <c r="D1791" s="20" t="e">
        <f>VLOOKUP(C1791,[1]CHILDCARE_FACILITIES!AJ:AK,2,0)</f>
        <v>#N/A</v>
      </c>
      <c r="E1791" s="20" t="s">
        <v>15134</v>
      </c>
      <c r="F1791" s="20" t="s">
        <v>15135</v>
      </c>
      <c r="G1791" s="20">
        <v>73438001</v>
      </c>
      <c r="H1791" s="20" t="s">
        <v>15138</v>
      </c>
      <c r="I1791" s="20" t="b">
        <v>1</v>
      </c>
      <c r="J1791" s="20" t="s">
        <v>18474</v>
      </c>
      <c r="K1791" s="20">
        <v>91851</v>
      </c>
      <c r="L1791" s="20" t="s">
        <v>17312</v>
      </c>
      <c r="M1791" s="20" t="s">
        <v>18475</v>
      </c>
    </row>
    <row r="1792" spans="1:14" x14ac:dyDescent="0.25">
      <c r="A1792" s="20">
        <v>80622</v>
      </c>
      <c r="B1792" s="20" t="s">
        <v>16149</v>
      </c>
      <c r="C1792" s="20">
        <v>80622</v>
      </c>
      <c r="D1792" s="20" t="str">
        <f>VLOOKUP(C1792,[1]CHILDCARE_FACILITIES!AJ:AK,2,0)</f>
        <v>CDC-8689</v>
      </c>
      <c r="E1792" s="20" t="s">
        <v>15134</v>
      </c>
      <c r="F1792" s="20" t="s">
        <v>15135</v>
      </c>
      <c r="G1792" s="20">
        <v>73445001</v>
      </c>
      <c r="H1792" s="20" t="s">
        <v>15138</v>
      </c>
      <c r="I1792" s="20" t="b">
        <v>1</v>
      </c>
      <c r="J1792" s="20" t="s">
        <v>18368</v>
      </c>
      <c r="K1792" s="20">
        <v>80622</v>
      </c>
      <c r="L1792" s="20" t="s">
        <v>17236</v>
      </c>
      <c r="M1792" s="20" t="s">
        <v>18369</v>
      </c>
    </row>
    <row r="1793" spans="1:13" x14ac:dyDescent="0.25">
      <c r="A1793" s="20">
        <v>80622</v>
      </c>
      <c r="B1793" s="20" t="s">
        <v>16149</v>
      </c>
      <c r="C1793" s="20">
        <v>80622</v>
      </c>
      <c r="D1793" s="20" t="str">
        <f>VLOOKUP(C1793,[1]CHILDCARE_FACILITIES!AJ:AK,2,0)</f>
        <v>CDC-8689</v>
      </c>
      <c r="E1793" s="20" t="s">
        <v>15134</v>
      </c>
      <c r="F1793" s="20" t="s">
        <v>15135</v>
      </c>
      <c r="G1793" s="20">
        <v>73445001</v>
      </c>
      <c r="H1793" s="20" t="s">
        <v>15145</v>
      </c>
      <c r="I1793" s="20" t="b">
        <v>1</v>
      </c>
      <c r="J1793" s="20" t="s">
        <v>18368</v>
      </c>
      <c r="K1793" s="20">
        <v>80622</v>
      </c>
      <c r="L1793" s="20" t="s">
        <v>17236</v>
      </c>
      <c r="M1793" s="20" t="s">
        <v>18369</v>
      </c>
    </row>
    <row r="1794" spans="1:13" x14ac:dyDescent="0.25">
      <c r="A1794" s="20">
        <v>9456</v>
      </c>
      <c r="B1794" s="20" t="s">
        <v>15532</v>
      </c>
      <c r="C1794" s="20">
        <v>9456</v>
      </c>
      <c r="D1794" s="20" t="e">
        <f>VLOOKUP(C1794,[1]CHILDCARE_FACILITIES!AJ:AK,2,0)</f>
        <v>#N/A</v>
      </c>
      <c r="E1794" s="20" t="s">
        <v>15134</v>
      </c>
      <c r="F1794" s="20" t="s">
        <v>15135</v>
      </c>
      <c r="G1794" s="20">
        <v>73271005</v>
      </c>
      <c r="K1794" s="20">
        <v>9456</v>
      </c>
    </row>
    <row r="1795" spans="1:13" x14ac:dyDescent="0.25">
      <c r="A1795" s="20">
        <v>9457</v>
      </c>
      <c r="B1795" s="20" t="s">
        <v>15533</v>
      </c>
      <c r="C1795" s="20">
        <v>9457</v>
      </c>
      <c r="D1795" s="20" t="e">
        <f>VLOOKUP(C1795,[1]CHILDCARE_FACILITIES!AJ:AK,2,0)</f>
        <v>#N/A</v>
      </c>
      <c r="E1795" s="20" t="s">
        <v>15134</v>
      </c>
      <c r="F1795" s="20" t="s">
        <v>15135</v>
      </c>
      <c r="G1795" s="20">
        <v>73271006</v>
      </c>
      <c r="K1795" s="20">
        <v>9457</v>
      </c>
    </row>
    <row r="1796" spans="1:13" x14ac:dyDescent="0.25">
      <c r="A1796" s="20">
        <v>9240</v>
      </c>
      <c r="B1796" s="20" t="s">
        <v>15428</v>
      </c>
      <c r="C1796" s="20">
        <v>9240</v>
      </c>
      <c r="D1796" s="20" t="e">
        <f>VLOOKUP(C1796,[1]CHILDCARE_FACILITIES!AJ:AK,2,0)</f>
        <v>#N/A</v>
      </c>
      <c r="E1796" s="20" t="s">
        <v>15134</v>
      </c>
      <c r="F1796" s="20" t="s">
        <v>15135</v>
      </c>
      <c r="G1796" s="20">
        <v>73170001</v>
      </c>
      <c r="K1796" s="20">
        <v>9240</v>
      </c>
    </row>
    <row r="1797" spans="1:13" x14ac:dyDescent="0.25">
      <c r="A1797" s="20">
        <v>8377</v>
      </c>
      <c r="B1797" s="20" t="s">
        <v>15141</v>
      </c>
      <c r="C1797" s="20">
        <v>8377</v>
      </c>
      <c r="D1797" s="20" t="e">
        <f>VLOOKUP(C1797,[1]CHILDCARE_FACILITIES!AJ:AK,2,0)</f>
        <v>#N/A</v>
      </c>
      <c r="E1797" s="20" t="s">
        <v>15134</v>
      </c>
      <c r="F1797" s="20" t="s">
        <v>15135</v>
      </c>
      <c r="G1797" s="20">
        <v>12207002</v>
      </c>
      <c r="K1797" s="20">
        <v>8377</v>
      </c>
    </row>
    <row r="1798" spans="1:13" x14ac:dyDescent="0.25">
      <c r="A1798" s="20">
        <v>9113</v>
      </c>
      <c r="B1798" s="20" t="s">
        <v>15366</v>
      </c>
      <c r="C1798" s="20">
        <v>9113</v>
      </c>
      <c r="D1798" s="20" t="e">
        <f>VLOOKUP(C1798,[1]CHILDCARE_FACILITIES!AJ:AK,2,0)</f>
        <v>#N/A</v>
      </c>
      <c r="E1798" s="20" t="s">
        <v>15134</v>
      </c>
      <c r="F1798" s="20" t="s">
        <v>15135</v>
      </c>
      <c r="G1798" s="20">
        <v>73082001</v>
      </c>
      <c r="K1798" s="20">
        <v>9113</v>
      </c>
    </row>
    <row r="1799" spans="1:13" x14ac:dyDescent="0.25">
      <c r="A1799" s="20">
        <v>9309</v>
      </c>
      <c r="B1799" s="20" t="s">
        <v>15463</v>
      </c>
      <c r="C1799" s="20">
        <v>9309</v>
      </c>
      <c r="D1799" s="20" t="e">
        <f>VLOOKUP(C1799,[1]CHILDCARE_FACILITIES!AJ:AK,2,0)</f>
        <v>#N/A</v>
      </c>
      <c r="E1799" s="20" t="s">
        <v>15134</v>
      </c>
      <c r="F1799" s="20" t="s">
        <v>15135</v>
      </c>
      <c r="G1799" s="20">
        <v>73202001</v>
      </c>
      <c r="K1799" s="20">
        <v>9309</v>
      </c>
    </row>
    <row r="1800" spans="1:13" x14ac:dyDescent="0.25">
      <c r="A1800" s="20">
        <v>9311</v>
      </c>
      <c r="B1800" s="20" t="s">
        <v>15465</v>
      </c>
      <c r="C1800" s="20">
        <v>9311</v>
      </c>
      <c r="D1800" s="20" t="e">
        <f>VLOOKUP(C1800,[1]CHILDCARE_FACILITIES!AJ:AK,2,0)</f>
        <v>#N/A</v>
      </c>
      <c r="E1800" s="20" t="s">
        <v>15134</v>
      </c>
      <c r="F1800" s="20" t="s">
        <v>15135</v>
      </c>
      <c r="G1800" s="20">
        <v>73202003</v>
      </c>
      <c r="K1800" s="20">
        <v>9311</v>
      </c>
    </row>
    <row r="1801" spans="1:13" x14ac:dyDescent="0.25">
      <c r="A1801" s="20">
        <v>9310</v>
      </c>
      <c r="B1801" s="20" t="s">
        <v>15464</v>
      </c>
      <c r="C1801" s="20">
        <v>9310</v>
      </c>
      <c r="D1801" s="20" t="e">
        <f>VLOOKUP(C1801,[1]CHILDCARE_FACILITIES!AJ:AK,2,0)</f>
        <v>#N/A</v>
      </c>
      <c r="E1801" s="20" t="s">
        <v>15134</v>
      </c>
      <c r="F1801" s="20" t="s">
        <v>15135</v>
      </c>
      <c r="G1801" s="20">
        <v>73202002</v>
      </c>
      <c r="K1801" s="20">
        <v>9310</v>
      </c>
    </row>
    <row r="1802" spans="1:13" x14ac:dyDescent="0.25">
      <c r="A1802" s="20">
        <v>8497</v>
      </c>
      <c r="B1802" s="20" t="s">
        <v>15153</v>
      </c>
      <c r="C1802" s="20">
        <v>8497</v>
      </c>
      <c r="D1802" s="20" t="e">
        <f>VLOOKUP(C1802,[1]CHILDCARE_FACILITIES!AJ:AK,2,0)</f>
        <v>#N/A</v>
      </c>
      <c r="E1802" s="20" t="s">
        <v>15134</v>
      </c>
      <c r="F1802" s="20" t="s">
        <v>15135</v>
      </c>
      <c r="G1802" s="20">
        <v>23003001</v>
      </c>
      <c r="K1802" s="20">
        <v>8497</v>
      </c>
    </row>
    <row r="1803" spans="1:13" x14ac:dyDescent="0.25">
      <c r="A1803" s="20">
        <v>9059</v>
      </c>
      <c r="B1803" s="20" t="s">
        <v>15342</v>
      </c>
      <c r="C1803" s="20">
        <v>9059</v>
      </c>
      <c r="D1803" s="20" t="e">
        <f>VLOOKUP(C1803,[1]CHILDCARE_FACILITIES!AJ:AK,2,0)</f>
        <v>#N/A</v>
      </c>
      <c r="E1803" s="20" t="s">
        <v>15134</v>
      </c>
      <c r="F1803" s="20" t="s">
        <v>15135</v>
      </c>
      <c r="G1803" s="20">
        <v>73049001</v>
      </c>
      <c r="K1803" s="20">
        <v>9059</v>
      </c>
    </row>
    <row r="1804" spans="1:13" x14ac:dyDescent="0.25">
      <c r="A1804" s="20">
        <v>9452</v>
      </c>
      <c r="B1804" s="20" t="s">
        <v>15342</v>
      </c>
      <c r="C1804" s="20">
        <v>9452</v>
      </c>
      <c r="D1804" s="20" t="e">
        <f>VLOOKUP(C1804,[1]CHILDCARE_FACILITIES!AJ:AK,2,0)</f>
        <v>#N/A</v>
      </c>
      <c r="E1804" s="20" t="s">
        <v>15134</v>
      </c>
      <c r="F1804" s="20" t="s">
        <v>15135</v>
      </c>
      <c r="G1804" s="20">
        <v>73271001</v>
      </c>
      <c r="K1804" s="20">
        <v>9452</v>
      </c>
    </row>
    <row r="1805" spans="1:13" x14ac:dyDescent="0.25">
      <c r="A1805" s="20">
        <v>8776</v>
      </c>
      <c r="B1805" s="20" t="s">
        <v>15267</v>
      </c>
      <c r="C1805" s="20">
        <v>8776</v>
      </c>
      <c r="D1805" s="20" t="e">
        <f>VLOOKUP(C1805,[1]CHILDCARE_FACILITIES!AJ:AK,2,0)</f>
        <v>#N/A</v>
      </c>
      <c r="E1805" s="20" t="s">
        <v>15134</v>
      </c>
      <c r="F1805" s="20" t="s">
        <v>15135</v>
      </c>
      <c r="G1805" s="20">
        <v>72407001</v>
      </c>
      <c r="K1805" s="20">
        <v>8776</v>
      </c>
    </row>
    <row r="1806" spans="1:13" x14ac:dyDescent="0.25">
      <c r="A1806" s="20">
        <v>8676</v>
      </c>
      <c r="B1806" s="20" t="s">
        <v>15188</v>
      </c>
      <c r="C1806" s="20">
        <v>8676</v>
      </c>
      <c r="D1806" s="20" t="e">
        <f>VLOOKUP(C1806,[1]CHILDCARE_FACILITIES!AJ:AK,2,0)</f>
        <v>#N/A</v>
      </c>
      <c r="E1806" s="20" t="s">
        <v>15134</v>
      </c>
      <c r="F1806" s="20" t="s">
        <v>15135</v>
      </c>
      <c r="G1806" s="20">
        <v>72212001</v>
      </c>
      <c r="K1806" s="20">
        <v>8676</v>
      </c>
    </row>
    <row r="1807" spans="1:13" x14ac:dyDescent="0.25">
      <c r="A1807" s="20">
        <v>80599</v>
      </c>
      <c r="B1807" s="20" t="s">
        <v>16136</v>
      </c>
      <c r="C1807" s="20">
        <v>80599</v>
      </c>
      <c r="D1807" s="20" t="str">
        <f>VLOOKUP(C1807,[1]CHILDCARE_FACILITIES!AJ:AK,2,0)</f>
        <v>CDC-17604</v>
      </c>
      <c r="E1807" s="20" t="s">
        <v>15134</v>
      </c>
      <c r="F1807" s="20" t="s">
        <v>15135</v>
      </c>
      <c r="G1807" s="20">
        <v>73464011</v>
      </c>
      <c r="H1807" s="20" t="s">
        <v>15138</v>
      </c>
      <c r="I1807" s="20" t="b">
        <v>1</v>
      </c>
      <c r="J1807" s="20" t="s">
        <v>18476</v>
      </c>
      <c r="K1807" s="20">
        <v>80599</v>
      </c>
      <c r="L1807" s="20" t="s">
        <v>17213</v>
      </c>
      <c r="M1807" s="20" t="s">
        <v>18477</v>
      </c>
    </row>
    <row r="1808" spans="1:13" x14ac:dyDescent="0.25">
      <c r="A1808" s="20">
        <v>80599</v>
      </c>
      <c r="B1808" s="20" t="s">
        <v>16136</v>
      </c>
      <c r="C1808" s="20">
        <v>80599</v>
      </c>
      <c r="D1808" s="20" t="str">
        <f>VLOOKUP(C1808,[1]CHILDCARE_FACILITIES!AJ:AK,2,0)</f>
        <v>CDC-17604</v>
      </c>
      <c r="E1808" s="20" t="s">
        <v>15134</v>
      </c>
      <c r="F1808" s="20" t="s">
        <v>15135</v>
      </c>
      <c r="G1808" s="20">
        <v>73464011</v>
      </c>
      <c r="H1808" s="20" t="s">
        <v>15145</v>
      </c>
      <c r="I1808" s="20" t="b">
        <v>1</v>
      </c>
      <c r="J1808" s="20" t="s">
        <v>18476</v>
      </c>
      <c r="K1808" s="20">
        <v>80599</v>
      </c>
      <c r="L1808" s="20" t="s">
        <v>17213</v>
      </c>
      <c r="M1808" s="20" t="s">
        <v>18477</v>
      </c>
    </row>
    <row r="1809" spans="1:13" x14ac:dyDescent="0.25">
      <c r="A1809" s="20">
        <v>9453</v>
      </c>
      <c r="B1809" s="20" t="s">
        <v>15529</v>
      </c>
      <c r="C1809" s="20">
        <v>9453</v>
      </c>
      <c r="D1809" s="20" t="e">
        <f>VLOOKUP(C1809,[1]CHILDCARE_FACILITIES!AJ:AK,2,0)</f>
        <v>#N/A</v>
      </c>
      <c r="E1809" s="20" t="s">
        <v>15134</v>
      </c>
      <c r="F1809" s="20" t="s">
        <v>15135</v>
      </c>
      <c r="G1809" s="20">
        <v>73271002</v>
      </c>
      <c r="K1809" s="20">
        <v>9453</v>
      </c>
    </row>
    <row r="1810" spans="1:13" x14ac:dyDescent="0.25">
      <c r="A1810" s="20">
        <v>9454</v>
      </c>
      <c r="B1810" s="20" t="s">
        <v>15530</v>
      </c>
      <c r="C1810" s="20">
        <v>9454</v>
      </c>
      <c r="D1810" s="20" t="e">
        <f>VLOOKUP(C1810,[1]CHILDCARE_FACILITIES!AJ:AK,2,0)</f>
        <v>#N/A</v>
      </c>
      <c r="E1810" s="20" t="s">
        <v>15134</v>
      </c>
      <c r="F1810" s="20" t="s">
        <v>15135</v>
      </c>
      <c r="G1810" s="20">
        <v>73271003</v>
      </c>
      <c r="K1810" s="20">
        <v>9454</v>
      </c>
    </row>
    <row r="1811" spans="1:13" x14ac:dyDescent="0.25">
      <c r="A1811" s="20">
        <v>90432</v>
      </c>
      <c r="B1811" s="20" t="s">
        <v>16607</v>
      </c>
      <c r="C1811" s="20">
        <v>90432</v>
      </c>
      <c r="D1811" s="20" t="str">
        <f>VLOOKUP(C1811,[1]CHILDCARE_FACILITIES!AJ:AK,2,0)</f>
        <v>CDC-17595</v>
      </c>
      <c r="E1811" s="20" t="s">
        <v>15134</v>
      </c>
      <c r="F1811" s="20" t="s">
        <v>15135</v>
      </c>
      <c r="G1811" s="20">
        <v>73464016</v>
      </c>
      <c r="H1811" s="20" t="s">
        <v>15145</v>
      </c>
      <c r="I1811" s="20" t="b">
        <v>1</v>
      </c>
      <c r="J1811" s="20" t="s">
        <v>18478</v>
      </c>
      <c r="K1811" s="20">
        <v>90432</v>
      </c>
      <c r="L1811" s="20" t="s">
        <v>17223</v>
      </c>
      <c r="M1811" s="20" t="s">
        <v>18479</v>
      </c>
    </row>
    <row r="1812" spans="1:13" x14ac:dyDescent="0.25">
      <c r="A1812" s="20">
        <v>9455</v>
      </c>
      <c r="B1812" s="20" t="s">
        <v>15531</v>
      </c>
      <c r="C1812" s="20">
        <v>9455</v>
      </c>
      <c r="D1812" s="20" t="e">
        <f>VLOOKUP(C1812,[1]CHILDCARE_FACILITIES!AJ:AK,2,0)</f>
        <v>#N/A</v>
      </c>
      <c r="E1812" s="20" t="s">
        <v>15134</v>
      </c>
      <c r="F1812" s="20" t="s">
        <v>15135</v>
      </c>
      <c r="G1812" s="20">
        <v>73271004</v>
      </c>
      <c r="K1812" s="20">
        <v>9455</v>
      </c>
    </row>
    <row r="1813" spans="1:13" x14ac:dyDescent="0.25">
      <c r="A1813" s="20">
        <v>84315</v>
      </c>
      <c r="B1813" s="20" t="s">
        <v>16284</v>
      </c>
      <c r="C1813" s="20">
        <v>84315</v>
      </c>
      <c r="D1813" s="20" t="str">
        <f>VLOOKUP(C1813,[1]CHILDCARE_FACILITIES!AJ:AK,2,0)</f>
        <v>CDC-17599</v>
      </c>
      <c r="E1813" s="20" t="s">
        <v>15134</v>
      </c>
      <c r="F1813" s="20" t="s">
        <v>15135</v>
      </c>
      <c r="G1813" s="20">
        <v>73464012</v>
      </c>
      <c r="H1813" s="20" t="s">
        <v>15145</v>
      </c>
      <c r="I1813" s="20" t="b">
        <v>1</v>
      </c>
      <c r="J1813" s="20" t="s">
        <v>18480</v>
      </c>
      <c r="K1813" s="20">
        <v>84315</v>
      </c>
      <c r="L1813" s="20" t="s">
        <v>17312</v>
      </c>
      <c r="M1813" s="20" t="s">
        <v>18481</v>
      </c>
    </row>
    <row r="1814" spans="1:13" x14ac:dyDescent="0.25">
      <c r="A1814" s="20">
        <v>80598</v>
      </c>
      <c r="B1814" s="20" t="s">
        <v>16134</v>
      </c>
      <c r="C1814" s="20">
        <v>80598</v>
      </c>
      <c r="D1814" s="20" t="str">
        <f>VLOOKUP(C1814,[1]CHILDCARE_FACILITIES!AJ:AK,2,0)</f>
        <v>CDC-17612</v>
      </c>
      <c r="E1814" s="20" t="s">
        <v>15134</v>
      </c>
      <c r="F1814" s="20" t="s">
        <v>15135</v>
      </c>
      <c r="G1814" s="20">
        <v>73464010</v>
      </c>
      <c r="H1814" s="20" t="s">
        <v>15138</v>
      </c>
      <c r="I1814" s="20" t="b">
        <v>1</v>
      </c>
      <c r="J1814" s="20" t="s">
        <v>18476</v>
      </c>
      <c r="K1814" s="20">
        <v>80598</v>
      </c>
      <c r="L1814" s="20" t="s">
        <v>17213</v>
      </c>
      <c r="M1814" s="20" t="s">
        <v>18477</v>
      </c>
    </row>
    <row r="1815" spans="1:13" x14ac:dyDescent="0.25">
      <c r="A1815" s="20">
        <v>80598</v>
      </c>
      <c r="B1815" s="20" t="s">
        <v>16134</v>
      </c>
      <c r="C1815" s="20">
        <v>80598</v>
      </c>
      <c r="D1815" s="20" t="str">
        <f>VLOOKUP(C1815,[1]CHILDCARE_FACILITIES!AJ:AK,2,0)</f>
        <v>CDC-17612</v>
      </c>
      <c r="E1815" s="20" t="s">
        <v>15134</v>
      </c>
      <c r="F1815" s="20" t="s">
        <v>15135</v>
      </c>
      <c r="G1815" s="20">
        <v>73464010</v>
      </c>
      <c r="H1815" s="20" t="s">
        <v>15145</v>
      </c>
      <c r="I1815" s="20" t="b">
        <v>1</v>
      </c>
      <c r="J1815" s="20" t="s">
        <v>18482</v>
      </c>
      <c r="K1815" s="20">
        <v>80598</v>
      </c>
      <c r="L1815" s="20" t="s">
        <v>17244</v>
      </c>
      <c r="M1815" s="20" t="s">
        <v>18483</v>
      </c>
    </row>
    <row r="1816" spans="1:13" x14ac:dyDescent="0.25">
      <c r="A1816" s="20">
        <v>90922</v>
      </c>
      <c r="B1816" s="20" t="s">
        <v>16724</v>
      </c>
      <c r="C1816" s="20">
        <v>90922</v>
      </c>
      <c r="D1816" s="20" t="str">
        <f>VLOOKUP(C1816,[1]CHILDCARE_FACILITIES!AJ:AK,2,0)</f>
        <v>CDC-17610</v>
      </c>
      <c r="E1816" s="20" t="s">
        <v>15134</v>
      </c>
      <c r="F1816" s="20" t="s">
        <v>15135</v>
      </c>
      <c r="G1816" s="20">
        <v>73464017</v>
      </c>
      <c r="H1816" s="20" t="s">
        <v>15145</v>
      </c>
      <c r="I1816" s="20" t="b">
        <v>1</v>
      </c>
      <c r="J1816" s="20" t="s">
        <v>18484</v>
      </c>
      <c r="K1816" s="20">
        <v>90922</v>
      </c>
      <c r="L1816" s="20" t="s">
        <v>17367</v>
      </c>
      <c r="M1816" s="20" t="s">
        <v>18485</v>
      </c>
    </row>
    <row r="1817" spans="1:13" x14ac:dyDescent="0.25">
      <c r="A1817" s="20">
        <v>79762</v>
      </c>
      <c r="B1817" s="20" t="s">
        <v>15993</v>
      </c>
      <c r="C1817" s="20">
        <v>79762</v>
      </c>
      <c r="D1817" s="20" t="str">
        <f>VLOOKUP(C1817,[1]CHILDCARE_FACILITIES!AJ:AK,2,0)</f>
        <v>CDC-17617</v>
      </c>
      <c r="E1817" s="20" t="s">
        <v>15134</v>
      </c>
      <c r="F1817" s="20" t="s">
        <v>15135</v>
      </c>
      <c r="G1817" s="20">
        <v>73464001</v>
      </c>
      <c r="H1817" s="20" t="s">
        <v>15145</v>
      </c>
      <c r="I1817" s="20" t="b">
        <v>1</v>
      </c>
      <c r="J1817" s="20" t="s">
        <v>18486</v>
      </c>
      <c r="K1817" s="20">
        <v>79762</v>
      </c>
      <c r="L1817" s="20" t="s">
        <v>17312</v>
      </c>
      <c r="M1817" s="20" t="s">
        <v>18487</v>
      </c>
    </row>
    <row r="1818" spans="1:13" x14ac:dyDescent="0.25">
      <c r="A1818" s="20">
        <v>79762</v>
      </c>
      <c r="B1818" s="20" t="s">
        <v>15993</v>
      </c>
      <c r="C1818" s="20">
        <v>79762</v>
      </c>
      <c r="D1818" s="20" t="str">
        <f>VLOOKUP(C1818,[1]CHILDCARE_FACILITIES!AJ:AK,2,0)</f>
        <v>CDC-17617</v>
      </c>
      <c r="E1818" s="20" t="s">
        <v>15134</v>
      </c>
      <c r="F1818" s="20" t="s">
        <v>15135</v>
      </c>
      <c r="G1818" s="20">
        <v>73464001</v>
      </c>
      <c r="H1818" s="20" t="s">
        <v>15138</v>
      </c>
      <c r="I1818" s="20" t="b">
        <v>1</v>
      </c>
      <c r="J1818" s="20" t="s">
        <v>18486</v>
      </c>
      <c r="K1818" s="20">
        <v>79762</v>
      </c>
      <c r="L1818" s="20" t="s">
        <v>17312</v>
      </c>
      <c r="M1818" s="20" t="s">
        <v>18487</v>
      </c>
    </row>
    <row r="1819" spans="1:13" x14ac:dyDescent="0.25">
      <c r="A1819" s="20">
        <v>79763</v>
      </c>
      <c r="B1819" s="20" t="s">
        <v>15995</v>
      </c>
      <c r="C1819" s="20">
        <v>79763</v>
      </c>
      <c r="D1819" s="20" t="str">
        <f>VLOOKUP(C1819,[1]CHILDCARE_FACILITIES!AJ:AK,2,0)</f>
        <v>CDC-17613</v>
      </c>
      <c r="E1819" s="20" t="s">
        <v>15134</v>
      </c>
      <c r="F1819" s="20" t="s">
        <v>15135</v>
      </c>
      <c r="G1819" s="20">
        <v>73464002</v>
      </c>
      <c r="H1819" s="20" t="s">
        <v>15145</v>
      </c>
      <c r="I1819" s="20" t="b">
        <v>0</v>
      </c>
      <c r="J1819" s="20" t="s">
        <v>18488</v>
      </c>
      <c r="K1819" s="20">
        <v>79763</v>
      </c>
      <c r="L1819" s="20" t="s">
        <v>18489</v>
      </c>
      <c r="M1819" s="20" t="s">
        <v>18490</v>
      </c>
    </row>
    <row r="1820" spans="1:13" x14ac:dyDescent="0.25">
      <c r="A1820" s="20">
        <v>80597</v>
      </c>
      <c r="B1820" s="20" t="s">
        <v>16131</v>
      </c>
      <c r="C1820" s="20">
        <v>80597</v>
      </c>
      <c r="D1820" s="20" t="str">
        <f>VLOOKUP(C1820,[1]CHILDCARE_FACILITIES!AJ:AK,2,0)</f>
        <v>CDC-17596</v>
      </c>
      <c r="E1820" s="20" t="s">
        <v>15134</v>
      </c>
      <c r="F1820" s="20" t="s">
        <v>15135</v>
      </c>
      <c r="G1820" s="20">
        <v>73464003</v>
      </c>
      <c r="H1820" s="20" t="s">
        <v>15138</v>
      </c>
      <c r="I1820" s="20" t="b">
        <v>1</v>
      </c>
      <c r="J1820" s="20" t="s">
        <v>18476</v>
      </c>
      <c r="K1820" s="20">
        <v>80597</v>
      </c>
      <c r="L1820" s="20" t="s">
        <v>17213</v>
      </c>
      <c r="M1820" s="20" t="s">
        <v>18477</v>
      </c>
    </row>
    <row r="1821" spans="1:13" x14ac:dyDescent="0.25">
      <c r="A1821" s="20">
        <v>80597</v>
      </c>
      <c r="B1821" s="20" t="s">
        <v>16131</v>
      </c>
      <c r="C1821" s="20">
        <v>80597</v>
      </c>
      <c r="D1821" s="20" t="str">
        <f>VLOOKUP(C1821,[1]CHILDCARE_FACILITIES!AJ:AK,2,0)</f>
        <v>CDC-17596</v>
      </c>
      <c r="E1821" s="20" t="s">
        <v>15134</v>
      </c>
      <c r="F1821" s="20" t="s">
        <v>15135</v>
      </c>
      <c r="G1821" s="20">
        <v>73464003</v>
      </c>
      <c r="H1821" s="20" t="s">
        <v>15145</v>
      </c>
      <c r="I1821" s="20" t="b">
        <v>1</v>
      </c>
      <c r="J1821" s="20" t="s">
        <v>18491</v>
      </c>
      <c r="K1821" s="20">
        <v>80597</v>
      </c>
      <c r="L1821" s="20" t="s">
        <v>17216</v>
      </c>
      <c r="M1821" s="20" t="s">
        <v>18492</v>
      </c>
    </row>
    <row r="1822" spans="1:13" x14ac:dyDescent="0.25">
      <c r="A1822" s="20">
        <v>84670</v>
      </c>
      <c r="B1822" s="20" t="s">
        <v>16301</v>
      </c>
      <c r="C1822" s="20">
        <v>84670</v>
      </c>
      <c r="D1822" s="20" t="str">
        <f>VLOOKUP(C1822,[1]CHILDCARE_FACILITIES!AJ:AK,2,0)</f>
        <v>CDC-17601</v>
      </c>
      <c r="E1822" s="20" t="s">
        <v>15134</v>
      </c>
      <c r="F1822" s="20" t="s">
        <v>15135</v>
      </c>
      <c r="G1822" s="20">
        <v>73464014</v>
      </c>
      <c r="H1822" s="20" t="s">
        <v>15145</v>
      </c>
      <c r="I1822" s="20" t="b">
        <v>1</v>
      </c>
      <c r="J1822" s="20" t="s">
        <v>18493</v>
      </c>
      <c r="K1822" s="20">
        <v>84670</v>
      </c>
      <c r="L1822" s="20" t="s">
        <v>17213</v>
      </c>
      <c r="M1822" s="20" t="s">
        <v>18494</v>
      </c>
    </row>
    <row r="1823" spans="1:13" x14ac:dyDescent="0.25">
      <c r="A1823" s="20">
        <v>84670</v>
      </c>
      <c r="B1823" s="20" t="s">
        <v>16301</v>
      </c>
      <c r="C1823" s="20">
        <v>84670</v>
      </c>
      <c r="D1823" s="20" t="str">
        <f>VLOOKUP(C1823,[1]CHILDCARE_FACILITIES!AJ:AK,2,0)</f>
        <v>CDC-17601</v>
      </c>
      <c r="E1823" s="20" t="s">
        <v>15134</v>
      </c>
      <c r="F1823" s="20" t="s">
        <v>15135</v>
      </c>
      <c r="G1823" s="20">
        <v>73464014</v>
      </c>
      <c r="H1823" s="20" t="s">
        <v>15138</v>
      </c>
      <c r="I1823" s="20" t="b">
        <v>1</v>
      </c>
      <c r="J1823" s="20" t="s">
        <v>18476</v>
      </c>
      <c r="K1823" s="20">
        <v>84670</v>
      </c>
      <c r="L1823" s="20" t="s">
        <v>17213</v>
      </c>
      <c r="M1823" s="20" t="s">
        <v>18477</v>
      </c>
    </row>
    <row r="1824" spans="1:13" x14ac:dyDescent="0.25">
      <c r="A1824" s="20">
        <v>79769</v>
      </c>
      <c r="B1824" s="20" t="s">
        <v>16001</v>
      </c>
      <c r="C1824" s="20">
        <v>79769</v>
      </c>
      <c r="D1824" s="20" t="str">
        <f>VLOOKUP(C1824,[1]CHILDCARE_FACILITIES!AJ:AK,2,0)</f>
        <v>CDC-17618</v>
      </c>
      <c r="E1824" s="20" t="s">
        <v>15134</v>
      </c>
      <c r="F1824" s="20" t="s">
        <v>15135</v>
      </c>
      <c r="G1824" s="20">
        <v>73464008</v>
      </c>
      <c r="H1824" s="20" t="s">
        <v>15145</v>
      </c>
      <c r="I1824" s="20" t="b">
        <v>0</v>
      </c>
      <c r="J1824" s="20" t="s">
        <v>18495</v>
      </c>
      <c r="K1824" s="20">
        <v>79769</v>
      </c>
      <c r="L1824" s="20" t="s">
        <v>17228</v>
      </c>
      <c r="M1824" s="20" t="s">
        <v>17616</v>
      </c>
    </row>
    <row r="1825" spans="1:13" x14ac:dyDescent="0.25">
      <c r="A1825" s="20">
        <v>84669</v>
      </c>
      <c r="B1825" s="20" t="s">
        <v>16299</v>
      </c>
      <c r="C1825" s="20">
        <v>84669</v>
      </c>
      <c r="D1825" s="20" t="str">
        <f>VLOOKUP(C1825,[1]CHILDCARE_FACILITIES!AJ:AK,2,0)</f>
        <v>CDC-17603</v>
      </c>
      <c r="E1825" s="20" t="s">
        <v>15134</v>
      </c>
      <c r="F1825" s="20" t="s">
        <v>15135</v>
      </c>
      <c r="G1825" s="20">
        <v>73464013</v>
      </c>
      <c r="H1825" s="20" t="s">
        <v>15145</v>
      </c>
      <c r="I1825" s="20" t="b">
        <v>1</v>
      </c>
      <c r="J1825" s="20" t="s">
        <v>18496</v>
      </c>
      <c r="K1825" s="20">
        <v>84669</v>
      </c>
      <c r="L1825" s="20" t="s">
        <v>17239</v>
      </c>
      <c r="M1825" s="20" t="s">
        <v>18497</v>
      </c>
    </row>
    <row r="1826" spans="1:13" x14ac:dyDescent="0.25">
      <c r="A1826" s="20">
        <v>84669</v>
      </c>
      <c r="B1826" s="20" t="s">
        <v>16299</v>
      </c>
      <c r="C1826" s="20">
        <v>84669</v>
      </c>
      <c r="D1826" s="20" t="str">
        <f>VLOOKUP(C1826,[1]CHILDCARE_FACILITIES!AJ:AK,2,0)</f>
        <v>CDC-17603</v>
      </c>
      <c r="E1826" s="20" t="s">
        <v>15134</v>
      </c>
      <c r="F1826" s="20" t="s">
        <v>15135</v>
      </c>
      <c r="G1826" s="20">
        <v>73464013</v>
      </c>
      <c r="H1826" s="20" t="s">
        <v>15138</v>
      </c>
      <c r="I1826" s="20" t="b">
        <v>1</v>
      </c>
      <c r="J1826" s="20" t="s">
        <v>18476</v>
      </c>
      <c r="K1826" s="20">
        <v>84669</v>
      </c>
      <c r="L1826" s="20" t="s">
        <v>17213</v>
      </c>
      <c r="M1826" s="20" t="s">
        <v>18477</v>
      </c>
    </row>
    <row r="1827" spans="1:13" x14ac:dyDescent="0.25">
      <c r="A1827" s="20">
        <v>79768</v>
      </c>
      <c r="B1827" s="20" t="s">
        <v>15999</v>
      </c>
      <c r="C1827" s="20">
        <v>79768</v>
      </c>
      <c r="D1827" s="20" t="str">
        <f>VLOOKUP(C1827,[1]CHILDCARE_FACILITIES!AJ:AK,2,0)</f>
        <v>CDC-17597</v>
      </c>
      <c r="E1827" s="20" t="s">
        <v>15134</v>
      </c>
      <c r="F1827" s="20" t="s">
        <v>15135</v>
      </c>
      <c r="G1827" s="20">
        <v>73464007</v>
      </c>
      <c r="H1827" s="20" t="s">
        <v>15145</v>
      </c>
      <c r="I1827" s="20" t="b">
        <v>0</v>
      </c>
      <c r="J1827" s="20" t="s">
        <v>18498</v>
      </c>
      <c r="K1827" s="20">
        <v>79768</v>
      </c>
      <c r="L1827" s="20" t="s">
        <v>17923</v>
      </c>
      <c r="M1827" s="20" t="s">
        <v>18499</v>
      </c>
    </row>
    <row r="1828" spans="1:13" x14ac:dyDescent="0.25">
      <c r="A1828" s="20">
        <v>79765</v>
      </c>
      <c r="B1828" s="20" t="s">
        <v>15997</v>
      </c>
      <c r="C1828" s="20">
        <v>79765</v>
      </c>
      <c r="D1828" s="20" t="str">
        <f>VLOOKUP(C1828,[1]CHILDCARE_FACILITIES!AJ:AK,2,0)</f>
        <v>CDC-17614</v>
      </c>
      <c r="E1828" s="20" t="s">
        <v>15134</v>
      </c>
      <c r="F1828" s="20" t="s">
        <v>15135</v>
      </c>
      <c r="G1828" s="20">
        <v>73464005</v>
      </c>
      <c r="H1828" s="20" t="s">
        <v>15145</v>
      </c>
      <c r="I1828" s="20" t="b">
        <v>1</v>
      </c>
      <c r="J1828" s="20" t="s">
        <v>18500</v>
      </c>
      <c r="K1828" s="20">
        <v>79765</v>
      </c>
      <c r="L1828" s="20" t="s">
        <v>17213</v>
      </c>
      <c r="M1828" s="20" t="s">
        <v>18501</v>
      </c>
    </row>
    <row r="1829" spans="1:13" x14ac:dyDescent="0.25">
      <c r="A1829" s="20">
        <v>86283</v>
      </c>
      <c r="B1829" s="20" t="s">
        <v>16316</v>
      </c>
      <c r="C1829" s="20">
        <v>86283</v>
      </c>
      <c r="D1829" s="20" t="str">
        <f>VLOOKUP(C1829,[1]CHILDCARE_FACILITIES!AJ:AK,2,0)</f>
        <v>CDC-17917</v>
      </c>
      <c r="E1829" s="20" t="s">
        <v>15134</v>
      </c>
      <c r="F1829" s="20" t="s">
        <v>15135</v>
      </c>
      <c r="G1829" s="20">
        <v>73464015</v>
      </c>
      <c r="H1829" s="20" t="s">
        <v>15136</v>
      </c>
      <c r="I1829" s="20" t="b">
        <v>1</v>
      </c>
      <c r="J1829" s="20" t="s">
        <v>18502</v>
      </c>
      <c r="K1829" s="20">
        <v>86283</v>
      </c>
      <c r="L1829" s="20" t="s">
        <v>18176</v>
      </c>
      <c r="M1829" s="20" t="s">
        <v>18503</v>
      </c>
    </row>
    <row r="1830" spans="1:13" x14ac:dyDescent="0.25">
      <c r="A1830" s="20">
        <v>86283</v>
      </c>
      <c r="B1830" s="20" t="s">
        <v>16316</v>
      </c>
      <c r="C1830" s="20">
        <v>86283</v>
      </c>
      <c r="D1830" s="20" t="str">
        <f>VLOOKUP(C1830,[1]CHILDCARE_FACILITIES!AJ:AK,2,0)</f>
        <v>CDC-17917</v>
      </c>
      <c r="E1830" s="20" t="s">
        <v>15134</v>
      </c>
      <c r="F1830" s="20" t="s">
        <v>15135</v>
      </c>
      <c r="G1830" s="20">
        <v>73464015</v>
      </c>
      <c r="H1830" s="20" t="s">
        <v>15145</v>
      </c>
      <c r="I1830" s="20" t="b">
        <v>1</v>
      </c>
      <c r="J1830" s="20" t="s">
        <v>18504</v>
      </c>
      <c r="K1830" s="20">
        <v>86283</v>
      </c>
      <c r="L1830" s="20" t="s">
        <v>18176</v>
      </c>
      <c r="M1830" s="20" t="s">
        <v>18505</v>
      </c>
    </row>
    <row r="1831" spans="1:13" x14ac:dyDescent="0.25">
      <c r="A1831" s="20">
        <v>1000357</v>
      </c>
      <c r="B1831" s="20" t="s">
        <v>17149</v>
      </c>
      <c r="C1831" s="20">
        <v>1000357</v>
      </c>
      <c r="D1831" s="20" t="str">
        <f>VLOOKUP(C1831,[1]CHILDCARE_FACILITIES!AJ:AK,2,0)</f>
        <v>CDC-18606</v>
      </c>
      <c r="E1831" s="20" t="s">
        <v>15134</v>
      </c>
      <c r="F1831" s="20" t="s">
        <v>15135</v>
      </c>
      <c r="G1831" s="20">
        <v>73464025</v>
      </c>
      <c r="H1831" s="20" t="s">
        <v>15136</v>
      </c>
      <c r="I1831" s="20" t="b">
        <v>1</v>
      </c>
      <c r="J1831" s="20" t="s">
        <v>18506</v>
      </c>
      <c r="K1831" s="20">
        <v>1000357</v>
      </c>
      <c r="L1831" s="20" t="s">
        <v>17308</v>
      </c>
      <c r="M1831" s="20" t="s">
        <v>18507</v>
      </c>
    </row>
    <row r="1832" spans="1:13" x14ac:dyDescent="0.25">
      <c r="A1832" s="20">
        <v>1000357</v>
      </c>
      <c r="B1832" s="20" t="s">
        <v>17149</v>
      </c>
      <c r="C1832" s="20">
        <v>1000357</v>
      </c>
      <c r="D1832" s="20" t="str">
        <f>VLOOKUP(C1832,[1]CHILDCARE_FACILITIES!AJ:AK,2,0)</f>
        <v>CDC-18606</v>
      </c>
      <c r="E1832" s="20" t="s">
        <v>15134</v>
      </c>
      <c r="F1832" s="20" t="s">
        <v>15135</v>
      </c>
      <c r="G1832" s="20">
        <v>73464025</v>
      </c>
      <c r="H1832" s="20" t="s">
        <v>15138</v>
      </c>
      <c r="I1832" s="20" t="b">
        <v>1</v>
      </c>
      <c r="J1832" s="20" t="s">
        <v>18506</v>
      </c>
      <c r="K1832" s="20">
        <v>1000357</v>
      </c>
      <c r="L1832" s="20" t="s">
        <v>17308</v>
      </c>
      <c r="M1832" s="20" t="s">
        <v>18507</v>
      </c>
    </row>
    <row r="1833" spans="1:13" x14ac:dyDescent="0.25">
      <c r="A1833" s="20">
        <v>8507</v>
      </c>
      <c r="B1833" s="20" t="s">
        <v>15157</v>
      </c>
      <c r="C1833" s="20">
        <v>8507</v>
      </c>
      <c r="D1833" s="20" t="e">
        <f>VLOOKUP(C1833,[1]CHILDCARE_FACILITIES!AJ:AK,2,0)</f>
        <v>#N/A</v>
      </c>
      <c r="E1833" s="20" t="s">
        <v>15134</v>
      </c>
      <c r="F1833" s="20" t="s">
        <v>15135</v>
      </c>
      <c r="G1833" s="20">
        <v>23009001</v>
      </c>
      <c r="K1833" s="20">
        <v>8507</v>
      </c>
    </row>
    <row r="1834" spans="1:13" x14ac:dyDescent="0.25">
      <c r="A1834" s="20">
        <v>92331</v>
      </c>
      <c r="B1834" s="20" t="s">
        <v>16857</v>
      </c>
      <c r="C1834" s="20">
        <v>92331</v>
      </c>
      <c r="D1834" s="20" t="str">
        <f>VLOOKUP(C1834,[1]CHILDCARE_FACILITIES!AJ:AK,2,0)</f>
        <v>CDC-17607</v>
      </c>
      <c r="E1834" s="20" t="s">
        <v>15134</v>
      </c>
      <c r="F1834" s="20" t="s">
        <v>15135</v>
      </c>
      <c r="G1834" s="20">
        <v>73464019</v>
      </c>
      <c r="K1834" s="20">
        <v>92331</v>
      </c>
    </row>
    <row r="1835" spans="1:13" x14ac:dyDescent="0.25">
      <c r="A1835" s="20">
        <v>516037</v>
      </c>
      <c r="B1835" s="20" t="s">
        <v>17002</v>
      </c>
      <c r="C1835" s="20">
        <v>516037</v>
      </c>
      <c r="D1835" s="20" t="str">
        <f>VLOOKUP(C1835,[1]CHILDCARE_FACILITIES!AJ:AK,2,0)</f>
        <v>CDC-17729</v>
      </c>
      <c r="E1835" s="20" t="s">
        <v>15134</v>
      </c>
      <c r="F1835" s="20" t="s">
        <v>15135</v>
      </c>
      <c r="G1835" s="20">
        <v>73464021</v>
      </c>
      <c r="H1835" s="20" t="s">
        <v>15136</v>
      </c>
      <c r="I1835" s="20" t="b">
        <v>1</v>
      </c>
      <c r="J1835" s="20" t="s">
        <v>18508</v>
      </c>
      <c r="K1835" s="20">
        <v>516037</v>
      </c>
      <c r="L1835" s="20" t="s">
        <v>17216</v>
      </c>
      <c r="M1835" s="20" t="s">
        <v>18509</v>
      </c>
    </row>
    <row r="1836" spans="1:13" x14ac:dyDescent="0.25">
      <c r="A1836" s="20">
        <v>9307</v>
      </c>
      <c r="B1836" s="20" t="s">
        <v>15462</v>
      </c>
      <c r="C1836" s="20">
        <v>9307</v>
      </c>
      <c r="D1836" s="20" t="e">
        <f>VLOOKUP(C1836,[1]CHILDCARE_FACILITIES!AJ:AK,2,0)</f>
        <v>#N/A</v>
      </c>
      <c r="E1836" s="20" t="s">
        <v>15134</v>
      </c>
      <c r="F1836" s="20" t="s">
        <v>15135</v>
      </c>
      <c r="G1836" s="20">
        <v>73201001</v>
      </c>
      <c r="K1836" s="20">
        <v>9307</v>
      </c>
    </row>
    <row r="1837" spans="1:13" x14ac:dyDescent="0.25">
      <c r="A1837" s="20">
        <v>91359</v>
      </c>
      <c r="B1837" s="20" t="s">
        <v>16785</v>
      </c>
      <c r="C1837" s="20">
        <v>91359</v>
      </c>
      <c r="D1837" s="20" t="str">
        <f>VLOOKUP(C1837,[1]CHILDCARE_FACILITIES!AJ:AK,2,0)</f>
        <v>CDC-17616</v>
      </c>
      <c r="E1837" s="20" t="s">
        <v>15134</v>
      </c>
      <c r="F1837" s="20" t="s">
        <v>15135</v>
      </c>
      <c r="G1837" s="20">
        <v>73464018</v>
      </c>
      <c r="H1837" s="20" t="s">
        <v>15145</v>
      </c>
      <c r="I1837" s="20" t="b">
        <v>1</v>
      </c>
      <c r="J1837" s="20" t="s">
        <v>18510</v>
      </c>
      <c r="K1837" s="20">
        <v>91359</v>
      </c>
      <c r="L1837" s="20" t="s">
        <v>17236</v>
      </c>
      <c r="M1837" s="20" t="s">
        <v>18511</v>
      </c>
    </row>
    <row r="1838" spans="1:13" x14ac:dyDescent="0.25">
      <c r="A1838" s="20">
        <v>91359</v>
      </c>
      <c r="B1838" s="20" t="s">
        <v>16785</v>
      </c>
      <c r="C1838" s="20">
        <v>91359</v>
      </c>
      <c r="D1838" s="20" t="str">
        <f>VLOOKUP(C1838,[1]CHILDCARE_FACILITIES!AJ:AK,2,0)</f>
        <v>CDC-17616</v>
      </c>
      <c r="E1838" s="20" t="s">
        <v>15134</v>
      </c>
      <c r="F1838" s="20" t="s">
        <v>15135</v>
      </c>
      <c r="G1838" s="20">
        <v>73464018</v>
      </c>
      <c r="H1838" s="20" t="s">
        <v>15138</v>
      </c>
      <c r="I1838" s="20" t="b">
        <v>1</v>
      </c>
      <c r="J1838" s="20" t="s">
        <v>17512</v>
      </c>
      <c r="K1838" s="20">
        <v>91359</v>
      </c>
      <c r="L1838" s="20" t="s">
        <v>17312</v>
      </c>
      <c r="M1838" s="20" t="s">
        <v>17513</v>
      </c>
    </row>
    <row r="1839" spans="1:13" x14ac:dyDescent="0.25">
      <c r="A1839" s="20">
        <v>91762</v>
      </c>
      <c r="B1839" s="20" t="s">
        <v>16793</v>
      </c>
      <c r="C1839" s="20">
        <v>91762</v>
      </c>
      <c r="D1839" s="20" t="str">
        <f>VLOOKUP(C1839,[1]CHILDCARE_FACILITIES!AJ:AK,2,0)</f>
        <v>CDC-17609</v>
      </c>
      <c r="E1839" s="20" t="s">
        <v>15134</v>
      </c>
      <c r="F1839" s="20" t="s">
        <v>15135</v>
      </c>
      <c r="G1839" s="20">
        <v>73464020</v>
      </c>
      <c r="K1839" s="20">
        <v>91762</v>
      </c>
    </row>
    <row r="1840" spans="1:13" x14ac:dyDescent="0.25">
      <c r="A1840" s="20">
        <v>597102</v>
      </c>
      <c r="B1840" s="20" t="s">
        <v>17011</v>
      </c>
      <c r="C1840" s="20">
        <v>597102</v>
      </c>
      <c r="D1840" s="20" t="str">
        <f>VLOOKUP(C1840,[1]CHILDCARE_FACILITIES!AJ:AK,2,0)</f>
        <v>CDC-17875</v>
      </c>
      <c r="E1840" s="20" t="s">
        <v>15134</v>
      </c>
      <c r="F1840" s="20" t="s">
        <v>15135</v>
      </c>
      <c r="G1840" s="20">
        <v>73464022</v>
      </c>
      <c r="K1840" s="20">
        <v>597102</v>
      </c>
    </row>
    <row r="1841" spans="1:13" x14ac:dyDescent="0.25">
      <c r="A1841" s="20">
        <v>24741</v>
      </c>
      <c r="B1841" s="20" t="s">
        <v>15865</v>
      </c>
      <c r="C1841" s="20">
        <v>24741</v>
      </c>
      <c r="D1841" s="20" t="str">
        <f>VLOOKUP(C1841,[1]CHILDCARE_FACILITIES!AJ:AK,2,0)</f>
        <v>CDC-17864</v>
      </c>
      <c r="E1841" s="20" t="s">
        <v>15134</v>
      </c>
      <c r="F1841" s="20" t="s">
        <v>15135</v>
      </c>
      <c r="G1841" s="20">
        <v>73464024</v>
      </c>
      <c r="K1841" s="20">
        <v>24741</v>
      </c>
    </row>
    <row r="1842" spans="1:13" x14ac:dyDescent="0.25">
      <c r="A1842" s="20">
        <v>545702</v>
      </c>
      <c r="B1842" s="20" t="s">
        <v>17006</v>
      </c>
      <c r="C1842" s="20">
        <v>545702</v>
      </c>
      <c r="D1842" s="20" t="str">
        <f>VLOOKUP(C1842,[1]CHILDCARE_FACILITIES!AJ:AK,2,0)</f>
        <v>CDC-17863</v>
      </c>
      <c r="E1842" s="20" t="s">
        <v>15134</v>
      </c>
      <c r="F1842" s="20" t="s">
        <v>15135</v>
      </c>
      <c r="G1842" s="20">
        <v>73464023</v>
      </c>
      <c r="H1842" s="20" t="s">
        <v>15136</v>
      </c>
      <c r="I1842" s="20" t="b">
        <v>0</v>
      </c>
      <c r="J1842" s="20" t="s">
        <v>18512</v>
      </c>
      <c r="K1842" s="20">
        <v>545702</v>
      </c>
      <c r="L1842" s="20" t="s">
        <v>18513</v>
      </c>
      <c r="M1842" s="20" t="s">
        <v>18514</v>
      </c>
    </row>
    <row r="1843" spans="1:13" x14ac:dyDescent="0.25">
      <c r="A1843" s="20">
        <v>1000196</v>
      </c>
      <c r="B1843" s="20" t="s">
        <v>17113</v>
      </c>
      <c r="C1843" s="20">
        <v>1000196</v>
      </c>
      <c r="D1843" s="20" t="str">
        <f>VLOOKUP(C1843,[1]CHILDCARE_FACILITIES!AJ:AK,2,0)</f>
        <v>CDC-18447</v>
      </c>
      <c r="E1843" s="20" t="s">
        <v>15134</v>
      </c>
      <c r="F1843" s="20" t="s">
        <v>15135</v>
      </c>
      <c r="G1843" s="20">
        <v>73464009</v>
      </c>
      <c r="H1843" s="20" t="s">
        <v>15136</v>
      </c>
      <c r="I1843" s="20" t="b">
        <v>0</v>
      </c>
      <c r="J1843" s="20" t="s">
        <v>18515</v>
      </c>
      <c r="K1843" s="20">
        <v>1000196</v>
      </c>
      <c r="L1843" s="20" t="s">
        <v>18516</v>
      </c>
      <c r="M1843" s="20" t="s">
        <v>18517</v>
      </c>
    </row>
    <row r="1844" spans="1:13" x14ac:dyDescent="0.25">
      <c r="A1844" s="20">
        <v>1000196</v>
      </c>
      <c r="B1844" s="20" t="s">
        <v>17113</v>
      </c>
      <c r="C1844" s="20">
        <v>1000196</v>
      </c>
      <c r="D1844" s="20" t="str">
        <f>VLOOKUP(C1844,[1]CHILDCARE_FACILITIES!AJ:AK,2,0)</f>
        <v>CDC-18447</v>
      </c>
      <c r="E1844" s="20" t="s">
        <v>15134</v>
      </c>
      <c r="F1844" s="20" t="s">
        <v>15135</v>
      </c>
      <c r="G1844" s="20">
        <v>73464009</v>
      </c>
      <c r="H1844" s="20" t="s">
        <v>15138</v>
      </c>
      <c r="I1844" s="20" t="b">
        <v>1</v>
      </c>
      <c r="J1844" s="20" t="s">
        <v>18518</v>
      </c>
      <c r="K1844" s="20">
        <v>1000196</v>
      </c>
      <c r="L1844" s="20" t="s">
        <v>17343</v>
      </c>
      <c r="M1844" s="20" t="s">
        <v>18519</v>
      </c>
    </row>
    <row r="1845" spans="1:13" x14ac:dyDescent="0.25">
      <c r="A1845" s="20">
        <v>9333</v>
      </c>
      <c r="B1845" s="20" t="s">
        <v>15476</v>
      </c>
      <c r="C1845" s="20">
        <v>9333</v>
      </c>
      <c r="D1845" s="20" t="e">
        <f>VLOOKUP(C1845,[1]CHILDCARE_FACILITIES!AJ:AK,2,0)</f>
        <v>#N/A</v>
      </c>
      <c r="E1845" s="20" t="s">
        <v>15134</v>
      </c>
      <c r="F1845" s="20" t="s">
        <v>15135</v>
      </c>
      <c r="G1845" s="20">
        <v>73213001</v>
      </c>
      <c r="K1845" s="20">
        <v>9333</v>
      </c>
    </row>
    <row r="1846" spans="1:13" x14ac:dyDescent="0.25">
      <c r="A1846" s="20">
        <v>10216</v>
      </c>
      <c r="B1846" s="20" t="s">
        <v>15846</v>
      </c>
      <c r="C1846" s="20">
        <v>10216</v>
      </c>
      <c r="D1846" s="20" t="e">
        <f>VLOOKUP(C1846,[1]CHILDCARE_FACILITIES!AJ:AK,2,0)</f>
        <v>#N/A</v>
      </c>
      <c r="E1846" s="20" t="s">
        <v>15134</v>
      </c>
      <c r="F1846" s="20" t="s">
        <v>15135</v>
      </c>
      <c r="G1846" s="20">
        <v>143013001</v>
      </c>
      <c r="K1846" s="20">
        <v>10216</v>
      </c>
    </row>
    <row r="1847" spans="1:13" x14ac:dyDescent="0.25">
      <c r="A1847" s="20">
        <v>9425</v>
      </c>
      <c r="B1847" s="20" t="s">
        <v>15522</v>
      </c>
      <c r="C1847" s="20">
        <v>9425</v>
      </c>
      <c r="D1847" s="20" t="e">
        <f>VLOOKUP(C1847,[1]CHILDCARE_FACILITIES!AJ:AK,2,0)</f>
        <v>#N/A</v>
      </c>
      <c r="E1847" s="20" t="s">
        <v>15134</v>
      </c>
      <c r="F1847" s="20" t="s">
        <v>15135</v>
      </c>
      <c r="G1847" s="20">
        <v>73258001</v>
      </c>
      <c r="K1847" s="20">
        <v>9425</v>
      </c>
    </row>
    <row r="1848" spans="1:13" x14ac:dyDescent="0.25">
      <c r="A1848" s="20">
        <v>9447</v>
      </c>
      <c r="B1848" s="20" t="s">
        <v>15522</v>
      </c>
      <c r="C1848" s="20">
        <v>9447</v>
      </c>
      <c r="D1848" s="20" t="e">
        <f>VLOOKUP(C1848,[1]CHILDCARE_FACILITIES!AJ:AK,2,0)</f>
        <v>#N/A</v>
      </c>
      <c r="E1848" s="20" t="s">
        <v>15134</v>
      </c>
      <c r="F1848" s="20" t="s">
        <v>15135</v>
      </c>
      <c r="G1848" s="20">
        <v>73269000</v>
      </c>
      <c r="H1848" s="20" t="s">
        <v>15138</v>
      </c>
      <c r="I1848" s="20" t="b">
        <v>1</v>
      </c>
      <c r="J1848" s="20" t="s">
        <v>18520</v>
      </c>
      <c r="K1848" s="20">
        <v>9447</v>
      </c>
      <c r="L1848" s="20" t="s">
        <v>17213</v>
      </c>
      <c r="M1848" s="20" t="s">
        <v>18521</v>
      </c>
    </row>
    <row r="1849" spans="1:13" x14ac:dyDescent="0.25">
      <c r="A1849" s="20">
        <v>9447</v>
      </c>
      <c r="B1849" s="20" t="s">
        <v>15522</v>
      </c>
      <c r="C1849" s="20">
        <v>9447</v>
      </c>
      <c r="D1849" s="20" t="e">
        <f>VLOOKUP(C1849,[1]CHILDCARE_FACILITIES!AJ:AK,2,0)</f>
        <v>#N/A</v>
      </c>
      <c r="E1849" s="20" t="s">
        <v>15134</v>
      </c>
      <c r="F1849" s="20" t="s">
        <v>15135</v>
      </c>
      <c r="G1849" s="20">
        <v>73269000</v>
      </c>
      <c r="H1849" s="20" t="s">
        <v>15136</v>
      </c>
      <c r="I1849" s="20" t="b">
        <v>1</v>
      </c>
      <c r="J1849" s="20" t="s">
        <v>18520</v>
      </c>
      <c r="K1849" s="20">
        <v>9447</v>
      </c>
      <c r="L1849" s="20" t="s">
        <v>17213</v>
      </c>
      <c r="M1849" s="20" t="s">
        <v>18521</v>
      </c>
    </row>
    <row r="1850" spans="1:13" x14ac:dyDescent="0.25">
      <c r="A1850" s="20">
        <v>8999</v>
      </c>
      <c r="B1850" s="20" t="s">
        <v>15306</v>
      </c>
      <c r="C1850" s="20">
        <v>8999</v>
      </c>
      <c r="D1850" s="20" t="e">
        <f>VLOOKUP(C1850,[1]CHILDCARE_FACILITIES!AJ:AK,2,0)</f>
        <v>#N/A</v>
      </c>
      <c r="E1850" s="20" t="s">
        <v>15134</v>
      </c>
      <c r="F1850" s="20" t="s">
        <v>15135</v>
      </c>
      <c r="G1850" s="20">
        <v>73013001</v>
      </c>
      <c r="K1850" s="20">
        <v>8999</v>
      </c>
    </row>
    <row r="1851" spans="1:13" x14ac:dyDescent="0.25">
      <c r="A1851" s="20">
        <v>8989</v>
      </c>
      <c r="B1851" s="20" t="s">
        <v>15303</v>
      </c>
      <c r="C1851" s="20">
        <v>8989</v>
      </c>
      <c r="D1851" s="20" t="e">
        <f>VLOOKUP(C1851,[1]CHILDCARE_FACILITIES!AJ:AK,2,0)</f>
        <v>#N/A</v>
      </c>
      <c r="E1851" s="20" t="s">
        <v>15134</v>
      </c>
      <c r="F1851" s="20" t="s">
        <v>15135</v>
      </c>
      <c r="G1851" s="20">
        <v>73007001</v>
      </c>
      <c r="K1851" s="20">
        <v>8989</v>
      </c>
    </row>
    <row r="1852" spans="1:13" x14ac:dyDescent="0.25">
      <c r="A1852" s="20">
        <v>9449</v>
      </c>
      <c r="B1852" s="20" t="s">
        <v>15528</v>
      </c>
      <c r="C1852" s="20">
        <v>9449</v>
      </c>
      <c r="D1852" s="20" t="str">
        <f>VLOOKUP(C1852,[1]CHILDCARE_FACILITIES!AJ:AK,2,0)</f>
        <v>CDC-1622</v>
      </c>
      <c r="E1852" s="20" t="s">
        <v>15134</v>
      </c>
      <c r="F1852" s="20" t="s">
        <v>15135</v>
      </c>
      <c r="G1852" s="20">
        <v>73269002</v>
      </c>
      <c r="K1852" s="20">
        <v>9449</v>
      </c>
    </row>
    <row r="1853" spans="1:13" x14ac:dyDescent="0.25">
      <c r="A1853" s="20">
        <v>79331</v>
      </c>
      <c r="B1853" s="20" t="s">
        <v>15924</v>
      </c>
      <c r="C1853" s="20">
        <v>79331</v>
      </c>
      <c r="D1853" s="20" t="e">
        <f>VLOOKUP(C1853,[1]CHILDCARE_FACILITIES!AJ:AK,2,0)</f>
        <v>#N/A</v>
      </c>
      <c r="E1853" s="20" t="s">
        <v>15134</v>
      </c>
      <c r="F1853" s="20" t="s">
        <v>15135</v>
      </c>
      <c r="G1853" s="20">
        <v>72425001</v>
      </c>
      <c r="H1853" s="20" t="s">
        <v>15145</v>
      </c>
      <c r="I1853" s="20" t="b">
        <v>1</v>
      </c>
      <c r="J1853" s="20" t="s">
        <v>18522</v>
      </c>
      <c r="K1853" s="20">
        <v>79331</v>
      </c>
      <c r="L1853" s="20" t="s">
        <v>17213</v>
      </c>
      <c r="M1853" s="20" t="s">
        <v>18523</v>
      </c>
    </row>
    <row r="1854" spans="1:13" x14ac:dyDescent="0.25">
      <c r="A1854" s="20">
        <v>79331</v>
      </c>
      <c r="B1854" s="20" t="s">
        <v>15924</v>
      </c>
      <c r="C1854" s="20">
        <v>79331</v>
      </c>
      <c r="D1854" s="20" t="e">
        <f>VLOOKUP(C1854,[1]CHILDCARE_FACILITIES!AJ:AK,2,0)</f>
        <v>#N/A</v>
      </c>
      <c r="E1854" s="20" t="s">
        <v>15134</v>
      </c>
      <c r="F1854" s="20" t="s">
        <v>15135</v>
      </c>
      <c r="G1854" s="20">
        <v>72425001</v>
      </c>
      <c r="H1854" s="20" t="s">
        <v>15138</v>
      </c>
      <c r="I1854" s="20" t="b">
        <v>1</v>
      </c>
      <c r="J1854" s="20" t="s">
        <v>18522</v>
      </c>
      <c r="K1854" s="20">
        <v>79331</v>
      </c>
      <c r="L1854" s="20" t="s">
        <v>17213</v>
      </c>
      <c r="M1854" s="20" t="s">
        <v>18523</v>
      </c>
    </row>
    <row r="1855" spans="1:13" x14ac:dyDescent="0.25">
      <c r="A1855" s="20">
        <v>845332</v>
      </c>
      <c r="B1855" s="20" t="s">
        <v>17027</v>
      </c>
      <c r="C1855" s="20">
        <v>845332</v>
      </c>
      <c r="D1855" s="20" t="e">
        <f>VLOOKUP(C1855,[1]CHILDCARE_FACILITIES!AJ:AK,2,0)</f>
        <v>#N/A</v>
      </c>
      <c r="E1855" s="20" t="s">
        <v>15134</v>
      </c>
      <c r="F1855" s="20" t="s">
        <v>15135</v>
      </c>
      <c r="G1855" s="20">
        <v>73341001</v>
      </c>
      <c r="H1855" s="20" t="s">
        <v>15136</v>
      </c>
      <c r="I1855" s="20" t="b">
        <v>1</v>
      </c>
      <c r="J1855" s="20" t="s">
        <v>18107</v>
      </c>
      <c r="K1855" s="20">
        <v>845332</v>
      </c>
      <c r="L1855" s="20" t="s">
        <v>17639</v>
      </c>
      <c r="M1855" s="20" t="s">
        <v>18108</v>
      </c>
    </row>
    <row r="1856" spans="1:13" x14ac:dyDescent="0.25">
      <c r="A1856" s="20">
        <v>845332</v>
      </c>
      <c r="B1856" s="20" t="s">
        <v>17027</v>
      </c>
      <c r="C1856" s="20">
        <v>845332</v>
      </c>
      <c r="D1856" s="20" t="e">
        <f>VLOOKUP(C1856,[1]CHILDCARE_FACILITIES!AJ:AK,2,0)</f>
        <v>#N/A</v>
      </c>
      <c r="E1856" s="20" t="s">
        <v>15134</v>
      </c>
      <c r="F1856" s="20" t="s">
        <v>15135</v>
      </c>
      <c r="G1856" s="20">
        <v>73341001</v>
      </c>
      <c r="H1856" s="20" t="s">
        <v>15138</v>
      </c>
      <c r="I1856" s="20" t="b">
        <v>1</v>
      </c>
      <c r="J1856" s="20" t="s">
        <v>18105</v>
      </c>
      <c r="K1856" s="20">
        <v>845332</v>
      </c>
      <c r="L1856" s="20" t="s">
        <v>17213</v>
      </c>
      <c r="M1856" s="20" t="s">
        <v>18106</v>
      </c>
    </row>
    <row r="1857" spans="1:14" x14ac:dyDescent="0.25">
      <c r="A1857" s="20">
        <v>87909</v>
      </c>
      <c r="B1857" s="20" t="s">
        <v>16350</v>
      </c>
      <c r="C1857" s="20">
        <v>87909</v>
      </c>
      <c r="D1857" s="20" t="e">
        <f>VLOOKUP(C1857,[1]CHILDCARE_FACILITIES!AJ:AK,2,0)</f>
        <v>#N/A</v>
      </c>
      <c r="E1857" s="20" t="s">
        <v>15134</v>
      </c>
      <c r="F1857" s="20" t="s">
        <v>15135</v>
      </c>
      <c r="G1857" s="20">
        <v>72401009</v>
      </c>
      <c r="H1857" s="20" t="s">
        <v>15136</v>
      </c>
      <c r="I1857" s="20" t="b">
        <v>0</v>
      </c>
      <c r="J1857" s="20" t="s">
        <v>18524</v>
      </c>
      <c r="K1857" s="20">
        <v>87909</v>
      </c>
      <c r="L1857" s="20" t="s">
        <v>18466</v>
      </c>
      <c r="M1857" s="20" t="s">
        <v>17213</v>
      </c>
      <c r="N1857" s="20" t="s">
        <v>18467</v>
      </c>
    </row>
    <row r="1858" spans="1:14" x14ac:dyDescent="0.25">
      <c r="A1858" s="20">
        <v>87909</v>
      </c>
      <c r="B1858" s="20" t="s">
        <v>16350</v>
      </c>
      <c r="C1858" s="20">
        <v>87909</v>
      </c>
      <c r="D1858" s="20" t="e">
        <f>VLOOKUP(C1858,[1]CHILDCARE_FACILITIES!AJ:AK,2,0)</f>
        <v>#N/A</v>
      </c>
      <c r="E1858" s="20" t="s">
        <v>15134</v>
      </c>
      <c r="F1858" s="20" t="s">
        <v>15135</v>
      </c>
      <c r="G1858" s="20">
        <v>72401009</v>
      </c>
      <c r="H1858" s="20" t="s">
        <v>15138</v>
      </c>
      <c r="I1858" s="20" t="b">
        <v>1</v>
      </c>
      <c r="J1858" s="20" t="s">
        <v>18525</v>
      </c>
      <c r="K1858" s="20">
        <v>87909</v>
      </c>
      <c r="L1858" s="20" t="s">
        <v>17236</v>
      </c>
      <c r="M1858" s="20" t="s">
        <v>18526</v>
      </c>
    </row>
    <row r="1859" spans="1:14" x14ac:dyDescent="0.25">
      <c r="A1859" s="20">
        <v>90518</v>
      </c>
      <c r="B1859" s="20" t="s">
        <v>16650</v>
      </c>
      <c r="C1859" s="20">
        <v>90518</v>
      </c>
      <c r="D1859" s="20" t="e">
        <f>VLOOKUP(C1859,[1]CHILDCARE_FACILITIES!AJ:AK,2,0)</f>
        <v>#N/A</v>
      </c>
      <c r="E1859" s="20" t="s">
        <v>15134</v>
      </c>
      <c r="F1859" s="20" t="s">
        <v>15135</v>
      </c>
      <c r="G1859" s="20">
        <v>73598000</v>
      </c>
      <c r="H1859" s="20" t="s">
        <v>15138</v>
      </c>
      <c r="I1859" s="20" t="b">
        <v>1</v>
      </c>
      <c r="J1859" s="20" t="s">
        <v>17583</v>
      </c>
      <c r="K1859" s="20">
        <v>90518</v>
      </c>
      <c r="L1859" s="20" t="s">
        <v>17367</v>
      </c>
      <c r="M1859" s="20" t="s">
        <v>17584</v>
      </c>
    </row>
    <row r="1860" spans="1:14" x14ac:dyDescent="0.25">
      <c r="A1860" s="20">
        <v>90518</v>
      </c>
      <c r="B1860" s="20" t="s">
        <v>16650</v>
      </c>
      <c r="C1860" s="20">
        <v>90518</v>
      </c>
      <c r="D1860" s="20" t="e">
        <f>VLOOKUP(C1860,[1]CHILDCARE_FACILITIES!AJ:AK,2,0)</f>
        <v>#N/A</v>
      </c>
      <c r="E1860" s="20" t="s">
        <v>15134</v>
      </c>
      <c r="F1860" s="20" t="s">
        <v>15135</v>
      </c>
      <c r="G1860" s="20">
        <v>73598000</v>
      </c>
      <c r="H1860" s="20" t="s">
        <v>15136</v>
      </c>
      <c r="I1860" s="20" t="b">
        <v>1</v>
      </c>
      <c r="J1860" s="20" t="s">
        <v>17583</v>
      </c>
      <c r="K1860" s="20">
        <v>90518</v>
      </c>
      <c r="L1860" s="20" t="s">
        <v>17367</v>
      </c>
      <c r="M1860" s="20" t="s">
        <v>17584</v>
      </c>
    </row>
    <row r="1861" spans="1:14" x14ac:dyDescent="0.25">
      <c r="A1861" s="20">
        <v>90519</v>
      </c>
      <c r="B1861" s="20" t="s">
        <v>16651</v>
      </c>
      <c r="C1861" s="20">
        <v>90519</v>
      </c>
      <c r="D1861" s="20" t="str">
        <f>VLOOKUP(C1861,[1]CHILDCARE_FACILITIES!AJ:AK,2,0)</f>
        <v>CDC-14945</v>
      </c>
      <c r="E1861" s="20" t="s">
        <v>15134</v>
      </c>
      <c r="F1861" s="20" t="s">
        <v>15135</v>
      </c>
      <c r="G1861" s="20">
        <v>73598001</v>
      </c>
      <c r="H1861" s="20" t="s">
        <v>15145</v>
      </c>
      <c r="I1861" s="20" t="b">
        <v>1</v>
      </c>
      <c r="J1861" s="20" t="s">
        <v>18527</v>
      </c>
      <c r="K1861" s="20">
        <v>90519</v>
      </c>
      <c r="L1861" s="20" t="s">
        <v>17271</v>
      </c>
      <c r="M1861" s="20" t="s">
        <v>18528</v>
      </c>
    </row>
    <row r="1862" spans="1:14" x14ac:dyDescent="0.25">
      <c r="A1862" s="20">
        <v>9615</v>
      </c>
      <c r="B1862" s="20" t="s">
        <v>15607</v>
      </c>
      <c r="C1862" s="20">
        <v>9615</v>
      </c>
      <c r="D1862" s="20" t="e">
        <f>VLOOKUP(C1862,[1]CHILDCARE_FACILITIES!AJ:AK,2,0)</f>
        <v>#N/A</v>
      </c>
      <c r="E1862" s="20" t="s">
        <v>15134</v>
      </c>
      <c r="F1862" s="20" t="s">
        <v>15135</v>
      </c>
      <c r="G1862" s="20">
        <v>82206002</v>
      </c>
      <c r="K1862" s="20">
        <v>9615</v>
      </c>
    </row>
    <row r="1863" spans="1:14" x14ac:dyDescent="0.25">
      <c r="A1863" s="20">
        <v>9614</v>
      </c>
      <c r="B1863" s="20" t="s">
        <v>15606</v>
      </c>
      <c r="C1863" s="20">
        <v>9614</v>
      </c>
      <c r="D1863" s="20" t="e">
        <f>VLOOKUP(C1863,[1]CHILDCARE_FACILITIES!AJ:AK,2,0)</f>
        <v>#N/A</v>
      </c>
      <c r="E1863" s="20" t="s">
        <v>15134</v>
      </c>
      <c r="F1863" s="20" t="s">
        <v>15135</v>
      </c>
      <c r="G1863" s="20">
        <v>82206001</v>
      </c>
      <c r="K1863" s="20">
        <v>9614</v>
      </c>
    </row>
    <row r="1864" spans="1:14" x14ac:dyDescent="0.25">
      <c r="A1864" s="20">
        <v>9609</v>
      </c>
      <c r="B1864" s="20" t="s">
        <v>15602</v>
      </c>
      <c r="C1864" s="20">
        <v>9609</v>
      </c>
      <c r="D1864" s="20" t="e">
        <f>VLOOKUP(C1864,[1]CHILDCARE_FACILITIES!AJ:AK,2,0)</f>
        <v>#N/A</v>
      </c>
      <c r="E1864" s="20" t="s">
        <v>15134</v>
      </c>
      <c r="F1864" s="20" t="s">
        <v>15135</v>
      </c>
      <c r="G1864" s="20">
        <v>82204000</v>
      </c>
      <c r="K1864" s="20">
        <v>9609</v>
      </c>
    </row>
    <row r="1865" spans="1:14" x14ac:dyDescent="0.25">
      <c r="A1865" s="20">
        <v>9611</v>
      </c>
      <c r="B1865" s="20" t="s">
        <v>15604</v>
      </c>
      <c r="C1865" s="20">
        <v>9611</v>
      </c>
      <c r="D1865" s="20" t="e">
        <f>VLOOKUP(C1865,[1]CHILDCARE_FACILITIES!AJ:AK,2,0)</f>
        <v>#N/A</v>
      </c>
      <c r="E1865" s="20" t="s">
        <v>15134</v>
      </c>
      <c r="F1865" s="20" t="s">
        <v>15135</v>
      </c>
      <c r="G1865" s="20">
        <v>82205000</v>
      </c>
      <c r="K1865" s="20">
        <v>9611</v>
      </c>
    </row>
    <row r="1866" spans="1:14" x14ac:dyDescent="0.25">
      <c r="A1866" s="20">
        <v>9537</v>
      </c>
      <c r="B1866" s="20" t="s">
        <v>15587</v>
      </c>
      <c r="C1866" s="20">
        <v>9537</v>
      </c>
      <c r="D1866" s="20" t="e">
        <f>VLOOKUP(C1866,[1]CHILDCARE_FACILITIES!AJ:AK,2,0)</f>
        <v>#N/A</v>
      </c>
      <c r="E1866" s="20" t="s">
        <v>15134</v>
      </c>
      <c r="F1866" s="20" t="s">
        <v>15135</v>
      </c>
      <c r="G1866" s="20">
        <v>73295000</v>
      </c>
      <c r="H1866" s="20" t="s">
        <v>15138</v>
      </c>
      <c r="I1866" s="20" t="b">
        <v>1</v>
      </c>
      <c r="J1866" s="20" t="s">
        <v>18529</v>
      </c>
      <c r="K1866" s="20">
        <v>9537</v>
      </c>
      <c r="L1866" s="20" t="s">
        <v>17216</v>
      </c>
      <c r="M1866" s="20" t="s">
        <v>18530</v>
      </c>
    </row>
    <row r="1867" spans="1:14" x14ac:dyDescent="0.25">
      <c r="A1867" s="20">
        <v>9537</v>
      </c>
      <c r="B1867" s="20" t="s">
        <v>15587</v>
      </c>
      <c r="C1867" s="20">
        <v>9537</v>
      </c>
      <c r="D1867" s="20" t="e">
        <f>VLOOKUP(C1867,[1]CHILDCARE_FACILITIES!AJ:AK,2,0)</f>
        <v>#N/A</v>
      </c>
      <c r="E1867" s="20" t="s">
        <v>15134</v>
      </c>
      <c r="F1867" s="20" t="s">
        <v>15135</v>
      </c>
      <c r="G1867" s="20">
        <v>73295000</v>
      </c>
      <c r="H1867" s="20" t="s">
        <v>15136</v>
      </c>
      <c r="I1867" s="20" t="b">
        <v>1</v>
      </c>
      <c r="J1867" s="20" t="s">
        <v>18529</v>
      </c>
      <c r="K1867" s="20">
        <v>9537</v>
      </c>
      <c r="L1867" s="20" t="s">
        <v>17216</v>
      </c>
      <c r="M1867" s="20" t="s">
        <v>18530</v>
      </c>
    </row>
    <row r="1868" spans="1:14" x14ac:dyDescent="0.25">
      <c r="A1868" s="20">
        <v>9347</v>
      </c>
      <c r="B1868" s="20" t="s">
        <v>15483</v>
      </c>
      <c r="C1868" s="20">
        <v>9347</v>
      </c>
      <c r="D1868" s="20" t="e">
        <f>VLOOKUP(C1868,[1]CHILDCARE_FACILITIES!AJ:AK,2,0)</f>
        <v>#N/A</v>
      </c>
      <c r="E1868" s="20" t="s">
        <v>15134</v>
      </c>
      <c r="F1868" s="20" t="s">
        <v>15135</v>
      </c>
      <c r="G1868" s="20">
        <v>73219001</v>
      </c>
      <c r="K1868" s="20">
        <v>9347</v>
      </c>
    </row>
    <row r="1869" spans="1:14" x14ac:dyDescent="0.25">
      <c r="A1869" s="20">
        <v>80675</v>
      </c>
      <c r="B1869" s="20" t="s">
        <v>16178</v>
      </c>
      <c r="C1869" s="20">
        <v>80675</v>
      </c>
      <c r="D1869" s="20" t="str">
        <f>VLOOKUP(C1869,[1]CHILDCARE_FACILITIES!AJ:AK,2,0)</f>
        <v>CDC-7240</v>
      </c>
      <c r="E1869" s="20" t="s">
        <v>15134</v>
      </c>
      <c r="F1869" s="20" t="s">
        <v>15135</v>
      </c>
      <c r="G1869" s="20">
        <v>73295001</v>
      </c>
      <c r="H1869" s="20" t="s">
        <v>15145</v>
      </c>
      <c r="I1869" s="20" t="b">
        <v>1</v>
      </c>
      <c r="J1869" s="20" t="s">
        <v>18531</v>
      </c>
      <c r="K1869" s="20">
        <v>80675</v>
      </c>
      <c r="L1869" s="20" t="s">
        <v>17216</v>
      </c>
      <c r="M1869" s="20" t="s">
        <v>18530</v>
      </c>
    </row>
    <row r="1870" spans="1:14" x14ac:dyDescent="0.25">
      <c r="A1870" s="20">
        <v>80675</v>
      </c>
      <c r="B1870" s="20" t="s">
        <v>16178</v>
      </c>
      <c r="C1870" s="20">
        <v>80675</v>
      </c>
      <c r="D1870" s="20" t="str">
        <f>VLOOKUP(C1870,[1]CHILDCARE_FACILITIES!AJ:AK,2,0)</f>
        <v>CDC-7240</v>
      </c>
      <c r="E1870" s="20" t="s">
        <v>15134</v>
      </c>
      <c r="F1870" s="20" t="s">
        <v>15135</v>
      </c>
      <c r="G1870" s="20">
        <v>73295001</v>
      </c>
      <c r="H1870" s="20" t="s">
        <v>15138</v>
      </c>
      <c r="I1870" s="20" t="b">
        <v>1</v>
      </c>
      <c r="J1870" s="20" t="s">
        <v>18531</v>
      </c>
      <c r="K1870" s="20">
        <v>80675</v>
      </c>
      <c r="L1870" s="20" t="s">
        <v>17216</v>
      </c>
      <c r="M1870" s="20" t="s">
        <v>18530</v>
      </c>
    </row>
    <row r="1871" spans="1:14" x14ac:dyDescent="0.25">
      <c r="A1871" s="20">
        <v>9009</v>
      </c>
      <c r="B1871" s="20" t="s">
        <v>15311</v>
      </c>
      <c r="C1871" s="20">
        <v>9009</v>
      </c>
      <c r="D1871" s="20" t="e">
        <f>VLOOKUP(C1871,[1]CHILDCARE_FACILITIES!AJ:AK,2,0)</f>
        <v>#N/A</v>
      </c>
      <c r="E1871" s="20" t="s">
        <v>15134</v>
      </c>
      <c r="F1871" s="20" t="s">
        <v>15135</v>
      </c>
      <c r="G1871" s="20">
        <v>73019001</v>
      </c>
      <c r="K1871" s="20">
        <v>9009</v>
      </c>
    </row>
    <row r="1872" spans="1:14" x14ac:dyDescent="0.25">
      <c r="A1872" s="20">
        <v>9371</v>
      </c>
      <c r="B1872" s="20" t="s">
        <v>15495</v>
      </c>
      <c r="C1872" s="20">
        <v>9371</v>
      </c>
      <c r="D1872" s="20" t="e">
        <f>VLOOKUP(C1872,[1]CHILDCARE_FACILITIES!AJ:AK,2,0)</f>
        <v>#N/A</v>
      </c>
      <c r="E1872" s="20" t="s">
        <v>15134</v>
      </c>
      <c r="F1872" s="20" t="s">
        <v>15135</v>
      </c>
      <c r="G1872" s="20">
        <v>73231001</v>
      </c>
      <c r="K1872" s="20">
        <v>9371</v>
      </c>
    </row>
    <row r="1873" spans="1:13" x14ac:dyDescent="0.25">
      <c r="A1873" s="20">
        <v>87947</v>
      </c>
      <c r="B1873" s="20" t="s">
        <v>16358</v>
      </c>
      <c r="C1873" s="20">
        <v>87947</v>
      </c>
      <c r="D1873" s="20" t="str">
        <f>VLOOKUP(C1873,[1]CHILDCARE_FACILITIES!AJ:AK,2,0)</f>
        <v>CDC-11276</v>
      </c>
      <c r="E1873" s="20" t="s">
        <v>15134</v>
      </c>
      <c r="F1873" s="20" t="s">
        <v>15135</v>
      </c>
      <c r="G1873" s="20">
        <v>73536001</v>
      </c>
      <c r="H1873" s="20" t="s">
        <v>15138</v>
      </c>
      <c r="I1873" s="20" t="b">
        <v>0</v>
      </c>
      <c r="J1873" s="20" t="s">
        <v>18532</v>
      </c>
      <c r="K1873" s="20">
        <v>87947</v>
      </c>
      <c r="L1873" s="20" t="s">
        <v>17700</v>
      </c>
      <c r="M1873" s="20" t="s">
        <v>17701</v>
      </c>
    </row>
    <row r="1874" spans="1:13" x14ac:dyDescent="0.25">
      <c r="A1874" s="20">
        <v>87947</v>
      </c>
      <c r="B1874" s="20" t="s">
        <v>16358</v>
      </c>
      <c r="C1874" s="20">
        <v>87947</v>
      </c>
      <c r="D1874" s="20" t="str">
        <f>VLOOKUP(C1874,[1]CHILDCARE_FACILITIES!AJ:AK,2,0)</f>
        <v>CDC-11276</v>
      </c>
      <c r="E1874" s="20" t="s">
        <v>15134</v>
      </c>
      <c r="F1874" s="20" t="s">
        <v>15135</v>
      </c>
      <c r="G1874" s="20">
        <v>73536001</v>
      </c>
      <c r="H1874" s="20" t="s">
        <v>15145</v>
      </c>
      <c r="I1874" s="20" t="b">
        <v>1</v>
      </c>
      <c r="J1874" s="20" t="s">
        <v>18343</v>
      </c>
      <c r="K1874" s="20">
        <v>87947</v>
      </c>
      <c r="L1874" s="20" t="s">
        <v>17262</v>
      </c>
      <c r="M1874" s="20" t="s">
        <v>18344</v>
      </c>
    </row>
    <row r="1875" spans="1:13" x14ac:dyDescent="0.25">
      <c r="A1875" s="20">
        <v>87305</v>
      </c>
      <c r="B1875" s="20" t="s">
        <v>16343</v>
      </c>
      <c r="C1875" s="20">
        <v>87305</v>
      </c>
      <c r="D1875" s="20" t="e">
        <f>VLOOKUP(C1875,[1]CHILDCARE_FACILITIES!AJ:AK,2,0)</f>
        <v>#N/A</v>
      </c>
      <c r="E1875" s="20" t="s">
        <v>15134</v>
      </c>
      <c r="F1875" s="20" t="s">
        <v>15135</v>
      </c>
      <c r="G1875" s="20">
        <v>73526000</v>
      </c>
      <c r="H1875" s="20" t="s">
        <v>15136</v>
      </c>
      <c r="I1875" s="20" t="b">
        <v>1</v>
      </c>
      <c r="J1875" s="20" t="s">
        <v>18533</v>
      </c>
      <c r="K1875" s="20">
        <v>87305</v>
      </c>
      <c r="L1875" s="20" t="s">
        <v>17213</v>
      </c>
      <c r="M1875" s="20" t="s">
        <v>18534</v>
      </c>
    </row>
    <row r="1876" spans="1:13" x14ac:dyDescent="0.25">
      <c r="A1876" s="20">
        <v>87305</v>
      </c>
      <c r="B1876" s="20" t="s">
        <v>16343</v>
      </c>
      <c r="C1876" s="20">
        <v>87305</v>
      </c>
      <c r="D1876" s="20" t="e">
        <f>VLOOKUP(C1876,[1]CHILDCARE_FACILITIES!AJ:AK,2,0)</f>
        <v>#N/A</v>
      </c>
      <c r="E1876" s="20" t="s">
        <v>15134</v>
      </c>
      <c r="F1876" s="20" t="s">
        <v>15135</v>
      </c>
      <c r="G1876" s="20">
        <v>73526000</v>
      </c>
      <c r="H1876" s="20" t="s">
        <v>15138</v>
      </c>
      <c r="I1876" s="20" t="b">
        <v>1</v>
      </c>
      <c r="J1876" s="20" t="s">
        <v>18533</v>
      </c>
      <c r="K1876" s="20">
        <v>87305</v>
      </c>
      <c r="L1876" s="20" t="s">
        <v>17213</v>
      </c>
      <c r="M1876" s="20" t="s">
        <v>18534</v>
      </c>
    </row>
    <row r="1877" spans="1:13" x14ac:dyDescent="0.25">
      <c r="A1877" s="20">
        <v>85938</v>
      </c>
      <c r="B1877" s="20" t="s">
        <v>16314</v>
      </c>
      <c r="C1877" s="20">
        <v>85938</v>
      </c>
      <c r="D1877" s="20" t="e">
        <f>VLOOKUP(C1877,[1]CHILDCARE_FACILITIES!AJ:AK,2,0)</f>
        <v>#N/A</v>
      </c>
      <c r="E1877" s="20" t="s">
        <v>15134</v>
      </c>
      <c r="F1877" s="20" t="s">
        <v>15135</v>
      </c>
      <c r="G1877" s="20">
        <v>79304011</v>
      </c>
      <c r="H1877" s="20" t="s">
        <v>15136</v>
      </c>
      <c r="I1877" s="20" t="b">
        <v>1</v>
      </c>
      <c r="J1877" s="20" t="s">
        <v>18535</v>
      </c>
      <c r="K1877" s="20">
        <v>85938</v>
      </c>
      <c r="L1877" s="20" t="s">
        <v>17312</v>
      </c>
      <c r="M1877" s="20" t="s">
        <v>18536</v>
      </c>
    </row>
    <row r="1878" spans="1:13" x14ac:dyDescent="0.25">
      <c r="A1878" s="20">
        <v>85938</v>
      </c>
      <c r="B1878" s="20" t="s">
        <v>16314</v>
      </c>
      <c r="C1878" s="20">
        <v>85938</v>
      </c>
      <c r="D1878" s="20" t="e">
        <f>VLOOKUP(C1878,[1]CHILDCARE_FACILITIES!AJ:AK,2,0)</f>
        <v>#N/A</v>
      </c>
      <c r="E1878" s="20" t="s">
        <v>15134</v>
      </c>
      <c r="F1878" s="20" t="s">
        <v>15135</v>
      </c>
      <c r="G1878" s="20">
        <v>79304011</v>
      </c>
      <c r="H1878" s="20" t="s">
        <v>15138</v>
      </c>
      <c r="I1878" s="20" t="b">
        <v>1</v>
      </c>
      <c r="J1878" s="20" t="s">
        <v>18535</v>
      </c>
      <c r="K1878" s="20">
        <v>85938</v>
      </c>
      <c r="L1878" s="20" t="s">
        <v>17312</v>
      </c>
      <c r="M1878" s="20" t="s">
        <v>18536</v>
      </c>
    </row>
    <row r="1879" spans="1:13" x14ac:dyDescent="0.25">
      <c r="A1879" s="20">
        <v>8759</v>
      </c>
      <c r="B1879" s="20" t="s">
        <v>15255</v>
      </c>
      <c r="C1879" s="20">
        <v>8759</v>
      </c>
      <c r="D1879" s="20" t="e">
        <f>VLOOKUP(C1879,[1]CHILDCARE_FACILITIES!AJ:AK,2,0)</f>
        <v>#N/A</v>
      </c>
      <c r="E1879" s="20" t="s">
        <v>15134</v>
      </c>
      <c r="F1879" s="20" t="s">
        <v>15135</v>
      </c>
      <c r="G1879" s="20">
        <v>72403000</v>
      </c>
      <c r="K1879" s="20">
        <v>8759</v>
      </c>
    </row>
    <row r="1880" spans="1:13" x14ac:dyDescent="0.25">
      <c r="A1880" s="20">
        <v>8760</v>
      </c>
      <c r="B1880" s="20" t="s">
        <v>15256</v>
      </c>
      <c r="C1880" s="20">
        <v>8760</v>
      </c>
      <c r="D1880" s="20" t="e">
        <f>VLOOKUP(C1880,[1]CHILDCARE_FACILITIES!AJ:AK,2,0)</f>
        <v>#N/A</v>
      </c>
      <c r="E1880" s="20" t="s">
        <v>15134</v>
      </c>
      <c r="F1880" s="20" t="s">
        <v>15135</v>
      </c>
      <c r="G1880" s="20">
        <v>72403001</v>
      </c>
      <c r="K1880" s="20">
        <v>8760</v>
      </c>
    </row>
    <row r="1881" spans="1:13" x14ac:dyDescent="0.25">
      <c r="A1881" s="20">
        <v>8688</v>
      </c>
      <c r="B1881" s="20" t="s">
        <v>15200</v>
      </c>
      <c r="C1881" s="20">
        <v>8688</v>
      </c>
      <c r="D1881" s="20" t="e">
        <f>VLOOKUP(C1881,[1]CHILDCARE_FACILITIES!AJ:AK,2,0)</f>
        <v>#N/A</v>
      </c>
      <c r="E1881" s="20" t="s">
        <v>15134</v>
      </c>
      <c r="F1881" s="20" t="s">
        <v>15135</v>
      </c>
      <c r="G1881" s="20">
        <v>72223000</v>
      </c>
      <c r="K1881" s="20">
        <v>8688</v>
      </c>
    </row>
    <row r="1882" spans="1:13" x14ac:dyDescent="0.25">
      <c r="A1882" s="20">
        <v>8689</v>
      </c>
      <c r="B1882" s="20" t="s">
        <v>15200</v>
      </c>
      <c r="C1882" s="20">
        <v>8689</v>
      </c>
      <c r="D1882" s="20" t="e">
        <f>VLOOKUP(C1882,[1]CHILDCARE_FACILITIES!AJ:AK,2,0)</f>
        <v>#N/A</v>
      </c>
      <c r="E1882" s="20" t="s">
        <v>15134</v>
      </c>
      <c r="F1882" s="20" t="s">
        <v>15135</v>
      </c>
      <c r="G1882" s="20">
        <v>72223001</v>
      </c>
      <c r="K1882" s="20">
        <v>8689</v>
      </c>
    </row>
    <row r="1883" spans="1:13" x14ac:dyDescent="0.25">
      <c r="A1883" s="20">
        <v>79827</v>
      </c>
      <c r="B1883" s="20" t="s">
        <v>16017</v>
      </c>
      <c r="C1883" s="20">
        <v>79827</v>
      </c>
      <c r="D1883" s="20" t="e">
        <f>VLOOKUP(C1883,[1]CHILDCARE_FACILITIES!AJ:AK,2,0)</f>
        <v>#N/A</v>
      </c>
      <c r="E1883" s="20" t="s">
        <v>15134</v>
      </c>
      <c r="F1883" s="20" t="s">
        <v>15135</v>
      </c>
      <c r="G1883" s="20">
        <v>72432000</v>
      </c>
      <c r="H1883" s="20" t="s">
        <v>15138</v>
      </c>
      <c r="I1883" s="20" t="b">
        <v>1</v>
      </c>
      <c r="J1883" s="20" t="s">
        <v>18205</v>
      </c>
      <c r="K1883" s="20">
        <v>79827</v>
      </c>
      <c r="L1883" s="20" t="s">
        <v>17213</v>
      </c>
      <c r="M1883" s="20" t="s">
        <v>18206</v>
      </c>
    </row>
    <row r="1884" spans="1:13" x14ac:dyDescent="0.25">
      <c r="A1884" s="20">
        <v>79827</v>
      </c>
      <c r="B1884" s="20" t="s">
        <v>16017</v>
      </c>
      <c r="C1884" s="20">
        <v>79827</v>
      </c>
      <c r="D1884" s="20" t="e">
        <f>VLOOKUP(C1884,[1]CHILDCARE_FACILITIES!AJ:AK,2,0)</f>
        <v>#N/A</v>
      </c>
      <c r="E1884" s="20" t="s">
        <v>15134</v>
      </c>
      <c r="F1884" s="20" t="s">
        <v>15135</v>
      </c>
      <c r="G1884" s="20">
        <v>72432000</v>
      </c>
      <c r="H1884" s="20" t="s">
        <v>15145</v>
      </c>
      <c r="I1884" s="20" t="b">
        <v>1</v>
      </c>
      <c r="J1884" s="20" t="s">
        <v>18205</v>
      </c>
      <c r="K1884" s="20">
        <v>79827</v>
      </c>
      <c r="L1884" s="20" t="s">
        <v>17213</v>
      </c>
      <c r="M1884" s="20" t="s">
        <v>18206</v>
      </c>
    </row>
    <row r="1885" spans="1:13" x14ac:dyDescent="0.25">
      <c r="A1885" s="20">
        <v>90898</v>
      </c>
      <c r="B1885" s="20" t="s">
        <v>16716</v>
      </c>
      <c r="C1885" s="20">
        <v>90898</v>
      </c>
      <c r="D1885" s="20" t="e">
        <f>VLOOKUP(C1885,[1]CHILDCARE_FACILITIES!AJ:AK,2,0)</f>
        <v>#N/A</v>
      </c>
      <c r="E1885" s="20" t="s">
        <v>15134</v>
      </c>
      <c r="F1885" s="20" t="s">
        <v>15135</v>
      </c>
      <c r="G1885" s="20">
        <v>73715001</v>
      </c>
      <c r="H1885" s="20" t="s">
        <v>15145</v>
      </c>
      <c r="I1885" s="20" t="b">
        <v>1</v>
      </c>
      <c r="J1885" s="20" t="s">
        <v>17817</v>
      </c>
      <c r="K1885" s="20">
        <v>90898</v>
      </c>
      <c r="L1885" s="20" t="s">
        <v>17703</v>
      </c>
      <c r="M1885" s="20" t="s">
        <v>17818</v>
      </c>
    </row>
    <row r="1886" spans="1:13" x14ac:dyDescent="0.25">
      <c r="A1886" s="20">
        <v>8523</v>
      </c>
      <c r="B1886" s="20" t="s">
        <v>15160</v>
      </c>
      <c r="C1886" s="20">
        <v>8523</v>
      </c>
      <c r="D1886" s="20" t="e">
        <f>VLOOKUP(C1886,[1]CHILDCARE_FACILITIES!AJ:AK,2,0)</f>
        <v>#N/A</v>
      </c>
      <c r="E1886" s="20" t="s">
        <v>15134</v>
      </c>
      <c r="F1886" s="20" t="s">
        <v>15135</v>
      </c>
      <c r="G1886" s="20">
        <v>32204000</v>
      </c>
      <c r="K1886" s="20">
        <v>8523</v>
      </c>
    </row>
    <row r="1887" spans="1:13" x14ac:dyDescent="0.25">
      <c r="A1887" s="20">
        <v>8524</v>
      </c>
      <c r="B1887" s="20" t="s">
        <v>15160</v>
      </c>
      <c r="C1887" s="20">
        <v>8524</v>
      </c>
      <c r="D1887" s="20" t="e">
        <f>VLOOKUP(C1887,[1]CHILDCARE_FACILITIES!AJ:AK,2,0)</f>
        <v>#N/A</v>
      </c>
      <c r="E1887" s="20" t="s">
        <v>15134</v>
      </c>
      <c r="F1887" s="20" t="s">
        <v>15135</v>
      </c>
      <c r="G1887" s="20">
        <v>32204001</v>
      </c>
      <c r="K1887" s="20">
        <v>8524</v>
      </c>
    </row>
    <row r="1888" spans="1:13" x14ac:dyDescent="0.25">
      <c r="A1888" s="20">
        <v>9116</v>
      </c>
      <c r="B1888" s="20" t="s">
        <v>15368</v>
      </c>
      <c r="C1888" s="20">
        <v>9116</v>
      </c>
      <c r="D1888" s="20" t="e">
        <f>VLOOKUP(C1888,[1]CHILDCARE_FACILITIES!AJ:AK,2,0)</f>
        <v>#N/A</v>
      </c>
      <c r="E1888" s="20" t="s">
        <v>15134</v>
      </c>
      <c r="F1888" s="20" t="s">
        <v>15135</v>
      </c>
      <c r="G1888" s="20">
        <v>73083002</v>
      </c>
      <c r="K1888" s="20">
        <v>9116</v>
      </c>
    </row>
    <row r="1889" spans="1:13" x14ac:dyDescent="0.25">
      <c r="A1889" s="20">
        <v>92306</v>
      </c>
      <c r="B1889" s="20" t="s">
        <v>16848</v>
      </c>
      <c r="C1889" s="20">
        <v>92306</v>
      </c>
      <c r="D1889" s="20" t="str">
        <f>VLOOKUP(C1889,[1]CHILDCARE_FACILITIES!AJ:AK,2,0)</f>
        <v>CDC-16726</v>
      </c>
      <c r="E1889" s="20" t="s">
        <v>15134</v>
      </c>
      <c r="F1889" s="20" t="s">
        <v>15135</v>
      </c>
      <c r="G1889" s="20">
        <v>103148001</v>
      </c>
      <c r="K1889" s="20">
        <v>92306</v>
      </c>
    </row>
    <row r="1890" spans="1:13" x14ac:dyDescent="0.25">
      <c r="A1890" s="20">
        <v>92305</v>
      </c>
      <c r="B1890" s="20" t="s">
        <v>16846</v>
      </c>
      <c r="C1890" s="20">
        <v>92305</v>
      </c>
      <c r="D1890" s="20" t="e">
        <f>VLOOKUP(C1890,[1]CHILDCARE_FACILITIES!AJ:AK,2,0)</f>
        <v>#N/A</v>
      </c>
      <c r="E1890" s="20" t="s">
        <v>15134</v>
      </c>
      <c r="F1890" s="20" t="s">
        <v>15135</v>
      </c>
      <c r="G1890" s="20">
        <v>103148000</v>
      </c>
      <c r="H1890" s="20" t="s">
        <v>15138</v>
      </c>
      <c r="I1890" s="20" t="b">
        <v>1</v>
      </c>
      <c r="J1890" s="20" t="s">
        <v>18537</v>
      </c>
      <c r="K1890" s="20">
        <v>92305</v>
      </c>
      <c r="L1890" s="20" t="s">
        <v>17271</v>
      </c>
      <c r="M1890" s="20" t="s">
        <v>18538</v>
      </c>
    </row>
    <row r="1891" spans="1:13" x14ac:dyDescent="0.25">
      <c r="A1891" s="20">
        <v>92305</v>
      </c>
      <c r="B1891" s="20" t="s">
        <v>16846</v>
      </c>
      <c r="C1891" s="20">
        <v>92305</v>
      </c>
      <c r="D1891" s="20" t="e">
        <f>VLOOKUP(C1891,[1]CHILDCARE_FACILITIES!AJ:AK,2,0)</f>
        <v>#N/A</v>
      </c>
      <c r="E1891" s="20" t="s">
        <v>15134</v>
      </c>
      <c r="F1891" s="20" t="s">
        <v>15135</v>
      </c>
      <c r="G1891" s="20">
        <v>103148000</v>
      </c>
      <c r="H1891" s="20" t="s">
        <v>15136</v>
      </c>
      <c r="I1891" s="20" t="b">
        <v>1</v>
      </c>
      <c r="J1891" s="20" t="s">
        <v>18537</v>
      </c>
      <c r="K1891" s="20">
        <v>92305</v>
      </c>
      <c r="L1891" s="20" t="s">
        <v>17271</v>
      </c>
      <c r="M1891" s="20" t="s">
        <v>18538</v>
      </c>
    </row>
    <row r="1892" spans="1:13" x14ac:dyDescent="0.25">
      <c r="A1892" s="20">
        <v>79370</v>
      </c>
      <c r="B1892" s="20" t="s">
        <v>15963</v>
      </c>
      <c r="C1892" s="20">
        <v>79370</v>
      </c>
      <c r="D1892" s="20" t="e">
        <f>VLOOKUP(C1892,[1]CHILDCARE_FACILITIES!AJ:AK,2,0)</f>
        <v>#N/A</v>
      </c>
      <c r="E1892" s="20" t="s">
        <v>15134</v>
      </c>
      <c r="F1892" s="20" t="s">
        <v>15135</v>
      </c>
      <c r="G1892" s="20">
        <v>72427001</v>
      </c>
      <c r="H1892" s="20" t="s">
        <v>15145</v>
      </c>
      <c r="I1892" s="20" t="b">
        <v>1</v>
      </c>
      <c r="J1892" s="20" t="s">
        <v>18209</v>
      </c>
      <c r="K1892" s="20">
        <v>79370</v>
      </c>
      <c r="L1892" s="20" t="s">
        <v>17213</v>
      </c>
      <c r="M1892" s="20" t="s">
        <v>18210</v>
      </c>
    </row>
    <row r="1893" spans="1:13" x14ac:dyDescent="0.25">
      <c r="A1893" s="20">
        <v>79370</v>
      </c>
      <c r="B1893" s="20" t="s">
        <v>15963</v>
      </c>
      <c r="C1893" s="20">
        <v>79370</v>
      </c>
      <c r="D1893" s="20" t="e">
        <f>VLOOKUP(C1893,[1]CHILDCARE_FACILITIES!AJ:AK,2,0)</f>
        <v>#N/A</v>
      </c>
      <c r="E1893" s="20" t="s">
        <v>15134</v>
      </c>
      <c r="F1893" s="20" t="s">
        <v>15135</v>
      </c>
      <c r="G1893" s="20">
        <v>72427001</v>
      </c>
      <c r="H1893" s="20" t="s">
        <v>15138</v>
      </c>
      <c r="I1893" s="20" t="b">
        <v>1</v>
      </c>
      <c r="J1893" s="20" t="s">
        <v>18209</v>
      </c>
      <c r="K1893" s="20">
        <v>79370</v>
      </c>
      <c r="L1893" s="20" t="s">
        <v>17213</v>
      </c>
      <c r="M1893" s="20" t="s">
        <v>18210</v>
      </c>
    </row>
    <row r="1894" spans="1:13" x14ac:dyDescent="0.25">
      <c r="A1894" s="20">
        <v>84311</v>
      </c>
      <c r="B1894" s="20" t="s">
        <v>16283</v>
      </c>
      <c r="C1894" s="20">
        <v>84311</v>
      </c>
      <c r="D1894" s="20" t="str">
        <f>VLOOKUP(C1894,[1]CHILDCARE_FACILITIES!AJ:AK,2,0)</f>
        <v>CDC-9945</v>
      </c>
      <c r="E1894" s="20" t="s">
        <v>15134</v>
      </c>
      <c r="F1894" s="20" t="s">
        <v>15135</v>
      </c>
      <c r="G1894" s="20">
        <v>103123001</v>
      </c>
      <c r="H1894" s="20" t="s">
        <v>15138</v>
      </c>
      <c r="I1894" s="20" t="b">
        <v>1</v>
      </c>
      <c r="J1894" s="20" t="s">
        <v>17385</v>
      </c>
      <c r="K1894" s="20">
        <v>84311</v>
      </c>
      <c r="L1894" s="20" t="s">
        <v>17271</v>
      </c>
      <c r="M1894" s="20" t="s">
        <v>17386</v>
      </c>
    </row>
    <row r="1895" spans="1:13" x14ac:dyDescent="0.25">
      <c r="A1895" s="20">
        <v>84311</v>
      </c>
      <c r="B1895" s="20" t="s">
        <v>16283</v>
      </c>
      <c r="C1895" s="20">
        <v>84311</v>
      </c>
      <c r="D1895" s="20" t="str">
        <f>VLOOKUP(C1895,[1]CHILDCARE_FACILITIES!AJ:AK,2,0)</f>
        <v>CDC-9945</v>
      </c>
      <c r="E1895" s="20" t="s">
        <v>15134</v>
      </c>
      <c r="F1895" s="20" t="s">
        <v>15135</v>
      </c>
      <c r="G1895" s="20">
        <v>103123001</v>
      </c>
      <c r="H1895" s="20" t="s">
        <v>15145</v>
      </c>
      <c r="I1895" s="20" t="b">
        <v>1</v>
      </c>
      <c r="J1895" s="20" t="s">
        <v>17385</v>
      </c>
      <c r="K1895" s="20">
        <v>84311</v>
      </c>
      <c r="L1895" s="20" t="s">
        <v>17271</v>
      </c>
      <c r="M1895" s="20" t="s">
        <v>17386</v>
      </c>
    </row>
    <row r="1896" spans="1:13" x14ac:dyDescent="0.25">
      <c r="A1896" s="20">
        <v>91817</v>
      </c>
      <c r="B1896" s="20" t="s">
        <v>16797</v>
      </c>
      <c r="C1896" s="20">
        <v>91817</v>
      </c>
      <c r="D1896" s="20" t="e">
        <f>VLOOKUP(C1896,[1]CHILDCARE_FACILITIES!AJ:AK,2,0)</f>
        <v>#N/A</v>
      </c>
      <c r="E1896" s="20" t="s">
        <v>15134</v>
      </c>
      <c r="F1896" s="20" t="s">
        <v>15135</v>
      </c>
      <c r="G1896" s="20">
        <v>103136001</v>
      </c>
      <c r="H1896" s="20" t="s">
        <v>15145</v>
      </c>
      <c r="I1896" s="20" t="b">
        <v>1</v>
      </c>
      <c r="J1896" s="20" t="s">
        <v>18539</v>
      </c>
      <c r="K1896" s="20">
        <v>91817</v>
      </c>
      <c r="L1896" s="20" t="s">
        <v>17271</v>
      </c>
      <c r="M1896" s="20" t="s">
        <v>18540</v>
      </c>
    </row>
    <row r="1897" spans="1:13" x14ac:dyDescent="0.25">
      <c r="A1897" s="20">
        <v>91817</v>
      </c>
      <c r="B1897" s="20" t="s">
        <v>16797</v>
      </c>
      <c r="C1897" s="20">
        <v>91817</v>
      </c>
      <c r="D1897" s="20" t="e">
        <f>VLOOKUP(C1897,[1]CHILDCARE_FACILITIES!AJ:AK,2,0)</f>
        <v>#N/A</v>
      </c>
      <c r="E1897" s="20" t="s">
        <v>15134</v>
      </c>
      <c r="F1897" s="20" t="s">
        <v>15135</v>
      </c>
      <c r="G1897" s="20">
        <v>103136001</v>
      </c>
      <c r="H1897" s="20" t="s">
        <v>15138</v>
      </c>
      <c r="I1897" s="20" t="b">
        <v>1</v>
      </c>
      <c r="J1897" s="20" t="s">
        <v>18541</v>
      </c>
      <c r="K1897" s="20">
        <v>91817</v>
      </c>
      <c r="L1897" s="20" t="s">
        <v>17271</v>
      </c>
      <c r="M1897" s="20" t="s">
        <v>18540</v>
      </c>
    </row>
    <row r="1898" spans="1:13" x14ac:dyDescent="0.25">
      <c r="A1898" s="20">
        <v>79774</v>
      </c>
      <c r="B1898" s="20" t="s">
        <v>16005</v>
      </c>
      <c r="C1898" s="20">
        <v>79774</v>
      </c>
      <c r="D1898" s="20" t="e">
        <f>VLOOKUP(C1898,[1]CHILDCARE_FACILITIES!AJ:AK,2,0)</f>
        <v>#N/A</v>
      </c>
      <c r="E1898" s="20" t="s">
        <v>15134</v>
      </c>
      <c r="F1898" s="20" t="s">
        <v>15135</v>
      </c>
      <c r="G1898" s="20">
        <v>72428000</v>
      </c>
      <c r="H1898" s="20" t="s">
        <v>15145</v>
      </c>
      <c r="I1898" s="20" t="b">
        <v>1</v>
      </c>
      <c r="J1898" s="20" t="s">
        <v>18542</v>
      </c>
      <c r="K1898" s="20">
        <v>79774</v>
      </c>
      <c r="L1898" s="20" t="s">
        <v>17213</v>
      </c>
      <c r="M1898" s="20" t="s">
        <v>18543</v>
      </c>
    </row>
    <row r="1899" spans="1:13" x14ac:dyDescent="0.25">
      <c r="A1899" s="20">
        <v>79774</v>
      </c>
      <c r="B1899" s="20" t="s">
        <v>16005</v>
      </c>
      <c r="C1899" s="20">
        <v>79774</v>
      </c>
      <c r="D1899" s="20" t="e">
        <f>VLOOKUP(C1899,[1]CHILDCARE_FACILITIES!AJ:AK,2,0)</f>
        <v>#N/A</v>
      </c>
      <c r="E1899" s="20" t="s">
        <v>15134</v>
      </c>
      <c r="F1899" s="20" t="s">
        <v>15135</v>
      </c>
      <c r="G1899" s="20">
        <v>72428000</v>
      </c>
      <c r="H1899" s="20" t="s">
        <v>15138</v>
      </c>
      <c r="I1899" s="20" t="b">
        <v>1</v>
      </c>
      <c r="J1899" s="20" t="s">
        <v>18542</v>
      </c>
      <c r="K1899" s="20">
        <v>79774</v>
      </c>
      <c r="L1899" s="20" t="s">
        <v>17213</v>
      </c>
      <c r="M1899" s="20" t="s">
        <v>18543</v>
      </c>
    </row>
    <row r="1900" spans="1:13" x14ac:dyDescent="0.25">
      <c r="A1900" s="20">
        <v>79775</v>
      </c>
      <c r="B1900" s="20" t="s">
        <v>16005</v>
      </c>
      <c r="C1900" s="20">
        <v>79775</v>
      </c>
      <c r="D1900" s="20" t="e">
        <f>VLOOKUP(C1900,[1]CHILDCARE_FACILITIES!AJ:AK,2,0)</f>
        <v>#N/A</v>
      </c>
      <c r="E1900" s="20" t="s">
        <v>15134</v>
      </c>
      <c r="F1900" s="20" t="s">
        <v>15135</v>
      </c>
      <c r="G1900" s="20">
        <v>72428001</v>
      </c>
      <c r="H1900" s="20" t="s">
        <v>15138</v>
      </c>
      <c r="I1900" s="20" t="b">
        <v>1</v>
      </c>
      <c r="J1900" s="20" t="s">
        <v>18542</v>
      </c>
      <c r="K1900" s="20">
        <v>79775</v>
      </c>
      <c r="L1900" s="20" t="s">
        <v>17213</v>
      </c>
      <c r="M1900" s="20" t="s">
        <v>18543</v>
      </c>
    </row>
    <row r="1901" spans="1:13" x14ac:dyDescent="0.25">
      <c r="A1901" s="20">
        <v>79775</v>
      </c>
      <c r="B1901" s="20" t="s">
        <v>16005</v>
      </c>
      <c r="C1901" s="20">
        <v>79775</v>
      </c>
      <c r="D1901" s="20" t="e">
        <f>VLOOKUP(C1901,[1]CHILDCARE_FACILITIES!AJ:AK,2,0)</f>
        <v>#N/A</v>
      </c>
      <c r="E1901" s="20" t="s">
        <v>15134</v>
      </c>
      <c r="F1901" s="20" t="s">
        <v>15135</v>
      </c>
      <c r="G1901" s="20">
        <v>72428001</v>
      </c>
      <c r="H1901" s="20" t="s">
        <v>15145</v>
      </c>
      <c r="I1901" s="20" t="b">
        <v>1</v>
      </c>
      <c r="J1901" s="20" t="s">
        <v>18542</v>
      </c>
      <c r="K1901" s="20">
        <v>79775</v>
      </c>
      <c r="L1901" s="20" t="s">
        <v>17213</v>
      </c>
      <c r="M1901" s="20" t="s">
        <v>18543</v>
      </c>
    </row>
    <row r="1902" spans="1:13" x14ac:dyDescent="0.25">
      <c r="A1902" s="20">
        <v>624184</v>
      </c>
      <c r="B1902" s="20" t="s">
        <v>17014</v>
      </c>
      <c r="C1902" s="20">
        <v>624184</v>
      </c>
      <c r="D1902" s="20" t="str">
        <f>VLOOKUP(C1902,[1]CHILDCARE_FACILITIES!AJ:AK,2,0)</f>
        <v>CDC-17260</v>
      </c>
      <c r="E1902" s="20" t="s">
        <v>15134</v>
      </c>
      <c r="F1902" s="20" t="s">
        <v>15135</v>
      </c>
      <c r="G1902" s="20">
        <v>72455001</v>
      </c>
      <c r="H1902" s="20" t="s">
        <v>15136</v>
      </c>
      <c r="I1902" s="20" t="b">
        <v>1</v>
      </c>
      <c r="J1902" s="20" t="s">
        <v>18544</v>
      </c>
      <c r="K1902" s="20">
        <v>624184</v>
      </c>
      <c r="L1902" s="20" t="s">
        <v>17233</v>
      </c>
      <c r="M1902" s="20" t="s">
        <v>18545</v>
      </c>
    </row>
    <row r="1903" spans="1:13" x14ac:dyDescent="0.25">
      <c r="A1903" s="20">
        <v>624184</v>
      </c>
      <c r="B1903" s="20" t="s">
        <v>17014</v>
      </c>
      <c r="C1903" s="20">
        <v>624184</v>
      </c>
      <c r="D1903" s="20" t="str">
        <f>VLOOKUP(C1903,[1]CHILDCARE_FACILITIES!AJ:AK,2,0)</f>
        <v>CDC-17260</v>
      </c>
      <c r="E1903" s="20" t="s">
        <v>15134</v>
      </c>
      <c r="F1903" s="20" t="s">
        <v>15135</v>
      </c>
      <c r="G1903" s="20">
        <v>72455001</v>
      </c>
      <c r="H1903" s="20" t="s">
        <v>15138</v>
      </c>
      <c r="I1903" s="20" t="b">
        <v>1</v>
      </c>
      <c r="J1903" s="20" t="s">
        <v>18544</v>
      </c>
      <c r="K1903" s="20">
        <v>624184</v>
      </c>
      <c r="L1903" s="20" t="s">
        <v>17233</v>
      </c>
      <c r="M1903" s="20" t="s">
        <v>18545</v>
      </c>
    </row>
    <row r="1904" spans="1:13" x14ac:dyDescent="0.25">
      <c r="A1904" s="20">
        <v>308573</v>
      </c>
      <c r="B1904" s="20" t="s">
        <v>16986</v>
      </c>
      <c r="C1904" s="20">
        <v>308573</v>
      </c>
      <c r="D1904" s="20" t="e">
        <f>VLOOKUP(C1904,[1]CHILDCARE_FACILITIES!AJ:AK,2,0)</f>
        <v>#N/A</v>
      </c>
      <c r="E1904" s="20" t="s">
        <v>15134</v>
      </c>
      <c r="F1904" s="20" t="s">
        <v>15135</v>
      </c>
      <c r="G1904" s="20">
        <v>72455000</v>
      </c>
      <c r="H1904" s="20" t="s">
        <v>15136</v>
      </c>
      <c r="I1904" s="20" t="b">
        <v>1</v>
      </c>
      <c r="J1904" s="20" t="s">
        <v>18546</v>
      </c>
      <c r="K1904" s="20">
        <v>308573</v>
      </c>
      <c r="L1904" s="20" t="s">
        <v>17233</v>
      </c>
      <c r="M1904" s="20" t="s">
        <v>18545</v>
      </c>
    </row>
    <row r="1905" spans="1:13" x14ac:dyDescent="0.25">
      <c r="A1905" s="20">
        <v>308573</v>
      </c>
      <c r="B1905" s="20" t="s">
        <v>16986</v>
      </c>
      <c r="C1905" s="20">
        <v>308573</v>
      </c>
      <c r="D1905" s="20" t="e">
        <f>VLOOKUP(C1905,[1]CHILDCARE_FACILITIES!AJ:AK,2,0)</f>
        <v>#N/A</v>
      </c>
      <c r="E1905" s="20" t="s">
        <v>15134</v>
      </c>
      <c r="F1905" s="20" t="s">
        <v>15135</v>
      </c>
      <c r="G1905" s="20">
        <v>72455000</v>
      </c>
      <c r="H1905" s="20" t="s">
        <v>15138</v>
      </c>
      <c r="I1905" s="20" t="b">
        <v>1</v>
      </c>
      <c r="J1905" s="20" t="s">
        <v>18544</v>
      </c>
      <c r="K1905" s="20">
        <v>308573</v>
      </c>
      <c r="L1905" s="20" t="s">
        <v>17233</v>
      </c>
      <c r="M1905" s="20" t="s">
        <v>18545</v>
      </c>
    </row>
    <row r="1906" spans="1:13" x14ac:dyDescent="0.25">
      <c r="A1906" s="20">
        <v>90131</v>
      </c>
      <c r="B1906" s="20" t="s">
        <v>16559</v>
      </c>
      <c r="C1906" s="20">
        <v>90131</v>
      </c>
      <c r="D1906" s="20" t="str">
        <f>VLOOKUP(C1906,[1]CHILDCARE_FACILITIES!AJ:AK,2,0)</f>
        <v>CDC-16681</v>
      </c>
      <c r="E1906" s="20" t="s">
        <v>15134</v>
      </c>
      <c r="F1906" s="20" t="s">
        <v>15135</v>
      </c>
      <c r="G1906" s="20">
        <v>83024001</v>
      </c>
      <c r="H1906" s="20" t="s">
        <v>15138</v>
      </c>
      <c r="I1906" s="20" t="b">
        <v>0</v>
      </c>
      <c r="J1906" s="20" t="s">
        <v>18547</v>
      </c>
      <c r="K1906" s="20">
        <v>90131</v>
      </c>
      <c r="L1906" s="20" t="s">
        <v>17399</v>
      </c>
      <c r="M1906" s="20" t="s">
        <v>18548</v>
      </c>
    </row>
    <row r="1907" spans="1:13" x14ac:dyDescent="0.25">
      <c r="A1907" s="20">
        <v>90131</v>
      </c>
      <c r="B1907" s="20" t="s">
        <v>16559</v>
      </c>
      <c r="C1907" s="20">
        <v>90131</v>
      </c>
      <c r="D1907" s="20" t="str">
        <f>VLOOKUP(C1907,[1]CHILDCARE_FACILITIES!AJ:AK,2,0)</f>
        <v>CDC-16681</v>
      </c>
      <c r="E1907" s="20" t="s">
        <v>15134</v>
      </c>
      <c r="F1907" s="20" t="s">
        <v>15135</v>
      </c>
      <c r="G1907" s="20">
        <v>83024001</v>
      </c>
      <c r="H1907" s="20" t="s">
        <v>15145</v>
      </c>
      <c r="I1907" s="20" t="b">
        <v>0</v>
      </c>
      <c r="J1907" s="20" t="s">
        <v>18547</v>
      </c>
      <c r="K1907" s="20">
        <v>90131</v>
      </c>
      <c r="L1907" s="20" t="s">
        <v>17399</v>
      </c>
      <c r="M1907" s="20" t="s">
        <v>18548</v>
      </c>
    </row>
    <row r="1908" spans="1:13" x14ac:dyDescent="0.25">
      <c r="A1908" s="20">
        <v>90130</v>
      </c>
      <c r="B1908" s="20" t="s">
        <v>16557</v>
      </c>
      <c r="C1908" s="20">
        <v>90130</v>
      </c>
      <c r="D1908" s="20" t="e">
        <f>VLOOKUP(C1908,[1]CHILDCARE_FACILITIES!AJ:AK,2,0)</f>
        <v>#N/A</v>
      </c>
      <c r="E1908" s="20" t="s">
        <v>15134</v>
      </c>
      <c r="F1908" s="20" t="s">
        <v>15135</v>
      </c>
      <c r="G1908" s="20">
        <v>83024000</v>
      </c>
      <c r="H1908" s="20" t="s">
        <v>15138</v>
      </c>
      <c r="I1908" s="20" t="b">
        <v>1</v>
      </c>
      <c r="J1908" s="20" t="s">
        <v>18549</v>
      </c>
      <c r="K1908" s="20">
        <v>90130</v>
      </c>
      <c r="L1908" s="20" t="s">
        <v>17402</v>
      </c>
      <c r="M1908" s="20" t="s">
        <v>18550</v>
      </c>
    </row>
    <row r="1909" spans="1:13" x14ac:dyDescent="0.25">
      <c r="A1909" s="20">
        <v>90130</v>
      </c>
      <c r="B1909" s="20" t="s">
        <v>16557</v>
      </c>
      <c r="C1909" s="20">
        <v>90130</v>
      </c>
      <c r="D1909" s="20" t="e">
        <f>VLOOKUP(C1909,[1]CHILDCARE_FACILITIES!AJ:AK,2,0)</f>
        <v>#N/A</v>
      </c>
      <c r="E1909" s="20" t="s">
        <v>15134</v>
      </c>
      <c r="F1909" s="20" t="s">
        <v>15135</v>
      </c>
      <c r="G1909" s="20">
        <v>83024000</v>
      </c>
      <c r="H1909" s="20" t="s">
        <v>15136</v>
      </c>
      <c r="I1909" s="20" t="b">
        <v>1</v>
      </c>
      <c r="J1909" s="20" t="s">
        <v>18549</v>
      </c>
      <c r="K1909" s="20">
        <v>90130</v>
      </c>
      <c r="L1909" s="20" t="s">
        <v>17402</v>
      </c>
      <c r="M1909" s="20" t="s">
        <v>18550</v>
      </c>
    </row>
    <row r="1910" spans="1:13" x14ac:dyDescent="0.25">
      <c r="A1910" s="20">
        <v>92811</v>
      </c>
      <c r="B1910" s="20" t="s">
        <v>16939</v>
      </c>
      <c r="C1910" s="20">
        <v>92811</v>
      </c>
      <c r="D1910" s="20" t="e">
        <f>VLOOKUP(C1910,[1]CHILDCARE_FACILITIES!AJ:AK,2,0)</f>
        <v>#N/A</v>
      </c>
      <c r="E1910" s="20" t="s">
        <v>15134</v>
      </c>
      <c r="F1910" s="20" t="s">
        <v>15135</v>
      </c>
      <c r="G1910" s="20">
        <v>142212000</v>
      </c>
      <c r="H1910" s="20" t="s">
        <v>15136</v>
      </c>
      <c r="I1910" s="20" t="b">
        <v>1</v>
      </c>
      <c r="J1910" s="20" t="s">
        <v>18551</v>
      </c>
      <c r="K1910" s="20">
        <v>92811</v>
      </c>
      <c r="L1910" s="20" t="s">
        <v>18552</v>
      </c>
      <c r="M1910" s="20" t="s">
        <v>18553</v>
      </c>
    </row>
    <row r="1911" spans="1:13" x14ac:dyDescent="0.25">
      <c r="A1911" s="20">
        <v>92811</v>
      </c>
      <c r="B1911" s="20" t="s">
        <v>16939</v>
      </c>
      <c r="C1911" s="20">
        <v>92811</v>
      </c>
      <c r="D1911" s="20" t="e">
        <f>VLOOKUP(C1911,[1]CHILDCARE_FACILITIES!AJ:AK,2,0)</f>
        <v>#N/A</v>
      </c>
      <c r="E1911" s="20" t="s">
        <v>15134</v>
      </c>
      <c r="F1911" s="20" t="s">
        <v>15135</v>
      </c>
      <c r="G1911" s="20">
        <v>142212000</v>
      </c>
      <c r="H1911" s="20" t="s">
        <v>15138</v>
      </c>
      <c r="I1911" s="20" t="b">
        <v>1</v>
      </c>
      <c r="J1911" s="20" t="s">
        <v>18551</v>
      </c>
      <c r="K1911" s="20">
        <v>92811</v>
      </c>
      <c r="L1911" s="20" t="s">
        <v>18552</v>
      </c>
      <c r="M1911" s="20" t="s">
        <v>18553</v>
      </c>
    </row>
    <row r="1912" spans="1:13" x14ac:dyDescent="0.25">
      <c r="A1912" s="20">
        <v>92812</v>
      </c>
      <c r="B1912" s="20" t="s">
        <v>16939</v>
      </c>
      <c r="C1912" s="20">
        <v>92812</v>
      </c>
      <c r="D1912" s="20" t="e">
        <f>VLOOKUP(C1912,[1]CHILDCARE_FACILITIES!AJ:AK,2,0)</f>
        <v>#N/A</v>
      </c>
      <c r="E1912" s="20" t="s">
        <v>15134</v>
      </c>
      <c r="F1912" s="20" t="s">
        <v>15135</v>
      </c>
      <c r="G1912" s="20">
        <v>142212001</v>
      </c>
      <c r="H1912" s="20" t="s">
        <v>15136</v>
      </c>
      <c r="I1912" s="20" t="b">
        <v>1</v>
      </c>
      <c r="J1912" s="20" t="s">
        <v>18551</v>
      </c>
      <c r="K1912" s="20">
        <v>92812</v>
      </c>
      <c r="L1912" s="20" t="s">
        <v>18552</v>
      </c>
      <c r="M1912" s="20" t="s">
        <v>18553</v>
      </c>
    </row>
    <row r="1913" spans="1:13" x14ac:dyDescent="0.25">
      <c r="A1913" s="20">
        <v>92812</v>
      </c>
      <c r="B1913" s="20" t="s">
        <v>16939</v>
      </c>
      <c r="C1913" s="20">
        <v>92812</v>
      </c>
      <c r="D1913" s="20" t="e">
        <f>VLOOKUP(C1913,[1]CHILDCARE_FACILITIES!AJ:AK,2,0)</f>
        <v>#N/A</v>
      </c>
      <c r="E1913" s="20" t="s">
        <v>15134</v>
      </c>
      <c r="F1913" s="20" t="s">
        <v>15135</v>
      </c>
      <c r="G1913" s="20">
        <v>142212001</v>
      </c>
      <c r="H1913" s="20" t="s">
        <v>15138</v>
      </c>
      <c r="I1913" s="20" t="b">
        <v>1</v>
      </c>
      <c r="J1913" s="20" t="s">
        <v>18551</v>
      </c>
      <c r="K1913" s="20">
        <v>92812</v>
      </c>
      <c r="L1913" s="20" t="s">
        <v>18552</v>
      </c>
      <c r="M1913" s="20" t="s">
        <v>18553</v>
      </c>
    </row>
    <row r="1914" spans="1:13" x14ac:dyDescent="0.25">
      <c r="A1914" s="20">
        <v>9238</v>
      </c>
      <c r="B1914" s="20" t="s">
        <v>15427</v>
      </c>
      <c r="C1914" s="20">
        <v>9238</v>
      </c>
      <c r="D1914" s="20" t="e">
        <f>VLOOKUP(C1914,[1]CHILDCARE_FACILITIES!AJ:AK,2,0)</f>
        <v>#N/A</v>
      </c>
      <c r="E1914" s="20" t="s">
        <v>15134</v>
      </c>
      <c r="F1914" s="20" t="s">
        <v>15135</v>
      </c>
      <c r="G1914" s="20">
        <v>73169001</v>
      </c>
      <c r="K1914" s="20">
        <v>9238</v>
      </c>
    </row>
    <row r="1915" spans="1:13" x14ac:dyDescent="0.25">
      <c r="A1915" s="20">
        <v>9943</v>
      </c>
      <c r="B1915" s="20" t="s">
        <v>15741</v>
      </c>
      <c r="C1915" s="20">
        <v>9943</v>
      </c>
      <c r="D1915" s="20" t="e">
        <f>VLOOKUP(C1915,[1]CHILDCARE_FACILITIES!AJ:AK,2,0)</f>
        <v>#N/A</v>
      </c>
      <c r="E1915" s="20" t="s">
        <v>15134</v>
      </c>
      <c r="F1915" s="20" t="s">
        <v>15135</v>
      </c>
      <c r="G1915" s="20">
        <v>103063001</v>
      </c>
      <c r="K1915" s="20">
        <v>9943</v>
      </c>
    </row>
    <row r="1916" spans="1:13" x14ac:dyDescent="0.25">
      <c r="A1916" s="20">
        <v>9973</v>
      </c>
      <c r="B1916" s="20" t="s">
        <v>15759</v>
      </c>
      <c r="C1916" s="20">
        <v>9973</v>
      </c>
      <c r="D1916" s="20" t="e">
        <f>VLOOKUP(C1916,[1]CHILDCARE_FACILITIES!AJ:AK,2,0)</f>
        <v>#N/A</v>
      </c>
      <c r="E1916" s="20" t="s">
        <v>15134</v>
      </c>
      <c r="F1916" s="20" t="s">
        <v>15135</v>
      </c>
      <c r="G1916" s="20">
        <v>103078001</v>
      </c>
      <c r="K1916" s="20">
        <v>9973</v>
      </c>
    </row>
    <row r="1917" spans="1:13" x14ac:dyDescent="0.25">
      <c r="A1917" s="20">
        <v>10054</v>
      </c>
      <c r="B1917" s="20" t="s">
        <v>15759</v>
      </c>
      <c r="C1917" s="20">
        <v>10054</v>
      </c>
      <c r="D1917" s="20" t="e">
        <f>VLOOKUP(C1917,[1]CHILDCARE_FACILITIES!AJ:AK,2,0)</f>
        <v>#N/A</v>
      </c>
      <c r="E1917" s="20" t="s">
        <v>15134</v>
      </c>
      <c r="F1917" s="20" t="s">
        <v>15135</v>
      </c>
      <c r="G1917" s="20">
        <v>103107001</v>
      </c>
      <c r="K1917" s="20">
        <v>10054</v>
      </c>
    </row>
    <row r="1918" spans="1:13" x14ac:dyDescent="0.25">
      <c r="A1918" s="20">
        <v>8782</v>
      </c>
      <c r="B1918" s="20" t="s">
        <v>15274</v>
      </c>
      <c r="C1918" s="20">
        <v>8782</v>
      </c>
      <c r="D1918" s="20" t="e">
        <f>VLOOKUP(C1918,[1]CHILDCARE_FACILITIES!AJ:AK,2,0)</f>
        <v>#N/A</v>
      </c>
      <c r="E1918" s="20" t="s">
        <v>15134</v>
      </c>
      <c r="F1918" s="20" t="s">
        <v>15135</v>
      </c>
      <c r="G1918" s="20">
        <v>72409002</v>
      </c>
      <c r="K1918" s="20">
        <v>8782</v>
      </c>
    </row>
    <row r="1919" spans="1:13" x14ac:dyDescent="0.25">
      <c r="A1919" s="20">
        <v>9099</v>
      </c>
      <c r="B1919" s="20" t="s">
        <v>15359</v>
      </c>
      <c r="C1919" s="20">
        <v>9099</v>
      </c>
      <c r="D1919" s="20" t="e">
        <f>VLOOKUP(C1919,[1]CHILDCARE_FACILITIES!AJ:AK,2,0)</f>
        <v>#N/A</v>
      </c>
      <c r="E1919" s="20" t="s">
        <v>15134</v>
      </c>
      <c r="F1919" s="20" t="s">
        <v>15135</v>
      </c>
      <c r="G1919" s="20">
        <v>73073001</v>
      </c>
      <c r="K1919" s="20">
        <v>9099</v>
      </c>
    </row>
    <row r="1920" spans="1:13" x14ac:dyDescent="0.25">
      <c r="A1920" s="20">
        <v>9228</v>
      </c>
      <c r="B1920" s="20" t="s">
        <v>15423</v>
      </c>
      <c r="C1920" s="20">
        <v>9228</v>
      </c>
      <c r="D1920" s="20" t="e">
        <f>VLOOKUP(C1920,[1]CHILDCARE_FACILITIES!AJ:AK,2,0)</f>
        <v>#N/A</v>
      </c>
      <c r="E1920" s="20" t="s">
        <v>15134</v>
      </c>
      <c r="F1920" s="20" t="s">
        <v>15135</v>
      </c>
      <c r="G1920" s="20">
        <v>73162001</v>
      </c>
      <c r="K1920" s="20">
        <v>9228</v>
      </c>
    </row>
    <row r="1921" spans="1:13" x14ac:dyDescent="0.25">
      <c r="A1921" s="20">
        <v>9407</v>
      </c>
      <c r="B1921" s="20" t="s">
        <v>15423</v>
      </c>
      <c r="C1921" s="20">
        <v>9407</v>
      </c>
      <c r="D1921" s="20" t="e">
        <f>VLOOKUP(C1921,[1]CHILDCARE_FACILITIES!AJ:AK,2,0)</f>
        <v>#N/A</v>
      </c>
      <c r="E1921" s="20" t="s">
        <v>15134</v>
      </c>
      <c r="F1921" s="20" t="s">
        <v>15135</v>
      </c>
      <c r="G1921" s="20">
        <v>73249001</v>
      </c>
      <c r="K1921" s="20">
        <v>9407</v>
      </c>
    </row>
    <row r="1922" spans="1:13" x14ac:dyDescent="0.25">
      <c r="A1922" s="20">
        <v>9500</v>
      </c>
      <c r="B1922" s="20" t="s">
        <v>15572</v>
      </c>
      <c r="C1922" s="20">
        <v>9500</v>
      </c>
      <c r="D1922" s="20" t="e">
        <f>VLOOKUP(C1922,[1]CHILDCARE_FACILITIES!AJ:AK,2,0)</f>
        <v>#N/A</v>
      </c>
      <c r="E1922" s="20" t="s">
        <v>15134</v>
      </c>
      <c r="F1922" s="20" t="s">
        <v>15135</v>
      </c>
      <c r="G1922" s="20">
        <v>73278002</v>
      </c>
      <c r="K1922" s="20">
        <v>9500</v>
      </c>
    </row>
    <row r="1923" spans="1:13" x14ac:dyDescent="0.25">
      <c r="A1923" s="20">
        <v>88063</v>
      </c>
      <c r="B1923" s="20" t="s">
        <v>16360</v>
      </c>
      <c r="C1923" s="20">
        <v>88063</v>
      </c>
      <c r="D1923" s="20" t="e">
        <f>VLOOKUP(C1923,[1]CHILDCARE_FACILITIES!AJ:AK,2,0)</f>
        <v>#N/A</v>
      </c>
      <c r="E1923" s="20" t="s">
        <v>15134</v>
      </c>
      <c r="F1923" s="20" t="s">
        <v>15135</v>
      </c>
      <c r="G1923" s="20">
        <v>23012001</v>
      </c>
      <c r="H1923" s="20" t="s">
        <v>15138</v>
      </c>
      <c r="I1923" s="20" t="b">
        <v>1</v>
      </c>
      <c r="J1923" s="20" t="s">
        <v>18554</v>
      </c>
      <c r="K1923" s="20">
        <v>88063</v>
      </c>
      <c r="L1923" s="20" t="s">
        <v>18555</v>
      </c>
      <c r="M1923" s="20" t="s">
        <v>18556</v>
      </c>
    </row>
    <row r="1924" spans="1:13" x14ac:dyDescent="0.25">
      <c r="A1924" s="20">
        <v>88063</v>
      </c>
      <c r="B1924" s="20" t="s">
        <v>16360</v>
      </c>
      <c r="C1924" s="20">
        <v>88063</v>
      </c>
      <c r="D1924" s="20" t="e">
        <f>VLOOKUP(C1924,[1]CHILDCARE_FACILITIES!AJ:AK,2,0)</f>
        <v>#N/A</v>
      </c>
      <c r="E1924" s="20" t="s">
        <v>15134</v>
      </c>
      <c r="F1924" s="20" t="s">
        <v>15135</v>
      </c>
      <c r="G1924" s="20">
        <v>23012001</v>
      </c>
      <c r="H1924" s="20" t="s">
        <v>15145</v>
      </c>
      <c r="I1924" s="20" t="b">
        <v>1</v>
      </c>
      <c r="J1924" s="20" t="s">
        <v>18554</v>
      </c>
      <c r="K1924" s="20">
        <v>88063</v>
      </c>
      <c r="L1924" s="20" t="s">
        <v>18555</v>
      </c>
      <c r="M1924" s="20" t="s">
        <v>18556</v>
      </c>
    </row>
    <row r="1925" spans="1:13" x14ac:dyDescent="0.25">
      <c r="A1925" s="20">
        <v>8608</v>
      </c>
      <c r="B1925" s="20" t="s">
        <v>15173</v>
      </c>
      <c r="C1925" s="20">
        <v>8608</v>
      </c>
      <c r="D1925" s="20" t="e">
        <f>VLOOKUP(C1925,[1]CHILDCARE_FACILITIES!AJ:AK,2,0)</f>
        <v>#N/A</v>
      </c>
      <c r="E1925" s="20" t="s">
        <v>15134</v>
      </c>
      <c r="F1925" s="20" t="s">
        <v>15135</v>
      </c>
      <c r="G1925" s="20">
        <v>63006001</v>
      </c>
      <c r="K1925" s="20">
        <v>8608</v>
      </c>
    </row>
    <row r="1926" spans="1:13" x14ac:dyDescent="0.25">
      <c r="A1926" s="20">
        <v>80510</v>
      </c>
      <c r="B1926" s="20" t="s">
        <v>16083</v>
      </c>
      <c r="C1926" s="20">
        <v>80510</v>
      </c>
      <c r="D1926" s="20" t="e">
        <f>VLOOKUP(C1926,[1]CHILDCARE_FACILITIES!AJ:AK,2,0)</f>
        <v>#N/A</v>
      </c>
      <c r="E1926" s="20" t="s">
        <v>15134</v>
      </c>
      <c r="F1926" s="20" t="s">
        <v>15135</v>
      </c>
      <c r="G1926" s="20">
        <v>32210008</v>
      </c>
      <c r="H1926" s="20" t="s">
        <v>15138</v>
      </c>
      <c r="I1926" s="20" t="b">
        <v>1</v>
      </c>
      <c r="J1926" s="20" t="s">
        <v>17719</v>
      </c>
      <c r="K1926" s="20">
        <v>80510</v>
      </c>
      <c r="L1926" s="20" t="s">
        <v>17715</v>
      </c>
      <c r="M1926" s="20" t="s">
        <v>17720</v>
      </c>
    </row>
    <row r="1927" spans="1:13" x14ac:dyDescent="0.25">
      <c r="A1927" s="20">
        <v>80510</v>
      </c>
      <c r="B1927" s="20" t="s">
        <v>16083</v>
      </c>
      <c r="C1927" s="20">
        <v>80510</v>
      </c>
      <c r="D1927" s="20" t="e">
        <f>VLOOKUP(C1927,[1]CHILDCARE_FACILITIES!AJ:AK,2,0)</f>
        <v>#N/A</v>
      </c>
      <c r="E1927" s="20" t="s">
        <v>15134</v>
      </c>
      <c r="F1927" s="20" t="s">
        <v>15135</v>
      </c>
      <c r="G1927" s="20">
        <v>32210008</v>
      </c>
      <c r="H1927" s="20" t="s">
        <v>15145</v>
      </c>
      <c r="I1927" s="20" t="b">
        <v>1</v>
      </c>
      <c r="J1927" s="20" t="s">
        <v>18557</v>
      </c>
      <c r="K1927" s="20">
        <v>80510</v>
      </c>
      <c r="L1927" s="20" t="s">
        <v>17715</v>
      </c>
      <c r="M1927" s="20" t="s">
        <v>18558</v>
      </c>
    </row>
    <row r="1928" spans="1:13" x14ac:dyDescent="0.25">
      <c r="A1928" s="20">
        <v>90499</v>
      </c>
      <c r="B1928" s="20" t="s">
        <v>16636</v>
      </c>
      <c r="C1928" s="20">
        <v>90499</v>
      </c>
      <c r="D1928" s="20" t="str">
        <f>VLOOKUP(C1928,[1]CHILDCARE_FACILITIES!AJ:AK,2,0)</f>
        <v>CDC-15273</v>
      </c>
      <c r="E1928" s="20" t="s">
        <v>15134</v>
      </c>
      <c r="F1928" s="20" t="s">
        <v>15135</v>
      </c>
      <c r="G1928" s="20">
        <v>103216001</v>
      </c>
      <c r="H1928" s="20" t="s">
        <v>15145</v>
      </c>
      <c r="I1928" s="20" t="b">
        <v>1</v>
      </c>
      <c r="J1928" s="20" t="s">
        <v>18559</v>
      </c>
      <c r="K1928" s="20">
        <v>90499</v>
      </c>
      <c r="L1928" s="20" t="s">
        <v>17271</v>
      </c>
      <c r="M1928" s="20" t="s">
        <v>18560</v>
      </c>
    </row>
    <row r="1929" spans="1:13" x14ac:dyDescent="0.25">
      <c r="A1929" s="20">
        <v>9391</v>
      </c>
      <c r="B1929" s="20" t="s">
        <v>15505</v>
      </c>
      <c r="C1929" s="20">
        <v>9391</v>
      </c>
      <c r="D1929" s="20" t="e">
        <f>VLOOKUP(C1929,[1]CHILDCARE_FACILITIES!AJ:AK,2,0)</f>
        <v>#N/A</v>
      </c>
      <c r="E1929" s="20" t="s">
        <v>15134</v>
      </c>
      <c r="F1929" s="20" t="s">
        <v>15135</v>
      </c>
      <c r="G1929" s="20">
        <v>73241001</v>
      </c>
      <c r="K1929" s="20">
        <v>9391</v>
      </c>
    </row>
    <row r="1930" spans="1:13" x14ac:dyDescent="0.25">
      <c r="A1930" s="20">
        <v>9531</v>
      </c>
      <c r="B1930" s="20" t="s">
        <v>15584</v>
      </c>
      <c r="C1930" s="20">
        <v>9531</v>
      </c>
      <c r="D1930" s="20" t="e">
        <f>VLOOKUP(C1930,[1]CHILDCARE_FACILITIES!AJ:AK,2,0)</f>
        <v>#N/A</v>
      </c>
      <c r="E1930" s="20" t="s">
        <v>15134</v>
      </c>
      <c r="F1930" s="20" t="s">
        <v>15135</v>
      </c>
      <c r="G1930" s="20">
        <v>73291001</v>
      </c>
      <c r="K1930" s="20">
        <v>9531</v>
      </c>
    </row>
    <row r="1931" spans="1:13" x14ac:dyDescent="0.25">
      <c r="A1931" s="20">
        <v>90452</v>
      </c>
      <c r="B1931" s="20" t="s">
        <v>16617</v>
      </c>
      <c r="C1931" s="20">
        <v>90452</v>
      </c>
      <c r="D1931" s="20" t="e">
        <f>VLOOKUP(C1931,[1]CHILDCARE_FACILITIES!AJ:AK,2,0)</f>
        <v>#N/A</v>
      </c>
      <c r="E1931" s="20" t="s">
        <v>15134</v>
      </c>
      <c r="F1931" s="20" t="s">
        <v>15135</v>
      </c>
      <c r="G1931" s="20">
        <v>23015000</v>
      </c>
      <c r="H1931" s="20" t="s">
        <v>15138</v>
      </c>
      <c r="I1931" s="20" t="b">
        <v>1</v>
      </c>
      <c r="J1931" s="20" t="s">
        <v>18561</v>
      </c>
      <c r="K1931" s="20">
        <v>90452</v>
      </c>
      <c r="L1931" s="20" t="s">
        <v>17619</v>
      </c>
      <c r="M1931" s="20" t="s">
        <v>18562</v>
      </c>
    </row>
    <row r="1932" spans="1:13" x14ac:dyDescent="0.25">
      <c r="A1932" s="20">
        <v>90452</v>
      </c>
      <c r="B1932" s="20" t="s">
        <v>16617</v>
      </c>
      <c r="C1932" s="20">
        <v>90452</v>
      </c>
      <c r="D1932" s="20" t="e">
        <f>VLOOKUP(C1932,[1]CHILDCARE_FACILITIES!AJ:AK,2,0)</f>
        <v>#N/A</v>
      </c>
      <c r="E1932" s="20" t="s">
        <v>15134</v>
      </c>
      <c r="F1932" s="20" t="s">
        <v>15135</v>
      </c>
      <c r="G1932" s="20">
        <v>23015000</v>
      </c>
      <c r="H1932" s="20" t="s">
        <v>15136</v>
      </c>
      <c r="I1932" s="20" t="b">
        <v>1</v>
      </c>
      <c r="J1932" s="20" t="s">
        <v>18561</v>
      </c>
      <c r="K1932" s="20">
        <v>90452</v>
      </c>
      <c r="L1932" s="20" t="s">
        <v>17619</v>
      </c>
      <c r="M1932" s="20" t="s">
        <v>18562</v>
      </c>
    </row>
    <row r="1933" spans="1:13" x14ac:dyDescent="0.25">
      <c r="A1933" s="20">
        <v>90453</v>
      </c>
      <c r="B1933" s="20" t="s">
        <v>16617</v>
      </c>
      <c r="C1933" s="20">
        <v>90453</v>
      </c>
      <c r="D1933" s="20" t="str">
        <f>VLOOKUP(C1933,[1]CHILDCARE_FACILITIES!AJ:AK,2,0)</f>
        <v>CDC-14884</v>
      </c>
      <c r="E1933" s="20" t="s">
        <v>15134</v>
      </c>
      <c r="F1933" s="20" t="s">
        <v>15135</v>
      </c>
      <c r="G1933" s="20">
        <v>23015001</v>
      </c>
      <c r="H1933" s="20" t="s">
        <v>15145</v>
      </c>
      <c r="I1933" s="20" t="b">
        <v>1</v>
      </c>
      <c r="J1933" s="20" t="s">
        <v>18563</v>
      </c>
      <c r="K1933" s="20">
        <v>90453</v>
      </c>
      <c r="L1933" s="20" t="s">
        <v>17619</v>
      </c>
      <c r="M1933" s="20" t="s">
        <v>18562</v>
      </c>
    </row>
    <row r="1934" spans="1:13" x14ac:dyDescent="0.25">
      <c r="A1934" s="20">
        <v>80538</v>
      </c>
      <c r="B1934" s="20" t="s">
        <v>16106</v>
      </c>
      <c r="C1934" s="20">
        <v>80538</v>
      </c>
      <c r="D1934" s="20" t="str">
        <f>VLOOKUP(C1934,[1]CHILDCARE_FACILITIES!AJ:AK,2,0)</f>
        <v>CDC-9423</v>
      </c>
      <c r="E1934" s="20" t="s">
        <v>15134</v>
      </c>
      <c r="F1934" s="20" t="s">
        <v>15135</v>
      </c>
      <c r="G1934" s="20">
        <v>73291002</v>
      </c>
      <c r="H1934" s="20" t="s">
        <v>15138</v>
      </c>
      <c r="I1934" s="20" t="b">
        <v>1</v>
      </c>
      <c r="J1934" s="20" t="s">
        <v>18564</v>
      </c>
      <c r="K1934" s="20">
        <v>80538</v>
      </c>
      <c r="L1934" s="20" t="s">
        <v>17223</v>
      </c>
      <c r="M1934" s="20" t="s">
        <v>18565</v>
      </c>
    </row>
    <row r="1935" spans="1:13" x14ac:dyDescent="0.25">
      <c r="A1935" s="20">
        <v>80538</v>
      </c>
      <c r="B1935" s="20" t="s">
        <v>16106</v>
      </c>
      <c r="C1935" s="20">
        <v>80538</v>
      </c>
      <c r="D1935" s="20" t="str">
        <f>VLOOKUP(C1935,[1]CHILDCARE_FACILITIES!AJ:AK,2,0)</f>
        <v>CDC-9423</v>
      </c>
      <c r="E1935" s="20" t="s">
        <v>15134</v>
      </c>
      <c r="F1935" s="20" t="s">
        <v>15135</v>
      </c>
      <c r="G1935" s="20">
        <v>73291002</v>
      </c>
      <c r="H1935" s="20" t="s">
        <v>15145</v>
      </c>
      <c r="I1935" s="20" t="b">
        <v>1</v>
      </c>
      <c r="J1935" s="20" t="s">
        <v>18566</v>
      </c>
      <c r="K1935" s="20">
        <v>80538</v>
      </c>
      <c r="L1935" s="20" t="s">
        <v>17216</v>
      </c>
      <c r="M1935" s="20" t="s">
        <v>17821</v>
      </c>
    </row>
    <row r="1936" spans="1:13" x14ac:dyDescent="0.25">
      <c r="A1936" s="20">
        <v>80912</v>
      </c>
      <c r="B1936" s="20" t="s">
        <v>16233</v>
      </c>
      <c r="C1936" s="20">
        <v>80912</v>
      </c>
      <c r="D1936" s="20" t="e">
        <f>VLOOKUP(C1936,[1]CHILDCARE_FACILITIES!AJ:AK,2,0)</f>
        <v>#N/A</v>
      </c>
      <c r="E1936" s="20" t="s">
        <v>15134</v>
      </c>
      <c r="F1936" s="20" t="s">
        <v>15135</v>
      </c>
      <c r="G1936" s="20">
        <v>73493000</v>
      </c>
      <c r="H1936" s="20" t="s">
        <v>15138</v>
      </c>
      <c r="I1936" s="20" t="b">
        <v>1</v>
      </c>
      <c r="J1936" s="20" t="s">
        <v>18567</v>
      </c>
      <c r="K1936" s="20">
        <v>80912</v>
      </c>
      <c r="L1936" s="20" t="s">
        <v>17213</v>
      </c>
      <c r="M1936" s="20" t="s">
        <v>18568</v>
      </c>
    </row>
    <row r="1937" spans="1:13" x14ac:dyDescent="0.25">
      <c r="A1937" s="20">
        <v>80912</v>
      </c>
      <c r="B1937" s="20" t="s">
        <v>16233</v>
      </c>
      <c r="C1937" s="20">
        <v>80912</v>
      </c>
      <c r="D1937" s="20" t="e">
        <f>VLOOKUP(C1937,[1]CHILDCARE_FACILITIES!AJ:AK,2,0)</f>
        <v>#N/A</v>
      </c>
      <c r="E1937" s="20" t="s">
        <v>15134</v>
      </c>
      <c r="F1937" s="20" t="s">
        <v>15135</v>
      </c>
      <c r="G1937" s="20">
        <v>73493000</v>
      </c>
      <c r="H1937" s="20" t="s">
        <v>15145</v>
      </c>
      <c r="I1937" s="20" t="b">
        <v>1</v>
      </c>
      <c r="J1937" s="20" t="s">
        <v>18567</v>
      </c>
      <c r="K1937" s="20">
        <v>80912</v>
      </c>
      <c r="L1937" s="20" t="s">
        <v>17213</v>
      </c>
      <c r="M1937" s="20" t="s">
        <v>18568</v>
      </c>
    </row>
    <row r="1938" spans="1:13" x14ac:dyDescent="0.25">
      <c r="A1938" s="20">
        <v>80913</v>
      </c>
      <c r="B1938" s="20" t="s">
        <v>16233</v>
      </c>
      <c r="C1938" s="20">
        <v>80913</v>
      </c>
      <c r="D1938" s="20" t="str">
        <f>VLOOKUP(C1938,[1]CHILDCARE_FACILITIES!AJ:AK,2,0)</f>
        <v>CDC-10363</v>
      </c>
      <c r="E1938" s="20" t="s">
        <v>15134</v>
      </c>
      <c r="F1938" s="20" t="s">
        <v>15135</v>
      </c>
      <c r="G1938" s="20">
        <v>73493001</v>
      </c>
      <c r="H1938" s="20" t="s">
        <v>15138</v>
      </c>
      <c r="I1938" s="20" t="b">
        <v>1</v>
      </c>
      <c r="J1938" s="20" t="s">
        <v>18567</v>
      </c>
      <c r="K1938" s="20">
        <v>80913</v>
      </c>
      <c r="L1938" s="20" t="s">
        <v>17213</v>
      </c>
      <c r="M1938" s="20" t="s">
        <v>18568</v>
      </c>
    </row>
    <row r="1939" spans="1:13" x14ac:dyDescent="0.25">
      <c r="A1939" s="20">
        <v>80913</v>
      </c>
      <c r="B1939" s="20" t="s">
        <v>16233</v>
      </c>
      <c r="C1939" s="20">
        <v>80913</v>
      </c>
      <c r="D1939" s="20" t="str">
        <f>VLOOKUP(C1939,[1]CHILDCARE_FACILITIES!AJ:AK,2,0)</f>
        <v>CDC-10363</v>
      </c>
      <c r="E1939" s="20" t="s">
        <v>15134</v>
      </c>
      <c r="F1939" s="20" t="s">
        <v>15135</v>
      </c>
      <c r="G1939" s="20">
        <v>73493001</v>
      </c>
      <c r="H1939" s="20" t="s">
        <v>15145</v>
      </c>
      <c r="I1939" s="20" t="b">
        <v>1</v>
      </c>
      <c r="J1939" s="20" t="s">
        <v>18567</v>
      </c>
      <c r="K1939" s="20">
        <v>80913</v>
      </c>
      <c r="L1939" s="20" t="s">
        <v>17213</v>
      </c>
      <c r="M1939" s="20" t="s">
        <v>18568</v>
      </c>
    </row>
    <row r="1940" spans="1:13" x14ac:dyDescent="0.25">
      <c r="A1940" s="20">
        <v>9636</v>
      </c>
      <c r="B1940" s="20" t="s">
        <v>15617</v>
      </c>
      <c r="C1940" s="20">
        <v>9636</v>
      </c>
      <c r="D1940" s="20" t="e">
        <f>VLOOKUP(C1940,[1]CHILDCARE_FACILITIES!AJ:AK,2,0)</f>
        <v>#N/A</v>
      </c>
      <c r="E1940" s="20" t="s">
        <v>15134</v>
      </c>
      <c r="F1940" s="20" t="s">
        <v>15135</v>
      </c>
      <c r="G1940" s="20">
        <v>83007003</v>
      </c>
      <c r="K1940" s="20">
        <v>9636</v>
      </c>
    </row>
    <row r="1941" spans="1:13" x14ac:dyDescent="0.25">
      <c r="A1941" s="20">
        <v>1000061</v>
      </c>
      <c r="B1941" s="20" t="s">
        <v>17038</v>
      </c>
      <c r="C1941" s="20">
        <v>1000061</v>
      </c>
      <c r="D1941" s="20" t="e">
        <f>VLOOKUP(C1941,[1]CHILDCARE_FACILITIES!AJ:AK,2,0)</f>
        <v>#N/A</v>
      </c>
      <c r="E1941" s="20" t="s">
        <v>15134</v>
      </c>
      <c r="F1941" s="20" t="s">
        <v>15135</v>
      </c>
      <c r="G1941" s="20">
        <v>73345000</v>
      </c>
      <c r="H1941" s="20" t="s">
        <v>15136</v>
      </c>
      <c r="I1941" s="20" t="b">
        <v>1</v>
      </c>
      <c r="J1941" s="20" t="s">
        <v>17326</v>
      </c>
      <c r="K1941" s="20">
        <v>1000061</v>
      </c>
      <c r="L1941" s="20" t="s">
        <v>17228</v>
      </c>
      <c r="M1941" s="20" t="s">
        <v>17327</v>
      </c>
    </row>
    <row r="1942" spans="1:13" x14ac:dyDescent="0.25">
      <c r="A1942" s="20">
        <v>1000061</v>
      </c>
      <c r="B1942" s="20" t="s">
        <v>17038</v>
      </c>
      <c r="C1942" s="20">
        <v>1000061</v>
      </c>
      <c r="D1942" s="20" t="e">
        <f>VLOOKUP(C1942,[1]CHILDCARE_FACILITIES!AJ:AK,2,0)</f>
        <v>#N/A</v>
      </c>
      <c r="E1942" s="20" t="s">
        <v>15134</v>
      </c>
      <c r="F1942" s="20" t="s">
        <v>15135</v>
      </c>
      <c r="G1942" s="20">
        <v>73345000</v>
      </c>
      <c r="H1942" s="20" t="s">
        <v>15138</v>
      </c>
      <c r="I1942" s="20" t="b">
        <v>1</v>
      </c>
      <c r="J1942" s="20" t="s">
        <v>17326</v>
      </c>
      <c r="K1942" s="20">
        <v>1000061</v>
      </c>
      <c r="L1942" s="20" t="s">
        <v>17228</v>
      </c>
      <c r="M1942" s="20" t="s">
        <v>17327</v>
      </c>
    </row>
    <row r="1943" spans="1:13" x14ac:dyDescent="0.25">
      <c r="A1943" s="20">
        <v>9765</v>
      </c>
      <c r="B1943" s="20" t="s">
        <v>15659</v>
      </c>
      <c r="C1943" s="20">
        <v>9765</v>
      </c>
      <c r="D1943" s="20" t="e">
        <f>VLOOKUP(C1943,[1]CHILDCARE_FACILITIES!AJ:AK,2,0)</f>
        <v>#N/A</v>
      </c>
      <c r="E1943" s="20" t="s">
        <v>15134</v>
      </c>
      <c r="F1943" s="20" t="s">
        <v>15135</v>
      </c>
      <c r="G1943" s="20">
        <v>102243000</v>
      </c>
      <c r="K1943" s="20">
        <v>9765</v>
      </c>
    </row>
    <row r="1944" spans="1:13" x14ac:dyDescent="0.25">
      <c r="A1944" s="20">
        <v>9729</v>
      </c>
      <c r="B1944" s="20" t="s">
        <v>15637</v>
      </c>
      <c r="C1944" s="20">
        <v>9729</v>
      </c>
      <c r="D1944" s="20" t="e">
        <f>VLOOKUP(C1944,[1]CHILDCARE_FACILITIES!AJ:AK,2,0)</f>
        <v>#N/A</v>
      </c>
      <c r="E1944" s="20" t="s">
        <v>15134</v>
      </c>
      <c r="F1944" s="20" t="s">
        <v>15135</v>
      </c>
      <c r="G1944" s="20">
        <v>102205000</v>
      </c>
      <c r="K1944" s="20">
        <v>9729</v>
      </c>
    </row>
    <row r="1945" spans="1:13" x14ac:dyDescent="0.25">
      <c r="A1945" s="20">
        <v>9725</v>
      </c>
      <c r="B1945" s="20" t="s">
        <v>15634</v>
      </c>
      <c r="C1945" s="20">
        <v>9725</v>
      </c>
      <c r="D1945" s="20" t="e">
        <f>VLOOKUP(C1945,[1]CHILDCARE_FACILITIES!AJ:AK,2,0)</f>
        <v>#N/A</v>
      </c>
      <c r="E1945" s="20" t="s">
        <v>15134</v>
      </c>
      <c r="F1945" s="20" t="s">
        <v>15135</v>
      </c>
      <c r="G1945" s="20">
        <v>102202000</v>
      </c>
      <c r="K1945" s="20">
        <v>9725</v>
      </c>
    </row>
    <row r="1946" spans="1:13" x14ac:dyDescent="0.25">
      <c r="A1946" s="20">
        <v>9763</v>
      </c>
      <c r="B1946" s="20" t="s">
        <v>15657</v>
      </c>
      <c r="C1946" s="20">
        <v>9763</v>
      </c>
      <c r="D1946" s="20" t="e">
        <f>VLOOKUP(C1946,[1]CHILDCARE_FACILITIES!AJ:AK,2,0)</f>
        <v>#N/A</v>
      </c>
      <c r="E1946" s="20" t="s">
        <v>15134</v>
      </c>
      <c r="F1946" s="20" t="s">
        <v>15135</v>
      </c>
      <c r="G1946" s="20">
        <v>102242000</v>
      </c>
      <c r="K1946" s="20">
        <v>9763</v>
      </c>
    </row>
    <row r="1947" spans="1:13" x14ac:dyDescent="0.25">
      <c r="A1947" s="20">
        <v>9800</v>
      </c>
      <c r="B1947" s="20" t="s">
        <v>15689</v>
      </c>
      <c r="C1947" s="20">
        <v>9800</v>
      </c>
      <c r="D1947" s="20" t="e">
        <f>VLOOKUP(C1947,[1]CHILDCARE_FACILITIES!AJ:AK,2,0)</f>
        <v>#N/A</v>
      </c>
      <c r="E1947" s="20" t="s">
        <v>15134</v>
      </c>
      <c r="F1947" s="20" t="s">
        <v>15135</v>
      </c>
      <c r="G1947" s="20">
        <v>102255000</v>
      </c>
      <c r="H1947" s="20" t="s">
        <v>15145</v>
      </c>
      <c r="I1947" s="20" t="b">
        <v>0</v>
      </c>
      <c r="J1947" s="20" t="s">
        <v>18569</v>
      </c>
      <c r="K1947" s="20">
        <v>9800</v>
      </c>
      <c r="L1947" s="20" t="s">
        <v>17282</v>
      </c>
      <c r="M1947" s="20" t="s">
        <v>17542</v>
      </c>
    </row>
    <row r="1948" spans="1:13" x14ac:dyDescent="0.25">
      <c r="A1948" s="20">
        <v>9927</v>
      </c>
      <c r="B1948" s="20" t="s">
        <v>15732</v>
      </c>
      <c r="C1948" s="20">
        <v>9927</v>
      </c>
      <c r="D1948" s="20" t="e">
        <f>VLOOKUP(C1948,[1]CHILDCARE_FACILITIES!AJ:AK,2,0)</f>
        <v>#N/A</v>
      </c>
      <c r="E1948" s="20" t="s">
        <v>15134</v>
      </c>
      <c r="F1948" s="20" t="s">
        <v>15135</v>
      </c>
      <c r="G1948" s="20">
        <v>103055001</v>
      </c>
      <c r="K1948" s="20">
        <v>9927</v>
      </c>
    </row>
    <row r="1949" spans="1:13" x14ac:dyDescent="0.25">
      <c r="A1949" s="20">
        <v>90796</v>
      </c>
      <c r="B1949" s="20" t="s">
        <v>16688</v>
      </c>
      <c r="C1949" s="20">
        <v>90796</v>
      </c>
      <c r="D1949" s="20" t="str">
        <f>VLOOKUP(C1949,[1]CHILDCARE_FACILITIES!AJ:AK,2,0)</f>
        <v>CDC-15222</v>
      </c>
      <c r="E1949" s="20" t="s">
        <v>15134</v>
      </c>
      <c r="F1949" s="20" t="s">
        <v>15135</v>
      </c>
      <c r="G1949" s="20">
        <v>73711001</v>
      </c>
      <c r="H1949" s="20" t="s">
        <v>15145</v>
      </c>
      <c r="I1949" s="20" t="b">
        <v>0</v>
      </c>
      <c r="J1949" s="20" t="s">
        <v>18570</v>
      </c>
      <c r="K1949" s="20">
        <v>90796</v>
      </c>
      <c r="L1949" s="20" t="s">
        <v>17213</v>
      </c>
      <c r="M1949" s="20" t="s">
        <v>18467</v>
      </c>
    </row>
    <row r="1950" spans="1:13" x14ac:dyDescent="0.25">
      <c r="A1950" s="20">
        <v>90795</v>
      </c>
      <c r="B1950" s="20" t="s">
        <v>16685</v>
      </c>
      <c r="C1950" s="20">
        <v>90795</v>
      </c>
      <c r="D1950" s="20" t="e">
        <f>VLOOKUP(C1950,[1]CHILDCARE_FACILITIES!AJ:AK,2,0)</f>
        <v>#N/A</v>
      </c>
      <c r="E1950" s="20" t="s">
        <v>15134</v>
      </c>
      <c r="F1950" s="20" t="s">
        <v>15135</v>
      </c>
      <c r="G1950" s="20">
        <v>73711000</v>
      </c>
      <c r="H1950" s="20" t="s">
        <v>15138</v>
      </c>
      <c r="I1950" s="20" t="b">
        <v>0</v>
      </c>
      <c r="J1950" s="20" t="s">
        <v>18570</v>
      </c>
      <c r="K1950" s="20">
        <v>90795</v>
      </c>
      <c r="L1950" s="20" t="s">
        <v>17213</v>
      </c>
      <c r="M1950" s="20" t="s">
        <v>18467</v>
      </c>
    </row>
    <row r="1951" spans="1:13" x14ac:dyDescent="0.25">
      <c r="A1951" s="20">
        <v>90795</v>
      </c>
      <c r="B1951" s="20" t="s">
        <v>16685</v>
      </c>
      <c r="C1951" s="20">
        <v>90795</v>
      </c>
      <c r="D1951" s="20" t="e">
        <f>VLOOKUP(C1951,[1]CHILDCARE_FACILITIES!AJ:AK,2,0)</f>
        <v>#N/A</v>
      </c>
      <c r="E1951" s="20" t="s">
        <v>15134</v>
      </c>
      <c r="F1951" s="20" t="s">
        <v>15135</v>
      </c>
      <c r="G1951" s="20">
        <v>73711000</v>
      </c>
      <c r="H1951" s="20" t="s">
        <v>15136</v>
      </c>
      <c r="I1951" s="20" t="b">
        <v>0</v>
      </c>
      <c r="J1951" s="20" t="s">
        <v>18571</v>
      </c>
      <c r="K1951" s="20">
        <v>90795</v>
      </c>
      <c r="L1951" s="20" t="s">
        <v>17228</v>
      </c>
      <c r="M1951" s="20" t="s">
        <v>18467</v>
      </c>
    </row>
    <row r="1952" spans="1:13" x14ac:dyDescent="0.25">
      <c r="A1952" s="20">
        <v>8503</v>
      </c>
      <c r="B1952" s="20" t="s">
        <v>15156</v>
      </c>
      <c r="C1952" s="20">
        <v>8503</v>
      </c>
      <c r="D1952" s="20" t="e">
        <f>VLOOKUP(C1952,[1]CHILDCARE_FACILITIES!AJ:AK,2,0)</f>
        <v>#N/A</v>
      </c>
      <c r="E1952" s="20" t="s">
        <v>15134</v>
      </c>
      <c r="F1952" s="20" t="s">
        <v>15135</v>
      </c>
      <c r="G1952" s="20">
        <v>23007001</v>
      </c>
      <c r="K1952" s="20">
        <v>8503</v>
      </c>
    </row>
    <row r="1953" spans="1:13" x14ac:dyDescent="0.25">
      <c r="A1953" s="20">
        <v>90719</v>
      </c>
      <c r="B1953" s="20" t="s">
        <v>16669</v>
      </c>
      <c r="C1953" s="20">
        <v>90719</v>
      </c>
      <c r="D1953" s="20" t="e">
        <f>VLOOKUP(C1953,[1]CHILDCARE_FACILITIES!AJ:AK,2,0)</f>
        <v>#N/A</v>
      </c>
      <c r="E1953" s="20" t="s">
        <v>15134</v>
      </c>
      <c r="F1953" s="20" t="s">
        <v>15135</v>
      </c>
      <c r="G1953" s="20">
        <v>73707001</v>
      </c>
      <c r="H1953" s="20" t="s">
        <v>15145</v>
      </c>
      <c r="I1953" s="20" t="b">
        <v>1</v>
      </c>
      <c r="J1953" s="20" t="s">
        <v>18572</v>
      </c>
      <c r="K1953" s="20">
        <v>90719</v>
      </c>
      <c r="L1953" s="20" t="s">
        <v>17367</v>
      </c>
      <c r="M1953" s="20" t="s">
        <v>18573</v>
      </c>
    </row>
    <row r="1954" spans="1:13" x14ac:dyDescent="0.25">
      <c r="A1954" s="20">
        <v>9123</v>
      </c>
      <c r="B1954" s="20" t="s">
        <v>15372</v>
      </c>
      <c r="C1954" s="20">
        <v>9123</v>
      </c>
      <c r="D1954" s="20" t="e">
        <f>VLOOKUP(C1954,[1]CHILDCARE_FACILITIES!AJ:AK,2,0)</f>
        <v>#N/A</v>
      </c>
      <c r="E1954" s="20" t="s">
        <v>15134</v>
      </c>
      <c r="F1954" s="20" t="s">
        <v>15135</v>
      </c>
      <c r="G1954" s="20">
        <v>73086001</v>
      </c>
      <c r="K1954" s="20">
        <v>9123</v>
      </c>
    </row>
    <row r="1955" spans="1:13" x14ac:dyDescent="0.25">
      <c r="A1955" s="20">
        <v>80731</v>
      </c>
      <c r="B1955" s="20" t="s">
        <v>16207</v>
      </c>
      <c r="C1955" s="20">
        <v>80731</v>
      </c>
      <c r="D1955" s="20" t="str">
        <f>VLOOKUP(C1955,[1]CHILDCARE_FACILITIES!AJ:AK,2,0)</f>
        <v>CDC-9937</v>
      </c>
      <c r="E1955" s="20" t="s">
        <v>15134</v>
      </c>
      <c r="F1955" s="20" t="s">
        <v>15135</v>
      </c>
      <c r="G1955" s="20">
        <v>73488001</v>
      </c>
      <c r="H1955" s="20" t="s">
        <v>15138</v>
      </c>
      <c r="I1955" s="20" t="b">
        <v>1</v>
      </c>
      <c r="J1955" s="20" t="s">
        <v>18421</v>
      </c>
      <c r="K1955" s="20">
        <v>80731</v>
      </c>
      <c r="L1955" s="20" t="s">
        <v>17236</v>
      </c>
      <c r="M1955" s="20" t="s">
        <v>18420</v>
      </c>
    </row>
    <row r="1956" spans="1:13" x14ac:dyDescent="0.25">
      <c r="A1956" s="20">
        <v>80731</v>
      </c>
      <c r="B1956" s="20" t="s">
        <v>16207</v>
      </c>
      <c r="C1956" s="20">
        <v>80731</v>
      </c>
      <c r="D1956" s="20" t="str">
        <f>VLOOKUP(C1956,[1]CHILDCARE_FACILITIES!AJ:AK,2,0)</f>
        <v>CDC-9937</v>
      </c>
      <c r="E1956" s="20" t="s">
        <v>15134</v>
      </c>
      <c r="F1956" s="20" t="s">
        <v>15135</v>
      </c>
      <c r="G1956" s="20">
        <v>73488001</v>
      </c>
      <c r="H1956" s="20" t="s">
        <v>15145</v>
      </c>
      <c r="I1956" s="20" t="b">
        <v>1</v>
      </c>
      <c r="J1956" s="20" t="s">
        <v>18421</v>
      </c>
      <c r="K1956" s="20">
        <v>80731</v>
      </c>
      <c r="L1956" s="20" t="s">
        <v>17236</v>
      </c>
      <c r="M1956" s="20" t="s">
        <v>18420</v>
      </c>
    </row>
    <row r="1957" spans="1:13" x14ac:dyDescent="0.25">
      <c r="A1957" s="20">
        <v>90437</v>
      </c>
      <c r="B1957" s="20" t="s">
        <v>16615</v>
      </c>
      <c r="C1957" s="20">
        <v>90437</v>
      </c>
      <c r="D1957" s="20" t="str">
        <f>VLOOKUP(C1957,[1]CHILDCARE_FACILITIES!AJ:AK,2,0)</f>
        <v>CDC-14782</v>
      </c>
      <c r="E1957" s="20" t="s">
        <v>15134</v>
      </c>
      <c r="F1957" s="20" t="s">
        <v>15135</v>
      </c>
      <c r="G1957" s="20">
        <v>73592001</v>
      </c>
      <c r="H1957" s="20" t="s">
        <v>15145</v>
      </c>
      <c r="I1957" s="20" t="b">
        <v>1</v>
      </c>
      <c r="J1957" s="20" t="s">
        <v>18574</v>
      </c>
      <c r="K1957" s="20">
        <v>90437</v>
      </c>
      <c r="L1957" s="20" t="s">
        <v>17236</v>
      </c>
      <c r="M1957" s="20" t="s">
        <v>18575</v>
      </c>
    </row>
    <row r="1958" spans="1:13" x14ac:dyDescent="0.25">
      <c r="A1958" s="20">
        <v>10013</v>
      </c>
      <c r="B1958" s="20" t="s">
        <v>15780</v>
      </c>
      <c r="C1958" s="20">
        <v>10013</v>
      </c>
      <c r="D1958" s="20" t="e">
        <f>VLOOKUP(C1958,[1]CHILDCARE_FACILITIES!AJ:AK,2,0)</f>
        <v>#N/A</v>
      </c>
      <c r="E1958" s="20" t="s">
        <v>15134</v>
      </c>
      <c r="F1958" s="20" t="s">
        <v>15135</v>
      </c>
      <c r="G1958" s="20">
        <v>103091001</v>
      </c>
      <c r="K1958" s="20">
        <v>10013</v>
      </c>
    </row>
    <row r="1959" spans="1:13" x14ac:dyDescent="0.25">
      <c r="A1959" s="20">
        <v>9411</v>
      </c>
      <c r="B1959" s="20" t="s">
        <v>15514</v>
      </c>
      <c r="C1959" s="20">
        <v>9411</v>
      </c>
      <c r="D1959" s="20" t="e">
        <f>VLOOKUP(C1959,[1]CHILDCARE_FACILITIES!AJ:AK,2,0)</f>
        <v>#N/A</v>
      </c>
      <c r="E1959" s="20" t="s">
        <v>15134</v>
      </c>
      <c r="F1959" s="20" t="s">
        <v>15135</v>
      </c>
      <c r="G1959" s="20">
        <v>73251001</v>
      </c>
      <c r="K1959" s="20">
        <v>9411</v>
      </c>
    </row>
    <row r="1960" spans="1:13" x14ac:dyDescent="0.25">
      <c r="A1960" s="20">
        <v>8995</v>
      </c>
      <c r="B1960" s="20" t="s">
        <v>15304</v>
      </c>
      <c r="C1960" s="20">
        <v>8995</v>
      </c>
      <c r="D1960" s="20" t="e">
        <f>VLOOKUP(C1960,[1]CHILDCARE_FACILITIES!AJ:AK,2,0)</f>
        <v>#N/A</v>
      </c>
      <c r="E1960" s="20" t="s">
        <v>15134</v>
      </c>
      <c r="F1960" s="20" t="s">
        <v>15135</v>
      </c>
      <c r="G1960" s="20">
        <v>73010001</v>
      </c>
      <c r="K1960" s="20">
        <v>8995</v>
      </c>
    </row>
    <row r="1961" spans="1:13" x14ac:dyDescent="0.25">
      <c r="A1961" s="20">
        <v>1000101</v>
      </c>
      <c r="B1961" s="20" t="s">
        <v>17084</v>
      </c>
      <c r="C1961" s="20">
        <v>1000101</v>
      </c>
      <c r="D1961" s="20" t="e">
        <f>VLOOKUP(C1961,[1]CHILDCARE_FACILITIES!AJ:AK,2,0)</f>
        <v>#N/A</v>
      </c>
      <c r="E1961" s="20" t="s">
        <v>15134</v>
      </c>
      <c r="F1961" s="20" t="s">
        <v>15135</v>
      </c>
      <c r="G1961" s="20">
        <v>143032000</v>
      </c>
      <c r="H1961" s="20" t="s">
        <v>15138</v>
      </c>
      <c r="I1961" s="20" t="b">
        <v>0</v>
      </c>
      <c r="J1961" s="20" t="s">
        <v>18576</v>
      </c>
      <c r="K1961" s="20">
        <v>1000101</v>
      </c>
      <c r="L1961" s="20" t="s">
        <v>17445</v>
      </c>
      <c r="M1961" s="20" t="s">
        <v>17446</v>
      </c>
    </row>
    <row r="1962" spans="1:13" x14ac:dyDescent="0.25">
      <c r="A1962" s="20">
        <v>1000101</v>
      </c>
      <c r="B1962" s="20" t="s">
        <v>17084</v>
      </c>
      <c r="C1962" s="20">
        <v>1000101</v>
      </c>
      <c r="D1962" s="20" t="e">
        <f>VLOOKUP(C1962,[1]CHILDCARE_FACILITIES!AJ:AK,2,0)</f>
        <v>#N/A</v>
      </c>
      <c r="E1962" s="20" t="s">
        <v>15134</v>
      </c>
      <c r="F1962" s="20" t="s">
        <v>15135</v>
      </c>
      <c r="G1962" s="20">
        <v>143032000</v>
      </c>
      <c r="H1962" s="20" t="s">
        <v>15136</v>
      </c>
      <c r="I1962" s="20" t="b">
        <v>0</v>
      </c>
      <c r="J1962" s="20" t="s">
        <v>18576</v>
      </c>
      <c r="K1962" s="20">
        <v>1000101</v>
      </c>
      <c r="L1962" s="20" t="s">
        <v>17445</v>
      </c>
      <c r="M1962" s="20" t="s">
        <v>17446</v>
      </c>
    </row>
    <row r="1963" spans="1:13" x14ac:dyDescent="0.25">
      <c r="A1963" s="20">
        <v>1000102</v>
      </c>
      <c r="B1963" s="20" t="s">
        <v>17086</v>
      </c>
      <c r="C1963" s="20">
        <v>1000102</v>
      </c>
      <c r="D1963" s="20" t="str">
        <f>VLOOKUP(C1963,[1]CHILDCARE_FACILITIES!AJ:AK,2,0)</f>
        <v>CDC-17544</v>
      </c>
      <c r="E1963" s="20" t="s">
        <v>15134</v>
      </c>
      <c r="F1963" s="20" t="s">
        <v>15135</v>
      </c>
      <c r="G1963" s="20">
        <v>143032001</v>
      </c>
      <c r="H1963" s="20" t="s">
        <v>15138</v>
      </c>
      <c r="I1963" s="20" t="b">
        <v>0</v>
      </c>
      <c r="J1963" s="20" t="s">
        <v>18576</v>
      </c>
      <c r="K1963" s="20">
        <v>1000102</v>
      </c>
      <c r="L1963" s="20" t="s">
        <v>17445</v>
      </c>
      <c r="M1963" s="20" t="s">
        <v>17446</v>
      </c>
    </row>
    <row r="1964" spans="1:13" x14ac:dyDescent="0.25">
      <c r="A1964" s="20">
        <v>1000102</v>
      </c>
      <c r="B1964" s="20" t="s">
        <v>17086</v>
      </c>
      <c r="C1964" s="20">
        <v>1000102</v>
      </c>
      <c r="D1964" s="20" t="str">
        <f>VLOOKUP(C1964,[1]CHILDCARE_FACILITIES!AJ:AK,2,0)</f>
        <v>CDC-17544</v>
      </c>
      <c r="E1964" s="20" t="s">
        <v>15134</v>
      </c>
      <c r="F1964" s="20" t="s">
        <v>15135</v>
      </c>
      <c r="G1964" s="20">
        <v>143032001</v>
      </c>
      <c r="H1964" s="20" t="s">
        <v>15136</v>
      </c>
      <c r="I1964" s="20" t="b">
        <v>0</v>
      </c>
      <c r="J1964" s="20" t="s">
        <v>18576</v>
      </c>
      <c r="K1964" s="20">
        <v>1000102</v>
      </c>
      <c r="L1964" s="20" t="s">
        <v>17445</v>
      </c>
      <c r="M1964" s="20" t="s">
        <v>17446</v>
      </c>
    </row>
    <row r="1965" spans="1:13" x14ac:dyDescent="0.25">
      <c r="A1965" s="20">
        <v>1000103</v>
      </c>
      <c r="B1965" s="20" t="s">
        <v>17087</v>
      </c>
      <c r="C1965" s="20">
        <v>1000103</v>
      </c>
      <c r="D1965" s="20" t="str">
        <f>VLOOKUP(C1965,[1]CHILDCARE_FACILITIES!AJ:AK,2,0)</f>
        <v>CDC-18231</v>
      </c>
      <c r="E1965" s="20" t="s">
        <v>15134</v>
      </c>
      <c r="F1965" s="20" t="s">
        <v>15135</v>
      </c>
      <c r="G1965" s="20">
        <v>143032002</v>
      </c>
      <c r="H1965" s="20" t="s">
        <v>15138</v>
      </c>
      <c r="I1965" s="20" t="b">
        <v>1</v>
      </c>
      <c r="J1965" s="20" t="s">
        <v>18577</v>
      </c>
      <c r="K1965" s="20">
        <v>1000103</v>
      </c>
      <c r="L1965" s="20" t="s">
        <v>17335</v>
      </c>
      <c r="M1965" s="20" t="s">
        <v>18578</v>
      </c>
    </row>
    <row r="1966" spans="1:13" x14ac:dyDescent="0.25">
      <c r="A1966" s="20">
        <v>1000103</v>
      </c>
      <c r="B1966" s="20" t="s">
        <v>17087</v>
      </c>
      <c r="C1966" s="20">
        <v>1000103</v>
      </c>
      <c r="D1966" s="20" t="str">
        <f>VLOOKUP(C1966,[1]CHILDCARE_FACILITIES!AJ:AK,2,0)</f>
        <v>CDC-18231</v>
      </c>
      <c r="E1966" s="20" t="s">
        <v>15134</v>
      </c>
      <c r="F1966" s="20" t="s">
        <v>15135</v>
      </c>
      <c r="G1966" s="20">
        <v>143032002</v>
      </c>
      <c r="H1966" s="20" t="s">
        <v>15136</v>
      </c>
      <c r="I1966" s="20" t="b">
        <v>1</v>
      </c>
      <c r="J1966" s="20" t="s">
        <v>18577</v>
      </c>
      <c r="K1966" s="20">
        <v>1000103</v>
      </c>
      <c r="L1966" s="20" t="s">
        <v>17335</v>
      </c>
      <c r="M1966" s="20" t="s">
        <v>18578</v>
      </c>
    </row>
    <row r="1967" spans="1:13" x14ac:dyDescent="0.25">
      <c r="A1967" s="20">
        <v>350910</v>
      </c>
      <c r="B1967" s="20" t="s">
        <v>16990</v>
      </c>
      <c r="C1967" s="20">
        <v>350910</v>
      </c>
      <c r="D1967" s="20" t="e">
        <f>VLOOKUP(C1967,[1]CHILDCARE_FACILITIES!AJ:AK,2,0)</f>
        <v>#N/A</v>
      </c>
      <c r="E1967" s="20" t="s">
        <v>15134</v>
      </c>
      <c r="F1967" s="20" t="s">
        <v>15135</v>
      </c>
      <c r="G1967" s="20">
        <v>73332001</v>
      </c>
      <c r="K1967" s="20">
        <v>350910</v>
      </c>
    </row>
    <row r="1968" spans="1:13" x14ac:dyDescent="0.25">
      <c r="A1968" s="20">
        <v>699149</v>
      </c>
      <c r="B1968" s="20" t="s">
        <v>17018</v>
      </c>
      <c r="C1968" s="20">
        <v>699149</v>
      </c>
      <c r="D1968" s="20" t="e">
        <f>VLOOKUP(C1968,[1]CHILDCARE_FACILITIES!AJ:AK,2,0)</f>
        <v>#N/A</v>
      </c>
      <c r="E1968" s="20" t="s">
        <v>15134</v>
      </c>
      <c r="F1968" s="20" t="s">
        <v>15135</v>
      </c>
      <c r="G1968" s="20">
        <v>73332000</v>
      </c>
      <c r="K1968" s="20">
        <v>699149</v>
      </c>
    </row>
    <row r="1969" spans="1:14" x14ac:dyDescent="0.25">
      <c r="A1969" s="20">
        <v>80524</v>
      </c>
      <c r="B1969" s="20" t="s">
        <v>16092</v>
      </c>
      <c r="C1969" s="20">
        <v>80524</v>
      </c>
      <c r="D1969" s="20" t="e">
        <f>VLOOKUP(C1969,[1]CHILDCARE_FACILITIES!AJ:AK,2,0)</f>
        <v>#N/A</v>
      </c>
      <c r="E1969" s="20" t="s">
        <v>15134</v>
      </c>
      <c r="F1969" s="20" t="s">
        <v>15135</v>
      </c>
      <c r="G1969" s="20">
        <v>72401005</v>
      </c>
      <c r="H1969" s="20" t="s">
        <v>15138</v>
      </c>
      <c r="I1969" s="20" t="b">
        <v>1</v>
      </c>
      <c r="J1969" s="20" t="s">
        <v>18579</v>
      </c>
      <c r="K1969" s="20">
        <v>80524</v>
      </c>
      <c r="L1969" s="20" t="s">
        <v>17262</v>
      </c>
      <c r="M1969" s="20" t="s">
        <v>18580</v>
      </c>
    </row>
    <row r="1970" spans="1:14" x14ac:dyDescent="0.25">
      <c r="A1970" s="20">
        <v>80524</v>
      </c>
      <c r="B1970" s="20" t="s">
        <v>16092</v>
      </c>
      <c r="C1970" s="20">
        <v>80524</v>
      </c>
      <c r="D1970" s="20" t="e">
        <f>VLOOKUP(C1970,[1]CHILDCARE_FACILITIES!AJ:AK,2,0)</f>
        <v>#N/A</v>
      </c>
      <c r="E1970" s="20" t="s">
        <v>15134</v>
      </c>
      <c r="F1970" s="20" t="s">
        <v>15135</v>
      </c>
      <c r="G1970" s="20">
        <v>72401005</v>
      </c>
      <c r="H1970" s="20" t="s">
        <v>15136</v>
      </c>
      <c r="I1970" s="20" t="b">
        <v>0</v>
      </c>
      <c r="J1970" s="20" t="s">
        <v>18465</v>
      </c>
      <c r="K1970" s="20">
        <v>80524</v>
      </c>
      <c r="L1970" s="20" t="s">
        <v>18466</v>
      </c>
      <c r="M1970" s="20" t="s">
        <v>17228</v>
      </c>
      <c r="N1970" s="20" t="s">
        <v>18467</v>
      </c>
    </row>
    <row r="1971" spans="1:14" x14ac:dyDescent="0.25">
      <c r="A1971" s="20">
        <v>10132</v>
      </c>
      <c r="B1971" s="20" t="s">
        <v>15814</v>
      </c>
      <c r="C1971" s="20">
        <v>10132</v>
      </c>
      <c r="D1971" s="20" t="e">
        <f>VLOOKUP(C1971,[1]CHILDCARE_FACILITIES!AJ:AK,2,0)</f>
        <v>#N/A</v>
      </c>
      <c r="E1971" s="20" t="s">
        <v>15134</v>
      </c>
      <c r="F1971" s="20" t="s">
        <v>15135</v>
      </c>
      <c r="G1971" s="20">
        <v>132202000</v>
      </c>
      <c r="H1971" s="20" t="s">
        <v>15145</v>
      </c>
      <c r="I1971" s="20" t="b">
        <v>0</v>
      </c>
      <c r="J1971" s="20" t="s">
        <v>18581</v>
      </c>
      <c r="K1971" s="20">
        <v>10132</v>
      </c>
      <c r="L1971" s="20" t="s">
        <v>17320</v>
      </c>
      <c r="M1971" s="20" t="s">
        <v>18582</v>
      </c>
    </row>
    <row r="1972" spans="1:14" x14ac:dyDescent="0.25">
      <c r="A1972" s="20">
        <v>10132</v>
      </c>
      <c r="B1972" s="20" t="s">
        <v>15814</v>
      </c>
      <c r="C1972" s="20">
        <v>10132</v>
      </c>
      <c r="D1972" s="20" t="e">
        <f>VLOOKUP(C1972,[1]CHILDCARE_FACILITIES!AJ:AK,2,0)</f>
        <v>#N/A</v>
      </c>
      <c r="E1972" s="20" t="s">
        <v>15134</v>
      </c>
      <c r="F1972" s="20" t="s">
        <v>15135</v>
      </c>
      <c r="G1972" s="20">
        <v>132202000</v>
      </c>
      <c r="H1972" s="20" t="s">
        <v>15138</v>
      </c>
      <c r="I1972" s="20" t="b">
        <v>1</v>
      </c>
      <c r="J1972" s="20" t="s">
        <v>17745</v>
      </c>
      <c r="K1972" s="20">
        <v>10132</v>
      </c>
      <c r="L1972" s="20" t="s">
        <v>17320</v>
      </c>
      <c r="M1972" s="20" t="s">
        <v>17746</v>
      </c>
    </row>
    <row r="1973" spans="1:14" x14ac:dyDescent="0.25">
      <c r="A1973" s="20">
        <v>89269</v>
      </c>
      <c r="B1973" s="20" t="s">
        <v>16388</v>
      </c>
      <c r="C1973" s="20">
        <v>89269</v>
      </c>
      <c r="D1973" s="20" t="e">
        <f>VLOOKUP(C1973,[1]CHILDCARE_FACILITIES!AJ:AK,2,0)</f>
        <v>#N/A</v>
      </c>
      <c r="E1973" s="20" t="s">
        <v>15134</v>
      </c>
      <c r="F1973" s="20" t="s">
        <v>15135</v>
      </c>
      <c r="G1973" s="20">
        <v>72226000</v>
      </c>
      <c r="H1973" s="20" t="s">
        <v>15138</v>
      </c>
      <c r="I1973" s="20" t="b">
        <v>1</v>
      </c>
      <c r="J1973" s="20" t="s">
        <v>18583</v>
      </c>
      <c r="K1973" s="20">
        <v>89269</v>
      </c>
      <c r="L1973" s="20" t="s">
        <v>17213</v>
      </c>
      <c r="M1973" s="20" t="s">
        <v>18584</v>
      </c>
    </row>
    <row r="1974" spans="1:14" x14ac:dyDescent="0.25">
      <c r="A1974" s="20">
        <v>89269</v>
      </c>
      <c r="B1974" s="20" t="s">
        <v>16388</v>
      </c>
      <c r="C1974" s="20">
        <v>89269</v>
      </c>
      <c r="D1974" s="20" t="e">
        <f>VLOOKUP(C1974,[1]CHILDCARE_FACILITIES!AJ:AK,2,0)</f>
        <v>#N/A</v>
      </c>
      <c r="E1974" s="20" t="s">
        <v>15134</v>
      </c>
      <c r="F1974" s="20" t="s">
        <v>15135</v>
      </c>
      <c r="G1974" s="20">
        <v>72226000</v>
      </c>
      <c r="H1974" s="20" t="s">
        <v>15145</v>
      </c>
      <c r="I1974" s="20" t="b">
        <v>1</v>
      </c>
      <c r="J1974" s="20" t="s">
        <v>18583</v>
      </c>
      <c r="K1974" s="20">
        <v>89269</v>
      </c>
      <c r="L1974" s="20" t="s">
        <v>17213</v>
      </c>
      <c r="M1974" s="20" t="s">
        <v>18584</v>
      </c>
    </row>
    <row r="1975" spans="1:14" x14ac:dyDescent="0.25">
      <c r="A1975" s="20">
        <v>89270</v>
      </c>
      <c r="B1975" s="20" t="s">
        <v>16388</v>
      </c>
      <c r="C1975" s="20">
        <v>89270</v>
      </c>
      <c r="D1975" s="20" t="e">
        <f>VLOOKUP(C1975,[1]CHILDCARE_FACILITIES!AJ:AK,2,0)</f>
        <v>#N/A</v>
      </c>
      <c r="E1975" s="20" t="s">
        <v>15134</v>
      </c>
      <c r="F1975" s="20" t="s">
        <v>15135</v>
      </c>
      <c r="G1975" s="20">
        <v>72226001</v>
      </c>
      <c r="H1975" s="20" t="s">
        <v>15138</v>
      </c>
      <c r="I1975" s="20" t="b">
        <v>1</v>
      </c>
      <c r="J1975" s="20" t="s">
        <v>18583</v>
      </c>
      <c r="K1975" s="20">
        <v>89270</v>
      </c>
      <c r="L1975" s="20" t="s">
        <v>17213</v>
      </c>
      <c r="M1975" s="20" t="s">
        <v>18584</v>
      </c>
    </row>
    <row r="1976" spans="1:14" x14ac:dyDescent="0.25">
      <c r="A1976" s="20">
        <v>89270</v>
      </c>
      <c r="B1976" s="20" t="s">
        <v>16388</v>
      </c>
      <c r="C1976" s="20">
        <v>89270</v>
      </c>
      <c r="D1976" s="20" t="e">
        <f>VLOOKUP(C1976,[1]CHILDCARE_FACILITIES!AJ:AK,2,0)</f>
        <v>#N/A</v>
      </c>
      <c r="E1976" s="20" t="s">
        <v>15134</v>
      </c>
      <c r="F1976" s="20" t="s">
        <v>15135</v>
      </c>
      <c r="G1976" s="20">
        <v>72226001</v>
      </c>
      <c r="H1976" s="20" t="s">
        <v>15145</v>
      </c>
      <c r="I1976" s="20" t="b">
        <v>1</v>
      </c>
      <c r="J1976" s="20" t="s">
        <v>18583</v>
      </c>
      <c r="K1976" s="20">
        <v>89270</v>
      </c>
      <c r="L1976" s="20" t="s">
        <v>17213</v>
      </c>
      <c r="M1976" s="20" t="s">
        <v>18584</v>
      </c>
    </row>
    <row r="1977" spans="1:14" x14ac:dyDescent="0.25">
      <c r="A1977" s="20">
        <v>9781</v>
      </c>
      <c r="B1977" s="20" t="s">
        <v>15674</v>
      </c>
      <c r="C1977" s="20">
        <v>9781</v>
      </c>
      <c r="D1977" s="20" t="e">
        <f>VLOOKUP(C1977,[1]CHILDCARE_FACILITIES!AJ:AK,2,0)</f>
        <v>#N/A</v>
      </c>
      <c r="E1977" s="20" t="s">
        <v>15134</v>
      </c>
      <c r="F1977" s="20" t="s">
        <v>15135</v>
      </c>
      <c r="G1977" s="20">
        <v>102249001</v>
      </c>
      <c r="K1977" s="20">
        <v>9781</v>
      </c>
    </row>
    <row r="1978" spans="1:14" x14ac:dyDescent="0.25">
      <c r="A1978" s="20">
        <v>9809</v>
      </c>
      <c r="B1978" s="20" t="s">
        <v>15674</v>
      </c>
      <c r="C1978" s="20">
        <v>9809</v>
      </c>
      <c r="D1978" s="20" t="e">
        <f>VLOOKUP(C1978,[1]CHILDCARE_FACILITIES!AJ:AK,2,0)</f>
        <v>#N/A</v>
      </c>
      <c r="E1978" s="20" t="s">
        <v>15134</v>
      </c>
      <c r="F1978" s="20" t="s">
        <v>15135</v>
      </c>
      <c r="G1978" s="20">
        <v>102256004</v>
      </c>
      <c r="K1978" s="20">
        <v>9809</v>
      </c>
    </row>
    <row r="1979" spans="1:14" x14ac:dyDescent="0.25">
      <c r="A1979" s="20">
        <v>88347</v>
      </c>
      <c r="B1979" s="20" t="s">
        <v>16364</v>
      </c>
      <c r="C1979" s="20">
        <v>88347</v>
      </c>
      <c r="D1979" s="20" t="e">
        <f>VLOOKUP(C1979,[1]CHILDCARE_FACILITIES!AJ:AK,2,0)</f>
        <v>#N/A</v>
      </c>
      <c r="E1979" s="20" t="s">
        <v>15134</v>
      </c>
      <c r="F1979" s="20" t="s">
        <v>15135</v>
      </c>
      <c r="G1979" s="20">
        <v>12211000</v>
      </c>
      <c r="H1979" s="20" t="s">
        <v>15138</v>
      </c>
      <c r="I1979" s="20" t="b">
        <v>0</v>
      </c>
      <c r="J1979" s="20" t="s">
        <v>17601</v>
      </c>
      <c r="K1979" s="20">
        <v>88347</v>
      </c>
      <c r="L1979" s="20" t="s">
        <v>17599</v>
      </c>
      <c r="M1979" s="20" t="s">
        <v>17600</v>
      </c>
    </row>
    <row r="1980" spans="1:14" x14ac:dyDescent="0.25">
      <c r="A1980" s="20">
        <v>90128</v>
      </c>
      <c r="B1980" s="20" t="s">
        <v>16554</v>
      </c>
      <c r="C1980" s="20">
        <v>90128</v>
      </c>
      <c r="D1980" s="20" t="e">
        <f>VLOOKUP(C1980,[1]CHILDCARE_FACILITIES!AJ:AK,2,0)</f>
        <v>#N/A</v>
      </c>
      <c r="E1980" s="20" t="s">
        <v>15134</v>
      </c>
      <c r="F1980" s="20" t="s">
        <v>15135</v>
      </c>
      <c r="G1980" s="20">
        <v>103212000</v>
      </c>
      <c r="H1980" s="20" t="s">
        <v>15136</v>
      </c>
      <c r="I1980" s="20" t="b">
        <v>1</v>
      </c>
      <c r="J1980" s="20" t="s">
        <v>17583</v>
      </c>
      <c r="K1980" s="20">
        <v>90128</v>
      </c>
      <c r="L1980" s="20" t="s">
        <v>17367</v>
      </c>
      <c r="M1980" s="20" t="s">
        <v>17584</v>
      </c>
    </row>
    <row r="1981" spans="1:14" x14ac:dyDescent="0.25">
      <c r="A1981" s="20">
        <v>90128</v>
      </c>
      <c r="B1981" s="20" t="s">
        <v>16554</v>
      </c>
      <c r="C1981" s="20">
        <v>90128</v>
      </c>
      <c r="D1981" s="20" t="e">
        <f>VLOOKUP(C1981,[1]CHILDCARE_FACILITIES!AJ:AK,2,0)</f>
        <v>#N/A</v>
      </c>
      <c r="E1981" s="20" t="s">
        <v>15134</v>
      </c>
      <c r="F1981" s="20" t="s">
        <v>15135</v>
      </c>
      <c r="G1981" s="20">
        <v>103212000</v>
      </c>
      <c r="H1981" s="20" t="s">
        <v>15138</v>
      </c>
      <c r="I1981" s="20" t="b">
        <v>1</v>
      </c>
      <c r="J1981" s="20" t="s">
        <v>17583</v>
      </c>
      <c r="K1981" s="20">
        <v>90128</v>
      </c>
      <c r="L1981" s="20" t="s">
        <v>17367</v>
      </c>
      <c r="M1981" s="20" t="s">
        <v>17584</v>
      </c>
    </row>
    <row r="1982" spans="1:14" x14ac:dyDescent="0.25">
      <c r="A1982" s="20">
        <v>90129</v>
      </c>
      <c r="B1982" s="20" t="s">
        <v>16555</v>
      </c>
      <c r="C1982" s="20">
        <v>90129</v>
      </c>
      <c r="D1982" s="20" t="str">
        <f>VLOOKUP(C1982,[1]CHILDCARE_FACILITIES!AJ:AK,2,0)</f>
        <v>CDC-14288</v>
      </c>
      <c r="E1982" s="20" t="s">
        <v>15134</v>
      </c>
      <c r="F1982" s="20" t="s">
        <v>15135</v>
      </c>
      <c r="G1982" s="20">
        <v>103212001</v>
      </c>
      <c r="H1982" s="20" t="s">
        <v>15145</v>
      </c>
      <c r="I1982" s="20" t="b">
        <v>1</v>
      </c>
      <c r="J1982" s="20" t="s">
        <v>18585</v>
      </c>
      <c r="K1982" s="20">
        <v>90129</v>
      </c>
      <c r="L1982" s="20" t="s">
        <v>17271</v>
      </c>
      <c r="M1982" s="20" t="s">
        <v>18586</v>
      </c>
    </row>
    <row r="1983" spans="1:14" x14ac:dyDescent="0.25">
      <c r="A1983" s="20">
        <v>89492</v>
      </c>
      <c r="B1983" s="20" t="s">
        <v>16405</v>
      </c>
      <c r="C1983" s="20">
        <v>89492</v>
      </c>
      <c r="D1983" s="20" t="e">
        <f>VLOOKUP(C1983,[1]CHILDCARE_FACILITIES!AJ:AK,2,0)</f>
        <v>#N/A</v>
      </c>
      <c r="E1983" s="20" t="s">
        <v>15134</v>
      </c>
      <c r="F1983" s="20" t="s">
        <v>15135</v>
      </c>
      <c r="G1983" s="20">
        <v>102269000</v>
      </c>
      <c r="H1983" s="20" t="s">
        <v>15145</v>
      </c>
      <c r="I1983" s="20" t="b">
        <v>1</v>
      </c>
      <c r="J1983" s="20" t="s">
        <v>18587</v>
      </c>
      <c r="K1983" s="20">
        <v>89492</v>
      </c>
      <c r="L1983" s="20" t="s">
        <v>17271</v>
      </c>
      <c r="M1983" s="20" t="s">
        <v>18588</v>
      </c>
    </row>
    <row r="1984" spans="1:14" x14ac:dyDescent="0.25">
      <c r="A1984" s="20">
        <v>89492</v>
      </c>
      <c r="B1984" s="20" t="s">
        <v>16405</v>
      </c>
      <c r="C1984" s="20">
        <v>89492</v>
      </c>
      <c r="D1984" s="20" t="e">
        <f>VLOOKUP(C1984,[1]CHILDCARE_FACILITIES!AJ:AK,2,0)</f>
        <v>#N/A</v>
      </c>
      <c r="E1984" s="20" t="s">
        <v>15134</v>
      </c>
      <c r="F1984" s="20" t="s">
        <v>15135</v>
      </c>
      <c r="G1984" s="20">
        <v>102269000</v>
      </c>
      <c r="H1984" s="20" t="s">
        <v>15138</v>
      </c>
      <c r="I1984" s="20" t="b">
        <v>1</v>
      </c>
      <c r="J1984" s="20" t="s">
        <v>18587</v>
      </c>
      <c r="K1984" s="20">
        <v>89492</v>
      </c>
      <c r="L1984" s="20" t="s">
        <v>17271</v>
      </c>
      <c r="M1984" s="20" t="s">
        <v>18588</v>
      </c>
    </row>
    <row r="1985" spans="1:14" x14ac:dyDescent="0.25">
      <c r="A1985" s="20">
        <v>89493</v>
      </c>
      <c r="B1985" s="20" t="s">
        <v>16405</v>
      </c>
      <c r="C1985" s="20">
        <v>89493</v>
      </c>
      <c r="D1985" s="20" t="e">
        <f>VLOOKUP(C1985,[1]CHILDCARE_FACILITIES!AJ:AK,2,0)</f>
        <v>#N/A</v>
      </c>
      <c r="E1985" s="20" t="s">
        <v>15134</v>
      </c>
      <c r="F1985" s="20" t="s">
        <v>15135</v>
      </c>
      <c r="G1985" s="20">
        <v>102269001</v>
      </c>
      <c r="H1985" s="20" t="s">
        <v>15145</v>
      </c>
      <c r="I1985" s="20" t="b">
        <v>1</v>
      </c>
      <c r="J1985" s="20" t="s">
        <v>18587</v>
      </c>
      <c r="K1985" s="20">
        <v>89493</v>
      </c>
      <c r="L1985" s="20" t="s">
        <v>17271</v>
      </c>
      <c r="M1985" s="20" t="s">
        <v>18588</v>
      </c>
    </row>
    <row r="1986" spans="1:14" x14ac:dyDescent="0.25">
      <c r="A1986" s="20">
        <v>89493</v>
      </c>
      <c r="B1986" s="20" t="s">
        <v>16405</v>
      </c>
      <c r="C1986" s="20">
        <v>89493</v>
      </c>
      <c r="D1986" s="20" t="e">
        <f>VLOOKUP(C1986,[1]CHILDCARE_FACILITIES!AJ:AK,2,0)</f>
        <v>#N/A</v>
      </c>
      <c r="E1986" s="20" t="s">
        <v>15134</v>
      </c>
      <c r="F1986" s="20" t="s">
        <v>15135</v>
      </c>
      <c r="G1986" s="20">
        <v>102269001</v>
      </c>
      <c r="H1986" s="20" t="s">
        <v>15138</v>
      </c>
      <c r="I1986" s="20" t="b">
        <v>1</v>
      </c>
      <c r="J1986" s="20" t="s">
        <v>18587</v>
      </c>
      <c r="K1986" s="20">
        <v>89493</v>
      </c>
      <c r="L1986" s="20" t="s">
        <v>17271</v>
      </c>
      <c r="M1986" s="20" t="s">
        <v>18588</v>
      </c>
    </row>
    <row r="1987" spans="1:14" x14ac:dyDescent="0.25">
      <c r="A1987" s="20">
        <v>9726</v>
      </c>
      <c r="B1987" s="20" t="s">
        <v>15635</v>
      </c>
      <c r="C1987" s="20">
        <v>9726</v>
      </c>
      <c r="D1987" s="20" t="e">
        <f>VLOOKUP(C1987,[1]CHILDCARE_FACILITIES!AJ:AK,2,0)</f>
        <v>#N/A</v>
      </c>
      <c r="E1987" s="20" t="s">
        <v>15134</v>
      </c>
      <c r="F1987" s="20" t="s">
        <v>15135</v>
      </c>
      <c r="G1987" s="20">
        <v>102202001</v>
      </c>
      <c r="K1987" s="20">
        <v>9726</v>
      </c>
    </row>
    <row r="1988" spans="1:14" x14ac:dyDescent="0.25">
      <c r="A1988" s="20">
        <v>80495</v>
      </c>
      <c r="B1988" s="20" t="s">
        <v>16057</v>
      </c>
      <c r="C1988" s="20">
        <v>80495</v>
      </c>
      <c r="D1988" s="20" t="e">
        <f>VLOOKUP(C1988,[1]CHILDCARE_FACILITIES!AJ:AK,2,0)</f>
        <v>#N/A</v>
      </c>
      <c r="E1988" s="20" t="s">
        <v>15134</v>
      </c>
      <c r="F1988" s="20" t="s">
        <v>15135</v>
      </c>
      <c r="G1988" s="20">
        <v>102206002</v>
      </c>
      <c r="H1988" s="20" t="s">
        <v>15138</v>
      </c>
      <c r="I1988" s="20" t="b">
        <v>1</v>
      </c>
      <c r="J1988" s="20" t="s">
        <v>18589</v>
      </c>
      <c r="K1988" s="20">
        <v>80495</v>
      </c>
      <c r="L1988" s="20" t="s">
        <v>17271</v>
      </c>
      <c r="M1988" s="20" t="s">
        <v>18281</v>
      </c>
    </row>
    <row r="1989" spans="1:14" x14ac:dyDescent="0.25">
      <c r="A1989" s="20">
        <v>80495</v>
      </c>
      <c r="B1989" s="20" t="s">
        <v>16057</v>
      </c>
      <c r="C1989" s="20">
        <v>80495</v>
      </c>
      <c r="D1989" s="20" t="e">
        <f>VLOOKUP(C1989,[1]CHILDCARE_FACILITIES!AJ:AK,2,0)</f>
        <v>#N/A</v>
      </c>
      <c r="E1989" s="20" t="s">
        <v>15134</v>
      </c>
      <c r="F1989" s="20" t="s">
        <v>15135</v>
      </c>
      <c r="G1989" s="20">
        <v>102206002</v>
      </c>
      <c r="H1989" s="20" t="s">
        <v>15145</v>
      </c>
      <c r="I1989" s="20" t="b">
        <v>1</v>
      </c>
      <c r="J1989" s="20" t="s">
        <v>18590</v>
      </c>
      <c r="K1989" s="20">
        <v>80495</v>
      </c>
      <c r="L1989" s="20" t="s">
        <v>17271</v>
      </c>
      <c r="M1989" s="20" t="s">
        <v>18591</v>
      </c>
    </row>
    <row r="1990" spans="1:14" x14ac:dyDescent="0.25">
      <c r="A1990" s="20">
        <v>9731</v>
      </c>
      <c r="B1990" s="20" t="s">
        <v>15639</v>
      </c>
      <c r="C1990" s="20">
        <v>9731</v>
      </c>
      <c r="D1990" s="20" t="e">
        <f>VLOOKUP(C1990,[1]CHILDCARE_FACILITIES!AJ:AK,2,0)</f>
        <v>#N/A</v>
      </c>
      <c r="E1990" s="20" t="s">
        <v>15134</v>
      </c>
      <c r="F1990" s="20" t="s">
        <v>15135</v>
      </c>
      <c r="G1990" s="20">
        <v>102206000</v>
      </c>
      <c r="K1990" s="20">
        <v>9731</v>
      </c>
    </row>
    <row r="1991" spans="1:14" x14ac:dyDescent="0.25">
      <c r="A1991" s="20">
        <v>9733</v>
      </c>
      <c r="B1991" s="20" t="s">
        <v>15640</v>
      </c>
      <c r="C1991" s="20">
        <v>9733</v>
      </c>
      <c r="D1991" s="20" t="e">
        <f>VLOOKUP(C1991,[1]CHILDCARE_FACILITIES!AJ:AK,2,0)</f>
        <v>#N/A</v>
      </c>
      <c r="E1991" s="20" t="s">
        <v>15134</v>
      </c>
      <c r="F1991" s="20" t="s">
        <v>15135</v>
      </c>
      <c r="G1991" s="20">
        <v>102211000</v>
      </c>
      <c r="K1991" s="20">
        <v>9733</v>
      </c>
    </row>
    <row r="1992" spans="1:14" x14ac:dyDescent="0.25">
      <c r="A1992" s="20">
        <v>89877</v>
      </c>
      <c r="B1992" s="20" t="s">
        <v>16475</v>
      </c>
      <c r="C1992" s="20">
        <v>89877</v>
      </c>
      <c r="D1992" s="20" t="e">
        <f>VLOOKUP(C1992,[1]CHILDCARE_FACILITIES!AJ:AK,2,0)</f>
        <v>#N/A</v>
      </c>
      <c r="E1992" s="20" t="s">
        <v>15134</v>
      </c>
      <c r="F1992" s="20" t="s">
        <v>15135</v>
      </c>
      <c r="G1992" s="20">
        <v>103204000</v>
      </c>
      <c r="H1992" s="20" t="s">
        <v>15136</v>
      </c>
      <c r="I1992" s="20" t="b">
        <v>1</v>
      </c>
      <c r="J1992" s="20" t="s">
        <v>18592</v>
      </c>
      <c r="K1992" s="20">
        <v>89877</v>
      </c>
      <c r="L1992" s="20" t="s">
        <v>17271</v>
      </c>
      <c r="M1992" s="20" t="s">
        <v>18593</v>
      </c>
    </row>
    <row r="1993" spans="1:14" x14ac:dyDescent="0.25">
      <c r="A1993" s="20">
        <v>89877</v>
      </c>
      <c r="B1993" s="20" t="s">
        <v>16475</v>
      </c>
      <c r="C1993" s="20">
        <v>89877</v>
      </c>
      <c r="D1993" s="20" t="e">
        <f>VLOOKUP(C1993,[1]CHILDCARE_FACILITIES!AJ:AK,2,0)</f>
        <v>#N/A</v>
      </c>
      <c r="E1993" s="20" t="s">
        <v>15134</v>
      </c>
      <c r="F1993" s="20" t="s">
        <v>15135</v>
      </c>
      <c r="G1993" s="20">
        <v>103204000</v>
      </c>
      <c r="H1993" s="20" t="s">
        <v>15138</v>
      </c>
      <c r="I1993" s="20" t="b">
        <v>1</v>
      </c>
      <c r="J1993" s="20" t="s">
        <v>17543</v>
      </c>
      <c r="K1993" s="20">
        <v>89877</v>
      </c>
      <c r="L1993" s="20" t="s">
        <v>17544</v>
      </c>
      <c r="M1993" s="20" t="s">
        <v>17545</v>
      </c>
    </row>
    <row r="1994" spans="1:14" x14ac:dyDescent="0.25">
      <c r="A1994" s="20">
        <v>92684</v>
      </c>
      <c r="B1994" s="20" t="s">
        <v>16893</v>
      </c>
      <c r="C1994" s="20">
        <v>92684</v>
      </c>
      <c r="D1994" s="20" t="e">
        <f>VLOOKUP(C1994,[1]CHILDCARE_FACILITIES!AJ:AK,2,0)</f>
        <v>#N/A</v>
      </c>
      <c r="E1994" s="20" t="s">
        <v>15134</v>
      </c>
      <c r="F1994" s="20" t="s">
        <v>15135</v>
      </c>
      <c r="G1994" s="20">
        <v>73313000</v>
      </c>
      <c r="H1994" s="20" t="s">
        <v>15136</v>
      </c>
      <c r="I1994" s="20" t="b">
        <v>1</v>
      </c>
      <c r="J1994" s="20" t="s">
        <v>18594</v>
      </c>
      <c r="K1994" s="20">
        <v>92684</v>
      </c>
      <c r="L1994" s="20" t="s">
        <v>18595</v>
      </c>
      <c r="M1994" s="20" t="s">
        <v>18596</v>
      </c>
    </row>
    <row r="1995" spans="1:14" x14ac:dyDescent="0.25">
      <c r="A1995" s="20">
        <v>92684</v>
      </c>
      <c r="B1995" s="20" t="s">
        <v>16893</v>
      </c>
      <c r="C1995" s="20">
        <v>92684</v>
      </c>
      <c r="D1995" s="20" t="e">
        <f>VLOOKUP(C1995,[1]CHILDCARE_FACILITIES!AJ:AK,2,0)</f>
        <v>#N/A</v>
      </c>
      <c r="E1995" s="20" t="s">
        <v>15134</v>
      </c>
      <c r="F1995" s="20" t="s">
        <v>15135</v>
      </c>
      <c r="G1995" s="20">
        <v>73313000</v>
      </c>
      <c r="H1995" s="20" t="s">
        <v>15138</v>
      </c>
      <c r="I1995" s="20" t="b">
        <v>1</v>
      </c>
      <c r="J1995" s="20" t="s">
        <v>18597</v>
      </c>
      <c r="K1995" s="20">
        <v>92684</v>
      </c>
      <c r="L1995" s="20" t="s">
        <v>17213</v>
      </c>
      <c r="M1995" s="20" t="s">
        <v>18598</v>
      </c>
    </row>
    <row r="1996" spans="1:14" x14ac:dyDescent="0.25">
      <c r="A1996" s="20">
        <v>92685</v>
      </c>
      <c r="B1996" s="20" t="s">
        <v>16893</v>
      </c>
      <c r="C1996" s="20">
        <v>92685</v>
      </c>
      <c r="D1996" s="20" t="e">
        <f>VLOOKUP(C1996,[1]CHILDCARE_FACILITIES!AJ:AK,2,0)</f>
        <v>#N/A</v>
      </c>
      <c r="E1996" s="20" t="s">
        <v>15134</v>
      </c>
      <c r="F1996" s="20" t="s">
        <v>15135</v>
      </c>
      <c r="G1996" s="20">
        <v>73313001</v>
      </c>
      <c r="H1996" s="20" t="s">
        <v>15138</v>
      </c>
      <c r="I1996" s="20" t="b">
        <v>1</v>
      </c>
      <c r="J1996" s="20" t="s">
        <v>18599</v>
      </c>
      <c r="K1996" s="20">
        <v>92685</v>
      </c>
      <c r="L1996" s="20" t="s">
        <v>17213</v>
      </c>
      <c r="M1996" s="20" t="s">
        <v>18598</v>
      </c>
    </row>
    <row r="1997" spans="1:14" x14ac:dyDescent="0.25">
      <c r="A1997" s="20">
        <v>8672</v>
      </c>
      <c r="B1997" s="20" t="s">
        <v>15185</v>
      </c>
      <c r="C1997" s="20">
        <v>8672</v>
      </c>
      <c r="D1997" s="20" t="e">
        <f>VLOOKUP(C1997,[1]CHILDCARE_FACILITIES!AJ:AK,2,0)</f>
        <v>#N/A</v>
      </c>
      <c r="E1997" s="20" t="s">
        <v>15134</v>
      </c>
      <c r="F1997" s="20" t="s">
        <v>15135</v>
      </c>
      <c r="G1997" s="20">
        <v>72210001</v>
      </c>
      <c r="K1997" s="20">
        <v>8672</v>
      </c>
    </row>
    <row r="1998" spans="1:14" x14ac:dyDescent="0.25">
      <c r="A1998" s="20">
        <v>8671</v>
      </c>
      <c r="B1998" s="20" t="s">
        <v>15184</v>
      </c>
      <c r="C1998" s="20">
        <v>8671</v>
      </c>
      <c r="D1998" s="20" t="e">
        <f>VLOOKUP(C1998,[1]CHILDCARE_FACILITIES!AJ:AK,2,0)</f>
        <v>#N/A</v>
      </c>
      <c r="E1998" s="20" t="s">
        <v>15134</v>
      </c>
      <c r="F1998" s="20" t="s">
        <v>15135</v>
      </c>
      <c r="G1998" s="20">
        <v>72210000</v>
      </c>
      <c r="K1998" s="20">
        <v>8671</v>
      </c>
    </row>
    <row r="1999" spans="1:14" x14ac:dyDescent="0.25">
      <c r="A1999" s="20">
        <v>8490</v>
      </c>
      <c r="B1999" s="20" t="s">
        <v>15144</v>
      </c>
      <c r="C1999" s="20">
        <v>8490</v>
      </c>
      <c r="D1999" s="20" t="e">
        <f>VLOOKUP(C1999,[1]CHILDCARE_FACILITIES!AJ:AK,2,0)</f>
        <v>#N/A</v>
      </c>
      <c r="E1999" s="20" t="s">
        <v>15134</v>
      </c>
      <c r="F1999" s="20" t="s">
        <v>15135</v>
      </c>
      <c r="G1999" s="20">
        <v>22201000</v>
      </c>
      <c r="H1999" s="20" t="s">
        <v>15145</v>
      </c>
      <c r="I1999" s="20" t="b">
        <v>0</v>
      </c>
      <c r="J1999" s="20" t="s">
        <v>18600</v>
      </c>
      <c r="K1999" s="20">
        <v>8490</v>
      </c>
      <c r="L1999" s="20" t="s">
        <v>18601</v>
      </c>
      <c r="M1999" s="20" t="s">
        <v>17729</v>
      </c>
      <c r="N1999" s="20" t="s">
        <v>17725</v>
      </c>
    </row>
    <row r="2000" spans="1:14" x14ac:dyDescent="0.25">
      <c r="A2000" s="20">
        <v>278198</v>
      </c>
      <c r="B2000" s="20" t="s">
        <v>16980</v>
      </c>
      <c r="C2000" s="20">
        <v>278198</v>
      </c>
      <c r="D2000" s="20" t="str">
        <f>VLOOKUP(C2000,[1]CHILDCARE_FACILITIES!AJ:AK,2,0)</f>
        <v>CDC-17453</v>
      </c>
      <c r="E2000" s="20" t="s">
        <v>15134</v>
      </c>
      <c r="F2000" s="20" t="s">
        <v>15135</v>
      </c>
      <c r="G2000" s="20">
        <v>23017001</v>
      </c>
      <c r="H2000" s="20" t="s">
        <v>15136</v>
      </c>
      <c r="I2000" s="20" t="b">
        <v>1</v>
      </c>
      <c r="J2000" s="20" t="s">
        <v>18602</v>
      </c>
      <c r="K2000" s="20">
        <v>278198</v>
      </c>
      <c r="L2000" s="20" t="s">
        <v>17619</v>
      </c>
      <c r="M2000" s="20" t="s">
        <v>18603</v>
      </c>
    </row>
    <row r="2001" spans="1:13" x14ac:dyDescent="0.25">
      <c r="A2001" s="20">
        <v>22148</v>
      </c>
      <c r="B2001" s="20" t="s">
        <v>15863</v>
      </c>
      <c r="C2001" s="20">
        <v>22148</v>
      </c>
      <c r="D2001" s="20" t="e">
        <f>VLOOKUP(C2001,[1]CHILDCARE_FACILITIES!AJ:AK,2,0)</f>
        <v>#N/A</v>
      </c>
      <c r="E2001" s="20" t="s">
        <v>15134</v>
      </c>
      <c r="F2001" s="20" t="s">
        <v>15135</v>
      </c>
      <c r="G2001" s="20">
        <v>23017000</v>
      </c>
      <c r="H2001" s="20" t="s">
        <v>15136</v>
      </c>
      <c r="I2001" s="20" t="b">
        <v>1</v>
      </c>
      <c r="J2001" s="20" t="s">
        <v>18602</v>
      </c>
      <c r="K2001" s="20">
        <v>22148</v>
      </c>
      <c r="L2001" s="20" t="s">
        <v>17619</v>
      </c>
      <c r="M2001" s="20" t="s">
        <v>18603</v>
      </c>
    </row>
    <row r="2002" spans="1:13" x14ac:dyDescent="0.25">
      <c r="A2002" s="20">
        <v>79826</v>
      </c>
      <c r="B2002" s="20" t="s">
        <v>16015</v>
      </c>
      <c r="C2002" s="20">
        <v>79826</v>
      </c>
      <c r="D2002" s="20" t="e">
        <f>VLOOKUP(C2002,[1]CHILDCARE_FACILITIES!AJ:AK,2,0)</f>
        <v>#N/A</v>
      </c>
      <c r="E2002" s="20" t="s">
        <v>15134</v>
      </c>
      <c r="F2002" s="20" t="s">
        <v>15135</v>
      </c>
      <c r="G2002" s="20">
        <v>72431001</v>
      </c>
      <c r="H2002" s="20" t="s">
        <v>15138</v>
      </c>
      <c r="I2002" s="20" t="b">
        <v>1</v>
      </c>
      <c r="J2002" s="20" t="s">
        <v>18604</v>
      </c>
      <c r="K2002" s="20">
        <v>79826</v>
      </c>
      <c r="L2002" s="20" t="s">
        <v>17213</v>
      </c>
      <c r="M2002" s="20" t="s">
        <v>18605</v>
      </c>
    </row>
    <row r="2003" spans="1:13" x14ac:dyDescent="0.25">
      <c r="A2003" s="20">
        <v>79826</v>
      </c>
      <c r="B2003" s="20" t="s">
        <v>16015</v>
      </c>
      <c r="C2003" s="20">
        <v>79826</v>
      </c>
      <c r="D2003" s="20" t="e">
        <f>VLOOKUP(C2003,[1]CHILDCARE_FACILITIES!AJ:AK,2,0)</f>
        <v>#N/A</v>
      </c>
      <c r="E2003" s="20" t="s">
        <v>15134</v>
      </c>
      <c r="F2003" s="20" t="s">
        <v>15135</v>
      </c>
      <c r="G2003" s="20">
        <v>72431001</v>
      </c>
      <c r="H2003" s="20" t="s">
        <v>15145</v>
      </c>
      <c r="I2003" s="20" t="b">
        <v>1</v>
      </c>
      <c r="J2003" s="20" t="s">
        <v>18604</v>
      </c>
      <c r="K2003" s="20">
        <v>79826</v>
      </c>
      <c r="L2003" s="20" t="s">
        <v>17213</v>
      </c>
      <c r="M2003" s="20" t="s">
        <v>18605</v>
      </c>
    </row>
    <row r="2004" spans="1:13" x14ac:dyDescent="0.25">
      <c r="A2004" s="20">
        <v>8757</v>
      </c>
      <c r="B2004" s="20" t="s">
        <v>15253</v>
      </c>
      <c r="C2004" s="20">
        <v>8757</v>
      </c>
      <c r="D2004" s="20" t="e">
        <f>VLOOKUP(C2004,[1]CHILDCARE_FACILITIES!AJ:AK,2,0)</f>
        <v>#N/A</v>
      </c>
      <c r="E2004" s="20" t="s">
        <v>15134</v>
      </c>
      <c r="F2004" s="20" t="s">
        <v>15135</v>
      </c>
      <c r="G2004" s="20">
        <v>72402003</v>
      </c>
      <c r="K2004" s="20">
        <v>8757</v>
      </c>
    </row>
    <row r="2005" spans="1:13" x14ac:dyDescent="0.25">
      <c r="A2005" s="20">
        <v>8819</v>
      </c>
      <c r="B2005" s="20" t="s">
        <v>15253</v>
      </c>
      <c r="C2005" s="20">
        <v>8819</v>
      </c>
      <c r="D2005" s="20" t="e">
        <f>VLOOKUP(C2005,[1]CHILDCARE_FACILITIES!AJ:AK,2,0)</f>
        <v>#N/A</v>
      </c>
      <c r="E2005" s="20" t="s">
        <v>15134</v>
      </c>
      <c r="F2005" s="20" t="s">
        <v>15135</v>
      </c>
      <c r="G2005" s="20">
        <v>72413002</v>
      </c>
      <c r="H2005" s="20" t="s">
        <v>15136</v>
      </c>
      <c r="I2005" s="20" t="b">
        <v>1</v>
      </c>
      <c r="J2005" s="20" t="s">
        <v>18606</v>
      </c>
      <c r="K2005" s="20">
        <v>8819</v>
      </c>
      <c r="L2005" s="20" t="s">
        <v>17213</v>
      </c>
      <c r="M2005" s="20" t="s">
        <v>18607</v>
      </c>
    </row>
    <row r="2006" spans="1:13" x14ac:dyDescent="0.25">
      <c r="A2006" s="20">
        <v>8819</v>
      </c>
      <c r="B2006" s="20" t="s">
        <v>15253</v>
      </c>
      <c r="C2006" s="20">
        <v>8819</v>
      </c>
      <c r="D2006" s="20" t="e">
        <f>VLOOKUP(C2006,[1]CHILDCARE_FACILITIES!AJ:AK,2,0)</f>
        <v>#N/A</v>
      </c>
      <c r="E2006" s="20" t="s">
        <v>15134</v>
      </c>
      <c r="F2006" s="20" t="s">
        <v>15135</v>
      </c>
      <c r="G2006" s="20">
        <v>72413002</v>
      </c>
      <c r="H2006" s="20" t="s">
        <v>15138</v>
      </c>
      <c r="I2006" s="20" t="b">
        <v>1</v>
      </c>
      <c r="J2006" s="20" t="s">
        <v>18606</v>
      </c>
      <c r="K2006" s="20">
        <v>8819</v>
      </c>
      <c r="L2006" s="20" t="s">
        <v>17213</v>
      </c>
      <c r="M2006" s="20" t="s">
        <v>18607</v>
      </c>
    </row>
    <row r="2007" spans="1:13" x14ac:dyDescent="0.25">
      <c r="A2007" s="20">
        <v>90436</v>
      </c>
      <c r="B2007" s="20" t="s">
        <v>16613</v>
      </c>
      <c r="C2007" s="20">
        <v>90436</v>
      </c>
      <c r="D2007" s="20" t="e">
        <f>VLOOKUP(C2007,[1]CHILDCARE_FACILITIES!AJ:AK,2,0)</f>
        <v>#N/A</v>
      </c>
      <c r="E2007" s="20" t="s">
        <v>15134</v>
      </c>
      <c r="F2007" s="20" t="s">
        <v>15135</v>
      </c>
      <c r="G2007" s="20">
        <v>73592000</v>
      </c>
      <c r="H2007" s="20" t="s">
        <v>15136</v>
      </c>
      <c r="I2007" s="20" t="b">
        <v>1</v>
      </c>
      <c r="J2007" s="20" t="s">
        <v>18608</v>
      </c>
      <c r="K2007" s="20">
        <v>90436</v>
      </c>
      <c r="L2007" s="20" t="s">
        <v>17236</v>
      </c>
      <c r="M2007" s="20" t="s">
        <v>18575</v>
      </c>
    </row>
    <row r="2008" spans="1:13" x14ac:dyDescent="0.25">
      <c r="A2008" s="20">
        <v>90436</v>
      </c>
      <c r="B2008" s="20" t="s">
        <v>16613</v>
      </c>
      <c r="C2008" s="20">
        <v>90436</v>
      </c>
      <c r="D2008" s="20" t="e">
        <f>VLOOKUP(C2008,[1]CHILDCARE_FACILITIES!AJ:AK,2,0)</f>
        <v>#N/A</v>
      </c>
      <c r="E2008" s="20" t="s">
        <v>15134</v>
      </c>
      <c r="F2008" s="20" t="s">
        <v>15135</v>
      </c>
      <c r="G2008" s="20">
        <v>73592000</v>
      </c>
      <c r="H2008" s="20" t="s">
        <v>15138</v>
      </c>
      <c r="I2008" s="20" t="b">
        <v>1</v>
      </c>
      <c r="J2008" s="20" t="s">
        <v>18608</v>
      </c>
      <c r="K2008" s="20">
        <v>90436</v>
      </c>
      <c r="L2008" s="20" t="s">
        <v>17236</v>
      </c>
      <c r="M2008" s="20" t="s">
        <v>18575</v>
      </c>
    </row>
    <row r="2009" spans="1:13" x14ac:dyDescent="0.25">
      <c r="A2009" s="20">
        <v>92627</v>
      </c>
      <c r="B2009" s="20" t="s">
        <v>16878</v>
      </c>
      <c r="C2009" s="20">
        <v>92627</v>
      </c>
      <c r="D2009" s="20" t="e">
        <f>VLOOKUP(C2009,[1]CHILDCARE_FACILITIES!AJ:AK,2,0)</f>
        <v>#N/A</v>
      </c>
      <c r="E2009" s="20" t="s">
        <v>15134</v>
      </c>
      <c r="F2009" s="20" t="s">
        <v>15135</v>
      </c>
      <c r="G2009" s="20">
        <v>73095001</v>
      </c>
      <c r="H2009" s="20" t="s">
        <v>15136</v>
      </c>
      <c r="I2009" s="20" t="b">
        <v>1</v>
      </c>
      <c r="J2009" s="20" t="s">
        <v>18609</v>
      </c>
      <c r="K2009" s="20">
        <v>92627</v>
      </c>
      <c r="L2009" s="20" t="s">
        <v>17213</v>
      </c>
      <c r="M2009" s="20" t="s">
        <v>18610</v>
      </c>
    </row>
    <row r="2010" spans="1:13" x14ac:dyDescent="0.25">
      <c r="A2010" s="20">
        <v>92627</v>
      </c>
      <c r="B2010" s="20" t="s">
        <v>16878</v>
      </c>
      <c r="C2010" s="20">
        <v>92627</v>
      </c>
      <c r="D2010" s="20" t="e">
        <f>VLOOKUP(C2010,[1]CHILDCARE_FACILITIES!AJ:AK,2,0)</f>
        <v>#N/A</v>
      </c>
      <c r="E2010" s="20" t="s">
        <v>15134</v>
      </c>
      <c r="F2010" s="20" t="s">
        <v>15135</v>
      </c>
      <c r="G2010" s="20">
        <v>73095001</v>
      </c>
      <c r="H2010" s="20" t="s">
        <v>15138</v>
      </c>
      <c r="I2010" s="20" t="b">
        <v>1</v>
      </c>
      <c r="J2010" s="20" t="s">
        <v>18609</v>
      </c>
      <c r="K2010" s="20">
        <v>92627</v>
      </c>
      <c r="L2010" s="20" t="s">
        <v>17213</v>
      </c>
      <c r="M2010" s="20" t="s">
        <v>18610</v>
      </c>
    </row>
    <row r="2011" spans="1:13" x14ac:dyDescent="0.25">
      <c r="A2011" s="20">
        <v>79186</v>
      </c>
      <c r="B2011" s="20" t="s">
        <v>15906</v>
      </c>
      <c r="C2011" s="20">
        <v>79186</v>
      </c>
      <c r="D2011" s="20" t="str">
        <f>VLOOKUP(C2011,[1]CHILDCARE_FACILITIES!AJ:AK,2,0)</f>
        <v>CDC-10827</v>
      </c>
      <c r="E2011" s="20" t="s">
        <v>15134</v>
      </c>
      <c r="F2011" s="20" t="s">
        <v>15135</v>
      </c>
      <c r="G2011" s="20">
        <v>71986001</v>
      </c>
      <c r="H2011" s="20" t="s">
        <v>15136</v>
      </c>
      <c r="I2011" s="20" t="b">
        <v>1</v>
      </c>
      <c r="J2011" s="20" t="s">
        <v>18611</v>
      </c>
      <c r="K2011" s="20">
        <v>79186</v>
      </c>
      <c r="L2011" s="20" t="s">
        <v>17213</v>
      </c>
      <c r="M2011" s="20" t="s">
        <v>18612</v>
      </c>
    </row>
    <row r="2012" spans="1:13" x14ac:dyDescent="0.25">
      <c r="A2012" s="20">
        <v>79186</v>
      </c>
      <c r="B2012" s="20" t="s">
        <v>15906</v>
      </c>
      <c r="C2012" s="20">
        <v>79186</v>
      </c>
      <c r="D2012" s="20" t="str">
        <f>VLOOKUP(C2012,[1]CHILDCARE_FACILITIES!AJ:AK,2,0)</f>
        <v>CDC-10827</v>
      </c>
      <c r="E2012" s="20" t="s">
        <v>15134</v>
      </c>
      <c r="F2012" s="20" t="s">
        <v>15135</v>
      </c>
      <c r="G2012" s="20">
        <v>71986001</v>
      </c>
      <c r="H2012" s="20" t="s">
        <v>15138</v>
      </c>
      <c r="I2012" s="20" t="b">
        <v>1</v>
      </c>
      <c r="J2012" s="20" t="s">
        <v>18611</v>
      </c>
      <c r="K2012" s="20">
        <v>79186</v>
      </c>
      <c r="L2012" s="20" t="s">
        <v>17213</v>
      </c>
      <c r="M2012" s="20" t="s">
        <v>18612</v>
      </c>
    </row>
    <row r="2013" spans="1:13" x14ac:dyDescent="0.25">
      <c r="A2013" s="20">
        <v>139523</v>
      </c>
      <c r="B2013" s="20" t="s">
        <v>16969</v>
      </c>
      <c r="C2013" s="20">
        <v>139523</v>
      </c>
      <c r="D2013" s="20" t="e">
        <f>VLOOKUP(C2013,[1]CHILDCARE_FACILITIES!AJ:AK,2,0)</f>
        <v>#N/A</v>
      </c>
      <c r="E2013" s="20" t="s">
        <v>15134</v>
      </c>
      <c r="F2013" s="20" t="s">
        <v>15135</v>
      </c>
      <c r="G2013" s="20">
        <v>71986000</v>
      </c>
      <c r="K2013" s="20">
        <v>139523</v>
      </c>
    </row>
    <row r="2014" spans="1:13" x14ac:dyDescent="0.25">
      <c r="A2014" s="20">
        <v>79825</v>
      </c>
      <c r="B2014" s="20" t="s">
        <v>16013</v>
      </c>
      <c r="C2014" s="20">
        <v>79825</v>
      </c>
      <c r="D2014" s="20" t="e">
        <f>VLOOKUP(C2014,[1]CHILDCARE_FACILITIES!AJ:AK,2,0)</f>
        <v>#N/A</v>
      </c>
      <c r="E2014" s="20" t="s">
        <v>15134</v>
      </c>
      <c r="F2014" s="20" t="s">
        <v>15135</v>
      </c>
      <c r="G2014" s="20">
        <v>72431000</v>
      </c>
      <c r="H2014" s="20" t="s">
        <v>15138</v>
      </c>
      <c r="I2014" s="20" t="b">
        <v>1</v>
      </c>
      <c r="J2014" s="20" t="s">
        <v>18613</v>
      </c>
      <c r="K2014" s="20">
        <v>79825</v>
      </c>
      <c r="L2014" s="20" t="s">
        <v>17213</v>
      </c>
      <c r="M2014" s="20" t="s">
        <v>18605</v>
      </c>
    </row>
    <row r="2015" spans="1:13" x14ac:dyDescent="0.25">
      <c r="A2015" s="20">
        <v>79825</v>
      </c>
      <c r="B2015" s="20" t="s">
        <v>16013</v>
      </c>
      <c r="C2015" s="20">
        <v>79825</v>
      </c>
      <c r="D2015" s="20" t="e">
        <f>VLOOKUP(C2015,[1]CHILDCARE_FACILITIES!AJ:AK,2,0)</f>
        <v>#N/A</v>
      </c>
      <c r="E2015" s="20" t="s">
        <v>15134</v>
      </c>
      <c r="F2015" s="20" t="s">
        <v>15135</v>
      </c>
      <c r="G2015" s="20">
        <v>72431000</v>
      </c>
      <c r="H2015" s="20" t="s">
        <v>15136</v>
      </c>
      <c r="I2015" s="20" t="b">
        <v>1</v>
      </c>
      <c r="J2015" s="20" t="s">
        <v>18613</v>
      </c>
      <c r="K2015" s="20">
        <v>79825</v>
      </c>
      <c r="L2015" s="20" t="s">
        <v>17213</v>
      </c>
      <c r="M2015" s="20" t="s">
        <v>18605</v>
      </c>
    </row>
    <row r="2016" spans="1:13" x14ac:dyDescent="0.25">
      <c r="A2016" s="20">
        <v>9951</v>
      </c>
      <c r="B2016" s="20" t="s">
        <v>15746</v>
      </c>
      <c r="C2016" s="20">
        <v>9951</v>
      </c>
      <c r="D2016" s="20" t="e">
        <f>VLOOKUP(C2016,[1]CHILDCARE_FACILITIES!AJ:AK,2,0)</f>
        <v>#N/A</v>
      </c>
      <c r="E2016" s="20" t="s">
        <v>15134</v>
      </c>
      <c r="F2016" s="20" t="s">
        <v>15135</v>
      </c>
      <c r="G2016" s="20">
        <v>103067001</v>
      </c>
      <c r="K2016" s="20">
        <v>9951</v>
      </c>
    </row>
    <row r="2017" spans="1:13" x14ac:dyDescent="0.25">
      <c r="A2017" s="20">
        <v>9889</v>
      </c>
      <c r="B2017" s="20" t="s">
        <v>15715</v>
      </c>
      <c r="C2017" s="20">
        <v>9889</v>
      </c>
      <c r="D2017" s="20" t="e">
        <f>VLOOKUP(C2017,[1]CHILDCARE_FACILITIES!AJ:AK,2,0)</f>
        <v>#N/A</v>
      </c>
      <c r="E2017" s="20" t="s">
        <v>15134</v>
      </c>
      <c r="F2017" s="20" t="s">
        <v>15135</v>
      </c>
      <c r="G2017" s="20">
        <v>103026001</v>
      </c>
      <c r="K2017" s="20">
        <v>9889</v>
      </c>
    </row>
    <row r="2018" spans="1:13" x14ac:dyDescent="0.25">
      <c r="A2018" s="20">
        <v>9931</v>
      </c>
      <c r="B2018" s="20" t="s">
        <v>15734</v>
      </c>
      <c r="C2018" s="20">
        <v>9931</v>
      </c>
      <c r="D2018" s="20" t="e">
        <f>VLOOKUP(C2018,[1]CHILDCARE_FACILITIES!AJ:AK,2,0)</f>
        <v>#N/A</v>
      </c>
      <c r="E2018" s="20" t="s">
        <v>15134</v>
      </c>
      <c r="F2018" s="20" t="s">
        <v>15135</v>
      </c>
      <c r="G2018" s="20">
        <v>103057001</v>
      </c>
      <c r="K2018" s="20">
        <v>9931</v>
      </c>
    </row>
    <row r="2019" spans="1:13" x14ac:dyDescent="0.25">
      <c r="A2019" s="20">
        <v>8657</v>
      </c>
      <c r="B2019" s="20" t="s">
        <v>15175</v>
      </c>
      <c r="C2019" s="20">
        <v>8657</v>
      </c>
      <c r="D2019" s="20" t="e">
        <f>VLOOKUP(C2019,[1]CHILDCARE_FACILITIES!AJ:AK,2,0)</f>
        <v>#N/A</v>
      </c>
      <c r="E2019" s="20" t="s">
        <v>15134</v>
      </c>
      <c r="F2019" s="20" t="s">
        <v>15135</v>
      </c>
      <c r="G2019" s="20">
        <v>72202001</v>
      </c>
      <c r="K2019" s="20">
        <v>8657</v>
      </c>
    </row>
    <row r="2020" spans="1:13" x14ac:dyDescent="0.25">
      <c r="A2020" s="20">
        <v>1000140</v>
      </c>
      <c r="B2020" s="20" t="s">
        <v>18614</v>
      </c>
      <c r="C2020" s="20">
        <v>1000140</v>
      </c>
      <c r="D2020" s="20" t="e">
        <f>VLOOKUP(C2020,[1]CHILDCARE_FACILITIES!AJ:AK,2,0)</f>
        <v>#N/A</v>
      </c>
      <c r="E2020" s="20" t="s">
        <v>15134</v>
      </c>
      <c r="F2020" s="20" t="s">
        <v>15135</v>
      </c>
      <c r="G2020" s="20">
        <v>72619001</v>
      </c>
      <c r="H2020" s="20" t="s">
        <v>15136</v>
      </c>
      <c r="I2020" s="20" t="b">
        <v>0</v>
      </c>
      <c r="J2020" s="20" t="s">
        <v>18615</v>
      </c>
      <c r="K2020" s="20">
        <v>1000140</v>
      </c>
      <c r="L2020" s="20" t="s">
        <v>17228</v>
      </c>
      <c r="M2020" s="20" t="s">
        <v>17860</v>
      </c>
    </row>
    <row r="2021" spans="1:13" x14ac:dyDescent="0.25">
      <c r="A2021" s="20">
        <v>1000140</v>
      </c>
      <c r="B2021" s="20" t="s">
        <v>18614</v>
      </c>
      <c r="C2021" s="20">
        <v>1000140</v>
      </c>
      <c r="D2021" s="20" t="e">
        <f>VLOOKUP(C2021,[1]CHILDCARE_FACILITIES!AJ:AK,2,0)</f>
        <v>#N/A</v>
      </c>
      <c r="E2021" s="20" t="s">
        <v>15134</v>
      </c>
      <c r="F2021" s="20" t="s">
        <v>15135</v>
      </c>
      <c r="G2021" s="20">
        <v>72619001</v>
      </c>
      <c r="H2021" s="20" t="s">
        <v>15138</v>
      </c>
      <c r="I2021" s="20" t="b">
        <v>0</v>
      </c>
      <c r="J2021" s="20" t="s">
        <v>18615</v>
      </c>
      <c r="K2021" s="20">
        <v>1000140</v>
      </c>
      <c r="L2021" s="20" t="s">
        <v>17228</v>
      </c>
      <c r="M2021" s="20" t="s">
        <v>17860</v>
      </c>
    </row>
    <row r="2022" spans="1:13" x14ac:dyDescent="0.25">
      <c r="A2022" s="20">
        <v>10174</v>
      </c>
      <c r="B2022" s="20" t="s">
        <v>15826</v>
      </c>
      <c r="C2022" s="20">
        <v>10174</v>
      </c>
      <c r="D2022" s="20" t="e">
        <f>VLOOKUP(C2022,[1]CHILDCARE_FACILITIES!AJ:AK,2,0)</f>
        <v>#N/A</v>
      </c>
      <c r="E2022" s="20" t="s">
        <v>15134</v>
      </c>
      <c r="F2022" s="20" t="s">
        <v>15135</v>
      </c>
      <c r="G2022" s="20">
        <v>142203001</v>
      </c>
      <c r="K2022" s="20">
        <v>10174</v>
      </c>
    </row>
    <row r="2023" spans="1:13" x14ac:dyDescent="0.25">
      <c r="A2023" s="20">
        <v>10173</v>
      </c>
      <c r="B2023" s="20" t="s">
        <v>15824</v>
      </c>
      <c r="C2023" s="20">
        <v>10173</v>
      </c>
      <c r="D2023" s="20" t="e">
        <f>VLOOKUP(C2023,[1]CHILDCARE_FACILITIES!AJ:AK,2,0)</f>
        <v>#N/A</v>
      </c>
      <c r="E2023" s="20" t="s">
        <v>15134</v>
      </c>
      <c r="F2023" s="20" t="s">
        <v>15135</v>
      </c>
      <c r="G2023" s="20">
        <v>142203000</v>
      </c>
      <c r="H2023" s="20" t="s">
        <v>15145</v>
      </c>
      <c r="I2023" s="20" t="b">
        <v>0</v>
      </c>
      <c r="J2023" s="20" t="s">
        <v>18616</v>
      </c>
      <c r="K2023" s="20">
        <v>10173</v>
      </c>
      <c r="L2023" s="20" t="s">
        <v>17445</v>
      </c>
      <c r="M2023" s="20" t="s">
        <v>18617</v>
      </c>
    </row>
    <row r="2024" spans="1:13" x14ac:dyDescent="0.25">
      <c r="A2024" s="20">
        <v>10179</v>
      </c>
      <c r="B2024" s="20" t="s">
        <v>15830</v>
      </c>
      <c r="C2024" s="20">
        <v>10179</v>
      </c>
      <c r="D2024" s="20" t="e">
        <f>VLOOKUP(C2024,[1]CHILDCARE_FACILITIES!AJ:AK,2,0)</f>
        <v>#N/A</v>
      </c>
      <c r="E2024" s="20" t="s">
        <v>15134</v>
      </c>
      <c r="F2024" s="20" t="s">
        <v>15135</v>
      </c>
      <c r="G2024" s="20">
        <v>142205000</v>
      </c>
      <c r="K2024" s="20">
        <v>10179</v>
      </c>
    </row>
    <row r="2025" spans="1:13" x14ac:dyDescent="0.25">
      <c r="A2025" s="20">
        <v>10180</v>
      </c>
      <c r="B2025" s="20" t="s">
        <v>15830</v>
      </c>
      <c r="C2025" s="20">
        <v>10180</v>
      </c>
      <c r="D2025" s="20" t="e">
        <f>VLOOKUP(C2025,[1]CHILDCARE_FACILITIES!AJ:AK,2,0)</f>
        <v>#N/A</v>
      </c>
      <c r="E2025" s="20" t="s">
        <v>15134</v>
      </c>
      <c r="F2025" s="20" t="s">
        <v>15135</v>
      </c>
      <c r="G2025" s="20">
        <v>142205001</v>
      </c>
      <c r="K2025" s="20">
        <v>10180</v>
      </c>
    </row>
    <row r="2026" spans="1:13" x14ac:dyDescent="0.25">
      <c r="A2026" s="20">
        <v>80402</v>
      </c>
      <c r="B2026" s="20" t="s">
        <v>16049</v>
      </c>
      <c r="C2026" s="20">
        <v>80402</v>
      </c>
      <c r="D2026" s="20" t="str">
        <f>VLOOKUP(C2026,[1]CHILDCARE_FACILITIES!AJ:AK,2,0)</f>
        <v>CDC-10071</v>
      </c>
      <c r="E2026" s="20" t="s">
        <v>15134</v>
      </c>
      <c r="F2026" s="20" t="s">
        <v>15135</v>
      </c>
      <c r="G2026" s="20">
        <v>73483001</v>
      </c>
      <c r="H2026" s="20" t="s">
        <v>15145</v>
      </c>
      <c r="I2026" s="20" t="b">
        <v>1</v>
      </c>
      <c r="J2026" s="20" t="s">
        <v>18618</v>
      </c>
      <c r="K2026" s="20">
        <v>80402</v>
      </c>
      <c r="L2026" s="20" t="s">
        <v>17213</v>
      </c>
      <c r="M2026" s="20" t="s">
        <v>17469</v>
      </c>
    </row>
    <row r="2027" spans="1:13" x14ac:dyDescent="0.25">
      <c r="A2027" s="20">
        <v>9280</v>
      </c>
      <c r="B2027" s="20" t="s">
        <v>15444</v>
      </c>
      <c r="C2027" s="20">
        <v>9280</v>
      </c>
      <c r="D2027" s="20" t="e">
        <f>VLOOKUP(C2027,[1]CHILDCARE_FACILITIES!AJ:AK,2,0)</f>
        <v>#N/A</v>
      </c>
      <c r="E2027" s="20" t="s">
        <v>15134</v>
      </c>
      <c r="F2027" s="20" t="s">
        <v>15135</v>
      </c>
      <c r="G2027" s="20">
        <v>73197000</v>
      </c>
      <c r="H2027" s="20" t="s">
        <v>15138</v>
      </c>
      <c r="I2027" s="20" t="b">
        <v>0</v>
      </c>
      <c r="J2027" s="20" t="s">
        <v>18619</v>
      </c>
      <c r="K2027" s="20">
        <v>9280</v>
      </c>
      <c r="L2027" s="20" t="s">
        <v>18620</v>
      </c>
      <c r="M2027" s="20" t="s">
        <v>18621</v>
      </c>
    </row>
    <row r="2028" spans="1:13" x14ac:dyDescent="0.25">
      <c r="A2028" s="20">
        <v>9280</v>
      </c>
      <c r="B2028" s="20" t="s">
        <v>15444</v>
      </c>
      <c r="C2028" s="20">
        <v>9280</v>
      </c>
      <c r="D2028" s="20" t="e">
        <f>VLOOKUP(C2028,[1]CHILDCARE_FACILITIES!AJ:AK,2,0)</f>
        <v>#N/A</v>
      </c>
      <c r="E2028" s="20" t="s">
        <v>15134</v>
      </c>
      <c r="F2028" s="20" t="s">
        <v>15135</v>
      </c>
      <c r="G2028" s="20">
        <v>73197000</v>
      </c>
      <c r="H2028" s="20" t="s">
        <v>15136</v>
      </c>
      <c r="I2028" s="20" t="b">
        <v>0</v>
      </c>
      <c r="J2028" s="20" t="s">
        <v>18622</v>
      </c>
      <c r="K2028" s="20">
        <v>9280</v>
      </c>
      <c r="L2028" s="20" t="s">
        <v>18620</v>
      </c>
      <c r="M2028" s="20" t="s">
        <v>18621</v>
      </c>
    </row>
    <row r="2029" spans="1:13" x14ac:dyDescent="0.25">
      <c r="A2029" s="20">
        <v>9283</v>
      </c>
      <c r="B2029" s="20" t="s">
        <v>15444</v>
      </c>
      <c r="C2029" s="20">
        <v>9283</v>
      </c>
      <c r="D2029" s="20" t="str">
        <f>VLOOKUP(C2029,[1]CHILDCARE_FACILITIES!AJ:AK,2,0)</f>
        <v>CDC-7263</v>
      </c>
      <c r="E2029" s="20" t="s">
        <v>15134</v>
      </c>
      <c r="F2029" s="20" t="s">
        <v>15135</v>
      </c>
      <c r="G2029" s="20">
        <v>73197003</v>
      </c>
      <c r="K2029" s="20">
        <v>9283</v>
      </c>
    </row>
    <row r="2030" spans="1:13" x14ac:dyDescent="0.25">
      <c r="A2030" s="20">
        <v>9224</v>
      </c>
      <c r="B2030" s="20" t="s">
        <v>15421</v>
      </c>
      <c r="C2030" s="20">
        <v>9224</v>
      </c>
      <c r="D2030" s="20" t="e">
        <f>VLOOKUP(C2030,[1]CHILDCARE_FACILITIES!AJ:AK,2,0)</f>
        <v>#N/A</v>
      </c>
      <c r="E2030" s="20" t="s">
        <v>15134</v>
      </c>
      <c r="F2030" s="20" t="s">
        <v>15135</v>
      </c>
      <c r="G2030" s="20">
        <v>73156001</v>
      </c>
      <c r="K2030" s="20">
        <v>9224</v>
      </c>
    </row>
    <row r="2031" spans="1:13" x14ac:dyDescent="0.25">
      <c r="A2031" s="20">
        <v>91841</v>
      </c>
      <c r="B2031" s="20" t="s">
        <v>16800</v>
      </c>
      <c r="C2031" s="20">
        <v>91841</v>
      </c>
      <c r="D2031" s="20" t="e">
        <f>VLOOKUP(C2031,[1]CHILDCARE_FACILITIES!AJ:AK,2,0)</f>
        <v>#N/A</v>
      </c>
      <c r="E2031" s="20" t="s">
        <v>15134</v>
      </c>
      <c r="F2031" s="20" t="s">
        <v>15135</v>
      </c>
      <c r="G2031" s="20">
        <v>73037001</v>
      </c>
      <c r="H2031" s="20" t="s">
        <v>15145</v>
      </c>
      <c r="I2031" s="20" t="b">
        <v>0</v>
      </c>
      <c r="J2031" s="20" t="s">
        <v>18623</v>
      </c>
      <c r="K2031" s="20">
        <v>91841</v>
      </c>
      <c r="L2031" s="20" t="s">
        <v>17961</v>
      </c>
      <c r="M2031" s="20" t="s">
        <v>18624</v>
      </c>
    </row>
    <row r="2032" spans="1:13" x14ac:dyDescent="0.25">
      <c r="A2032" s="20">
        <v>9149</v>
      </c>
      <c r="B2032" s="20" t="s">
        <v>15380</v>
      </c>
      <c r="C2032" s="20">
        <v>9149</v>
      </c>
      <c r="D2032" s="20" t="e">
        <f>VLOOKUP(C2032,[1]CHILDCARE_FACILITIES!AJ:AK,2,0)</f>
        <v>#N/A</v>
      </c>
      <c r="E2032" s="20" t="s">
        <v>15134</v>
      </c>
      <c r="F2032" s="20" t="s">
        <v>15135</v>
      </c>
      <c r="G2032" s="20">
        <v>73099001</v>
      </c>
      <c r="K2032" s="20">
        <v>9149</v>
      </c>
    </row>
    <row r="2033" spans="1:13" x14ac:dyDescent="0.25">
      <c r="A2033" s="20">
        <v>92352</v>
      </c>
      <c r="B2033" s="20" t="s">
        <v>16858</v>
      </c>
      <c r="C2033" s="20">
        <v>92352</v>
      </c>
      <c r="D2033" s="20" t="e">
        <f>VLOOKUP(C2033,[1]CHILDCARE_FACILITIES!AJ:AK,2,0)</f>
        <v>#N/A</v>
      </c>
      <c r="E2033" s="20" t="s">
        <v>15134</v>
      </c>
      <c r="F2033" s="20" t="s">
        <v>15135</v>
      </c>
      <c r="G2033" s="20">
        <v>103098000</v>
      </c>
      <c r="H2033" s="20" t="s">
        <v>15138</v>
      </c>
      <c r="I2033" s="20" t="b">
        <v>1</v>
      </c>
      <c r="J2033" s="20" t="s">
        <v>18625</v>
      </c>
      <c r="K2033" s="20">
        <v>92352</v>
      </c>
      <c r="L2033" s="20" t="s">
        <v>17271</v>
      </c>
      <c r="M2033" s="20" t="s">
        <v>18626</v>
      </c>
    </row>
    <row r="2034" spans="1:13" x14ac:dyDescent="0.25">
      <c r="A2034" s="20">
        <v>92352</v>
      </c>
      <c r="B2034" s="20" t="s">
        <v>16858</v>
      </c>
      <c r="C2034" s="20">
        <v>92352</v>
      </c>
      <c r="D2034" s="20" t="e">
        <f>VLOOKUP(C2034,[1]CHILDCARE_FACILITIES!AJ:AK,2,0)</f>
        <v>#N/A</v>
      </c>
      <c r="E2034" s="20" t="s">
        <v>15134</v>
      </c>
      <c r="F2034" s="20" t="s">
        <v>15135</v>
      </c>
      <c r="G2034" s="20">
        <v>103098000</v>
      </c>
      <c r="H2034" s="20" t="s">
        <v>15145</v>
      </c>
      <c r="I2034" s="20" t="b">
        <v>1</v>
      </c>
      <c r="J2034" s="20" t="s">
        <v>18625</v>
      </c>
      <c r="K2034" s="20">
        <v>92352</v>
      </c>
      <c r="L2034" s="20" t="s">
        <v>17271</v>
      </c>
      <c r="M2034" s="20" t="s">
        <v>18626</v>
      </c>
    </row>
    <row r="2035" spans="1:13" x14ac:dyDescent="0.25">
      <c r="A2035" s="20">
        <v>92353</v>
      </c>
      <c r="B2035" s="20" t="s">
        <v>16858</v>
      </c>
      <c r="C2035" s="20">
        <v>92353</v>
      </c>
      <c r="D2035" s="20" t="e">
        <f>VLOOKUP(C2035,[1]CHILDCARE_FACILITIES!AJ:AK,2,0)</f>
        <v>#N/A</v>
      </c>
      <c r="E2035" s="20" t="s">
        <v>15134</v>
      </c>
      <c r="F2035" s="20" t="s">
        <v>15135</v>
      </c>
      <c r="G2035" s="20">
        <v>103098001</v>
      </c>
      <c r="H2035" s="20" t="s">
        <v>15138</v>
      </c>
      <c r="I2035" s="20" t="b">
        <v>1</v>
      </c>
      <c r="J2035" s="20" t="s">
        <v>18625</v>
      </c>
      <c r="K2035" s="20">
        <v>92353</v>
      </c>
      <c r="L2035" s="20" t="s">
        <v>17271</v>
      </c>
      <c r="M2035" s="20" t="s">
        <v>18626</v>
      </c>
    </row>
    <row r="2036" spans="1:13" x14ac:dyDescent="0.25">
      <c r="A2036" s="20">
        <v>92353</v>
      </c>
      <c r="B2036" s="20" t="s">
        <v>16858</v>
      </c>
      <c r="C2036" s="20">
        <v>92353</v>
      </c>
      <c r="D2036" s="20" t="e">
        <f>VLOOKUP(C2036,[1]CHILDCARE_FACILITIES!AJ:AK,2,0)</f>
        <v>#N/A</v>
      </c>
      <c r="E2036" s="20" t="s">
        <v>15134</v>
      </c>
      <c r="F2036" s="20" t="s">
        <v>15135</v>
      </c>
      <c r="G2036" s="20">
        <v>103098001</v>
      </c>
      <c r="H2036" s="20" t="s">
        <v>15145</v>
      </c>
      <c r="I2036" s="20" t="b">
        <v>1</v>
      </c>
      <c r="J2036" s="20" t="s">
        <v>18625</v>
      </c>
      <c r="K2036" s="20">
        <v>92353</v>
      </c>
      <c r="L2036" s="20" t="s">
        <v>17271</v>
      </c>
      <c r="M2036" s="20" t="s">
        <v>18626</v>
      </c>
    </row>
    <row r="2037" spans="1:13" x14ac:dyDescent="0.25">
      <c r="A2037" s="20">
        <v>1000330</v>
      </c>
      <c r="B2037" s="20" t="s">
        <v>17140</v>
      </c>
      <c r="C2037" s="20">
        <v>1000330</v>
      </c>
      <c r="D2037" s="20" t="e">
        <f>VLOOKUP(C2037,[1]CHILDCARE_FACILITIES!AJ:AK,2,0)</f>
        <v>#N/A</v>
      </c>
      <c r="E2037" s="20" t="s">
        <v>15134</v>
      </c>
      <c r="F2037" s="20" t="s">
        <v>15135</v>
      </c>
      <c r="G2037" s="20">
        <v>73361000</v>
      </c>
      <c r="H2037" s="20" t="s">
        <v>15138</v>
      </c>
      <c r="I2037" s="20" t="b">
        <v>1</v>
      </c>
      <c r="J2037" s="20" t="s">
        <v>494</v>
      </c>
      <c r="K2037" s="20">
        <v>1000330</v>
      </c>
      <c r="L2037" s="20" t="s">
        <v>17213</v>
      </c>
      <c r="M2037" s="20" t="s">
        <v>18627</v>
      </c>
    </row>
    <row r="2038" spans="1:13" x14ac:dyDescent="0.25">
      <c r="A2038" s="20">
        <v>1000330</v>
      </c>
      <c r="B2038" s="20" t="s">
        <v>17140</v>
      </c>
      <c r="C2038" s="20">
        <v>1000330</v>
      </c>
      <c r="D2038" s="20" t="e">
        <f>VLOOKUP(C2038,[1]CHILDCARE_FACILITIES!AJ:AK,2,0)</f>
        <v>#N/A</v>
      </c>
      <c r="E2038" s="20" t="s">
        <v>15134</v>
      </c>
      <c r="F2038" s="20" t="s">
        <v>15135</v>
      </c>
      <c r="G2038" s="20">
        <v>73361000</v>
      </c>
      <c r="H2038" s="20" t="s">
        <v>15136</v>
      </c>
      <c r="I2038" s="20" t="b">
        <v>1</v>
      </c>
      <c r="J2038" s="20" t="s">
        <v>494</v>
      </c>
      <c r="K2038" s="20">
        <v>1000330</v>
      </c>
      <c r="L2038" s="20" t="s">
        <v>17213</v>
      </c>
      <c r="M2038" s="20" t="s">
        <v>18627</v>
      </c>
    </row>
    <row r="2039" spans="1:13" x14ac:dyDescent="0.25">
      <c r="A2039" s="20">
        <v>1000331</v>
      </c>
      <c r="B2039" s="20" t="s">
        <v>17140</v>
      </c>
      <c r="C2039" s="20">
        <v>1000331</v>
      </c>
      <c r="D2039" s="20" t="e">
        <f>VLOOKUP(C2039,[1]CHILDCARE_FACILITIES!AJ:AK,2,0)</f>
        <v>#N/A</v>
      </c>
      <c r="E2039" s="20" t="s">
        <v>15134</v>
      </c>
      <c r="F2039" s="20" t="s">
        <v>15135</v>
      </c>
      <c r="G2039" s="20">
        <v>73361001</v>
      </c>
      <c r="H2039" s="20" t="s">
        <v>15136</v>
      </c>
      <c r="I2039" s="20" t="b">
        <v>1</v>
      </c>
      <c r="J2039" s="20" t="s">
        <v>494</v>
      </c>
      <c r="K2039" s="20">
        <v>1000331</v>
      </c>
      <c r="L2039" s="20" t="s">
        <v>17213</v>
      </c>
      <c r="M2039" s="20" t="s">
        <v>18627</v>
      </c>
    </row>
    <row r="2040" spans="1:13" x14ac:dyDescent="0.25">
      <c r="A2040" s="20">
        <v>1000331</v>
      </c>
      <c r="B2040" s="20" t="s">
        <v>17140</v>
      </c>
      <c r="C2040" s="20">
        <v>1000331</v>
      </c>
      <c r="D2040" s="20" t="e">
        <f>VLOOKUP(C2040,[1]CHILDCARE_FACILITIES!AJ:AK,2,0)</f>
        <v>#N/A</v>
      </c>
      <c r="E2040" s="20" t="s">
        <v>15134</v>
      </c>
      <c r="F2040" s="20" t="s">
        <v>15135</v>
      </c>
      <c r="G2040" s="20">
        <v>73361001</v>
      </c>
      <c r="H2040" s="20" t="s">
        <v>15138</v>
      </c>
      <c r="I2040" s="20" t="b">
        <v>1</v>
      </c>
      <c r="J2040" s="20" t="s">
        <v>494</v>
      </c>
      <c r="K2040" s="20">
        <v>1000331</v>
      </c>
      <c r="L2040" s="20" t="s">
        <v>17213</v>
      </c>
      <c r="M2040" s="20" t="s">
        <v>18627</v>
      </c>
    </row>
    <row r="2041" spans="1:13" x14ac:dyDescent="0.25">
      <c r="A2041" s="20">
        <v>9963</v>
      </c>
      <c r="B2041" s="20" t="s">
        <v>15752</v>
      </c>
      <c r="C2041" s="20">
        <v>9963</v>
      </c>
      <c r="D2041" s="20" t="e">
        <f>VLOOKUP(C2041,[1]CHILDCARE_FACILITIES!AJ:AK,2,0)</f>
        <v>#N/A</v>
      </c>
      <c r="E2041" s="20" t="s">
        <v>15134</v>
      </c>
      <c r="F2041" s="20" t="s">
        <v>15135</v>
      </c>
      <c r="G2041" s="20">
        <v>103073001</v>
      </c>
      <c r="K2041" s="20">
        <v>9963</v>
      </c>
    </row>
    <row r="2042" spans="1:13" x14ac:dyDescent="0.25">
      <c r="A2042" s="20">
        <v>9254</v>
      </c>
      <c r="B2042" s="20" t="s">
        <v>15434</v>
      </c>
      <c r="C2042" s="20">
        <v>9254</v>
      </c>
      <c r="D2042" s="20" t="e">
        <f>VLOOKUP(C2042,[1]CHILDCARE_FACILITIES!AJ:AK,2,0)</f>
        <v>#N/A</v>
      </c>
      <c r="E2042" s="20" t="s">
        <v>15134</v>
      </c>
      <c r="F2042" s="20" t="s">
        <v>15135</v>
      </c>
      <c r="G2042" s="20">
        <v>73180001</v>
      </c>
      <c r="K2042" s="20">
        <v>9254</v>
      </c>
    </row>
    <row r="2043" spans="1:13" x14ac:dyDescent="0.25">
      <c r="A2043" s="20">
        <v>9266</v>
      </c>
      <c r="B2043" s="20" t="s">
        <v>15439</v>
      </c>
      <c r="C2043" s="20">
        <v>9266</v>
      </c>
      <c r="D2043" s="20" t="e">
        <f>VLOOKUP(C2043,[1]CHILDCARE_FACILITIES!AJ:AK,2,0)</f>
        <v>#N/A</v>
      </c>
      <c r="E2043" s="20" t="s">
        <v>15134</v>
      </c>
      <c r="F2043" s="20" t="s">
        <v>15135</v>
      </c>
      <c r="G2043" s="20">
        <v>73190001</v>
      </c>
      <c r="K2043" s="20">
        <v>9266</v>
      </c>
    </row>
    <row r="2044" spans="1:13" x14ac:dyDescent="0.25">
      <c r="A2044" s="20">
        <v>8709</v>
      </c>
      <c r="B2044" s="20" t="s">
        <v>15216</v>
      </c>
      <c r="C2044" s="20">
        <v>8709</v>
      </c>
      <c r="D2044" s="20" t="str">
        <f>VLOOKUP(C2044,[1]CHILDCARE_FACILITIES!AJ:AK,2,0)</f>
        <v>CDC-4511</v>
      </c>
      <c r="E2044" s="20" t="s">
        <v>15134</v>
      </c>
      <c r="F2044" s="20" t="s">
        <v>15135</v>
      </c>
      <c r="G2044" s="20">
        <v>72277001</v>
      </c>
      <c r="H2044" s="20" t="s">
        <v>15138</v>
      </c>
      <c r="I2044" s="20" t="b">
        <v>1</v>
      </c>
      <c r="J2044" s="20" t="s">
        <v>18628</v>
      </c>
      <c r="K2044" s="20">
        <v>8709</v>
      </c>
      <c r="L2044" s="20" t="s">
        <v>17213</v>
      </c>
      <c r="M2044" s="20" t="s">
        <v>18629</v>
      </c>
    </row>
    <row r="2045" spans="1:13" x14ac:dyDescent="0.25">
      <c r="A2045" s="20">
        <v>8709</v>
      </c>
      <c r="B2045" s="20" t="s">
        <v>15216</v>
      </c>
      <c r="C2045" s="20">
        <v>8709</v>
      </c>
      <c r="D2045" s="20" t="str">
        <f>VLOOKUP(C2045,[1]CHILDCARE_FACILITIES!AJ:AK,2,0)</f>
        <v>CDC-4511</v>
      </c>
      <c r="E2045" s="20" t="s">
        <v>15134</v>
      </c>
      <c r="F2045" s="20" t="s">
        <v>15135</v>
      </c>
      <c r="G2045" s="20">
        <v>72277001</v>
      </c>
      <c r="H2045" s="20" t="s">
        <v>15145</v>
      </c>
      <c r="I2045" s="20" t="b">
        <v>1</v>
      </c>
      <c r="J2045" s="20" t="s">
        <v>18628</v>
      </c>
      <c r="K2045" s="20">
        <v>8709</v>
      </c>
      <c r="L2045" s="20" t="s">
        <v>17213</v>
      </c>
      <c r="M2045" s="20" t="s">
        <v>18629</v>
      </c>
    </row>
    <row r="2046" spans="1:13" x14ac:dyDescent="0.25">
      <c r="A2046" s="20">
        <v>1001130</v>
      </c>
      <c r="B2046" s="20" t="s">
        <v>17176</v>
      </c>
      <c r="C2046" s="20">
        <v>1001130</v>
      </c>
      <c r="D2046" s="20" t="e">
        <f>VLOOKUP(C2046,[1]CHILDCARE_FACILITIES!AJ:AK,2,0)</f>
        <v>#N/A</v>
      </c>
      <c r="E2046" s="20" t="s">
        <v>15134</v>
      </c>
      <c r="F2046" s="20" t="s">
        <v>15135</v>
      </c>
      <c r="G2046" s="20">
        <v>73368000</v>
      </c>
      <c r="H2046" s="20" t="s">
        <v>15136</v>
      </c>
      <c r="I2046" s="20" t="b">
        <v>1</v>
      </c>
      <c r="J2046" s="20" t="s">
        <v>18394</v>
      </c>
      <c r="K2046" s="20">
        <v>1001130</v>
      </c>
      <c r="L2046" s="20" t="s">
        <v>17639</v>
      </c>
      <c r="M2046" s="20" t="s">
        <v>18395</v>
      </c>
    </row>
    <row r="2047" spans="1:13" x14ac:dyDescent="0.25">
      <c r="A2047" s="20">
        <v>1001130</v>
      </c>
      <c r="B2047" s="20" t="s">
        <v>17176</v>
      </c>
      <c r="C2047" s="20">
        <v>1001130</v>
      </c>
      <c r="D2047" s="20" t="e">
        <f>VLOOKUP(C2047,[1]CHILDCARE_FACILITIES!AJ:AK,2,0)</f>
        <v>#N/A</v>
      </c>
      <c r="E2047" s="20" t="s">
        <v>15134</v>
      </c>
      <c r="F2047" s="20" t="s">
        <v>15135</v>
      </c>
      <c r="G2047" s="20">
        <v>73368000</v>
      </c>
      <c r="H2047" s="20" t="s">
        <v>15138</v>
      </c>
      <c r="I2047" s="20" t="b">
        <v>1</v>
      </c>
      <c r="J2047" s="20" t="s">
        <v>18392</v>
      </c>
      <c r="K2047" s="20">
        <v>1001130</v>
      </c>
      <c r="L2047" s="20" t="s">
        <v>17213</v>
      </c>
      <c r="M2047" s="20" t="s">
        <v>18393</v>
      </c>
    </row>
    <row r="2048" spans="1:13" x14ac:dyDescent="0.25">
      <c r="A2048" s="20">
        <v>9792</v>
      </c>
      <c r="B2048" s="20" t="s">
        <v>15684</v>
      </c>
      <c r="C2048" s="20">
        <v>9792</v>
      </c>
      <c r="D2048" s="20" t="e">
        <f>VLOOKUP(C2048,[1]CHILDCARE_FACILITIES!AJ:AK,2,0)</f>
        <v>#N/A</v>
      </c>
      <c r="E2048" s="20" t="s">
        <v>15134</v>
      </c>
      <c r="F2048" s="20" t="s">
        <v>15135</v>
      </c>
      <c r="G2048" s="20">
        <v>102250010</v>
      </c>
      <c r="K2048" s="20">
        <v>9792</v>
      </c>
    </row>
    <row r="2049" spans="1:13" x14ac:dyDescent="0.25">
      <c r="A2049" s="20">
        <v>89267</v>
      </c>
      <c r="B2049" s="20" t="s">
        <v>6026</v>
      </c>
      <c r="C2049" s="20">
        <v>89267</v>
      </c>
      <c r="D2049" s="20" t="e">
        <f>VLOOKUP(C2049,[1]CHILDCARE_FACILITIES!AJ:AK,2,0)</f>
        <v>#N/A</v>
      </c>
      <c r="E2049" s="20" t="s">
        <v>15134</v>
      </c>
      <c r="F2049" s="20" t="s">
        <v>15135</v>
      </c>
      <c r="G2049" s="20">
        <v>73092000</v>
      </c>
      <c r="H2049" s="20" t="s">
        <v>15145</v>
      </c>
      <c r="I2049" s="20" t="b">
        <v>1</v>
      </c>
      <c r="J2049" s="20" t="s">
        <v>18630</v>
      </c>
      <c r="K2049" s="20">
        <v>89267</v>
      </c>
      <c r="L2049" s="20" t="s">
        <v>17213</v>
      </c>
      <c r="M2049" s="20" t="s">
        <v>18631</v>
      </c>
    </row>
    <row r="2050" spans="1:13" x14ac:dyDescent="0.25">
      <c r="A2050" s="20">
        <v>89267</v>
      </c>
      <c r="B2050" s="20" t="s">
        <v>6026</v>
      </c>
      <c r="C2050" s="20">
        <v>89267</v>
      </c>
      <c r="D2050" s="20" t="e">
        <f>VLOOKUP(C2050,[1]CHILDCARE_FACILITIES!AJ:AK,2,0)</f>
        <v>#N/A</v>
      </c>
      <c r="E2050" s="20" t="s">
        <v>15134</v>
      </c>
      <c r="F2050" s="20" t="s">
        <v>15135</v>
      </c>
      <c r="G2050" s="20">
        <v>73092000</v>
      </c>
      <c r="H2050" s="20" t="s">
        <v>15138</v>
      </c>
      <c r="I2050" s="20" t="b">
        <v>1</v>
      </c>
      <c r="J2050" s="20" t="s">
        <v>18632</v>
      </c>
      <c r="K2050" s="20">
        <v>89267</v>
      </c>
      <c r="L2050" s="20" t="s">
        <v>17233</v>
      </c>
      <c r="M2050" s="20" t="s">
        <v>18633</v>
      </c>
    </row>
    <row r="2051" spans="1:13" x14ac:dyDescent="0.25">
      <c r="A2051" s="20">
        <v>90498</v>
      </c>
      <c r="B2051" s="20" t="s">
        <v>16633</v>
      </c>
      <c r="C2051" s="20">
        <v>90498</v>
      </c>
      <c r="D2051" s="20" t="e">
        <f>VLOOKUP(C2051,[1]CHILDCARE_FACILITIES!AJ:AK,2,0)</f>
        <v>#N/A</v>
      </c>
      <c r="E2051" s="20" t="s">
        <v>15134</v>
      </c>
      <c r="F2051" s="20" t="s">
        <v>15135</v>
      </c>
      <c r="G2051" s="20">
        <v>103216000</v>
      </c>
      <c r="H2051" s="20" t="s">
        <v>15136</v>
      </c>
      <c r="I2051" s="20" t="b">
        <v>1</v>
      </c>
      <c r="J2051" s="20" t="s">
        <v>18634</v>
      </c>
      <c r="K2051" s="20">
        <v>90498</v>
      </c>
      <c r="L2051" s="20" t="s">
        <v>17271</v>
      </c>
      <c r="M2051" s="20" t="s">
        <v>18635</v>
      </c>
    </row>
    <row r="2052" spans="1:13" x14ac:dyDescent="0.25">
      <c r="A2052" s="20">
        <v>90498</v>
      </c>
      <c r="B2052" s="20" t="s">
        <v>16633</v>
      </c>
      <c r="C2052" s="20">
        <v>90498</v>
      </c>
      <c r="D2052" s="20" t="e">
        <f>VLOOKUP(C2052,[1]CHILDCARE_FACILITIES!AJ:AK,2,0)</f>
        <v>#N/A</v>
      </c>
      <c r="E2052" s="20" t="s">
        <v>15134</v>
      </c>
      <c r="F2052" s="20" t="s">
        <v>15135</v>
      </c>
      <c r="G2052" s="20">
        <v>103216000</v>
      </c>
      <c r="H2052" s="20" t="s">
        <v>15138</v>
      </c>
      <c r="I2052" s="20" t="b">
        <v>1</v>
      </c>
      <c r="J2052" s="20" t="s">
        <v>18636</v>
      </c>
      <c r="K2052" s="20">
        <v>90498</v>
      </c>
      <c r="L2052" s="20" t="s">
        <v>17271</v>
      </c>
      <c r="M2052" s="20" t="s">
        <v>18560</v>
      </c>
    </row>
    <row r="2053" spans="1:13" x14ac:dyDescent="0.25">
      <c r="A2053" s="20">
        <v>91300</v>
      </c>
      <c r="B2053" s="20" t="s">
        <v>16768</v>
      </c>
      <c r="C2053" s="20">
        <v>91300</v>
      </c>
      <c r="D2053" s="20" t="e">
        <f>VLOOKUP(C2053,[1]CHILDCARE_FACILITIES!AJ:AK,2,0)</f>
        <v>#N/A</v>
      </c>
      <c r="E2053" s="20" t="s">
        <v>15134</v>
      </c>
      <c r="F2053" s="20" t="s">
        <v>15135</v>
      </c>
      <c r="G2053" s="20">
        <v>73720001</v>
      </c>
      <c r="H2053" s="20" t="s">
        <v>15145</v>
      </c>
      <c r="I2053" s="20" t="b">
        <v>1</v>
      </c>
      <c r="J2053" s="20" t="s">
        <v>18366</v>
      </c>
      <c r="K2053" s="20">
        <v>91300</v>
      </c>
      <c r="L2053" s="20" t="s">
        <v>17213</v>
      </c>
      <c r="M2053" s="20" t="s">
        <v>18367</v>
      </c>
    </row>
    <row r="2054" spans="1:13" x14ac:dyDescent="0.25">
      <c r="A2054" s="20">
        <v>10119</v>
      </c>
      <c r="B2054" s="20" t="s">
        <v>15808</v>
      </c>
      <c r="C2054" s="20">
        <v>10119</v>
      </c>
      <c r="D2054" s="20" t="e">
        <f>VLOOKUP(C2054,[1]CHILDCARE_FACILITIES!AJ:AK,2,0)</f>
        <v>#N/A</v>
      </c>
      <c r="E2054" s="20" t="s">
        <v>15134</v>
      </c>
      <c r="F2054" s="20" t="s">
        <v>15135</v>
      </c>
      <c r="G2054" s="20">
        <v>113009001</v>
      </c>
      <c r="K2054" s="20">
        <v>10119</v>
      </c>
    </row>
    <row r="2055" spans="1:13" x14ac:dyDescent="0.25">
      <c r="A2055" s="20">
        <v>8981</v>
      </c>
      <c r="B2055" s="20" t="s">
        <v>15297</v>
      </c>
      <c r="C2055" s="20">
        <v>8981</v>
      </c>
      <c r="D2055" s="20" t="e">
        <f>VLOOKUP(C2055,[1]CHILDCARE_FACILITIES!AJ:AK,2,0)</f>
        <v>#N/A</v>
      </c>
      <c r="E2055" s="20" t="s">
        <v>15134</v>
      </c>
      <c r="F2055" s="20" t="s">
        <v>15135</v>
      </c>
      <c r="G2055" s="20">
        <v>73004000</v>
      </c>
      <c r="H2055" s="20" t="s">
        <v>15136</v>
      </c>
      <c r="I2055" s="20" t="b">
        <v>1</v>
      </c>
      <c r="J2055" s="20" t="s">
        <v>18637</v>
      </c>
      <c r="K2055" s="20">
        <v>8981</v>
      </c>
      <c r="L2055" s="20" t="s">
        <v>18047</v>
      </c>
      <c r="M2055" s="20" t="s">
        <v>18638</v>
      </c>
    </row>
    <row r="2056" spans="1:13" x14ac:dyDescent="0.25">
      <c r="A2056" s="20">
        <v>8981</v>
      </c>
      <c r="B2056" s="20" t="s">
        <v>15297</v>
      </c>
      <c r="C2056" s="20">
        <v>8981</v>
      </c>
      <c r="D2056" s="20" t="e">
        <f>VLOOKUP(C2056,[1]CHILDCARE_FACILITIES!AJ:AK,2,0)</f>
        <v>#N/A</v>
      </c>
      <c r="E2056" s="20" t="s">
        <v>15134</v>
      </c>
      <c r="F2056" s="20" t="s">
        <v>15135</v>
      </c>
      <c r="G2056" s="20">
        <v>73004000</v>
      </c>
      <c r="H2056" s="20" t="s">
        <v>15138</v>
      </c>
      <c r="I2056" s="20" t="b">
        <v>1</v>
      </c>
      <c r="J2056" s="20" t="s">
        <v>18639</v>
      </c>
      <c r="K2056" s="20">
        <v>8981</v>
      </c>
      <c r="L2056" s="20" t="s">
        <v>17639</v>
      </c>
      <c r="M2056" s="20" t="s">
        <v>18640</v>
      </c>
    </row>
    <row r="2057" spans="1:13" x14ac:dyDescent="0.25">
      <c r="A2057" s="20">
        <v>8982</v>
      </c>
      <c r="B2057" s="20" t="s">
        <v>15297</v>
      </c>
      <c r="C2057" s="20">
        <v>8982</v>
      </c>
      <c r="D2057" s="20" t="str">
        <f>VLOOKUP(C2057,[1]CHILDCARE_FACILITIES!AJ:AK,2,0)</f>
        <v>CDC-1194</v>
      </c>
      <c r="E2057" s="20" t="s">
        <v>15134</v>
      </c>
      <c r="F2057" s="20" t="s">
        <v>15135</v>
      </c>
      <c r="G2057" s="20">
        <v>73004001</v>
      </c>
      <c r="K2057" s="20">
        <v>8982</v>
      </c>
    </row>
    <row r="2058" spans="1:13" x14ac:dyDescent="0.25">
      <c r="A2058" s="20">
        <v>8758</v>
      </c>
      <c r="B2058" s="20" t="s">
        <v>15254</v>
      </c>
      <c r="C2058" s="20">
        <v>8758</v>
      </c>
      <c r="D2058" s="20" t="e">
        <f>VLOOKUP(C2058,[1]CHILDCARE_FACILITIES!AJ:AK,2,0)</f>
        <v>#N/A</v>
      </c>
      <c r="E2058" s="20" t="s">
        <v>15134</v>
      </c>
      <c r="F2058" s="20" t="s">
        <v>15135</v>
      </c>
      <c r="G2058" s="20">
        <v>72402004</v>
      </c>
      <c r="K2058" s="20">
        <v>8758</v>
      </c>
    </row>
    <row r="2059" spans="1:13" x14ac:dyDescent="0.25">
      <c r="A2059" s="20">
        <v>8820</v>
      </c>
      <c r="B2059" s="20" t="s">
        <v>15254</v>
      </c>
      <c r="C2059" s="20">
        <v>8820</v>
      </c>
      <c r="D2059" s="20" t="e">
        <f>VLOOKUP(C2059,[1]CHILDCARE_FACILITIES!AJ:AK,2,0)</f>
        <v>#N/A</v>
      </c>
      <c r="E2059" s="20" t="s">
        <v>15134</v>
      </c>
      <c r="F2059" s="20" t="s">
        <v>15135</v>
      </c>
      <c r="G2059" s="20">
        <v>72413003</v>
      </c>
      <c r="H2059" s="20" t="s">
        <v>15136</v>
      </c>
      <c r="I2059" s="20" t="b">
        <v>1</v>
      </c>
      <c r="J2059" s="20" t="s">
        <v>17747</v>
      </c>
      <c r="K2059" s="20">
        <v>8820</v>
      </c>
      <c r="L2059" s="20" t="s">
        <v>17213</v>
      </c>
      <c r="M2059" s="20" t="s">
        <v>17507</v>
      </c>
    </row>
    <row r="2060" spans="1:13" x14ac:dyDescent="0.25">
      <c r="A2060" s="20">
        <v>8820</v>
      </c>
      <c r="B2060" s="20" t="s">
        <v>15254</v>
      </c>
      <c r="C2060" s="20">
        <v>8820</v>
      </c>
      <c r="D2060" s="20" t="e">
        <f>VLOOKUP(C2060,[1]CHILDCARE_FACILITIES!AJ:AK,2,0)</f>
        <v>#N/A</v>
      </c>
      <c r="E2060" s="20" t="s">
        <v>15134</v>
      </c>
      <c r="F2060" s="20" t="s">
        <v>15135</v>
      </c>
      <c r="G2060" s="20">
        <v>72413003</v>
      </c>
      <c r="H2060" s="20" t="s">
        <v>15138</v>
      </c>
      <c r="I2060" s="20" t="b">
        <v>1</v>
      </c>
      <c r="J2060" s="20" t="s">
        <v>17747</v>
      </c>
      <c r="K2060" s="20">
        <v>8820</v>
      </c>
      <c r="L2060" s="20" t="s">
        <v>17213</v>
      </c>
      <c r="M2060" s="20" t="s">
        <v>17507</v>
      </c>
    </row>
    <row r="2061" spans="1:13" x14ac:dyDescent="0.25">
      <c r="A2061" s="20">
        <v>79365</v>
      </c>
      <c r="B2061" s="20" t="s">
        <v>15254</v>
      </c>
      <c r="C2061" s="20">
        <v>79365</v>
      </c>
      <c r="D2061" s="20" t="e">
        <f>VLOOKUP(C2061,[1]CHILDCARE_FACILITIES!AJ:AK,2,0)</f>
        <v>#N/A</v>
      </c>
      <c r="E2061" s="20" t="s">
        <v>15134</v>
      </c>
      <c r="F2061" s="20" t="s">
        <v>15135</v>
      </c>
      <c r="G2061" s="20">
        <v>72446000</v>
      </c>
      <c r="H2061" s="20" t="s">
        <v>15145</v>
      </c>
      <c r="I2061" s="20" t="b">
        <v>1</v>
      </c>
      <c r="J2061" s="20" t="s">
        <v>17506</v>
      </c>
      <c r="K2061" s="20">
        <v>79365</v>
      </c>
      <c r="L2061" s="20" t="s">
        <v>17213</v>
      </c>
      <c r="M2061" s="20" t="s">
        <v>17507</v>
      </c>
    </row>
    <row r="2062" spans="1:13" x14ac:dyDescent="0.25">
      <c r="A2062" s="20">
        <v>79365</v>
      </c>
      <c r="B2062" s="20" t="s">
        <v>15254</v>
      </c>
      <c r="C2062" s="20">
        <v>79365</v>
      </c>
      <c r="D2062" s="20" t="e">
        <f>VLOOKUP(C2062,[1]CHILDCARE_FACILITIES!AJ:AK,2,0)</f>
        <v>#N/A</v>
      </c>
      <c r="E2062" s="20" t="s">
        <v>15134</v>
      </c>
      <c r="F2062" s="20" t="s">
        <v>15135</v>
      </c>
      <c r="G2062" s="20">
        <v>72446000</v>
      </c>
      <c r="H2062" s="20" t="s">
        <v>15138</v>
      </c>
      <c r="I2062" s="20" t="b">
        <v>1</v>
      </c>
      <c r="J2062" s="20" t="s">
        <v>17506</v>
      </c>
      <c r="K2062" s="20">
        <v>79365</v>
      </c>
      <c r="L2062" s="20" t="s">
        <v>17213</v>
      </c>
      <c r="M2062" s="20" t="s">
        <v>17507</v>
      </c>
    </row>
    <row r="2063" spans="1:13" x14ac:dyDescent="0.25">
      <c r="A2063" s="20">
        <v>79366</v>
      </c>
      <c r="B2063" s="20" t="s">
        <v>15254</v>
      </c>
      <c r="C2063" s="20">
        <v>79366</v>
      </c>
      <c r="D2063" s="20" t="e">
        <f>VLOOKUP(C2063,[1]CHILDCARE_FACILITIES!AJ:AK,2,0)</f>
        <v>#N/A</v>
      </c>
      <c r="E2063" s="20" t="s">
        <v>15134</v>
      </c>
      <c r="F2063" s="20" t="s">
        <v>15135</v>
      </c>
      <c r="G2063" s="20">
        <v>72446001</v>
      </c>
      <c r="H2063" s="20" t="s">
        <v>15145</v>
      </c>
      <c r="I2063" s="20" t="b">
        <v>1</v>
      </c>
      <c r="J2063" s="20" t="s">
        <v>17506</v>
      </c>
      <c r="K2063" s="20">
        <v>79366</v>
      </c>
      <c r="L2063" s="20" t="s">
        <v>17213</v>
      </c>
      <c r="M2063" s="20" t="s">
        <v>17507</v>
      </c>
    </row>
    <row r="2064" spans="1:13" x14ac:dyDescent="0.25">
      <c r="A2064" s="20">
        <v>79366</v>
      </c>
      <c r="B2064" s="20" t="s">
        <v>15254</v>
      </c>
      <c r="C2064" s="20">
        <v>79366</v>
      </c>
      <c r="D2064" s="20" t="e">
        <f>VLOOKUP(C2064,[1]CHILDCARE_FACILITIES!AJ:AK,2,0)</f>
        <v>#N/A</v>
      </c>
      <c r="E2064" s="20" t="s">
        <v>15134</v>
      </c>
      <c r="F2064" s="20" t="s">
        <v>15135</v>
      </c>
      <c r="G2064" s="20">
        <v>72446001</v>
      </c>
      <c r="H2064" s="20" t="s">
        <v>15138</v>
      </c>
      <c r="I2064" s="20" t="b">
        <v>1</v>
      </c>
      <c r="J2064" s="20" t="s">
        <v>17506</v>
      </c>
      <c r="K2064" s="20">
        <v>79366</v>
      </c>
      <c r="L2064" s="20" t="s">
        <v>17213</v>
      </c>
      <c r="M2064" s="20" t="s">
        <v>17507</v>
      </c>
    </row>
    <row r="2065" spans="1:13" x14ac:dyDescent="0.25">
      <c r="A2065" s="20">
        <v>1001186</v>
      </c>
      <c r="B2065" s="20" t="s">
        <v>17183</v>
      </c>
      <c r="C2065" s="20">
        <v>1001186</v>
      </c>
      <c r="D2065" s="20" t="e">
        <f>VLOOKUP(C2065,[1]CHILDCARE_FACILITIES!AJ:AK,2,0)</f>
        <v>#N/A</v>
      </c>
      <c r="E2065" s="20" t="s">
        <v>15134</v>
      </c>
      <c r="F2065" s="20" t="s">
        <v>15135</v>
      </c>
      <c r="G2065" s="20">
        <v>73370000</v>
      </c>
      <c r="H2065" s="20" t="s">
        <v>15136</v>
      </c>
      <c r="I2065" s="20" t="b">
        <v>1</v>
      </c>
      <c r="J2065" s="20" t="s">
        <v>17747</v>
      </c>
      <c r="K2065" s="20">
        <v>1001186</v>
      </c>
      <c r="L2065" s="20" t="s">
        <v>17213</v>
      </c>
      <c r="M2065" s="20" t="s">
        <v>17507</v>
      </c>
    </row>
    <row r="2066" spans="1:13" x14ac:dyDescent="0.25">
      <c r="A2066" s="20">
        <v>1001186</v>
      </c>
      <c r="B2066" s="20" t="s">
        <v>17183</v>
      </c>
      <c r="C2066" s="20">
        <v>1001186</v>
      </c>
      <c r="D2066" s="20" t="e">
        <f>VLOOKUP(C2066,[1]CHILDCARE_FACILITIES!AJ:AK,2,0)</f>
        <v>#N/A</v>
      </c>
      <c r="E2066" s="20" t="s">
        <v>15134</v>
      </c>
      <c r="F2066" s="20" t="s">
        <v>15135</v>
      </c>
      <c r="G2066" s="20">
        <v>73370000</v>
      </c>
      <c r="H2066" s="20" t="s">
        <v>15138</v>
      </c>
      <c r="I2066" s="20" t="b">
        <v>1</v>
      </c>
      <c r="J2066" s="20" t="s">
        <v>17748</v>
      </c>
      <c r="K2066" s="20">
        <v>1001186</v>
      </c>
      <c r="L2066" s="20" t="s">
        <v>17213</v>
      </c>
      <c r="M2066" s="20" t="s">
        <v>17749</v>
      </c>
    </row>
    <row r="2067" spans="1:13" x14ac:dyDescent="0.25">
      <c r="A2067" s="20">
        <v>79333</v>
      </c>
      <c r="B2067" s="20" t="s">
        <v>15929</v>
      </c>
      <c r="C2067" s="20">
        <v>79333</v>
      </c>
      <c r="D2067" s="20" t="e">
        <f>VLOOKUP(C2067,[1]CHILDCARE_FACILITIES!AJ:AK,2,0)</f>
        <v>#N/A</v>
      </c>
      <c r="E2067" s="20" t="s">
        <v>15134</v>
      </c>
      <c r="F2067" s="20" t="s">
        <v>15135</v>
      </c>
      <c r="G2067" s="20">
        <v>72425003</v>
      </c>
      <c r="H2067" s="20" t="s">
        <v>15138</v>
      </c>
      <c r="I2067" s="20" t="b">
        <v>1</v>
      </c>
      <c r="J2067" s="20" t="s">
        <v>17506</v>
      </c>
      <c r="K2067" s="20">
        <v>79333</v>
      </c>
      <c r="L2067" s="20" t="s">
        <v>17213</v>
      </c>
      <c r="M2067" s="20" t="s">
        <v>17507</v>
      </c>
    </row>
    <row r="2068" spans="1:13" x14ac:dyDescent="0.25">
      <c r="A2068" s="20">
        <v>79333</v>
      </c>
      <c r="B2068" s="20" t="s">
        <v>15929</v>
      </c>
      <c r="C2068" s="20">
        <v>79333</v>
      </c>
      <c r="D2068" s="20" t="e">
        <f>VLOOKUP(C2068,[1]CHILDCARE_FACILITIES!AJ:AK,2,0)</f>
        <v>#N/A</v>
      </c>
      <c r="E2068" s="20" t="s">
        <v>15134</v>
      </c>
      <c r="F2068" s="20" t="s">
        <v>15135</v>
      </c>
      <c r="G2068" s="20">
        <v>72425003</v>
      </c>
      <c r="H2068" s="20" t="s">
        <v>15145</v>
      </c>
      <c r="I2068" s="20" t="b">
        <v>1</v>
      </c>
      <c r="J2068" s="20" t="s">
        <v>17506</v>
      </c>
      <c r="K2068" s="20">
        <v>79333</v>
      </c>
      <c r="L2068" s="20" t="s">
        <v>17213</v>
      </c>
      <c r="M2068" s="20" t="s">
        <v>17507</v>
      </c>
    </row>
    <row r="2069" spans="1:13" x14ac:dyDescent="0.25">
      <c r="A2069" s="20">
        <v>8662</v>
      </c>
      <c r="B2069" s="20" t="s">
        <v>15180</v>
      </c>
      <c r="C2069" s="20">
        <v>8662</v>
      </c>
      <c r="D2069" s="20" t="e">
        <f>VLOOKUP(C2069,[1]CHILDCARE_FACILITIES!AJ:AK,2,0)</f>
        <v>#N/A</v>
      </c>
      <c r="E2069" s="20" t="s">
        <v>15134</v>
      </c>
      <c r="F2069" s="20" t="s">
        <v>15135</v>
      </c>
      <c r="G2069" s="20">
        <v>72205000</v>
      </c>
      <c r="K2069" s="20">
        <v>8662</v>
      </c>
    </row>
    <row r="2070" spans="1:13" x14ac:dyDescent="0.25">
      <c r="A2070" s="20">
        <v>9661</v>
      </c>
      <c r="B2070" s="20" t="s">
        <v>15624</v>
      </c>
      <c r="C2070" s="20">
        <v>9661</v>
      </c>
      <c r="D2070" s="20" t="e">
        <f>VLOOKUP(C2070,[1]CHILDCARE_FACILITIES!AJ:AK,2,0)</f>
        <v>#N/A</v>
      </c>
      <c r="E2070" s="20" t="s">
        <v>15134</v>
      </c>
      <c r="F2070" s="20" t="s">
        <v>15135</v>
      </c>
      <c r="G2070" s="20">
        <v>92204001</v>
      </c>
      <c r="K2070" s="20">
        <v>9661</v>
      </c>
    </row>
    <row r="2071" spans="1:13" x14ac:dyDescent="0.25">
      <c r="A2071" s="20">
        <v>8787</v>
      </c>
      <c r="B2071" s="20" t="s">
        <v>15277</v>
      </c>
      <c r="C2071" s="20">
        <v>8787</v>
      </c>
      <c r="D2071" s="20" t="e">
        <f>VLOOKUP(C2071,[1]CHILDCARE_FACILITIES!AJ:AK,2,0)</f>
        <v>#N/A</v>
      </c>
      <c r="E2071" s="20" t="s">
        <v>15134</v>
      </c>
      <c r="F2071" s="20" t="s">
        <v>15135</v>
      </c>
      <c r="G2071" s="20">
        <v>72469000</v>
      </c>
      <c r="K2071" s="20">
        <v>8787</v>
      </c>
    </row>
    <row r="2072" spans="1:13" x14ac:dyDescent="0.25">
      <c r="A2072" s="20">
        <v>10354</v>
      </c>
      <c r="B2072" s="20" t="s">
        <v>15277</v>
      </c>
      <c r="C2072" s="20">
        <v>10354</v>
      </c>
      <c r="D2072" s="20" t="e">
        <f>VLOOKUP(C2072,[1]CHILDCARE_FACILITIES!AJ:AK,2,0)</f>
        <v>#N/A</v>
      </c>
      <c r="E2072" s="20" t="s">
        <v>15134</v>
      </c>
      <c r="F2072" s="20" t="s">
        <v>15135</v>
      </c>
      <c r="G2072" s="20">
        <v>72469001</v>
      </c>
      <c r="K2072" s="20">
        <v>10354</v>
      </c>
    </row>
    <row r="2073" spans="1:13" x14ac:dyDescent="0.25">
      <c r="A2073" s="20">
        <v>79527</v>
      </c>
      <c r="B2073" s="20" t="s">
        <v>15972</v>
      </c>
      <c r="C2073" s="20">
        <v>79527</v>
      </c>
      <c r="D2073" s="20" t="e">
        <f>VLOOKUP(C2073,[1]CHILDCARE_FACILITIES!AJ:AK,2,0)</f>
        <v>#N/A</v>
      </c>
      <c r="E2073" s="20" t="s">
        <v>15134</v>
      </c>
      <c r="F2073" s="20" t="s">
        <v>15135</v>
      </c>
      <c r="G2073" s="20">
        <v>82210000</v>
      </c>
      <c r="H2073" s="20" t="s">
        <v>15138</v>
      </c>
      <c r="I2073" s="20" t="b">
        <v>0</v>
      </c>
      <c r="J2073" s="20" t="s">
        <v>18410</v>
      </c>
      <c r="K2073" s="20">
        <v>79527</v>
      </c>
      <c r="L2073" s="20" t="s">
        <v>18263</v>
      </c>
      <c r="M2073" s="20" t="s">
        <v>18411</v>
      </c>
    </row>
    <row r="2074" spans="1:13" x14ac:dyDescent="0.25">
      <c r="A2074" s="20">
        <v>79527</v>
      </c>
      <c r="B2074" s="20" t="s">
        <v>15972</v>
      </c>
      <c r="C2074" s="20">
        <v>79527</v>
      </c>
      <c r="D2074" s="20" t="e">
        <f>VLOOKUP(C2074,[1]CHILDCARE_FACILITIES!AJ:AK,2,0)</f>
        <v>#N/A</v>
      </c>
      <c r="E2074" s="20" t="s">
        <v>15134</v>
      </c>
      <c r="F2074" s="20" t="s">
        <v>15135</v>
      </c>
      <c r="G2074" s="20">
        <v>82210000</v>
      </c>
      <c r="H2074" s="20" t="s">
        <v>15145</v>
      </c>
      <c r="I2074" s="20" t="b">
        <v>0</v>
      </c>
      <c r="J2074" s="20" t="s">
        <v>18410</v>
      </c>
      <c r="K2074" s="20">
        <v>79527</v>
      </c>
      <c r="L2074" s="20" t="s">
        <v>18263</v>
      </c>
      <c r="M2074" s="20" t="s">
        <v>18411</v>
      </c>
    </row>
    <row r="2075" spans="1:13" x14ac:dyDescent="0.25">
      <c r="A2075" s="20">
        <v>79532</v>
      </c>
      <c r="B2075" s="20" t="s">
        <v>15972</v>
      </c>
      <c r="C2075" s="20">
        <v>79532</v>
      </c>
      <c r="D2075" s="20" t="e">
        <f>VLOOKUP(C2075,[1]CHILDCARE_FACILITIES!AJ:AK,2,0)</f>
        <v>#N/A</v>
      </c>
      <c r="E2075" s="20" t="s">
        <v>15134</v>
      </c>
      <c r="F2075" s="20" t="s">
        <v>15135</v>
      </c>
      <c r="G2075" s="20">
        <v>82210</v>
      </c>
      <c r="K2075" s="20">
        <v>79532</v>
      </c>
    </row>
    <row r="2076" spans="1:13" x14ac:dyDescent="0.25">
      <c r="A2076" s="20">
        <v>79330</v>
      </c>
      <c r="B2076" s="20" t="s">
        <v>15922</v>
      </c>
      <c r="C2076" s="20">
        <v>79330</v>
      </c>
      <c r="D2076" s="20" t="e">
        <f>VLOOKUP(C2076,[1]CHILDCARE_FACILITIES!AJ:AK,2,0)</f>
        <v>#N/A</v>
      </c>
      <c r="E2076" s="20" t="s">
        <v>15134</v>
      </c>
      <c r="F2076" s="20" t="s">
        <v>15135</v>
      </c>
      <c r="G2076" s="20">
        <v>72425000</v>
      </c>
      <c r="H2076" s="20" t="s">
        <v>15138</v>
      </c>
      <c r="I2076" s="20" t="b">
        <v>0</v>
      </c>
      <c r="J2076" s="20" t="s">
        <v>18641</v>
      </c>
      <c r="K2076" s="20">
        <v>79330</v>
      </c>
      <c r="L2076" s="20" t="s">
        <v>18642</v>
      </c>
      <c r="M2076" s="20" t="s">
        <v>18643</v>
      </c>
    </row>
    <row r="2077" spans="1:13" x14ac:dyDescent="0.25">
      <c r="A2077" s="20">
        <v>79330</v>
      </c>
      <c r="B2077" s="20" t="s">
        <v>15922</v>
      </c>
      <c r="C2077" s="20">
        <v>79330</v>
      </c>
      <c r="D2077" s="20" t="e">
        <f>VLOOKUP(C2077,[1]CHILDCARE_FACILITIES!AJ:AK,2,0)</f>
        <v>#N/A</v>
      </c>
      <c r="E2077" s="20" t="s">
        <v>15134</v>
      </c>
      <c r="F2077" s="20" t="s">
        <v>15135</v>
      </c>
      <c r="G2077" s="20">
        <v>72425000</v>
      </c>
      <c r="H2077" s="20" t="s">
        <v>15145</v>
      </c>
      <c r="I2077" s="20" t="b">
        <v>0</v>
      </c>
      <c r="J2077" s="20" t="s">
        <v>18641</v>
      </c>
      <c r="K2077" s="20">
        <v>79330</v>
      </c>
      <c r="L2077" s="20" t="s">
        <v>18642</v>
      </c>
      <c r="M2077" s="20" t="s">
        <v>18643</v>
      </c>
    </row>
    <row r="2078" spans="1:13" x14ac:dyDescent="0.25">
      <c r="A2078" s="20">
        <v>1000094</v>
      </c>
      <c r="B2078" s="20" t="s">
        <v>17078</v>
      </c>
      <c r="C2078" s="20">
        <v>1000094</v>
      </c>
      <c r="D2078" s="20" t="e">
        <f>VLOOKUP(C2078,[1]CHILDCARE_FACILITIES!AJ:AK,2,0)</f>
        <v>#N/A</v>
      </c>
      <c r="E2078" s="20" t="s">
        <v>15134</v>
      </c>
      <c r="F2078" s="20" t="s">
        <v>15135</v>
      </c>
      <c r="G2078" s="20">
        <v>72468005</v>
      </c>
      <c r="H2078" s="20" t="s">
        <v>15138</v>
      </c>
      <c r="I2078" s="20" t="b">
        <v>1</v>
      </c>
      <c r="J2078" s="20" t="s">
        <v>608</v>
      </c>
      <c r="K2078" s="20">
        <v>1000094</v>
      </c>
      <c r="L2078" s="20" t="s">
        <v>17228</v>
      </c>
      <c r="M2078" s="20" t="s">
        <v>18644</v>
      </c>
    </row>
    <row r="2079" spans="1:13" x14ac:dyDescent="0.25">
      <c r="A2079" s="20">
        <v>1000094</v>
      </c>
      <c r="B2079" s="20" t="s">
        <v>17078</v>
      </c>
      <c r="C2079" s="20">
        <v>1000094</v>
      </c>
      <c r="D2079" s="20" t="e">
        <f>VLOOKUP(C2079,[1]CHILDCARE_FACILITIES!AJ:AK,2,0)</f>
        <v>#N/A</v>
      </c>
      <c r="E2079" s="20" t="s">
        <v>15134</v>
      </c>
      <c r="F2079" s="20" t="s">
        <v>15135</v>
      </c>
      <c r="G2079" s="20">
        <v>72468005</v>
      </c>
      <c r="H2079" s="20" t="s">
        <v>15136</v>
      </c>
      <c r="I2079" s="20" t="b">
        <v>1</v>
      </c>
      <c r="J2079" s="20" t="s">
        <v>17302</v>
      </c>
      <c r="K2079" s="20">
        <v>1000094</v>
      </c>
      <c r="L2079" s="20" t="s">
        <v>17228</v>
      </c>
      <c r="M2079" s="20" t="s">
        <v>17303</v>
      </c>
    </row>
    <row r="2080" spans="1:13" x14ac:dyDescent="0.25">
      <c r="A2080" s="20">
        <v>85800</v>
      </c>
      <c r="B2080" s="20" t="s">
        <v>442</v>
      </c>
      <c r="C2080" s="20">
        <v>85800</v>
      </c>
      <c r="D2080" s="20" t="e">
        <f>VLOOKUP(C2080,[1]CHILDCARE_FACILITIES!AJ:AK,2,0)</f>
        <v>#N/A</v>
      </c>
      <c r="E2080" s="20" t="s">
        <v>15134</v>
      </c>
      <c r="F2080" s="20" t="s">
        <v>15135</v>
      </c>
      <c r="G2080" s="20">
        <v>112501005</v>
      </c>
      <c r="K2080" s="20">
        <v>85800</v>
      </c>
    </row>
    <row r="2081" spans="1:13" x14ac:dyDescent="0.25">
      <c r="A2081" s="20">
        <v>1001405</v>
      </c>
      <c r="B2081" s="20" t="s">
        <v>17192</v>
      </c>
      <c r="C2081" s="20">
        <v>1001405</v>
      </c>
      <c r="D2081" s="20" t="e">
        <f>VLOOKUP(C2081,[1]CHILDCARE_FACILITIES!AJ:AK,2,0)</f>
        <v>#N/A</v>
      </c>
      <c r="E2081" s="20" t="s">
        <v>15134</v>
      </c>
      <c r="F2081" s="20" t="s">
        <v>15135</v>
      </c>
      <c r="G2081" s="20">
        <v>73725001</v>
      </c>
      <c r="H2081" s="20" t="s">
        <v>15138</v>
      </c>
      <c r="I2081" s="20" t="b">
        <v>1</v>
      </c>
      <c r="J2081" s="20" t="s">
        <v>18230</v>
      </c>
      <c r="K2081" s="20">
        <v>1001405</v>
      </c>
      <c r="L2081" s="20" t="s">
        <v>17216</v>
      </c>
      <c r="M2081" s="20" t="s">
        <v>17265</v>
      </c>
    </row>
    <row r="2082" spans="1:13" x14ac:dyDescent="0.25">
      <c r="A2082" s="20">
        <v>1001405</v>
      </c>
      <c r="B2082" s="20" t="s">
        <v>17192</v>
      </c>
      <c r="C2082" s="20">
        <v>1001405</v>
      </c>
      <c r="D2082" s="20" t="e">
        <f>VLOOKUP(C2082,[1]CHILDCARE_FACILITIES!AJ:AK,2,0)</f>
        <v>#N/A</v>
      </c>
      <c r="E2082" s="20" t="s">
        <v>15134</v>
      </c>
      <c r="F2082" s="20" t="s">
        <v>15135</v>
      </c>
      <c r="G2082" s="20">
        <v>73725001</v>
      </c>
      <c r="H2082" s="20" t="s">
        <v>15136</v>
      </c>
      <c r="I2082" s="20" t="b">
        <v>1</v>
      </c>
      <c r="J2082" s="20" t="s">
        <v>18230</v>
      </c>
      <c r="K2082" s="20">
        <v>1001405</v>
      </c>
      <c r="L2082" s="20" t="s">
        <v>17216</v>
      </c>
      <c r="M2082" s="20" t="s">
        <v>17265</v>
      </c>
    </row>
    <row r="2083" spans="1:13" x14ac:dyDescent="0.25">
      <c r="A2083" s="20">
        <v>80669</v>
      </c>
      <c r="B2083" s="20" t="s">
        <v>16167</v>
      </c>
      <c r="C2083" s="20">
        <v>80669</v>
      </c>
      <c r="D2083" s="20" t="e">
        <f>VLOOKUP(C2083,[1]CHILDCARE_FACILITIES!AJ:AK,2,0)</f>
        <v>#N/A</v>
      </c>
      <c r="E2083" s="20" t="s">
        <v>15134</v>
      </c>
      <c r="F2083" s="20" t="s">
        <v>15135</v>
      </c>
      <c r="G2083" s="20">
        <v>143012003</v>
      </c>
      <c r="H2083" s="20" t="s">
        <v>15145</v>
      </c>
      <c r="I2083" s="20" t="b">
        <v>1</v>
      </c>
      <c r="J2083" s="20" t="s">
        <v>18645</v>
      </c>
      <c r="K2083" s="20">
        <v>80669</v>
      </c>
      <c r="L2083" s="20" t="s">
        <v>17335</v>
      </c>
      <c r="M2083" s="20" t="s">
        <v>18646</v>
      </c>
    </row>
    <row r="2084" spans="1:13" x14ac:dyDescent="0.25">
      <c r="A2084" s="20">
        <v>80669</v>
      </c>
      <c r="B2084" s="20" t="s">
        <v>16167</v>
      </c>
      <c r="C2084" s="20">
        <v>80669</v>
      </c>
      <c r="D2084" s="20" t="e">
        <f>VLOOKUP(C2084,[1]CHILDCARE_FACILITIES!AJ:AK,2,0)</f>
        <v>#N/A</v>
      </c>
      <c r="E2084" s="20" t="s">
        <v>15134</v>
      </c>
      <c r="F2084" s="20" t="s">
        <v>15135</v>
      </c>
      <c r="G2084" s="20">
        <v>143012003</v>
      </c>
      <c r="H2084" s="20" t="s">
        <v>15138</v>
      </c>
      <c r="I2084" s="20" t="b">
        <v>0</v>
      </c>
      <c r="J2084" s="20" t="s">
        <v>18647</v>
      </c>
      <c r="K2084" s="20">
        <v>80669</v>
      </c>
      <c r="L2084" s="20" t="s">
        <v>17445</v>
      </c>
      <c r="M2084" s="20" t="s">
        <v>18648</v>
      </c>
    </row>
    <row r="2085" spans="1:13" x14ac:dyDescent="0.25">
      <c r="A2085" s="20">
        <v>90838</v>
      </c>
      <c r="B2085" s="20" t="s">
        <v>16698</v>
      </c>
      <c r="C2085" s="20">
        <v>90838</v>
      </c>
      <c r="D2085" s="20" t="str">
        <f>VLOOKUP(C2085,[1]CHILDCARE_FACILITIES!AJ:AK,2,0)</f>
        <v>CDC-18619</v>
      </c>
      <c r="E2085" s="20" t="s">
        <v>15134</v>
      </c>
      <c r="F2085" s="20" t="s">
        <v>15135</v>
      </c>
      <c r="G2085" s="20">
        <v>73713001</v>
      </c>
      <c r="H2085" s="20" t="s">
        <v>15136</v>
      </c>
      <c r="I2085" s="20" t="b">
        <v>1</v>
      </c>
      <c r="J2085" s="20" t="s">
        <v>18418</v>
      </c>
      <c r="K2085" s="20">
        <v>90838</v>
      </c>
      <c r="L2085" s="20" t="s">
        <v>17213</v>
      </c>
      <c r="M2085" s="20" t="s">
        <v>18417</v>
      </c>
    </row>
    <row r="2086" spans="1:13" x14ac:dyDescent="0.25">
      <c r="A2086" s="20">
        <v>90838</v>
      </c>
      <c r="B2086" s="20" t="s">
        <v>16698</v>
      </c>
      <c r="C2086" s="20">
        <v>90838</v>
      </c>
      <c r="D2086" s="20" t="str">
        <f>VLOOKUP(C2086,[1]CHILDCARE_FACILITIES!AJ:AK,2,0)</f>
        <v>CDC-18619</v>
      </c>
      <c r="E2086" s="20" t="s">
        <v>15134</v>
      </c>
      <c r="F2086" s="20" t="s">
        <v>15135</v>
      </c>
      <c r="G2086" s="20">
        <v>73713001</v>
      </c>
      <c r="H2086" s="20" t="s">
        <v>15138</v>
      </c>
      <c r="I2086" s="20" t="b">
        <v>1</v>
      </c>
      <c r="J2086" s="20" t="s">
        <v>18418</v>
      </c>
      <c r="K2086" s="20">
        <v>90838</v>
      </c>
      <c r="L2086" s="20" t="s">
        <v>17213</v>
      </c>
      <c r="M2086" s="20" t="s">
        <v>18417</v>
      </c>
    </row>
    <row r="2087" spans="1:13" x14ac:dyDescent="0.25">
      <c r="A2087" s="20">
        <v>90225</v>
      </c>
      <c r="B2087" s="20" t="s">
        <v>16585</v>
      </c>
      <c r="C2087" s="20">
        <v>90225</v>
      </c>
      <c r="D2087" s="20" t="e">
        <f>VLOOKUP(C2087,[1]CHILDCARE_FACILITIES!AJ:AK,2,0)</f>
        <v>#N/A</v>
      </c>
      <c r="E2087" s="20" t="s">
        <v>15134</v>
      </c>
      <c r="F2087" s="20" t="s">
        <v>15135</v>
      </c>
      <c r="G2087" s="20">
        <v>22207000</v>
      </c>
      <c r="H2087" s="20" t="s">
        <v>15145</v>
      </c>
      <c r="I2087" s="20" t="b">
        <v>1</v>
      </c>
      <c r="J2087" s="20" t="s">
        <v>18649</v>
      </c>
      <c r="K2087" s="20">
        <v>90225</v>
      </c>
      <c r="L2087" s="20" t="s">
        <v>18650</v>
      </c>
      <c r="M2087" s="20" t="s">
        <v>18651</v>
      </c>
    </row>
    <row r="2088" spans="1:13" x14ac:dyDescent="0.25">
      <c r="A2088" s="20">
        <v>8698</v>
      </c>
      <c r="B2088" s="20" t="s">
        <v>15208</v>
      </c>
      <c r="C2088" s="20">
        <v>8698</v>
      </c>
      <c r="D2088" s="20" t="e">
        <f>VLOOKUP(C2088,[1]CHILDCARE_FACILITIES!AJ:AK,2,0)</f>
        <v>#N/A</v>
      </c>
      <c r="E2088" s="20" t="s">
        <v>15134</v>
      </c>
      <c r="F2088" s="20" t="s">
        <v>15135</v>
      </c>
      <c r="G2088" s="20">
        <v>72250000</v>
      </c>
      <c r="K2088" s="20">
        <v>8698</v>
      </c>
    </row>
    <row r="2089" spans="1:13" x14ac:dyDescent="0.25">
      <c r="A2089" s="20">
        <v>8699</v>
      </c>
      <c r="B2089" s="20" t="s">
        <v>15209</v>
      </c>
      <c r="C2089" s="20">
        <v>8699</v>
      </c>
      <c r="D2089" s="20" t="e">
        <f>VLOOKUP(C2089,[1]CHILDCARE_FACILITIES!AJ:AK,2,0)</f>
        <v>#N/A</v>
      </c>
      <c r="E2089" s="20" t="s">
        <v>15134</v>
      </c>
      <c r="F2089" s="20" t="s">
        <v>15135</v>
      </c>
      <c r="G2089" s="20">
        <v>72250001</v>
      </c>
      <c r="K2089" s="20">
        <v>8699</v>
      </c>
    </row>
    <row r="2090" spans="1:13" x14ac:dyDescent="0.25">
      <c r="A2090" s="20">
        <v>9793</v>
      </c>
      <c r="B2090" s="20" t="s">
        <v>15685</v>
      </c>
      <c r="C2090" s="20">
        <v>9793</v>
      </c>
      <c r="D2090" s="20" t="e">
        <f>VLOOKUP(C2090,[1]CHILDCARE_FACILITIES!AJ:AK,2,0)</f>
        <v>#N/A</v>
      </c>
      <c r="E2090" s="20" t="s">
        <v>15134</v>
      </c>
      <c r="F2090" s="20" t="s">
        <v>15135</v>
      </c>
      <c r="G2090" s="20">
        <v>102250011</v>
      </c>
      <c r="K2090" s="20">
        <v>9793</v>
      </c>
    </row>
    <row r="2091" spans="1:13" x14ac:dyDescent="0.25">
      <c r="A2091" s="20">
        <v>92671</v>
      </c>
      <c r="B2091" s="20" t="s">
        <v>16885</v>
      </c>
      <c r="C2091" s="20">
        <v>92671</v>
      </c>
      <c r="D2091" s="20" t="str">
        <f>VLOOKUP(C2091,[1]CHILDCARE_FACILITIES!AJ:AK,2,0)</f>
        <v>CDC-14978</v>
      </c>
      <c r="E2091" s="20" t="s">
        <v>15134</v>
      </c>
      <c r="F2091" s="20" t="s">
        <v>15135</v>
      </c>
      <c r="G2091" s="20">
        <v>72451007</v>
      </c>
      <c r="H2091" s="20" t="s">
        <v>15138</v>
      </c>
      <c r="I2091" s="20" t="b">
        <v>1</v>
      </c>
      <c r="J2091" s="20" t="s">
        <v>18188</v>
      </c>
      <c r="K2091" s="20">
        <v>92671</v>
      </c>
      <c r="L2091" s="20" t="s">
        <v>17639</v>
      </c>
      <c r="M2091" s="20" t="s">
        <v>18189</v>
      </c>
    </row>
    <row r="2092" spans="1:13" x14ac:dyDescent="0.25">
      <c r="A2092" s="20">
        <v>90855</v>
      </c>
      <c r="B2092" s="20" t="s">
        <v>16704</v>
      </c>
      <c r="C2092" s="20">
        <v>90855</v>
      </c>
      <c r="D2092" s="20" t="e">
        <f>VLOOKUP(C2092,[1]CHILDCARE_FACILITIES!AJ:AK,2,0)</f>
        <v>#N/A</v>
      </c>
      <c r="E2092" s="20" t="s">
        <v>15134</v>
      </c>
      <c r="F2092" s="20" t="s">
        <v>15135</v>
      </c>
      <c r="G2092" s="20">
        <v>143025000</v>
      </c>
      <c r="H2092" s="20" t="s">
        <v>15138</v>
      </c>
      <c r="I2092" s="20" t="b">
        <v>1</v>
      </c>
      <c r="J2092" s="20" t="s">
        <v>18652</v>
      </c>
      <c r="K2092" s="20">
        <v>90855</v>
      </c>
      <c r="L2092" s="20" t="s">
        <v>17335</v>
      </c>
      <c r="M2092" s="20" t="s">
        <v>18646</v>
      </c>
    </row>
    <row r="2093" spans="1:13" x14ac:dyDescent="0.25">
      <c r="A2093" s="20">
        <v>90855</v>
      </c>
      <c r="B2093" s="20" t="s">
        <v>16704</v>
      </c>
      <c r="C2093" s="20">
        <v>90855</v>
      </c>
      <c r="D2093" s="20" t="e">
        <f>VLOOKUP(C2093,[1]CHILDCARE_FACILITIES!AJ:AK,2,0)</f>
        <v>#N/A</v>
      </c>
      <c r="E2093" s="20" t="s">
        <v>15134</v>
      </c>
      <c r="F2093" s="20" t="s">
        <v>15135</v>
      </c>
      <c r="G2093" s="20">
        <v>143025000</v>
      </c>
      <c r="H2093" s="20" t="s">
        <v>15136</v>
      </c>
      <c r="I2093" s="20" t="b">
        <v>1</v>
      </c>
      <c r="J2093" s="20" t="s">
        <v>18652</v>
      </c>
      <c r="K2093" s="20">
        <v>90855</v>
      </c>
      <c r="L2093" s="20" t="s">
        <v>17335</v>
      </c>
      <c r="M2093" s="20" t="s">
        <v>18646</v>
      </c>
    </row>
    <row r="2094" spans="1:13" x14ac:dyDescent="0.25">
      <c r="A2094" s="20">
        <v>90856</v>
      </c>
      <c r="B2094" s="20" t="s">
        <v>16704</v>
      </c>
      <c r="C2094" s="20">
        <v>90856</v>
      </c>
      <c r="D2094" s="20" t="e">
        <f>VLOOKUP(C2094,[1]CHILDCARE_FACILITIES!AJ:AK,2,0)</f>
        <v>#N/A</v>
      </c>
      <c r="E2094" s="20" t="s">
        <v>15134</v>
      </c>
      <c r="F2094" s="20" t="s">
        <v>15135</v>
      </c>
      <c r="G2094" s="20">
        <v>143025001</v>
      </c>
      <c r="H2094" s="20" t="s">
        <v>15145</v>
      </c>
      <c r="I2094" s="20" t="b">
        <v>1</v>
      </c>
      <c r="J2094" s="20" t="s">
        <v>18645</v>
      </c>
      <c r="K2094" s="20">
        <v>90856</v>
      </c>
      <c r="L2094" s="20" t="s">
        <v>17335</v>
      </c>
      <c r="M2094" s="20" t="s">
        <v>18646</v>
      </c>
    </row>
    <row r="2095" spans="1:13" x14ac:dyDescent="0.25">
      <c r="A2095" s="20">
        <v>9011</v>
      </c>
      <c r="B2095" s="20" t="s">
        <v>15312</v>
      </c>
      <c r="C2095" s="20">
        <v>9011</v>
      </c>
      <c r="D2095" s="20" t="e">
        <f>VLOOKUP(C2095,[1]CHILDCARE_FACILITIES!AJ:AK,2,0)</f>
        <v>#N/A</v>
      </c>
      <c r="E2095" s="20" t="s">
        <v>15134</v>
      </c>
      <c r="F2095" s="20" t="s">
        <v>15135</v>
      </c>
      <c r="G2095" s="20">
        <v>73020001</v>
      </c>
      <c r="K2095" s="20">
        <v>9011</v>
      </c>
    </row>
    <row r="2096" spans="1:13" x14ac:dyDescent="0.25">
      <c r="A2096" s="20">
        <v>10056</v>
      </c>
      <c r="B2096" s="20" t="s">
        <v>15796</v>
      </c>
      <c r="C2096" s="20">
        <v>10056</v>
      </c>
      <c r="D2096" s="20" t="str">
        <f>VLOOKUP(C2096,[1]CHILDCARE_FACILITIES!AJ:AK,2,0)</f>
        <v>CDC-6951</v>
      </c>
      <c r="E2096" s="20" t="s">
        <v>15134</v>
      </c>
      <c r="F2096" s="20" t="s">
        <v>15135</v>
      </c>
      <c r="G2096" s="20">
        <v>103108001</v>
      </c>
      <c r="H2096" s="20" t="s">
        <v>15145</v>
      </c>
      <c r="I2096" s="20" t="b">
        <v>1</v>
      </c>
      <c r="J2096" s="20" t="s">
        <v>17354</v>
      </c>
      <c r="K2096" s="20">
        <v>10056</v>
      </c>
      <c r="L2096" s="20" t="s">
        <v>17271</v>
      </c>
      <c r="M2096" s="20" t="s">
        <v>17355</v>
      </c>
    </row>
    <row r="2097" spans="1:13" x14ac:dyDescent="0.25">
      <c r="A2097" s="20">
        <v>89945</v>
      </c>
      <c r="B2097" s="20" t="s">
        <v>16512</v>
      </c>
      <c r="C2097" s="20">
        <v>89945</v>
      </c>
      <c r="D2097" s="20" t="e">
        <f>VLOOKUP(C2097,[1]CHILDCARE_FACILITIES!AJ:AK,2,0)</f>
        <v>#N/A</v>
      </c>
      <c r="E2097" s="20" t="s">
        <v>15134</v>
      </c>
      <c r="F2097" s="20" t="s">
        <v>15135</v>
      </c>
      <c r="G2097" s="20">
        <v>72413014</v>
      </c>
      <c r="H2097" s="20" t="s">
        <v>15138</v>
      </c>
      <c r="I2097" s="20" t="b">
        <v>1</v>
      </c>
      <c r="J2097" s="20" t="s">
        <v>18653</v>
      </c>
      <c r="K2097" s="20">
        <v>89945</v>
      </c>
      <c r="L2097" s="20" t="s">
        <v>17213</v>
      </c>
      <c r="M2097" s="20" t="s">
        <v>18654</v>
      </c>
    </row>
    <row r="2098" spans="1:13" x14ac:dyDescent="0.25">
      <c r="A2098" s="20">
        <v>89945</v>
      </c>
      <c r="B2098" s="20" t="s">
        <v>16512</v>
      </c>
      <c r="C2098" s="20">
        <v>89945</v>
      </c>
      <c r="D2098" s="20" t="e">
        <f>VLOOKUP(C2098,[1]CHILDCARE_FACILITIES!AJ:AK,2,0)</f>
        <v>#N/A</v>
      </c>
      <c r="E2098" s="20" t="s">
        <v>15134</v>
      </c>
      <c r="F2098" s="20" t="s">
        <v>15135</v>
      </c>
      <c r="G2098" s="20">
        <v>72413014</v>
      </c>
      <c r="H2098" s="20" t="s">
        <v>15145</v>
      </c>
      <c r="I2098" s="20" t="b">
        <v>1</v>
      </c>
      <c r="J2098" s="20" t="s">
        <v>18653</v>
      </c>
      <c r="K2098" s="20">
        <v>89945</v>
      </c>
      <c r="L2098" s="20" t="s">
        <v>17213</v>
      </c>
      <c r="M2098" s="20" t="s">
        <v>18654</v>
      </c>
    </row>
    <row r="2099" spans="1:13" x14ac:dyDescent="0.25">
      <c r="A2099" s="20">
        <v>89733</v>
      </c>
      <c r="B2099" s="20" t="s">
        <v>16442</v>
      </c>
      <c r="C2099" s="20">
        <v>89733</v>
      </c>
      <c r="D2099" s="20" t="e">
        <f>VLOOKUP(C2099,[1]CHILDCARE_FACILITIES!AJ:AK,2,0)</f>
        <v>#N/A</v>
      </c>
      <c r="E2099" s="20" t="s">
        <v>15134</v>
      </c>
      <c r="F2099" s="20" t="s">
        <v>15135</v>
      </c>
      <c r="G2099" s="20">
        <v>132207000</v>
      </c>
      <c r="H2099" s="20" t="s">
        <v>15145</v>
      </c>
      <c r="I2099" s="20" t="b">
        <v>1</v>
      </c>
      <c r="J2099" s="20" t="s">
        <v>17630</v>
      </c>
      <c r="K2099" s="20">
        <v>89733</v>
      </c>
      <c r="L2099" s="20" t="s">
        <v>17631</v>
      </c>
      <c r="M2099" s="20" t="s">
        <v>17632</v>
      </c>
    </row>
    <row r="2100" spans="1:13" x14ac:dyDescent="0.25">
      <c r="A2100" s="20">
        <v>89733</v>
      </c>
      <c r="B2100" s="20" t="s">
        <v>16442</v>
      </c>
      <c r="C2100" s="20">
        <v>89733</v>
      </c>
      <c r="D2100" s="20" t="e">
        <f>VLOOKUP(C2100,[1]CHILDCARE_FACILITIES!AJ:AK,2,0)</f>
        <v>#N/A</v>
      </c>
      <c r="E2100" s="20" t="s">
        <v>15134</v>
      </c>
      <c r="F2100" s="20" t="s">
        <v>15135</v>
      </c>
      <c r="G2100" s="20">
        <v>132207000</v>
      </c>
      <c r="H2100" s="20" t="s">
        <v>15138</v>
      </c>
      <c r="I2100" s="20" t="b">
        <v>1</v>
      </c>
      <c r="J2100" s="20" t="s">
        <v>17630</v>
      </c>
      <c r="K2100" s="20">
        <v>89733</v>
      </c>
      <c r="L2100" s="20" t="s">
        <v>17631</v>
      </c>
      <c r="M2100" s="20" t="s">
        <v>17632</v>
      </c>
    </row>
    <row r="2101" spans="1:13" x14ac:dyDescent="0.25">
      <c r="A2101" s="20">
        <v>90055</v>
      </c>
      <c r="B2101" s="20" t="s">
        <v>16514</v>
      </c>
      <c r="C2101" s="20">
        <v>90055</v>
      </c>
      <c r="D2101" s="20" t="e">
        <f>VLOOKUP(C2101,[1]CHILDCARE_FACILITIES!AJ:AK,2,0)</f>
        <v>#N/A</v>
      </c>
      <c r="E2101" s="20" t="s">
        <v>15134</v>
      </c>
      <c r="F2101" s="20" t="s">
        <v>15135</v>
      </c>
      <c r="G2101" s="20">
        <v>72438000</v>
      </c>
      <c r="H2101" s="20" t="s">
        <v>15145</v>
      </c>
      <c r="I2101" s="20" t="b">
        <v>1</v>
      </c>
      <c r="J2101" s="20" t="s">
        <v>18655</v>
      </c>
      <c r="K2101" s="20">
        <v>90055</v>
      </c>
      <c r="L2101" s="20" t="s">
        <v>17213</v>
      </c>
      <c r="M2101" s="20" t="s">
        <v>18656</v>
      </c>
    </row>
    <row r="2102" spans="1:13" x14ac:dyDescent="0.25">
      <c r="A2102" s="20">
        <v>1000128</v>
      </c>
      <c r="B2102" s="20" t="s">
        <v>17101</v>
      </c>
      <c r="C2102" s="20">
        <v>1000128</v>
      </c>
      <c r="D2102" s="20" t="e">
        <f>VLOOKUP(C2102,[1]CHILDCARE_FACILITIES!AJ:AK,2,0)</f>
        <v>#N/A</v>
      </c>
      <c r="E2102" s="20" t="s">
        <v>15134</v>
      </c>
      <c r="F2102" s="20" t="s">
        <v>15135</v>
      </c>
      <c r="G2102" s="20">
        <v>103160000</v>
      </c>
      <c r="H2102" s="20" t="s">
        <v>15136</v>
      </c>
      <c r="I2102" s="20" t="b">
        <v>1</v>
      </c>
      <c r="J2102" s="20" t="s">
        <v>18657</v>
      </c>
      <c r="K2102" s="20">
        <v>1000128</v>
      </c>
      <c r="L2102" s="20" t="s">
        <v>17271</v>
      </c>
      <c r="M2102" s="20" t="s">
        <v>18658</v>
      </c>
    </row>
    <row r="2103" spans="1:13" x14ac:dyDescent="0.25">
      <c r="A2103" s="20">
        <v>1000128</v>
      </c>
      <c r="B2103" s="20" t="s">
        <v>17101</v>
      </c>
      <c r="C2103" s="20">
        <v>1000128</v>
      </c>
      <c r="D2103" s="20" t="e">
        <f>VLOOKUP(C2103,[1]CHILDCARE_FACILITIES!AJ:AK,2,0)</f>
        <v>#N/A</v>
      </c>
      <c r="E2103" s="20" t="s">
        <v>15134</v>
      </c>
      <c r="F2103" s="20" t="s">
        <v>15135</v>
      </c>
      <c r="G2103" s="20">
        <v>103160000</v>
      </c>
      <c r="H2103" s="20" t="s">
        <v>15138</v>
      </c>
      <c r="I2103" s="20" t="b">
        <v>1</v>
      </c>
      <c r="J2103" s="20" t="s">
        <v>18659</v>
      </c>
      <c r="K2103" s="20">
        <v>1000128</v>
      </c>
      <c r="L2103" s="20" t="s">
        <v>17271</v>
      </c>
      <c r="M2103" s="20" t="s">
        <v>18660</v>
      </c>
    </row>
    <row r="2104" spans="1:13" x14ac:dyDescent="0.25">
      <c r="A2104" s="20">
        <v>9770</v>
      </c>
      <c r="B2104" s="20" t="s">
        <v>15665</v>
      </c>
      <c r="C2104" s="20">
        <v>9770</v>
      </c>
      <c r="D2104" s="20" t="str">
        <f>VLOOKUP(C2104,[1]CHILDCARE_FACILITIES!AJ:AK,2,0)</f>
        <v>CDC-3301</v>
      </c>
      <c r="E2104" s="20" t="s">
        <v>15134</v>
      </c>
      <c r="F2104" s="20" t="s">
        <v>15135</v>
      </c>
      <c r="G2104" s="20">
        <v>102245001</v>
      </c>
      <c r="H2104" s="20" t="s">
        <v>15136</v>
      </c>
      <c r="I2104" s="20" t="b">
        <v>0</v>
      </c>
      <c r="J2104" s="20" t="s">
        <v>17826</v>
      </c>
      <c r="K2104" s="20">
        <v>9770</v>
      </c>
      <c r="L2104" s="20" t="s">
        <v>17282</v>
      </c>
      <c r="M2104" s="20" t="s">
        <v>17827</v>
      </c>
    </row>
    <row r="2105" spans="1:13" x14ac:dyDescent="0.25">
      <c r="A2105" s="20">
        <v>9770</v>
      </c>
      <c r="B2105" s="20" t="s">
        <v>15665</v>
      </c>
      <c r="C2105" s="20">
        <v>9770</v>
      </c>
      <c r="D2105" s="20" t="str">
        <f>VLOOKUP(C2105,[1]CHILDCARE_FACILITIES!AJ:AK,2,0)</f>
        <v>CDC-3301</v>
      </c>
      <c r="E2105" s="20" t="s">
        <v>15134</v>
      </c>
      <c r="F2105" s="20" t="s">
        <v>15135</v>
      </c>
      <c r="G2105" s="20">
        <v>102245001</v>
      </c>
      <c r="H2105" s="20" t="s">
        <v>15138</v>
      </c>
      <c r="I2105" s="20" t="b">
        <v>0</v>
      </c>
      <c r="J2105" s="20" t="s">
        <v>18661</v>
      </c>
      <c r="K2105" s="20">
        <v>9770</v>
      </c>
      <c r="L2105" s="20" t="s">
        <v>17282</v>
      </c>
      <c r="M2105" s="20" t="s">
        <v>18662</v>
      </c>
    </row>
    <row r="2106" spans="1:13" x14ac:dyDescent="0.25">
      <c r="A2106" s="20">
        <v>9780</v>
      </c>
      <c r="B2106" s="20" t="s">
        <v>15673</v>
      </c>
      <c r="C2106" s="20">
        <v>9780</v>
      </c>
      <c r="D2106" s="20" t="e">
        <f>VLOOKUP(C2106,[1]CHILDCARE_FACILITIES!AJ:AK,2,0)</f>
        <v>#N/A</v>
      </c>
      <c r="E2106" s="20" t="s">
        <v>15134</v>
      </c>
      <c r="F2106" s="20" t="s">
        <v>15135</v>
      </c>
      <c r="G2106" s="20">
        <v>102249000</v>
      </c>
      <c r="K2106" s="20">
        <v>9780</v>
      </c>
    </row>
    <row r="2107" spans="1:13" x14ac:dyDescent="0.25">
      <c r="A2107" s="20">
        <v>9769</v>
      </c>
      <c r="B2107" s="20" t="s">
        <v>15662</v>
      </c>
      <c r="C2107" s="20">
        <v>9769</v>
      </c>
      <c r="D2107" s="20" t="e">
        <f>VLOOKUP(C2107,[1]CHILDCARE_FACILITIES!AJ:AK,2,0)</f>
        <v>#N/A</v>
      </c>
      <c r="E2107" s="20" t="s">
        <v>15134</v>
      </c>
      <c r="F2107" s="20" t="s">
        <v>15135</v>
      </c>
      <c r="G2107" s="20">
        <v>102245000</v>
      </c>
      <c r="H2107" s="20" t="s">
        <v>15136</v>
      </c>
      <c r="I2107" s="20" t="b">
        <v>0</v>
      </c>
      <c r="J2107" s="20" t="s">
        <v>18663</v>
      </c>
      <c r="K2107" s="20">
        <v>9769</v>
      </c>
      <c r="L2107" s="20" t="s">
        <v>17282</v>
      </c>
      <c r="M2107" s="20" t="s">
        <v>17827</v>
      </c>
    </row>
    <row r="2108" spans="1:13" x14ac:dyDescent="0.25">
      <c r="A2108" s="20">
        <v>9769</v>
      </c>
      <c r="B2108" s="20" t="s">
        <v>15662</v>
      </c>
      <c r="C2108" s="20">
        <v>9769</v>
      </c>
      <c r="D2108" s="20" t="e">
        <f>VLOOKUP(C2108,[1]CHILDCARE_FACILITIES!AJ:AK,2,0)</f>
        <v>#N/A</v>
      </c>
      <c r="E2108" s="20" t="s">
        <v>15134</v>
      </c>
      <c r="F2108" s="20" t="s">
        <v>15135</v>
      </c>
      <c r="G2108" s="20">
        <v>102245000</v>
      </c>
      <c r="H2108" s="20" t="s">
        <v>15138</v>
      </c>
      <c r="I2108" s="20" t="b">
        <v>1</v>
      </c>
      <c r="J2108" s="20" t="s">
        <v>18664</v>
      </c>
      <c r="K2108" s="20">
        <v>9769</v>
      </c>
      <c r="L2108" s="20" t="s">
        <v>17271</v>
      </c>
      <c r="M2108" s="20" t="s">
        <v>18665</v>
      </c>
    </row>
    <row r="2109" spans="1:13" x14ac:dyDescent="0.25">
      <c r="A2109" s="20">
        <v>9772</v>
      </c>
      <c r="B2109" s="20" t="s">
        <v>15668</v>
      </c>
      <c r="C2109" s="20">
        <v>9772</v>
      </c>
      <c r="D2109" s="20" t="e">
        <f>VLOOKUP(C2109,[1]CHILDCARE_FACILITIES!AJ:AK,2,0)</f>
        <v>#N/A</v>
      </c>
      <c r="E2109" s="20" t="s">
        <v>15134</v>
      </c>
      <c r="F2109" s="20" t="s">
        <v>15135</v>
      </c>
      <c r="G2109" s="20">
        <v>102245003</v>
      </c>
      <c r="K2109" s="20">
        <v>9772</v>
      </c>
    </row>
    <row r="2110" spans="1:13" x14ac:dyDescent="0.25">
      <c r="A2110" s="20">
        <v>90435</v>
      </c>
      <c r="B2110" s="20" t="s">
        <v>16611</v>
      </c>
      <c r="C2110" s="20">
        <v>90435</v>
      </c>
      <c r="D2110" s="20" t="str">
        <f>VLOOKUP(C2110,[1]CHILDCARE_FACILITIES!AJ:AK,2,0)</f>
        <v>CDC-18300</v>
      </c>
      <c r="E2110" s="20" t="s">
        <v>15134</v>
      </c>
      <c r="F2110" s="20" t="s">
        <v>15135</v>
      </c>
      <c r="G2110" s="20">
        <v>103160001</v>
      </c>
      <c r="H2110" s="20" t="s">
        <v>15138</v>
      </c>
      <c r="I2110" s="20" t="b">
        <v>1</v>
      </c>
      <c r="J2110" s="20" t="s">
        <v>18659</v>
      </c>
      <c r="K2110" s="20">
        <v>90435</v>
      </c>
      <c r="L2110" s="20" t="s">
        <v>17271</v>
      </c>
      <c r="M2110" s="20" t="s">
        <v>18660</v>
      </c>
    </row>
    <row r="2111" spans="1:13" x14ac:dyDescent="0.25">
      <c r="A2111" s="20">
        <v>90435</v>
      </c>
      <c r="B2111" s="20" t="s">
        <v>16611</v>
      </c>
      <c r="C2111" s="20">
        <v>90435</v>
      </c>
      <c r="D2111" s="20" t="str">
        <f>VLOOKUP(C2111,[1]CHILDCARE_FACILITIES!AJ:AK,2,0)</f>
        <v>CDC-18300</v>
      </c>
      <c r="E2111" s="20" t="s">
        <v>15134</v>
      </c>
      <c r="F2111" s="20" t="s">
        <v>15135</v>
      </c>
      <c r="G2111" s="20">
        <v>103160001</v>
      </c>
      <c r="H2111" s="20" t="s">
        <v>15136</v>
      </c>
      <c r="I2111" s="20" t="b">
        <v>1</v>
      </c>
      <c r="J2111" s="20" t="s">
        <v>18659</v>
      </c>
      <c r="K2111" s="20">
        <v>90435</v>
      </c>
      <c r="L2111" s="20" t="s">
        <v>17271</v>
      </c>
      <c r="M2111" s="20" t="s">
        <v>18660</v>
      </c>
    </row>
    <row r="2112" spans="1:13" x14ac:dyDescent="0.25">
      <c r="A2112" s="20">
        <v>90434</v>
      </c>
      <c r="B2112" s="20" t="s">
        <v>16609</v>
      </c>
      <c r="C2112" s="20">
        <v>90434</v>
      </c>
      <c r="D2112" s="20" t="e">
        <f>VLOOKUP(C2112,[1]CHILDCARE_FACILITIES!AJ:AK,2,0)</f>
        <v>#N/A</v>
      </c>
      <c r="E2112" s="20" t="s">
        <v>15134</v>
      </c>
      <c r="F2112" s="20" t="s">
        <v>15135</v>
      </c>
      <c r="G2112" s="20">
        <v>103213001</v>
      </c>
      <c r="H2112" s="20" t="s">
        <v>15145</v>
      </c>
      <c r="I2112" s="20" t="b">
        <v>1</v>
      </c>
      <c r="J2112" s="20" t="s">
        <v>18666</v>
      </c>
      <c r="K2112" s="20">
        <v>90434</v>
      </c>
      <c r="L2112" s="20" t="s">
        <v>17271</v>
      </c>
      <c r="M2112" s="20" t="s">
        <v>18667</v>
      </c>
    </row>
    <row r="2113" spans="1:13" x14ac:dyDescent="0.25">
      <c r="A2113" s="20">
        <v>78740</v>
      </c>
      <c r="B2113" s="20" t="s">
        <v>15879</v>
      </c>
      <c r="C2113" s="20">
        <v>78740</v>
      </c>
      <c r="D2113" s="20" t="e">
        <f>VLOOKUP(C2113,[1]CHILDCARE_FACILITIES!AJ:AK,2,0)</f>
        <v>#N/A</v>
      </c>
      <c r="E2113" s="20" t="s">
        <v>15134</v>
      </c>
      <c r="F2113" s="20" t="s">
        <v>15135</v>
      </c>
      <c r="G2113" s="20">
        <v>73297002</v>
      </c>
      <c r="K2113" s="20">
        <v>78740</v>
      </c>
    </row>
    <row r="2114" spans="1:13" x14ac:dyDescent="0.25">
      <c r="A2114" s="20">
        <v>10021</v>
      </c>
      <c r="B2114" s="20" t="s">
        <v>15783</v>
      </c>
      <c r="C2114" s="20">
        <v>10021</v>
      </c>
      <c r="D2114" s="20" t="e">
        <f>VLOOKUP(C2114,[1]CHILDCARE_FACILITIES!AJ:AK,2,0)</f>
        <v>#N/A</v>
      </c>
      <c r="E2114" s="20" t="s">
        <v>15134</v>
      </c>
      <c r="F2114" s="20" t="s">
        <v>15135</v>
      </c>
      <c r="G2114" s="20">
        <v>103095001</v>
      </c>
      <c r="K2114" s="20">
        <v>10021</v>
      </c>
    </row>
    <row r="2115" spans="1:13" x14ac:dyDescent="0.25">
      <c r="A2115" s="20">
        <v>1000066</v>
      </c>
      <c r="B2115" s="20" t="s">
        <v>17045</v>
      </c>
      <c r="C2115" s="20">
        <v>1000066</v>
      </c>
      <c r="D2115" s="20" t="e">
        <f>VLOOKUP(C2115,[1]CHILDCARE_FACILITIES!AJ:AK,2,0)</f>
        <v>#N/A</v>
      </c>
      <c r="E2115" s="20" t="s">
        <v>15134</v>
      </c>
      <c r="F2115" s="20" t="s">
        <v>15135</v>
      </c>
      <c r="G2115" s="20">
        <v>73347000</v>
      </c>
      <c r="H2115" s="20" t="s">
        <v>15136</v>
      </c>
      <c r="I2115" s="20" t="b">
        <v>1</v>
      </c>
      <c r="J2115" s="20" t="s">
        <v>17891</v>
      </c>
      <c r="K2115" s="20">
        <v>1000066</v>
      </c>
      <c r="L2115" s="20" t="s">
        <v>17228</v>
      </c>
      <c r="M2115" s="20" t="s">
        <v>17892</v>
      </c>
    </row>
    <row r="2116" spans="1:13" x14ac:dyDescent="0.25">
      <c r="A2116" s="20">
        <v>1000066</v>
      </c>
      <c r="B2116" s="20" t="s">
        <v>17045</v>
      </c>
      <c r="C2116" s="20">
        <v>1000066</v>
      </c>
      <c r="D2116" s="20" t="e">
        <f>VLOOKUP(C2116,[1]CHILDCARE_FACILITIES!AJ:AK,2,0)</f>
        <v>#N/A</v>
      </c>
      <c r="E2116" s="20" t="s">
        <v>15134</v>
      </c>
      <c r="F2116" s="20" t="s">
        <v>15135</v>
      </c>
      <c r="G2116" s="20">
        <v>73347000</v>
      </c>
      <c r="H2116" s="20" t="s">
        <v>15138</v>
      </c>
      <c r="I2116" s="20" t="b">
        <v>1</v>
      </c>
      <c r="J2116" s="20" t="s">
        <v>17891</v>
      </c>
      <c r="K2116" s="20">
        <v>1000066</v>
      </c>
      <c r="L2116" s="20" t="s">
        <v>17228</v>
      </c>
      <c r="M2116" s="20" t="s">
        <v>17892</v>
      </c>
    </row>
    <row r="2117" spans="1:13" x14ac:dyDescent="0.25">
      <c r="A2117" s="20">
        <v>79148</v>
      </c>
      <c r="B2117" s="20" t="s">
        <v>15901</v>
      </c>
      <c r="C2117" s="20">
        <v>79148</v>
      </c>
      <c r="D2117" s="20" t="e">
        <f>VLOOKUP(C2117,[1]CHILDCARE_FACILITIES!AJ:AK,2,0)</f>
        <v>#N/A</v>
      </c>
      <c r="E2117" s="20" t="s">
        <v>15134</v>
      </c>
      <c r="F2117" s="20" t="s">
        <v>15135</v>
      </c>
      <c r="G2117" s="20">
        <v>22204001</v>
      </c>
      <c r="H2117" s="20" t="s">
        <v>15145</v>
      </c>
      <c r="I2117" s="20" t="b">
        <v>0</v>
      </c>
      <c r="J2117" s="20" t="s">
        <v>17728</v>
      </c>
      <c r="K2117" s="20">
        <v>79148</v>
      </c>
      <c r="L2117" s="20" t="s">
        <v>17729</v>
      </c>
      <c r="M2117" s="20" t="s">
        <v>17725</v>
      </c>
    </row>
    <row r="2118" spans="1:13" x14ac:dyDescent="0.25">
      <c r="A2118" s="20">
        <v>87676</v>
      </c>
      <c r="B2118" s="20" t="s">
        <v>16348</v>
      </c>
      <c r="C2118" s="20">
        <v>87676</v>
      </c>
      <c r="D2118" s="20" t="e">
        <f>VLOOKUP(C2118,[1]CHILDCARE_FACILITIES!AJ:AK,2,0)</f>
        <v>#N/A</v>
      </c>
      <c r="E2118" s="20" t="s">
        <v>15134</v>
      </c>
      <c r="F2118" s="20" t="s">
        <v>15135</v>
      </c>
      <c r="G2118" s="20">
        <v>22201003</v>
      </c>
      <c r="K2118" s="20">
        <v>87676</v>
      </c>
    </row>
    <row r="2119" spans="1:13" x14ac:dyDescent="0.25">
      <c r="A2119" s="20">
        <v>91858</v>
      </c>
      <c r="B2119" s="20" t="s">
        <v>16806</v>
      </c>
      <c r="C2119" s="20">
        <v>91858</v>
      </c>
      <c r="D2119" s="20" t="e">
        <f>VLOOKUP(C2119,[1]CHILDCARE_FACILITIES!AJ:AK,2,0)</f>
        <v>#N/A</v>
      </c>
      <c r="E2119" s="20" t="s">
        <v>15134</v>
      </c>
      <c r="F2119" s="20" t="s">
        <v>15135</v>
      </c>
      <c r="G2119" s="20">
        <v>143028000</v>
      </c>
      <c r="H2119" s="20" t="s">
        <v>15145</v>
      </c>
      <c r="I2119" s="20" t="b">
        <v>1</v>
      </c>
      <c r="J2119" s="20" t="s">
        <v>18668</v>
      </c>
      <c r="K2119" s="20">
        <v>91858</v>
      </c>
      <c r="L2119" s="20" t="s">
        <v>17335</v>
      </c>
      <c r="M2119" s="20" t="s">
        <v>18669</v>
      </c>
    </row>
    <row r="2120" spans="1:13" x14ac:dyDescent="0.25">
      <c r="A2120" s="20">
        <v>91864</v>
      </c>
      <c r="B2120" s="20" t="s">
        <v>16806</v>
      </c>
      <c r="C2120" s="20">
        <v>91864</v>
      </c>
      <c r="D2120" s="20" t="e">
        <f>VLOOKUP(C2120,[1]CHILDCARE_FACILITIES!AJ:AK,2,0)</f>
        <v>#N/A</v>
      </c>
      <c r="E2120" s="20" t="s">
        <v>15134</v>
      </c>
      <c r="F2120" s="20" t="s">
        <v>15135</v>
      </c>
      <c r="G2120" s="20">
        <v>143028001</v>
      </c>
      <c r="K2120" s="20">
        <v>91864</v>
      </c>
    </row>
    <row r="2121" spans="1:13" x14ac:dyDescent="0.25">
      <c r="A2121" s="20">
        <v>10184</v>
      </c>
      <c r="B2121" s="20" t="s">
        <v>15831</v>
      </c>
      <c r="C2121" s="20">
        <v>10184</v>
      </c>
      <c r="D2121" s="20" t="e">
        <f>VLOOKUP(C2121,[1]CHILDCARE_FACILITIES!AJ:AK,2,0)</f>
        <v>#N/A</v>
      </c>
      <c r="E2121" s="20" t="s">
        <v>15134</v>
      </c>
      <c r="F2121" s="20" t="s">
        <v>15135</v>
      </c>
      <c r="G2121" s="20">
        <v>142502000</v>
      </c>
      <c r="H2121" s="20" t="s">
        <v>15138</v>
      </c>
      <c r="I2121" s="20" t="b">
        <v>0</v>
      </c>
      <c r="J2121" s="20" t="s">
        <v>18670</v>
      </c>
      <c r="K2121" s="20">
        <v>10184</v>
      </c>
      <c r="L2121" s="20" t="s">
        <v>17445</v>
      </c>
      <c r="M2121" s="20" t="s">
        <v>18671</v>
      </c>
    </row>
    <row r="2122" spans="1:13" x14ac:dyDescent="0.25">
      <c r="A2122" s="20">
        <v>10184</v>
      </c>
      <c r="B2122" s="20" t="s">
        <v>15831</v>
      </c>
      <c r="C2122" s="20">
        <v>10184</v>
      </c>
      <c r="D2122" s="20" t="e">
        <f>VLOOKUP(C2122,[1]CHILDCARE_FACILITIES!AJ:AK,2,0)</f>
        <v>#N/A</v>
      </c>
      <c r="E2122" s="20" t="s">
        <v>15134</v>
      </c>
      <c r="F2122" s="20" t="s">
        <v>15135</v>
      </c>
      <c r="G2122" s="20">
        <v>142502000</v>
      </c>
      <c r="H2122" s="20" t="s">
        <v>15136</v>
      </c>
      <c r="I2122" s="20" t="b">
        <v>1</v>
      </c>
      <c r="J2122" s="20" t="s">
        <v>18672</v>
      </c>
      <c r="K2122" s="20">
        <v>10184</v>
      </c>
      <c r="L2122" s="20" t="s">
        <v>17335</v>
      </c>
      <c r="M2122" s="20" t="s">
        <v>18673</v>
      </c>
    </row>
    <row r="2123" spans="1:13" x14ac:dyDescent="0.25">
      <c r="A2123" s="20">
        <v>80924</v>
      </c>
      <c r="B2123" s="20" t="s">
        <v>14996</v>
      </c>
      <c r="C2123" s="20">
        <v>80924</v>
      </c>
      <c r="D2123" s="20" t="e">
        <f>VLOOKUP(C2123,[1]CHILDCARE_FACILITIES!AJ:AK,2,0)</f>
        <v>#N/A</v>
      </c>
      <c r="E2123" s="20" t="s">
        <v>15134</v>
      </c>
      <c r="F2123" s="20" t="s">
        <v>15135</v>
      </c>
      <c r="G2123" s="20">
        <v>142207000</v>
      </c>
      <c r="H2123" s="20" t="s">
        <v>15138</v>
      </c>
      <c r="I2123" s="20" t="b">
        <v>1</v>
      </c>
      <c r="J2123" s="20" t="s">
        <v>18674</v>
      </c>
      <c r="K2123" s="20">
        <v>80924</v>
      </c>
      <c r="L2123" s="20" t="s">
        <v>17335</v>
      </c>
      <c r="M2123" s="20" t="s">
        <v>18675</v>
      </c>
    </row>
    <row r="2124" spans="1:13" x14ac:dyDescent="0.25">
      <c r="A2124" s="20">
        <v>80924</v>
      </c>
      <c r="B2124" s="20" t="s">
        <v>14996</v>
      </c>
      <c r="C2124" s="20">
        <v>80924</v>
      </c>
      <c r="D2124" s="20" t="e">
        <f>VLOOKUP(C2124,[1]CHILDCARE_FACILITIES!AJ:AK,2,0)</f>
        <v>#N/A</v>
      </c>
      <c r="E2124" s="20" t="s">
        <v>15134</v>
      </c>
      <c r="F2124" s="20" t="s">
        <v>15135</v>
      </c>
      <c r="G2124" s="20">
        <v>142207000</v>
      </c>
      <c r="H2124" s="20" t="s">
        <v>15145</v>
      </c>
      <c r="I2124" s="20" t="b">
        <v>1</v>
      </c>
      <c r="J2124" s="20" t="s">
        <v>18676</v>
      </c>
      <c r="K2124" s="20">
        <v>80924</v>
      </c>
      <c r="L2124" s="20" t="s">
        <v>17335</v>
      </c>
      <c r="M2124" s="20" t="s">
        <v>18677</v>
      </c>
    </row>
    <row r="2125" spans="1:13" x14ac:dyDescent="0.25">
      <c r="A2125" s="20">
        <v>80925</v>
      </c>
      <c r="B2125" s="20" t="s">
        <v>16247</v>
      </c>
      <c r="C2125" s="20">
        <v>80925</v>
      </c>
      <c r="D2125" s="20" t="e">
        <f>VLOOKUP(C2125,[1]CHILDCARE_FACILITIES!AJ:AK,2,0)</f>
        <v>#N/A</v>
      </c>
      <c r="E2125" s="20" t="s">
        <v>15134</v>
      </c>
      <c r="F2125" s="20" t="s">
        <v>15135</v>
      </c>
      <c r="G2125" s="20">
        <v>142207001</v>
      </c>
      <c r="H2125" s="20" t="s">
        <v>15138</v>
      </c>
      <c r="I2125" s="20" t="b">
        <v>1</v>
      </c>
      <c r="J2125" s="20" t="s">
        <v>18676</v>
      </c>
      <c r="K2125" s="20">
        <v>80925</v>
      </c>
      <c r="L2125" s="20" t="s">
        <v>17335</v>
      </c>
      <c r="M2125" s="20" t="s">
        <v>18677</v>
      </c>
    </row>
    <row r="2126" spans="1:13" x14ac:dyDescent="0.25">
      <c r="A2126" s="20">
        <v>80925</v>
      </c>
      <c r="B2126" s="20" t="s">
        <v>16247</v>
      </c>
      <c r="C2126" s="20">
        <v>80925</v>
      </c>
      <c r="D2126" s="20" t="e">
        <f>VLOOKUP(C2126,[1]CHILDCARE_FACILITIES!AJ:AK,2,0)</f>
        <v>#N/A</v>
      </c>
      <c r="E2126" s="20" t="s">
        <v>15134</v>
      </c>
      <c r="F2126" s="20" t="s">
        <v>15135</v>
      </c>
      <c r="G2126" s="20">
        <v>142207001</v>
      </c>
      <c r="H2126" s="20" t="s">
        <v>15145</v>
      </c>
      <c r="I2126" s="20" t="b">
        <v>1</v>
      </c>
      <c r="J2126" s="20" t="s">
        <v>18674</v>
      </c>
      <c r="K2126" s="20">
        <v>80925</v>
      </c>
      <c r="L2126" s="20" t="s">
        <v>17335</v>
      </c>
      <c r="M2126" s="20" t="s">
        <v>18675</v>
      </c>
    </row>
    <row r="2127" spans="1:13" x14ac:dyDescent="0.25">
      <c r="A2127" s="20">
        <v>1000075</v>
      </c>
      <c r="B2127" s="20" t="s">
        <v>17053</v>
      </c>
      <c r="C2127" s="20">
        <v>1000075</v>
      </c>
      <c r="D2127" s="20" t="e">
        <f>VLOOKUP(C2127,[1]CHILDCARE_FACILITIES!AJ:AK,2,0)</f>
        <v>#N/A</v>
      </c>
      <c r="E2127" s="20" t="s">
        <v>15134</v>
      </c>
      <c r="F2127" s="20" t="s">
        <v>15135</v>
      </c>
      <c r="G2127" s="20">
        <v>73348001</v>
      </c>
      <c r="H2127" s="20" t="s">
        <v>15136</v>
      </c>
      <c r="I2127" s="20" t="b">
        <v>1</v>
      </c>
      <c r="J2127" s="20" t="s">
        <v>17660</v>
      </c>
      <c r="K2127" s="20">
        <v>1000075</v>
      </c>
      <c r="L2127" s="20" t="s">
        <v>17228</v>
      </c>
      <c r="M2127" s="20" t="s">
        <v>17661</v>
      </c>
    </row>
    <row r="2128" spans="1:13" x14ac:dyDescent="0.25">
      <c r="A2128" s="20">
        <v>1000075</v>
      </c>
      <c r="B2128" s="20" t="s">
        <v>17053</v>
      </c>
      <c r="C2128" s="20">
        <v>1000075</v>
      </c>
      <c r="D2128" s="20" t="e">
        <f>VLOOKUP(C2128,[1]CHILDCARE_FACILITIES!AJ:AK,2,0)</f>
        <v>#N/A</v>
      </c>
      <c r="E2128" s="20" t="s">
        <v>15134</v>
      </c>
      <c r="F2128" s="20" t="s">
        <v>15135</v>
      </c>
      <c r="G2128" s="20">
        <v>73348001</v>
      </c>
      <c r="H2128" s="20" t="s">
        <v>15138</v>
      </c>
      <c r="I2128" s="20" t="b">
        <v>1</v>
      </c>
      <c r="J2128" s="20" t="s">
        <v>17660</v>
      </c>
      <c r="K2128" s="20">
        <v>1000075</v>
      </c>
      <c r="L2128" s="20" t="s">
        <v>17228</v>
      </c>
      <c r="M2128" s="20" t="s">
        <v>17661</v>
      </c>
    </row>
    <row r="2129" spans="1:11" x14ac:dyDescent="0.25">
      <c r="A2129" s="20">
        <v>8764</v>
      </c>
      <c r="B2129" s="20" t="s">
        <v>15258</v>
      </c>
      <c r="C2129" s="20">
        <v>8764</v>
      </c>
      <c r="D2129" s="20" t="e">
        <f>VLOOKUP(C2129,[1]CHILDCARE_FACILITIES!AJ:AK,2,0)</f>
        <v>#N/A</v>
      </c>
      <c r="E2129" s="20" t="s">
        <v>15134</v>
      </c>
      <c r="F2129" s="20" t="s">
        <v>15135</v>
      </c>
      <c r="G2129" s="20">
        <v>72404002</v>
      </c>
      <c r="K2129" s="20">
        <v>8764</v>
      </c>
    </row>
    <row r="2130" spans="1:11" x14ac:dyDescent="0.25">
      <c r="A2130" s="20" t="s">
        <v>18678</v>
      </c>
      <c r="C2130" s="20" t="s">
        <v>18678</v>
      </c>
      <c r="K2130" s="20" t="s">
        <v>18678</v>
      </c>
    </row>
  </sheetData>
  <autoFilter ref="A1:O2130" xr:uid="{00000000-0009-0000-0000-000001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5be2ccf-7fc2-4456-aa64-618de98f7d31">
      <UserInfo>
        <DisplayName>Masseur, Lori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EE5F2DAFC64D4C8BB2E923E1A693C7" ma:contentTypeVersion="10" ma:contentTypeDescription="Create a new document." ma:contentTypeScope="" ma:versionID="48d95c08f30ab293fd187a46e54c8b03">
  <xsd:schema xmlns:xsd="http://www.w3.org/2001/XMLSchema" xmlns:xs="http://www.w3.org/2001/XMLSchema" xmlns:p="http://schemas.microsoft.com/office/2006/metadata/properties" xmlns:ns2="7ec8a2fc-4e03-4a09-bb9f-a392705282c1" xmlns:ns3="65be2ccf-7fc2-4456-aa64-618de98f7d31" targetNamespace="http://schemas.microsoft.com/office/2006/metadata/properties" ma:root="true" ma:fieldsID="63d1b7d6b198381f83155395f2747420" ns2:_="" ns3:_="">
    <xsd:import namespace="7ec8a2fc-4e03-4a09-bb9f-a392705282c1"/>
    <xsd:import namespace="65be2ccf-7fc2-4456-aa64-618de98f7d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8a2fc-4e03-4a09-bb9f-a392705282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e2ccf-7fc2-4456-aa64-618de98f7d3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3A281-AC84-4228-BAFF-2E10260EC3EE}">
  <ds:schemaRefs>
    <ds:schemaRef ds:uri="65be2ccf-7fc2-4456-aa64-618de98f7d31"/>
    <ds:schemaRef ds:uri="http://schemas.microsoft.com/office/2006/documentManagement/types"/>
    <ds:schemaRef ds:uri="http://schemas.microsoft.com/office/2006/metadata/properties"/>
    <ds:schemaRef ds:uri="7ec8a2fc-4e03-4a09-bb9f-a392705282c1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BBF687-0F3F-4448-8D53-A790C358A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B75042-623B-49BD-9962-C0CBF5D66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8a2fc-4e03-4a09-bb9f-a392705282c1"/>
    <ds:schemaRef ds:uri="65be2ccf-7fc2-4456-aa64-618de98f7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0-5 Master List</vt:lpstr>
      <vt:lpstr>0-5 Resort</vt:lpstr>
      <vt:lpstr>K-8 Elem List</vt:lpstr>
      <vt:lpstr>K-8 Resort</vt:lpstr>
      <vt:lpstr>9-12 HS List</vt:lpstr>
      <vt:lpstr>9-12 Resort</vt:lpstr>
      <vt:lpstr>SchoolInfo (3)</vt:lpstr>
      <vt:lpstr>ADE EOS CC list</vt:lpstr>
      <vt:lpstr>childcare entity IDs</vt:lpstr>
      <vt:lpstr>HS Centers</vt:lpstr>
      <vt:lpstr>Cut Score = 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Laura</dc:creator>
  <cp:lastModifiedBy>Owner</cp:lastModifiedBy>
  <dcterms:created xsi:type="dcterms:W3CDTF">2021-01-28T21:25:07Z</dcterms:created>
  <dcterms:modified xsi:type="dcterms:W3CDTF">2021-02-19T21:23:04Z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0x0101005CEE5F2DAFC64D4C8BB2E923E1A693C7</vt:lpwstr>
  </property>
</Properties>
</file>